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4.xml" ContentType="application/vnd.openxmlformats-officedocument.spreadsheetml.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5.xml" ContentType="application/vnd.openxmlformats-officedocument.spreadsheetml.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433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532.xml" ContentType="application/vnd.openxmlformats-officedocument.spreadsheetml.query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6.xml" ContentType="application/vnd.openxmlformats-officedocument.spreadsheetml.table+xml"/>
  <Override PartName="/xl/queryTables/queryTable153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550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55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556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1561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1574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57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1641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691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1764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1791.xml" ContentType="application/vnd.openxmlformats-officedocument.spreadsheetml.queryTable+xml"/>
  <Override PartName="/xl/queryTables/queryTable1792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872.xml" ContentType="application/vnd.openxmlformats-officedocument.spreadsheetml.queryTable+xml"/>
  <Override PartName="/xl/queryTables/queryTable1873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1879.xml" ContentType="application/vnd.openxmlformats-officedocument.spreadsheetml.queryTable+xml"/>
  <Override PartName="/xl/queryTables/queryTable1880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886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1918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1920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1922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1964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1973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1989.xml" ContentType="application/vnd.openxmlformats-officedocument.spreadsheetml.queryTable+xml"/>
  <Override PartName="/xl/queryTables/queryTable1990.xml" ContentType="application/vnd.openxmlformats-officedocument.spreadsheetml.queryTable+xml"/>
  <Override PartName="/xl/queryTables/queryTable1991.xml" ContentType="application/vnd.openxmlformats-officedocument.spreadsheetml.queryTable+xml"/>
  <Override PartName="/xl/queryTables/queryTable1992.xml" ContentType="application/vnd.openxmlformats-officedocument.spreadsheetml.queryTable+xml"/>
  <Override PartName="/xl/queryTables/queryTable1993.xml" ContentType="application/vnd.openxmlformats-officedocument.spreadsheetml.queryTable+xml"/>
  <Override PartName="/xl/queryTables/queryTable1994.xml" ContentType="application/vnd.openxmlformats-officedocument.spreadsheetml.queryTable+xml"/>
  <Override PartName="/xl/queryTables/queryTable1995.xml" ContentType="application/vnd.openxmlformats-officedocument.spreadsheetml.queryTable+xml"/>
  <Override PartName="/xl/queryTables/queryTable1996.xml" ContentType="application/vnd.openxmlformats-officedocument.spreadsheetml.queryTable+xml"/>
  <Override PartName="/xl/queryTables/queryTable1997.xml" ContentType="application/vnd.openxmlformats-officedocument.spreadsheetml.queryTable+xml"/>
  <Override PartName="/xl/queryTables/queryTable1998.xml" ContentType="application/vnd.openxmlformats-officedocument.spreadsheetml.queryTable+xml"/>
  <Override PartName="/xl/queryTables/queryTable1999.xml" ContentType="application/vnd.openxmlformats-officedocument.spreadsheetml.queryTable+xml"/>
  <Override PartName="/xl/queryTables/queryTable2000.xml" ContentType="application/vnd.openxmlformats-officedocument.spreadsheetml.queryTable+xml"/>
  <Override PartName="/xl/queryTables/queryTable2001.xml" ContentType="application/vnd.openxmlformats-officedocument.spreadsheetml.queryTable+xml"/>
  <Override PartName="/xl/queryTables/queryTable2002.xml" ContentType="application/vnd.openxmlformats-officedocument.spreadsheetml.queryTable+xml"/>
  <Override PartName="/xl/queryTables/queryTable2003.xml" ContentType="application/vnd.openxmlformats-officedocument.spreadsheetml.queryTable+xml"/>
  <Override PartName="/xl/queryTables/queryTable2004.xml" ContentType="application/vnd.openxmlformats-officedocument.spreadsheetml.queryTable+xml"/>
  <Override PartName="/xl/queryTables/queryTable2005.xml" ContentType="application/vnd.openxmlformats-officedocument.spreadsheetml.queryTable+xml"/>
  <Override PartName="/xl/queryTables/queryTable2006.xml" ContentType="application/vnd.openxmlformats-officedocument.spreadsheetml.queryTable+xml"/>
  <Override PartName="/xl/queryTables/queryTable2007.xml" ContentType="application/vnd.openxmlformats-officedocument.spreadsheetml.queryTable+xml"/>
  <Override PartName="/xl/queryTables/queryTable2008.xml" ContentType="application/vnd.openxmlformats-officedocument.spreadsheetml.queryTable+xml"/>
  <Override PartName="/xl/queryTables/queryTable2009.xml" ContentType="application/vnd.openxmlformats-officedocument.spreadsheetml.queryTable+xml"/>
  <Override PartName="/xl/queryTables/queryTable2010.xml" ContentType="application/vnd.openxmlformats-officedocument.spreadsheetml.queryTable+xml"/>
  <Override PartName="/xl/queryTables/queryTable2011.xml" ContentType="application/vnd.openxmlformats-officedocument.spreadsheetml.queryTable+xml"/>
  <Override PartName="/xl/queryTables/queryTable2012.xml" ContentType="application/vnd.openxmlformats-officedocument.spreadsheetml.queryTable+xml"/>
  <Override PartName="/xl/queryTables/queryTable2013.xml" ContentType="application/vnd.openxmlformats-officedocument.spreadsheetml.queryTable+xml"/>
  <Override PartName="/xl/queryTables/queryTable2014.xml" ContentType="application/vnd.openxmlformats-officedocument.spreadsheetml.queryTable+xml"/>
  <Override PartName="/xl/queryTables/queryTable2015.xml" ContentType="application/vnd.openxmlformats-officedocument.spreadsheetml.queryTable+xml"/>
  <Override PartName="/xl/queryTables/queryTable2016.xml" ContentType="application/vnd.openxmlformats-officedocument.spreadsheetml.queryTable+xml"/>
  <Override PartName="/xl/queryTables/queryTable2017.xml" ContentType="application/vnd.openxmlformats-officedocument.spreadsheetml.queryTable+xml"/>
  <Override PartName="/xl/queryTables/queryTable2018.xml" ContentType="application/vnd.openxmlformats-officedocument.spreadsheetml.queryTable+xml"/>
  <Override PartName="/xl/queryTables/queryTable2019.xml" ContentType="application/vnd.openxmlformats-officedocument.spreadsheetml.queryTable+xml"/>
  <Override PartName="/xl/queryTables/queryTable2020.xml" ContentType="application/vnd.openxmlformats-officedocument.spreadsheetml.queryTable+xml"/>
  <Override PartName="/xl/queryTables/queryTable2021.xml" ContentType="application/vnd.openxmlformats-officedocument.spreadsheetml.queryTable+xml"/>
  <Override PartName="/xl/queryTables/queryTable2022.xml" ContentType="application/vnd.openxmlformats-officedocument.spreadsheetml.queryTable+xml"/>
  <Override PartName="/xl/queryTables/queryTable2023.xml" ContentType="application/vnd.openxmlformats-officedocument.spreadsheetml.queryTable+xml"/>
  <Override PartName="/xl/queryTables/queryTable2024.xml" ContentType="application/vnd.openxmlformats-officedocument.spreadsheetml.queryTable+xml"/>
  <Override PartName="/xl/queryTables/queryTable2025.xml" ContentType="application/vnd.openxmlformats-officedocument.spreadsheetml.queryTable+xml"/>
  <Override PartName="/xl/queryTables/queryTable2026.xml" ContentType="application/vnd.openxmlformats-officedocument.spreadsheetml.queryTable+xml"/>
  <Override PartName="/xl/queryTables/queryTable2027.xml" ContentType="application/vnd.openxmlformats-officedocument.spreadsheetml.queryTable+xml"/>
  <Override PartName="/xl/queryTables/queryTable2028.xml" ContentType="application/vnd.openxmlformats-officedocument.spreadsheetml.queryTable+xml"/>
  <Override PartName="/xl/queryTables/queryTable2029.xml" ContentType="application/vnd.openxmlformats-officedocument.spreadsheetml.queryTable+xml"/>
  <Override PartName="/xl/queryTables/queryTable2030.xml" ContentType="application/vnd.openxmlformats-officedocument.spreadsheetml.queryTable+xml"/>
  <Override PartName="/xl/queryTables/queryTable2031.xml" ContentType="application/vnd.openxmlformats-officedocument.spreadsheetml.queryTable+xml"/>
  <Override PartName="/xl/queryTables/queryTable2032.xml" ContentType="application/vnd.openxmlformats-officedocument.spreadsheetml.queryTable+xml"/>
  <Override PartName="/xl/queryTables/queryTable2033.xml" ContentType="application/vnd.openxmlformats-officedocument.spreadsheetml.queryTable+xml"/>
  <Override PartName="/xl/queryTables/queryTable2034.xml" ContentType="application/vnd.openxmlformats-officedocument.spreadsheetml.queryTable+xml"/>
  <Override PartName="/xl/queryTables/queryTable2035.xml" ContentType="application/vnd.openxmlformats-officedocument.spreadsheetml.queryTable+xml"/>
  <Override PartName="/xl/queryTables/queryTable2036.xml" ContentType="application/vnd.openxmlformats-officedocument.spreadsheetml.queryTable+xml"/>
  <Override PartName="/xl/queryTables/queryTable2037.xml" ContentType="application/vnd.openxmlformats-officedocument.spreadsheetml.queryTable+xml"/>
  <Override PartName="/xl/queryTables/queryTable2038.xml" ContentType="application/vnd.openxmlformats-officedocument.spreadsheetml.queryTable+xml"/>
  <Override PartName="/xl/queryTables/queryTable2039.xml" ContentType="application/vnd.openxmlformats-officedocument.spreadsheetml.queryTable+xml"/>
  <Override PartName="/xl/queryTables/queryTable2040.xml" ContentType="application/vnd.openxmlformats-officedocument.spreadsheetml.queryTable+xml"/>
  <Override PartName="/xl/queryTables/queryTable2041.xml" ContentType="application/vnd.openxmlformats-officedocument.spreadsheetml.queryTable+xml"/>
  <Override PartName="/xl/queryTables/queryTable2042.xml" ContentType="application/vnd.openxmlformats-officedocument.spreadsheetml.queryTable+xml"/>
  <Override PartName="/xl/queryTables/queryTable2043.xml" ContentType="application/vnd.openxmlformats-officedocument.spreadsheetml.queryTable+xml"/>
  <Override PartName="/xl/queryTables/queryTable2044.xml" ContentType="application/vnd.openxmlformats-officedocument.spreadsheetml.queryTable+xml"/>
  <Override PartName="/xl/queryTables/queryTable2045.xml" ContentType="application/vnd.openxmlformats-officedocument.spreadsheetml.queryTable+xml"/>
  <Override PartName="/xl/queryTables/queryTable2046.xml" ContentType="application/vnd.openxmlformats-officedocument.spreadsheetml.queryTable+xml"/>
  <Override PartName="/xl/queryTables/queryTable2047.xml" ContentType="application/vnd.openxmlformats-officedocument.spreadsheetml.queryTable+xml"/>
  <Override PartName="/xl/queryTables/queryTable2048.xml" ContentType="application/vnd.openxmlformats-officedocument.spreadsheetml.queryTable+xml"/>
  <Override PartName="/xl/queryTables/queryTable2049.xml" ContentType="application/vnd.openxmlformats-officedocument.spreadsheetml.queryTable+xml"/>
  <Override PartName="/xl/queryTables/queryTable2050.xml" ContentType="application/vnd.openxmlformats-officedocument.spreadsheetml.queryTable+xml"/>
  <Override PartName="/xl/queryTables/queryTable2051.xml" ContentType="application/vnd.openxmlformats-officedocument.spreadsheetml.queryTable+xml"/>
  <Override PartName="/xl/queryTables/queryTable2052.xml" ContentType="application/vnd.openxmlformats-officedocument.spreadsheetml.queryTable+xml"/>
  <Override PartName="/xl/queryTables/queryTable2053.xml" ContentType="application/vnd.openxmlformats-officedocument.spreadsheetml.queryTable+xml"/>
  <Override PartName="/xl/queryTables/queryTable2054.xml" ContentType="application/vnd.openxmlformats-officedocument.spreadsheetml.queryTable+xml"/>
  <Override PartName="/xl/queryTables/queryTable2055.xml" ContentType="application/vnd.openxmlformats-officedocument.spreadsheetml.queryTable+xml"/>
  <Override PartName="/xl/queryTables/queryTable2056.xml" ContentType="application/vnd.openxmlformats-officedocument.spreadsheetml.queryTable+xml"/>
  <Override PartName="/xl/queryTables/queryTable2057.xml" ContentType="application/vnd.openxmlformats-officedocument.spreadsheetml.queryTable+xml"/>
  <Override PartName="/xl/queryTables/queryTable2058.xml" ContentType="application/vnd.openxmlformats-officedocument.spreadsheetml.queryTable+xml"/>
  <Override PartName="/xl/queryTables/queryTable2059.xml" ContentType="application/vnd.openxmlformats-officedocument.spreadsheetml.queryTable+xml"/>
  <Override PartName="/xl/queryTables/queryTable2060.xml" ContentType="application/vnd.openxmlformats-officedocument.spreadsheetml.queryTable+xml"/>
  <Override PartName="/xl/queryTables/queryTable2061.xml" ContentType="application/vnd.openxmlformats-officedocument.spreadsheetml.queryTable+xml"/>
  <Override PartName="/xl/queryTables/queryTable2062.xml" ContentType="application/vnd.openxmlformats-officedocument.spreadsheetml.queryTable+xml"/>
  <Override PartName="/xl/queryTables/queryTable2063.xml" ContentType="application/vnd.openxmlformats-officedocument.spreadsheetml.queryTable+xml"/>
  <Override PartName="/xl/queryTables/queryTable2064.xml" ContentType="application/vnd.openxmlformats-officedocument.spreadsheetml.query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240" yWindow="195" windowWidth="14190" windowHeight="6750" tabRatio="745"/>
  </bookViews>
  <sheets>
    <sheet name="Patrimonio" sheetId="1" r:id="rId1"/>
    <sheet name="Cotacao" sheetId="9" r:id="rId2"/>
    <sheet name="Cotacao 2" sheetId="14" r:id="rId3"/>
    <sheet name="Cotacao 3" sheetId="17" r:id="rId4"/>
    <sheet name="Cotacao 4" sheetId="18" r:id="rId5"/>
    <sheet name="Cotacao 5" sheetId="21" r:id="rId6"/>
    <sheet name="Historia" sheetId="15" r:id="rId7"/>
    <sheet name="Tabela Hist" sheetId="16" r:id="rId8"/>
    <sheet name="Sheet1" sheetId="19" r:id="rId9"/>
    <sheet name="Sheet2" sheetId="20" r:id="rId10"/>
  </sheets>
  <externalReferences>
    <externalReference r:id="rId11"/>
  </externalReferences>
  <definedNames>
    <definedName name="DadosExternos_1" localSheetId="1">Cotacao!$C$7:$C$63</definedName>
    <definedName name="DadosExternos_1" localSheetId="2">'Cotacao 2'!$C$7:$C$63</definedName>
    <definedName name="DadosExternos_1" localSheetId="3">'Cotacao 3'!$C$7:$C$63</definedName>
    <definedName name="DadosExternos_1" localSheetId="4">'Cotacao 4'!$C$7:$C$63</definedName>
    <definedName name="DadosExternos_1" localSheetId="5">'Cotacao 5'!$C$7:$C$63</definedName>
    <definedName name="DadosExternos_10" localSheetId="1">Cotacao!$C$7:$C$63</definedName>
    <definedName name="DadosExternos_10" localSheetId="2">'Cotacao 2'!$C$7:$C$63</definedName>
    <definedName name="DadosExternos_10" localSheetId="3">'Cotacao 3'!$C$7:$C$63</definedName>
    <definedName name="DadosExternos_10" localSheetId="4">'Cotacao 4'!$C$7:$C$63</definedName>
    <definedName name="DadosExternos_10" localSheetId="5">'Cotacao 5'!$C$7:$C$63</definedName>
    <definedName name="DadosExternos_103" localSheetId="1">Cotacao!$C$7:$C$114</definedName>
    <definedName name="DadosExternos_103" localSheetId="2">'Cotacao 2'!$C$7:$C$114</definedName>
    <definedName name="DadosExternos_103" localSheetId="3">'Cotacao 3'!$C$7:$C$114</definedName>
    <definedName name="DadosExternos_103" localSheetId="4">'Cotacao 4'!$C$7:$C$114</definedName>
    <definedName name="DadosExternos_103" localSheetId="5">'Cotacao 5'!$C$7:$C$114</definedName>
    <definedName name="DadosExternos_104" localSheetId="1">Cotacao!$C$7:$C$114</definedName>
    <definedName name="DadosExternos_104" localSheetId="2">'Cotacao 2'!$C$7:$C$114</definedName>
    <definedName name="DadosExternos_104" localSheetId="3">'Cotacao 3'!$C$7:$C$114</definedName>
    <definedName name="DadosExternos_104" localSheetId="4">'Cotacao 4'!$C$7:$C$114</definedName>
    <definedName name="DadosExternos_104" localSheetId="5">'Cotacao 5'!$C$7:$C$114</definedName>
    <definedName name="DadosExternos_106" localSheetId="1">Cotacao!$C$7:$C$114</definedName>
    <definedName name="DadosExternos_106" localSheetId="2">'Cotacao 2'!$C$7:$C$114</definedName>
    <definedName name="DadosExternos_106" localSheetId="3">'Cotacao 3'!$C$7:$C$114</definedName>
    <definedName name="DadosExternos_106" localSheetId="4">'Cotacao 4'!$C$7:$C$114</definedName>
    <definedName name="DadosExternos_106" localSheetId="5">'Cotacao 5'!$C$7:$C$114</definedName>
    <definedName name="DadosExternos_107" localSheetId="1">Cotacao!$C$7:$C$114</definedName>
    <definedName name="DadosExternos_107" localSheetId="2">'Cotacao 2'!$C$7:$C$114</definedName>
    <definedName name="DadosExternos_107" localSheetId="3">'Cotacao 3'!$C$7:$C$114</definedName>
    <definedName name="DadosExternos_107" localSheetId="4">'Cotacao 4'!$C$7:$C$114</definedName>
    <definedName name="DadosExternos_107" localSheetId="5">'Cotacao 5'!$C$7:$C$114</definedName>
    <definedName name="DadosExternos_108" localSheetId="1">Cotacao!$C$7:$C$114</definedName>
    <definedName name="DadosExternos_108" localSheetId="2">'Cotacao 2'!$C$7:$C$114</definedName>
    <definedName name="DadosExternos_108" localSheetId="3">'Cotacao 3'!$C$7:$C$114</definedName>
    <definedName name="DadosExternos_108" localSheetId="4">'Cotacao 4'!$C$7:$C$114</definedName>
    <definedName name="DadosExternos_108" localSheetId="5">'Cotacao 5'!$C$7:$C$114</definedName>
    <definedName name="DadosExternos_109" localSheetId="1">Cotacao!$C$7:$C$114</definedName>
    <definedName name="DadosExternos_109" localSheetId="2">'Cotacao 2'!$C$7:$C$114</definedName>
    <definedName name="DadosExternos_109" localSheetId="3">'Cotacao 3'!$C$7:$C$114</definedName>
    <definedName name="DadosExternos_109" localSheetId="4">'Cotacao 4'!$C$7:$C$114</definedName>
    <definedName name="DadosExternos_109" localSheetId="5">'Cotacao 5'!$C$7:$C$114</definedName>
    <definedName name="DadosExternos_11" localSheetId="1">Cotacao!$C$7:$C$63</definedName>
    <definedName name="DadosExternos_11" localSheetId="2">'Cotacao 2'!$C$7:$C$63</definedName>
    <definedName name="DadosExternos_11" localSheetId="3">'Cotacao 3'!$C$7:$C$63</definedName>
    <definedName name="DadosExternos_11" localSheetId="4">'Cotacao 4'!$C$7:$C$63</definedName>
    <definedName name="DadosExternos_11" localSheetId="5">'Cotacao 5'!$C$7:$C$63</definedName>
    <definedName name="DadosExternos_110" localSheetId="1">Cotacao!$C$7:$C$56</definedName>
    <definedName name="DadosExternos_110" localSheetId="2">'Cotacao 2'!$C$7:$C$56</definedName>
    <definedName name="DadosExternos_110" localSheetId="3">'Cotacao 3'!$C$7:$C$56</definedName>
    <definedName name="DadosExternos_110" localSheetId="4">'Cotacao 4'!$C$7:$C$56</definedName>
    <definedName name="DadosExternos_110" localSheetId="5">'Cotacao 5'!$C$7:$C$56</definedName>
    <definedName name="DadosExternos_111" localSheetId="1">Cotacao!$C$7:$C$57</definedName>
    <definedName name="DadosExternos_111" localSheetId="2">'Cotacao 2'!$C$7:$C$57</definedName>
    <definedName name="DadosExternos_111" localSheetId="3">'Cotacao 3'!$C$7:$C$57</definedName>
    <definedName name="DadosExternos_111" localSheetId="4">'Cotacao 4'!$C$7:$C$57</definedName>
    <definedName name="DadosExternos_111" localSheetId="5">'Cotacao 5'!$C$7:$C$57</definedName>
    <definedName name="DadosExternos_112" localSheetId="1">Cotacao!$C$7:$C$58</definedName>
    <definedName name="DadosExternos_112" localSheetId="2">'Cotacao 2'!$C$7:$C$58</definedName>
    <definedName name="DadosExternos_112" localSheetId="3">'Cotacao 3'!$C$7:$C$58</definedName>
    <definedName name="DadosExternos_112" localSheetId="4">'Cotacao 4'!$C$7:$C$58</definedName>
    <definedName name="DadosExternos_112" localSheetId="5">'Cotacao 5'!$C$7:$C$58</definedName>
    <definedName name="DadosExternos_113" localSheetId="1">Cotacao!$C$7:$C$58</definedName>
    <definedName name="DadosExternos_113" localSheetId="2">'Cotacao 2'!$C$7:$C$58</definedName>
    <definedName name="DadosExternos_113" localSheetId="3">'Cotacao 3'!$C$7:$C$58</definedName>
    <definedName name="DadosExternos_113" localSheetId="4">'Cotacao 4'!$C$7:$C$58</definedName>
    <definedName name="DadosExternos_113" localSheetId="5">'Cotacao 5'!$C$7:$C$58</definedName>
    <definedName name="DadosExternos_114" localSheetId="1">Cotacao!$C$7:$C$60</definedName>
    <definedName name="DadosExternos_114" localSheetId="2">'Cotacao 2'!$C$7:$C$60</definedName>
    <definedName name="DadosExternos_114" localSheetId="3">'Cotacao 3'!$C$7:$C$60</definedName>
    <definedName name="DadosExternos_114" localSheetId="4">'Cotacao 4'!$C$7:$C$60</definedName>
    <definedName name="DadosExternos_114" localSheetId="5">'Cotacao 5'!$C$7:$C$60</definedName>
    <definedName name="DadosExternos_115" localSheetId="1">Cotacao!$C$7:$C$59</definedName>
    <definedName name="DadosExternos_115" localSheetId="2">'Cotacao 2'!$C$7:$C$59</definedName>
    <definedName name="DadosExternos_115" localSheetId="3">'Cotacao 3'!$C$7:$C$59</definedName>
    <definedName name="DadosExternos_115" localSheetId="4">'Cotacao 4'!$C$7:$C$59</definedName>
    <definedName name="DadosExternos_115" localSheetId="5">'Cotacao 5'!$C$7:$C$59</definedName>
    <definedName name="DadosExternos_116" localSheetId="1">Cotacao!$C$7:$C$60</definedName>
    <definedName name="DadosExternos_116" localSheetId="2">'Cotacao 2'!$C$7:$C$60</definedName>
    <definedName name="DadosExternos_116" localSheetId="3">'Cotacao 3'!$C$7:$C$60</definedName>
    <definedName name="DadosExternos_116" localSheetId="4">'Cotacao 4'!$C$7:$C$60</definedName>
    <definedName name="DadosExternos_116" localSheetId="5">'Cotacao 5'!$C$7:$C$60</definedName>
    <definedName name="DadosExternos_117" localSheetId="1">Cotacao!$C$7:$C$62</definedName>
    <definedName name="DadosExternos_117" localSheetId="2">'Cotacao 2'!$C$7:$C$62</definedName>
    <definedName name="DadosExternos_117" localSheetId="3">'Cotacao 3'!$C$7:$C$62</definedName>
    <definedName name="DadosExternos_117" localSheetId="4">'Cotacao 4'!$C$7:$C$62</definedName>
    <definedName name="DadosExternos_117" localSheetId="5">'Cotacao 5'!$C$7:$C$62</definedName>
    <definedName name="DadosExternos_118" localSheetId="1">Cotacao!$C$7:$C$61</definedName>
    <definedName name="DadosExternos_118" localSheetId="2">'Cotacao 2'!$C$7:$C$61</definedName>
    <definedName name="DadosExternos_118" localSheetId="3">'Cotacao 3'!$C$7:$C$61</definedName>
    <definedName name="DadosExternos_118" localSheetId="4">'Cotacao 4'!$C$7:$C$61</definedName>
    <definedName name="DadosExternos_118" localSheetId="5">'Cotacao 5'!$C$7:$C$61</definedName>
    <definedName name="DadosExternos_119" localSheetId="1">Cotacao!$C$7:$C$62</definedName>
    <definedName name="DadosExternos_119" localSheetId="2">'Cotacao 2'!$C$7:$C$62</definedName>
    <definedName name="DadosExternos_119" localSheetId="3">'Cotacao 3'!$C$7:$C$62</definedName>
    <definedName name="DadosExternos_119" localSheetId="4">'Cotacao 4'!$C$7:$C$62</definedName>
    <definedName name="DadosExternos_119" localSheetId="5">'Cotacao 5'!$C$7:$C$62</definedName>
    <definedName name="DadosExternos_12" localSheetId="1">Cotacao!$C$7:$C$63</definedName>
    <definedName name="DadosExternos_12" localSheetId="2">'Cotacao 2'!$C$7:$C$63</definedName>
    <definedName name="DadosExternos_12" localSheetId="3">'Cotacao 3'!$C$7:$C$63</definedName>
    <definedName name="DadosExternos_12" localSheetId="4">'Cotacao 4'!$C$7:$C$63</definedName>
    <definedName name="DadosExternos_12" localSheetId="5">'Cotacao 5'!$C$7:$C$63</definedName>
    <definedName name="DadosExternos_120" localSheetId="1">Cotacao!$C$7:$C$64</definedName>
    <definedName name="DadosExternos_120" localSheetId="2">'Cotacao 2'!$C$7:$C$64</definedName>
    <definedName name="DadosExternos_120" localSheetId="3">'Cotacao 3'!$C$7:$C$64</definedName>
    <definedName name="DadosExternos_120" localSheetId="4">'Cotacao 4'!$C$7:$C$64</definedName>
    <definedName name="DadosExternos_120" localSheetId="5">'Cotacao 5'!$C$7:$C$64</definedName>
    <definedName name="DadosExternos_121" localSheetId="1">Cotacao!$C$7:$C$65</definedName>
    <definedName name="DadosExternos_121" localSheetId="2">'Cotacao 2'!$C$7:$C$65</definedName>
    <definedName name="DadosExternos_121" localSheetId="3">'Cotacao 3'!$C$7:$C$65</definedName>
    <definedName name="DadosExternos_121" localSheetId="4">'Cotacao 4'!$C$7:$C$65</definedName>
    <definedName name="DadosExternos_121" localSheetId="5">'Cotacao 5'!$C$7:$C$65</definedName>
    <definedName name="DadosExternos_122" localSheetId="1">Cotacao!$C$7:$C$65</definedName>
    <definedName name="DadosExternos_122" localSheetId="2">'Cotacao 2'!$C$7:$C$65</definedName>
    <definedName name="DadosExternos_122" localSheetId="3">'Cotacao 3'!$C$7:$C$65</definedName>
    <definedName name="DadosExternos_122" localSheetId="4">'Cotacao 4'!$C$7:$C$65</definedName>
    <definedName name="DadosExternos_122" localSheetId="5">'Cotacao 5'!$C$7:$C$65</definedName>
    <definedName name="DadosExternos_123" localSheetId="1">Cotacao!$C$7:$C$66</definedName>
    <definedName name="DadosExternos_123" localSheetId="2">'Cotacao 2'!$C$7:$C$66</definedName>
    <definedName name="DadosExternos_123" localSheetId="3">'Cotacao 3'!$C$7:$C$66</definedName>
    <definedName name="DadosExternos_123" localSheetId="4">'Cotacao 4'!$C$7:$C$66</definedName>
    <definedName name="DadosExternos_123" localSheetId="5">'Cotacao 5'!$C$7:$C$66</definedName>
    <definedName name="DadosExternos_124" localSheetId="1">Cotacao!$C$7:$C$69</definedName>
    <definedName name="DadosExternos_124" localSheetId="2">'Cotacao 2'!$C$7:$C$69</definedName>
    <definedName name="DadosExternos_124" localSheetId="3">'Cotacao 3'!$C$7:$C$69</definedName>
    <definedName name="DadosExternos_124" localSheetId="4">'Cotacao 4'!$C$7:$C$69</definedName>
    <definedName name="DadosExternos_124" localSheetId="5">'Cotacao 5'!$C$7:$C$69</definedName>
    <definedName name="DadosExternos_125" localSheetId="1">Cotacao!$C$7:$C$67</definedName>
    <definedName name="DadosExternos_125" localSheetId="2">'Cotacao 2'!$C$7:$C$67</definedName>
    <definedName name="DadosExternos_125" localSheetId="3">'Cotacao 3'!$C$7:$C$67</definedName>
    <definedName name="DadosExternos_125" localSheetId="4">'Cotacao 4'!$C$7:$C$67</definedName>
    <definedName name="DadosExternos_125" localSheetId="5">'Cotacao 5'!$C$7:$C$67</definedName>
    <definedName name="DadosExternos_126" localSheetId="1">Cotacao!$C$7:$C$70</definedName>
    <definedName name="DadosExternos_126" localSheetId="2">'Cotacao 2'!$C$7:$C$70</definedName>
    <definedName name="DadosExternos_126" localSheetId="3">'Cotacao 3'!$C$7:$C$70</definedName>
    <definedName name="DadosExternos_126" localSheetId="4">'Cotacao 4'!$C$7:$C$70</definedName>
    <definedName name="DadosExternos_126" localSheetId="5">'Cotacao 5'!$C$7:$C$70</definedName>
    <definedName name="DadosExternos_127" localSheetId="1">Cotacao!$C$7:$C$68</definedName>
    <definedName name="DadosExternos_127" localSheetId="2">'Cotacao 2'!$C$7:$C$68</definedName>
    <definedName name="DadosExternos_127" localSheetId="3">'Cotacao 3'!$C$7:$C$68</definedName>
    <definedName name="DadosExternos_127" localSheetId="4">'Cotacao 4'!$C$7:$C$68</definedName>
    <definedName name="DadosExternos_127" localSheetId="5">'Cotacao 5'!$C$7:$C$68</definedName>
    <definedName name="DadosExternos_128" localSheetId="1">Cotacao!$C$7:$C$69</definedName>
    <definedName name="DadosExternos_128" localSheetId="2">'Cotacao 2'!$C$7:$C$69</definedName>
    <definedName name="DadosExternos_128" localSheetId="3">'Cotacao 3'!$C$7:$C$69</definedName>
    <definedName name="DadosExternos_128" localSheetId="4">'Cotacao 4'!$C$7:$C$69</definedName>
    <definedName name="DadosExternos_128" localSheetId="5">'Cotacao 5'!$C$7:$C$69</definedName>
    <definedName name="DadosExternos_129" localSheetId="1">Cotacao!$C$7:$C$69</definedName>
    <definedName name="DadosExternos_129" localSheetId="2">'Cotacao 2'!$C$7:$C$69</definedName>
    <definedName name="DadosExternos_129" localSheetId="3">'Cotacao 3'!$C$7:$C$69</definedName>
    <definedName name="DadosExternos_129" localSheetId="4">'Cotacao 4'!$C$7:$C$69</definedName>
    <definedName name="DadosExternos_129" localSheetId="5">'Cotacao 5'!$C$7:$C$69</definedName>
    <definedName name="DadosExternos_130" localSheetId="1">Cotacao!$C$7:$C$70</definedName>
    <definedName name="DadosExternos_130" localSheetId="2">'Cotacao 2'!$C$7:$C$70</definedName>
    <definedName name="DadosExternos_130" localSheetId="3">'Cotacao 3'!$C$7:$C$70</definedName>
    <definedName name="DadosExternos_130" localSheetId="4">'Cotacao 4'!$C$7:$C$70</definedName>
    <definedName name="DadosExternos_130" localSheetId="5">'Cotacao 5'!$C$7:$C$70</definedName>
    <definedName name="DadosExternos_131" localSheetId="1">Cotacao!$C$7:$C$70</definedName>
    <definedName name="DadosExternos_131" localSheetId="2">'Cotacao 2'!$C$7:$C$70</definedName>
    <definedName name="DadosExternos_131" localSheetId="3">'Cotacao 3'!$C$7:$C$70</definedName>
    <definedName name="DadosExternos_131" localSheetId="4">'Cotacao 4'!$C$7:$C$70</definedName>
    <definedName name="DadosExternos_131" localSheetId="5">'Cotacao 5'!$C$7:$C$70</definedName>
    <definedName name="DadosExternos_132" localSheetId="1">Cotacao!$C$7:$C$71</definedName>
    <definedName name="DadosExternos_132" localSheetId="2">'Cotacao 2'!$C$7:$C$71</definedName>
    <definedName name="DadosExternos_132" localSheetId="3">'Cotacao 3'!$C$7:$C$71</definedName>
    <definedName name="DadosExternos_132" localSheetId="4">'Cotacao 4'!$C$7:$C$71</definedName>
    <definedName name="DadosExternos_132" localSheetId="5">'Cotacao 5'!$C$7:$C$71</definedName>
    <definedName name="DadosExternos_133" localSheetId="1">Cotacao!$C$7:$C$73</definedName>
    <definedName name="DadosExternos_133" localSheetId="2">'Cotacao 2'!$C$7:$C$73</definedName>
    <definedName name="DadosExternos_133" localSheetId="3">'Cotacao 3'!$C$7:$C$73</definedName>
    <definedName name="DadosExternos_133" localSheetId="4">'Cotacao 4'!$C$7:$C$73</definedName>
    <definedName name="DadosExternos_133" localSheetId="5">'Cotacao 5'!$C$7:$C$73</definedName>
    <definedName name="DadosExternos_134" localSheetId="1">Cotacao!$C$7:$C$74</definedName>
    <definedName name="DadosExternos_134" localSheetId="2">'Cotacao 2'!$C$7:$C$74</definedName>
    <definedName name="DadosExternos_134" localSheetId="3">'Cotacao 3'!$C$7:$C$74</definedName>
    <definedName name="DadosExternos_134" localSheetId="4">'Cotacao 4'!$C$7:$C$74</definedName>
    <definedName name="DadosExternos_134" localSheetId="5">'Cotacao 5'!$C$7:$C$74</definedName>
    <definedName name="DadosExternos_135" localSheetId="1">Cotacao!$C$7:$C$65</definedName>
    <definedName name="DadosExternos_135" localSheetId="2">'Cotacao 2'!$C$7:$C$65</definedName>
    <definedName name="DadosExternos_135" localSheetId="3">'Cotacao 3'!$C$7:$C$65</definedName>
    <definedName name="DadosExternos_135" localSheetId="4">'Cotacao 4'!$C$7:$C$65</definedName>
    <definedName name="DadosExternos_135" localSheetId="5">'Cotacao 5'!$C$7:$C$65</definedName>
    <definedName name="DadosExternos_136" localSheetId="1">Cotacao!$C$7:$C$67</definedName>
    <definedName name="DadosExternos_136" localSheetId="2">'Cotacao 2'!$C$7:$C$67</definedName>
    <definedName name="DadosExternos_136" localSheetId="3">'Cotacao 3'!$C$7:$C$67</definedName>
    <definedName name="DadosExternos_136" localSheetId="4">'Cotacao 4'!$C$7:$C$67</definedName>
    <definedName name="DadosExternos_136" localSheetId="5">'Cotacao 5'!$C$7:$C$67</definedName>
    <definedName name="DadosExternos_137" localSheetId="1">Cotacao!$C$7:$C$70</definedName>
    <definedName name="DadosExternos_137" localSheetId="2">'Cotacao 2'!$C$7:$C$70</definedName>
    <definedName name="DadosExternos_137" localSheetId="3">'Cotacao 3'!$C$7:$C$70</definedName>
    <definedName name="DadosExternos_137" localSheetId="4">'Cotacao 4'!$C$7:$C$70</definedName>
    <definedName name="DadosExternos_137" localSheetId="5">'Cotacao 5'!$C$7:$C$70</definedName>
    <definedName name="DadosExternos_138" localSheetId="1">Cotacao!$C$7:$C$70</definedName>
    <definedName name="DadosExternos_138" localSheetId="2">'Cotacao 2'!$C$7:$C$70</definedName>
    <definedName name="DadosExternos_138" localSheetId="3">'Cotacao 3'!$C$7:$C$70</definedName>
    <definedName name="DadosExternos_138" localSheetId="4">'Cotacao 4'!$C$7:$C$70</definedName>
    <definedName name="DadosExternos_138" localSheetId="5">'Cotacao 5'!$C$7:$C$70</definedName>
    <definedName name="DadosExternos_139" localSheetId="1">Cotacao!$C$7:$C$69</definedName>
    <definedName name="DadosExternos_139" localSheetId="2">'Cotacao 2'!$C$7:$C$69</definedName>
    <definedName name="DadosExternos_139" localSheetId="3">'Cotacao 3'!$C$7:$C$69</definedName>
    <definedName name="DadosExternos_139" localSheetId="4">'Cotacao 4'!$C$7:$C$69</definedName>
    <definedName name="DadosExternos_139" localSheetId="5">'Cotacao 5'!$C$7:$C$69</definedName>
    <definedName name="DadosExternos_14" localSheetId="1">Cotacao!$C$7:$C$63</definedName>
    <definedName name="DadosExternos_14" localSheetId="2">'Cotacao 2'!$C$7:$C$63</definedName>
    <definedName name="DadosExternos_14" localSheetId="3">'Cotacao 3'!$C$7:$C$63</definedName>
    <definedName name="DadosExternos_14" localSheetId="4">'Cotacao 4'!$C$7:$C$63</definedName>
    <definedName name="DadosExternos_14" localSheetId="5">'Cotacao 5'!$C$7:$C$63</definedName>
    <definedName name="DadosExternos_140" localSheetId="1">Cotacao!$C$7:$C$72</definedName>
    <definedName name="DadosExternos_140" localSheetId="2">'Cotacao 2'!$C$7:$C$72</definedName>
    <definedName name="DadosExternos_140" localSheetId="3">'Cotacao 3'!$C$7:$C$72</definedName>
    <definedName name="DadosExternos_140" localSheetId="4">'Cotacao 4'!$C$7:$C$72</definedName>
    <definedName name="DadosExternos_140" localSheetId="5">'Cotacao 5'!$C$7:$C$72</definedName>
    <definedName name="DadosExternos_141" localSheetId="1">Cotacao!$C$7:$C$74</definedName>
    <definedName name="DadosExternos_141" localSheetId="2">'Cotacao 2'!$C$7:$C$74</definedName>
    <definedName name="DadosExternos_141" localSheetId="3">'Cotacao 3'!$C$7:$C$74</definedName>
    <definedName name="DadosExternos_141" localSheetId="4">'Cotacao 4'!$C$7:$C$74</definedName>
    <definedName name="DadosExternos_141" localSheetId="5">'Cotacao 5'!$C$7:$C$74</definedName>
    <definedName name="DadosExternos_142" localSheetId="1">Cotacao!$C$7:$C$76</definedName>
    <definedName name="DadosExternos_142" localSheetId="2">'Cotacao 2'!$C$7:$C$76</definedName>
    <definedName name="DadosExternos_142" localSheetId="3">'Cotacao 3'!$C$7:$C$76</definedName>
    <definedName name="DadosExternos_142" localSheetId="4">'Cotacao 4'!$C$7:$C$76</definedName>
    <definedName name="DadosExternos_142" localSheetId="5">'Cotacao 5'!$C$7:$C$76</definedName>
    <definedName name="DadosExternos_143" localSheetId="1">Cotacao!$C$7:$C$75</definedName>
    <definedName name="DadosExternos_143" localSheetId="2">'Cotacao 2'!$C$7:$C$75</definedName>
    <definedName name="DadosExternos_143" localSheetId="3">'Cotacao 3'!$C$7:$C$75</definedName>
    <definedName name="DadosExternos_143" localSheetId="4">'Cotacao 4'!$C$7:$C$75</definedName>
    <definedName name="DadosExternos_143" localSheetId="5">'Cotacao 5'!$C$7:$C$75</definedName>
    <definedName name="DadosExternos_144" localSheetId="1">Cotacao!$C$7:$C$77</definedName>
    <definedName name="DadosExternos_144" localSheetId="2">'Cotacao 2'!$C$7:$C$77</definedName>
    <definedName name="DadosExternos_144" localSheetId="3">'Cotacao 3'!$C$7:$C$77</definedName>
    <definedName name="DadosExternos_144" localSheetId="4">'Cotacao 4'!$C$7:$C$77</definedName>
    <definedName name="DadosExternos_144" localSheetId="5">'Cotacao 5'!$C$7:$C$77</definedName>
    <definedName name="DadosExternos_145" localSheetId="1">Cotacao!$C$7:$C$78</definedName>
    <definedName name="DadosExternos_145" localSheetId="2">'Cotacao 2'!$C$7:$C$78</definedName>
    <definedName name="DadosExternos_145" localSheetId="3">'Cotacao 3'!$C$7:$C$78</definedName>
    <definedName name="DadosExternos_145" localSheetId="4">'Cotacao 4'!$C$7:$C$78</definedName>
    <definedName name="DadosExternos_145" localSheetId="5">'Cotacao 5'!$C$7:$C$78</definedName>
    <definedName name="DadosExternos_146" localSheetId="1">Cotacao!$C$7:$C$80</definedName>
    <definedName name="DadosExternos_146" localSheetId="2">'Cotacao 2'!$C$7:$C$80</definedName>
    <definedName name="DadosExternos_146" localSheetId="3">'Cotacao 3'!$C$7:$C$80</definedName>
    <definedName name="DadosExternos_146" localSheetId="4">'Cotacao 4'!$C$7:$C$80</definedName>
    <definedName name="DadosExternos_146" localSheetId="5">'Cotacao 5'!$C$7:$C$80</definedName>
    <definedName name="DadosExternos_147" localSheetId="1">Cotacao!$C$7:$C$81</definedName>
    <definedName name="DadosExternos_147" localSheetId="2">'Cotacao 2'!$C$7:$C$81</definedName>
    <definedName name="DadosExternos_147" localSheetId="3">'Cotacao 3'!$C$7:$C$81</definedName>
    <definedName name="DadosExternos_147" localSheetId="4">'Cotacao 4'!$C$7:$C$81</definedName>
    <definedName name="DadosExternos_147" localSheetId="5">'Cotacao 5'!$C$7:$C$81</definedName>
    <definedName name="DadosExternos_148" localSheetId="1">Cotacao!$C$7:$C$83</definedName>
    <definedName name="DadosExternos_148" localSheetId="2">'Cotacao 2'!$C$7:$C$83</definedName>
    <definedName name="DadosExternos_148" localSheetId="3">'Cotacao 3'!$C$7:$C$83</definedName>
    <definedName name="DadosExternos_148" localSheetId="4">'Cotacao 4'!$C$7:$C$83</definedName>
    <definedName name="DadosExternos_148" localSheetId="5">'Cotacao 5'!$C$7:$C$83</definedName>
    <definedName name="DadosExternos_149" localSheetId="1">Cotacao!$C$7:$C$83</definedName>
    <definedName name="DadosExternos_149" localSheetId="2">'Cotacao 2'!$C$7:$C$83</definedName>
    <definedName name="DadosExternos_149" localSheetId="3">'Cotacao 3'!$C$7:$C$83</definedName>
    <definedName name="DadosExternos_149" localSheetId="4">'Cotacao 4'!$C$7:$C$83</definedName>
    <definedName name="DadosExternos_149" localSheetId="5">'Cotacao 5'!$C$7:$C$83</definedName>
    <definedName name="DadosExternos_15" localSheetId="1">Cotacao!$C$7:$C$63</definedName>
    <definedName name="DadosExternos_15" localSheetId="2">'Cotacao 2'!$C$7:$C$63</definedName>
    <definedName name="DadosExternos_15" localSheetId="3">'Cotacao 3'!$C$7:$C$63</definedName>
    <definedName name="DadosExternos_15" localSheetId="4">'Cotacao 4'!$C$7:$C$63</definedName>
    <definedName name="DadosExternos_15" localSheetId="5">'Cotacao 5'!$C$7:$C$63</definedName>
    <definedName name="DadosExternos_150" localSheetId="1">Cotacao!$C$7:$C$81</definedName>
    <definedName name="DadosExternos_150" localSheetId="2">'Cotacao 2'!$C$7:$C$81</definedName>
    <definedName name="DadosExternos_150" localSheetId="3">'Cotacao 3'!$C$7:$C$81</definedName>
    <definedName name="DadosExternos_150" localSheetId="4">'Cotacao 4'!$C$7:$C$81</definedName>
    <definedName name="DadosExternos_150" localSheetId="5">'Cotacao 5'!$C$7:$C$81</definedName>
    <definedName name="DadosExternos_151" localSheetId="1">Cotacao!$C$7:$C$82</definedName>
    <definedName name="DadosExternos_151" localSheetId="2">'Cotacao 2'!$C$7:$C$82</definedName>
    <definedName name="DadosExternos_151" localSheetId="3">'Cotacao 3'!$C$7:$C$82</definedName>
    <definedName name="DadosExternos_151" localSheetId="4">'Cotacao 4'!$C$7:$C$82</definedName>
    <definedName name="DadosExternos_151" localSheetId="5">'Cotacao 5'!$C$7:$C$82</definedName>
    <definedName name="DadosExternos_152" localSheetId="1">Cotacao!$C$7:$C$84</definedName>
    <definedName name="DadosExternos_152" localSheetId="2">'Cotacao 2'!$C$7:$C$84</definedName>
    <definedName name="DadosExternos_152" localSheetId="3">'Cotacao 3'!$C$7:$C$84</definedName>
    <definedName name="DadosExternos_152" localSheetId="4">'Cotacao 4'!$C$7:$C$84</definedName>
    <definedName name="DadosExternos_152" localSheetId="5">'Cotacao 5'!$C$7:$C$84</definedName>
    <definedName name="DadosExternos_153" localSheetId="1">Cotacao!$C$7:$C$85</definedName>
    <definedName name="DadosExternos_153" localSheetId="2">'Cotacao 2'!$C$7:$C$85</definedName>
    <definedName name="DadosExternos_153" localSheetId="3">'Cotacao 3'!$C$7:$C$85</definedName>
    <definedName name="DadosExternos_153" localSheetId="4">'Cotacao 4'!$C$7:$C$85</definedName>
    <definedName name="DadosExternos_153" localSheetId="5">'Cotacao 5'!$C$7:$C$85</definedName>
    <definedName name="DadosExternos_154" localSheetId="1">Cotacao!$C$7:$C$87</definedName>
    <definedName name="DadosExternos_154" localSheetId="2">'Cotacao 2'!$C$7:$C$87</definedName>
    <definedName name="DadosExternos_154" localSheetId="3">'Cotacao 3'!$C$7:$C$87</definedName>
    <definedName name="DadosExternos_154" localSheetId="4">'Cotacao 4'!$C$7:$C$87</definedName>
    <definedName name="DadosExternos_154" localSheetId="5">'Cotacao 5'!$C$7:$C$87</definedName>
    <definedName name="DadosExternos_155" localSheetId="1">Cotacao!$C$7:$C$89</definedName>
    <definedName name="DadosExternos_155" localSheetId="2">'Cotacao 2'!$C$7:$C$89</definedName>
    <definedName name="DadosExternos_155" localSheetId="3">'Cotacao 3'!$C$7:$C$89</definedName>
    <definedName name="DadosExternos_155" localSheetId="4">'Cotacao 4'!$C$7:$C$89</definedName>
    <definedName name="DadosExternos_155" localSheetId="5">'Cotacao 5'!$C$7:$C$89</definedName>
    <definedName name="DadosExternos_156" localSheetId="1">Cotacao!$C$7:$C$91</definedName>
    <definedName name="DadosExternos_156" localSheetId="2">'Cotacao 2'!$C$7:$C$91</definedName>
    <definedName name="DadosExternos_156" localSheetId="3">'Cotacao 3'!$C$7:$C$91</definedName>
    <definedName name="DadosExternos_156" localSheetId="4">'Cotacao 4'!$C$7:$C$91</definedName>
    <definedName name="DadosExternos_156" localSheetId="5">'Cotacao 5'!$C$7:$C$91</definedName>
    <definedName name="DadosExternos_157" localSheetId="1">Cotacao!$C$7:$C$93</definedName>
    <definedName name="DadosExternos_157" localSheetId="2">'Cotacao 2'!$C$7:$C$93</definedName>
    <definedName name="DadosExternos_157" localSheetId="3">'Cotacao 3'!$C$7:$C$93</definedName>
    <definedName name="DadosExternos_157" localSheetId="4">'Cotacao 4'!$C$7:$C$93</definedName>
    <definedName name="DadosExternos_157" localSheetId="5">'Cotacao 5'!$C$7:$C$93</definedName>
    <definedName name="DadosExternos_158" localSheetId="1">Cotacao!$C$7:$C$94</definedName>
    <definedName name="DadosExternos_158" localSheetId="2">'Cotacao 2'!$C$7:$C$94</definedName>
    <definedName name="DadosExternos_158" localSheetId="3">'Cotacao 3'!$C$7:$C$94</definedName>
    <definedName name="DadosExternos_158" localSheetId="4">'Cotacao 4'!$C$7:$C$94</definedName>
    <definedName name="DadosExternos_158" localSheetId="5">'Cotacao 5'!$C$7:$C$94</definedName>
    <definedName name="DadosExternos_159" localSheetId="1">Cotacao!$C$7:$C$94</definedName>
    <definedName name="DadosExternos_159" localSheetId="2">'Cotacao 2'!$C$7:$C$94</definedName>
    <definedName name="DadosExternos_159" localSheetId="3">'Cotacao 3'!$C$7:$C$94</definedName>
    <definedName name="DadosExternos_159" localSheetId="4">'Cotacao 4'!$C$7:$C$94</definedName>
    <definedName name="DadosExternos_159" localSheetId="5">'Cotacao 5'!$C$7:$C$94</definedName>
    <definedName name="DadosExternos_16" localSheetId="1">Cotacao!$C$7:$C$63</definedName>
    <definedName name="DadosExternos_16" localSheetId="2">'Cotacao 2'!$C$7:$C$63</definedName>
    <definedName name="DadosExternos_16" localSheetId="3">'Cotacao 3'!$C$7:$C$63</definedName>
    <definedName name="DadosExternos_16" localSheetId="4">'Cotacao 4'!$C$7:$C$63</definedName>
    <definedName name="DadosExternos_16" localSheetId="5">'Cotacao 5'!$C$7:$C$63</definedName>
    <definedName name="DadosExternos_160" localSheetId="1">Cotacao!$C$7:$C$95</definedName>
    <definedName name="DadosExternos_160" localSheetId="2">'Cotacao 2'!$C$7:$C$95</definedName>
    <definedName name="DadosExternos_160" localSheetId="3">'Cotacao 3'!$C$7:$C$95</definedName>
    <definedName name="DadosExternos_160" localSheetId="4">'Cotacao 4'!$C$7:$C$95</definedName>
    <definedName name="DadosExternos_160" localSheetId="5">'Cotacao 5'!$C$7:$C$95</definedName>
    <definedName name="DadosExternos_161" localSheetId="1">Cotacao!$C$7:$C$94</definedName>
    <definedName name="DadosExternos_161" localSheetId="2">'Cotacao 2'!$C$7:$C$94</definedName>
    <definedName name="DadosExternos_161" localSheetId="3">'Cotacao 3'!$C$7:$C$94</definedName>
    <definedName name="DadosExternos_161" localSheetId="4">'Cotacao 4'!$C$7:$C$94</definedName>
    <definedName name="DadosExternos_161" localSheetId="5">'Cotacao 5'!$C$7:$C$94</definedName>
    <definedName name="DadosExternos_162" localSheetId="1">Cotacao!$C$7:$C$97</definedName>
    <definedName name="DadosExternos_162" localSheetId="2">'Cotacao 2'!$C$7:$C$97</definedName>
    <definedName name="DadosExternos_162" localSheetId="3">'Cotacao 3'!$C$7:$C$97</definedName>
    <definedName name="DadosExternos_162" localSheetId="4">'Cotacao 4'!$C$7:$C$97</definedName>
    <definedName name="DadosExternos_162" localSheetId="5">'Cotacao 5'!$C$7:$C$97</definedName>
    <definedName name="DadosExternos_163" localSheetId="1">Cotacao!$C$7:$C$96</definedName>
    <definedName name="DadosExternos_163" localSheetId="2">'Cotacao 2'!$C$7:$C$96</definedName>
    <definedName name="DadosExternos_163" localSheetId="3">'Cotacao 3'!$C$7:$C$96</definedName>
    <definedName name="DadosExternos_163" localSheetId="4">'Cotacao 4'!$C$7:$C$96</definedName>
    <definedName name="DadosExternos_163" localSheetId="5">'Cotacao 5'!$C$7:$C$96</definedName>
    <definedName name="DadosExternos_164" localSheetId="1">Cotacao!$C$7:$C$95</definedName>
    <definedName name="DadosExternos_164" localSheetId="2">'Cotacao 2'!$C$7:$C$95</definedName>
    <definedName name="DadosExternos_164" localSheetId="3">'Cotacao 3'!$C$7:$C$95</definedName>
    <definedName name="DadosExternos_164" localSheetId="4">'Cotacao 4'!$C$7:$C$95</definedName>
    <definedName name="DadosExternos_164" localSheetId="5">'Cotacao 5'!$C$7:$C$95</definedName>
    <definedName name="DadosExternos_165" localSheetId="1">Cotacao!$C$7:$C$97</definedName>
    <definedName name="DadosExternos_165" localSheetId="2">'Cotacao 2'!$C$7:$C$97</definedName>
    <definedName name="DadosExternos_165" localSheetId="3">'Cotacao 3'!$C$7:$C$97</definedName>
    <definedName name="DadosExternos_165" localSheetId="4">'Cotacao 4'!$C$7:$C$97</definedName>
    <definedName name="DadosExternos_165" localSheetId="5">'Cotacao 5'!$C$7:$C$97</definedName>
    <definedName name="DadosExternos_166" localSheetId="1">Cotacao!$C$7:$C$104</definedName>
    <definedName name="DadosExternos_166" localSheetId="2">'Cotacao 2'!$C$7:$C$104</definedName>
    <definedName name="DadosExternos_166" localSheetId="3">'Cotacao 3'!$C$7:$C$104</definedName>
    <definedName name="DadosExternos_166" localSheetId="4">'Cotacao 4'!$C$7:$C$104</definedName>
    <definedName name="DadosExternos_166" localSheetId="5">'Cotacao 5'!$C$7:$C$104</definedName>
    <definedName name="DadosExternos_167" localSheetId="1">Cotacao!$C$7:$C$106</definedName>
    <definedName name="DadosExternos_167" localSheetId="2">'Cotacao 2'!$C$7:$C$106</definedName>
    <definedName name="DadosExternos_167" localSheetId="3">'Cotacao 3'!$C$7:$C$106</definedName>
    <definedName name="DadosExternos_167" localSheetId="4">'Cotacao 4'!$C$7:$C$106</definedName>
    <definedName name="DadosExternos_167" localSheetId="5">'Cotacao 5'!$C$7:$C$106</definedName>
    <definedName name="DadosExternos_168" localSheetId="1">Cotacao!$C$7:$C$108</definedName>
    <definedName name="DadosExternos_168" localSheetId="2">'Cotacao 2'!$C$7:$C$108</definedName>
    <definedName name="DadosExternos_168" localSheetId="3">'Cotacao 3'!$C$7:$C$108</definedName>
    <definedName name="DadosExternos_168" localSheetId="4">'Cotacao 4'!$C$7:$C$108</definedName>
    <definedName name="DadosExternos_168" localSheetId="5">'Cotacao 5'!$C$7:$C$108</definedName>
    <definedName name="DadosExternos_169" localSheetId="1">Cotacao!$C$7:$C$110</definedName>
    <definedName name="DadosExternos_169" localSheetId="2">'Cotacao 2'!$C$7:$C$110</definedName>
    <definedName name="DadosExternos_169" localSheetId="3">'Cotacao 3'!$C$7:$C$110</definedName>
    <definedName name="DadosExternos_169" localSheetId="4">'Cotacao 4'!$C$7:$C$110</definedName>
    <definedName name="DadosExternos_169" localSheetId="5">'Cotacao 5'!$C$7:$C$110</definedName>
    <definedName name="DadosExternos_17" localSheetId="1">Cotacao!$C$7:$C$63</definedName>
    <definedName name="DadosExternos_17" localSheetId="2">'Cotacao 2'!$C$7:$C$63</definedName>
    <definedName name="DadosExternos_17" localSheetId="3">'Cotacao 3'!$C$7:$C$63</definedName>
    <definedName name="DadosExternos_17" localSheetId="4">'Cotacao 4'!$C$7:$C$63</definedName>
    <definedName name="DadosExternos_17" localSheetId="5">'Cotacao 5'!$C$7:$C$63</definedName>
    <definedName name="DadosExternos_170" localSheetId="1">Cotacao!$C$7:$C$109</definedName>
    <definedName name="DadosExternos_170" localSheetId="2">'Cotacao 2'!$C$7:$C$109</definedName>
    <definedName name="DadosExternos_170" localSheetId="3">'Cotacao 3'!$C$7:$C$109</definedName>
    <definedName name="DadosExternos_170" localSheetId="4">'Cotacao 4'!$C$7:$C$109</definedName>
    <definedName name="DadosExternos_170" localSheetId="5">'Cotacao 5'!$C$7:$C$109</definedName>
    <definedName name="DadosExternos_171" localSheetId="1">Cotacao!$C$7:$C$110</definedName>
    <definedName name="DadosExternos_171" localSheetId="2">'Cotacao 2'!$C$7:$C$110</definedName>
    <definedName name="DadosExternos_171" localSheetId="3">'Cotacao 3'!$C$7:$C$110</definedName>
    <definedName name="DadosExternos_171" localSheetId="4">'Cotacao 4'!$C$7:$C$110</definedName>
    <definedName name="DadosExternos_171" localSheetId="5">'Cotacao 5'!$C$7:$C$110</definedName>
    <definedName name="DadosExternos_172" localSheetId="1">Cotacao!$C$7:$C$110</definedName>
    <definedName name="DadosExternos_172" localSheetId="2">'Cotacao 2'!$C$7:$C$110</definedName>
    <definedName name="DadosExternos_172" localSheetId="3">'Cotacao 3'!$C$7:$C$110</definedName>
    <definedName name="DadosExternos_172" localSheetId="4">'Cotacao 4'!$C$7:$C$110</definedName>
    <definedName name="DadosExternos_172" localSheetId="5">'Cotacao 5'!$C$7:$C$110</definedName>
    <definedName name="DadosExternos_173" localSheetId="1">Cotacao!$C$7:$C$112</definedName>
    <definedName name="DadosExternos_173" localSheetId="2">'Cotacao 2'!$C$7:$C$112</definedName>
    <definedName name="DadosExternos_173" localSheetId="3">'Cotacao 3'!$C$7:$C$112</definedName>
    <definedName name="DadosExternos_173" localSheetId="4">'Cotacao 4'!$C$7:$C$112</definedName>
    <definedName name="DadosExternos_173" localSheetId="5">'Cotacao 5'!$C$7:$C$112</definedName>
    <definedName name="DadosExternos_174" localSheetId="1">Cotacao!$C$7:$C$112</definedName>
    <definedName name="DadosExternos_174" localSheetId="2">'Cotacao 2'!$C$7:$C$112</definedName>
    <definedName name="DadosExternos_174" localSheetId="3">'Cotacao 3'!$C$7:$C$112</definedName>
    <definedName name="DadosExternos_174" localSheetId="4">'Cotacao 4'!$C$7:$C$112</definedName>
    <definedName name="DadosExternos_174" localSheetId="5">'Cotacao 5'!$C$7:$C$112</definedName>
    <definedName name="DadosExternos_175" localSheetId="1">Cotacao!$C$7:$C$112</definedName>
    <definedName name="DadosExternos_175" localSheetId="2">'Cotacao 2'!$C$7:$C$112</definedName>
    <definedName name="DadosExternos_175" localSheetId="3">'Cotacao 3'!$C$7:$C$112</definedName>
    <definedName name="DadosExternos_175" localSheetId="4">'Cotacao 4'!$C$7:$C$112</definedName>
    <definedName name="DadosExternos_175" localSheetId="5">'Cotacao 5'!$C$7:$C$112</definedName>
    <definedName name="DadosExternos_176" localSheetId="1">Cotacao!$C$7:$C$112</definedName>
    <definedName name="DadosExternos_176" localSheetId="2">'Cotacao 2'!$C$7:$C$112</definedName>
    <definedName name="DadosExternos_176" localSheetId="3">'Cotacao 3'!$C$7:$C$112</definedName>
    <definedName name="DadosExternos_176" localSheetId="4">'Cotacao 4'!$C$7:$C$112</definedName>
    <definedName name="DadosExternos_176" localSheetId="5">'Cotacao 5'!$C$7:$C$112</definedName>
    <definedName name="DadosExternos_177" localSheetId="1">Cotacao!$C$7:$C$112</definedName>
    <definedName name="DadosExternos_177" localSheetId="2">'Cotacao 2'!$C$7:$C$112</definedName>
    <definedName name="DadosExternos_177" localSheetId="3">'Cotacao 3'!$C$7:$C$112</definedName>
    <definedName name="DadosExternos_177" localSheetId="4">'Cotacao 4'!$C$7:$C$112</definedName>
    <definedName name="DadosExternos_177" localSheetId="5">'Cotacao 5'!$C$7:$C$112</definedName>
    <definedName name="DadosExternos_178" localSheetId="1">Cotacao!$C$7:$C$112</definedName>
    <definedName name="DadosExternos_178" localSheetId="2">'Cotacao 2'!$C$7:$C$112</definedName>
    <definedName name="DadosExternos_178" localSheetId="3">'Cotacao 3'!$C$7:$C$112</definedName>
    <definedName name="DadosExternos_178" localSheetId="4">'Cotacao 4'!$C$7:$C$112</definedName>
    <definedName name="DadosExternos_178" localSheetId="5">'Cotacao 5'!$C$7:$C$112</definedName>
    <definedName name="DadosExternos_179" localSheetId="1">Cotacao!$C$7:$C$112</definedName>
    <definedName name="DadosExternos_179" localSheetId="2">'Cotacao 2'!$C$7:$C$112</definedName>
    <definedName name="DadosExternos_179" localSheetId="3">'Cotacao 3'!$C$7:$C$112</definedName>
    <definedName name="DadosExternos_179" localSheetId="4">'Cotacao 4'!$C$7:$C$112</definedName>
    <definedName name="DadosExternos_179" localSheetId="5">'Cotacao 5'!$C$7:$C$112</definedName>
    <definedName name="DadosExternos_18" localSheetId="1">Cotacao!$C$7:$C$64</definedName>
    <definedName name="DadosExternos_18" localSheetId="2">'Cotacao 2'!$C$7:$C$64</definedName>
    <definedName name="DadosExternos_18" localSheetId="3">'Cotacao 3'!$C$7:$C$64</definedName>
    <definedName name="DadosExternos_18" localSheetId="4">'Cotacao 4'!$C$7:$C$64</definedName>
    <definedName name="DadosExternos_18" localSheetId="5">'Cotacao 5'!$C$7:$C$64</definedName>
    <definedName name="DadosExternos_180" localSheetId="1">Cotacao!$C$7:$C$112</definedName>
    <definedName name="DadosExternos_180" localSheetId="2">'Cotacao 2'!$C$7:$C$112</definedName>
    <definedName name="DadosExternos_180" localSheetId="3">'Cotacao 3'!$C$7:$C$112</definedName>
    <definedName name="DadosExternos_180" localSheetId="4">'Cotacao 4'!$C$7:$C$112</definedName>
    <definedName name="DadosExternos_180" localSheetId="5">'Cotacao 5'!$C$7:$C$112</definedName>
    <definedName name="DadosExternos_181" localSheetId="1">Cotacao!$C$7:$C$112</definedName>
    <definedName name="DadosExternos_181" localSheetId="2">'Cotacao 2'!$C$7:$C$112</definedName>
    <definedName name="DadosExternos_181" localSheetId="3">'Cotacao 3'!$C$7:$C$112</definedName>
    <definedName name="DadosExternos_181" localSheetId="4">'Cotacao 4'!$C$7:$C$112</definedName>
    <definedName name="DadosExternos_181" localSheetId="5">'Cotacao 5'!$C$7:$C$112</definedName>
    <definedName name="DadosExternos_182" localSheetId="1">Cotacao!$C$7:$C$112</definedName>
    <definedName name="DadosExternos_182" localSheetId="2">'Cotacao 2'!$C$7:$C$112</definedName>
    <definedName name="DadosExternos_182" localSheetId="3">'Cotacao 3'!$C$7:$C$112</definedName>
    <definedName name="DadosExternos_182" localSheetId="4">'Cotacao 4'!$C$7:$C$112</definedName>
    <definedName name="DadosExternos_182" localSheetId="5">'Cotacao 5'!$C$7:$C$112</definedName>
    <definedName name="DadosExternos_183" localSheetId="1">Cotacao!$C$7:$C$112</definedName>
    <definedName name="DadosExternos_183" localSheetId="2">'Cotacao 2'!$C$7:$C$112</definedName>
    <definedName name="DadosExternos_183" localSheetId="3">'Cotacao 3'!$C$7:$C$112</definedName>
    <definedName name="DadosExternos_183" localSheetId="4">'Cotacao 4'!$C$7:$C$112</definedName>
    <definedName name="DadosExternos_183" localSheetId="5">'Cotacao 5'!$C$7:$C$112</definedName>
    <definedName name="DadosExternos_184" localSheetId="1">Cotacao!$C$7:$C$112</definedName>
    <definedName name="DadosExternos_184" localSheetId="2">'Cotacao 2'!$C$7:$C$8</definedName>
    <definedName name="DadosExternos_184" localSheetId="3">'Cotacao 3'!$C$7:$C$8</definedName>
    <definedName name="DadosExternos_184" localSheetId="4">'Cotacao 4'!$C$7:$C$8</definedName>
    <definedName name="DadosExternos_184" localSheetId="5">'Cotacao 5'!$C$7:$C$8</definedName>
    <definedName name="DadosExternos_185" localSheetId="1">Cotacao!$C$7:$C$112</definedName>
    <definedName name="DadosExternos_185" localSheetId="2">'Cotacao 2'!$C$7:$C$8</definedName>
    <definedName name="DadosExternos_185" localSheetId="3">'Cotacao 3'!$C$7:$C$8</definedName>
    <definedName name="DadosExternos_185" localSheetId="4">'Cotacao 4'!$C$7:$C$8</definedName>
    <definedName name="DadosExternos_185" localSheetId="5">'Cotacao 5'!$C$7:$C$8</definedName>
    <definedName name="DadosExternos_186" localSheetId="1">Cotacao!$C$7:$C$112</definedName>
    <definedName name="DadosExternos_186" localSheetId="2">'Cotacao 2'!$C$7:$C$9</definedName>
    <definedName name="DadosExternos_186" localSheetId="3">'Cotacao 3'!$C$7:$C$9</definedName>
    <definedName name="DadosExternos_186" localSheetId="4">'Cotacao 4'!$C$7:$C$9</definedName>
    <definedName name="DadosExternos_186" localSheetId="5">'Cotacao 5'!$C$7:$C$9</definedName>
    <definedName name="DadosExternos_187" localSheetId="1">Cotacao!$C$7:$C$112</definedName>
    <definedName name="DadosExternos_187" localSheetId="2">'Cotacao 2'!$C$7:$C$10</definedName>
    <definedName name="DadosExternos_187" localSheetId="3">'Cotacao 3'!$C$7:$C$10</definedName>
    <definedName name="DadosExternos_187" localSheetId="4">'Cotacao 4'!$C$7:$C$10</definedName>
    <definedName name="DadosExternos_187" localSheetId="5">'Cotacao 5'!$C$7:$C$10</definedName>
    <definedName name="DadosExternos_188" localSheetId="1">Cotacao!$C$7:$C$112</definedName>
    <definedName name="DadosExternos_188" localSheetId="2">'Cotacao 2'!$C$7:$C$13</definedName>
    <definedName name="DadosExternos_188" localSheetId="3">'Cotacao 3'!$C$7:$C$13</definedName>
    <definedName name="DadosExternos_188" localSheetId="4">'Cotacao 4'!$C$7:$C$13</definedName>
    <definedName name="DadosExternos_188" localSheetId="5">'Cotacao 5'!$C$7:$C$13</definedName>
    <definedName name="DadosExternos_189" localSheetId="1">Cotacao!$C$7:$C$112</definedName>
    <definedName name="DadosExternos_189" localSheetId="2">'Cotacao 2'!$C$7:$C$11</definedName>
    <definedName name="DadosExternos_189" localSheetId="3">'Cotacao 3'!$C$7:$C$11</definedName>
    <definedName name="DadosExternos_189" localSheetId="4">'Cotacao 4'!$C$7:$C$11</definedName>
    <definedName name="DadosExternos_189" localSheetId="5">'Cotacao 5'!$C$7:$C$11</definedName>
    <definedName name="DadosExternos_190" localSheetId="1">Cotacao!$C$7:$C$112</definedName>
    <definedName name="DadosExternos_190" localSheetId="2">'Cotacao 2'!$C$7:$C$13</definedName>
    <definedName name="DadosExternos_190" localSheetId="3">'Cotacao 3'!$C$7:$C$13</definedName>
    <definedName name="DadosExternos_190" localSheetId="4">'Cotacao 4'!$C$7:$C$13</definedName>
    <definedName name="DadosExternos_190" localSheetId="5">'Cotacao 5'!$C$7:$C$13</definedName>
    <definedName name="DadosExternos_191" localSheetId="1">Cotacao!$C$7:$C$112</definedName>
    <definedName name="DadosExternos_191" localSheetId="2">'Cotacao 2'!$C$7:$C$14</definedName>
    <definedName name="DadosExternos_191" localSheetId="3">'Cotacao 3'!$C$7:$C$14</definedName>
    <definedName name="DadosExternos_191" localSheetId="4">'Cotacao 4'!$C$7:$C$14</definedName>
    <definedName name="DadosExternos_191" localSheetId="5">'Cotacao 5'!$C$7:$C$14</definedName>
    <definedName name="DadosExternos_192" localSheetId="1">Cotacao!$C$7:$C$112</definedName>
    <definedName name="DadosExternos_192" localSheetId="2">'Cotacao 2'!$C$7:$C$16</definedName>
    <definedName name="DadosExternos_192" localSheetId="3">'Cotacao 3'!$C$7:$C$16</definedName>
    <definedName name="DadosExternos_192" localSheetId="4">'Cotacao 4'!$C$7:$C$16</definedName>
    <definedName name="DadosExternos_192" localSheetId="5">'Cotacao 5'!$C$7:$C$16</definedName>
    <definedName name="DadosExternos_193" localSheetId="1">Cotacao!$C$7:$C$112</definedName>
    <definedName name="DadosExternos_193" localSheetId="2">'Cotacao 2'!$C$7:$C$16</definedName>
    <definedName name="DadosExternos_193" localSheetId="3">'Cotacao 3'!$C$7:$C$16</definedName>
    <definedName name="DadosExternos_193" localSheetId="4">'Cotacao 4'!$C$7:$C$16</definedName>
    <definedName name="DadosExternos_193" localSheetId="5">'Cotacao 5'!$C$7:$C$16</definedName>
    <definedName name="DadosExternos_194" localSheetId="1">Cotacao!$C$7:$C$112</definedName>
    <definedName name="DadosExternos_194" localSheetId="2">'Cotacao 2'!$C$7:$C$17</definedName>
    <definedName name="DadosExternos_194" localSheetId="3">'Cotacao 3'!$C$7:$C$17</definedName>
    <definedName name="DadosExternos_194" localSheetId="4">'Cotacao 4'!$C$7:$C$17</definedName>
    <definedName name="DadosExternos_194" localSheetId="5">'Cotacao 5'!$C$7:$C$17</definedName>
    <definedName name="DadosExternos_195" localSheetId="1">Cotacao!$C$7:$C$112</definedName>
    <definedName name="DadosExternos_195" localSheetId="2">'Cotacao 2'!$C$7:$C$19</definedName>
    <definedName name="DadosExternos_195" localSheetId="3">'Cotacao 3'!$C$7:$C$19</definedName>
    <definedName name="DadosExternos_195" localSheetId="4">'Cotacao 4'!$C$7:$C$19</definedName>
    <definedName name="DadosExternos_195" localSheetId="5">'Cotacao 5'!$C$7:$C$19</definedName>
    <definedName name="DadosExternos_196" localSheetId="1">Cotacao!$C$7:$C$112</definedName>
    <definedName name="DadosExternos_196" localSheetId="2">'Cotacao 2'!$C$7:$C$22</definedName>
    <definedName name="DadosExternos_196" localSheetId="3">'Cotacao 3'!$C$7:$C$22</definedName>
    <definedName name="DadosExternos_196" localSheetId="4">'Cotacao 4'!$C$7:$C$22</definedName>
    <definedName name="DadosExternos_196" localSheetId="5">'Cotacao 5'!$C$7:$C$22</definedName>
    <definedName name="DadosExternos_197" localSheetId="1">Cotacao!$C$7:$C$112</definedName>
    <definedName name="DadosExternos_197" localSheetId="2">'Cotacao 2'!$C$7:$C$41</definedName>
    <definedName name="DadosExternos_197" localSheetId="3">'Cotacao 3'!$C$7:$C$41</definedName>
    <definedName name="DadosExternos_197" localSheetId="4">'Cotacao 4'!$C$7:$C$41</definedName>
    <definedName name="DadosExternos_197" localSheetId="5">'Cotacao 5'!$C$7:$C$41</definedName>
    <definedName name="DadosExternos_198" localSheetId="1">Cotacao!$C$7:$C$112</definedName>
    <definedName name="DadosExternos_198" localSheetId="2">'Cotacao 2'!$C$7:$C$41</definedName>
    <definedName name="DadosExternos_198" localSheetId="3">'Cotacao 3'!$C$7:$C$41</definedName>
    <definedName name="DadosExternos_198" localSheetId="4">'Cotacao 4'!$C$7:$C$41</definedName>
    <definedName name="DadosExternos_198" localSheetId="5">'Cotacao 5'!$C$7:$C$41</definedName>
    <definedName name="DadosExternos_199" localSheetId="2">'Cotacao 2'!$C$7:$C$41</definedName>
    <definedName name="DadosExternos_199" localSheetId="3">'Cotacao 3'!$C$7:$C$41</definedName>
    <definedName name="DadosExternos_199" localSheetId="4">'Cotacao 4'!$C$7:$C$41</definedName>
    <definedName name="DadosExternos_199" localSheetId="5">'Cotacao 5'!$C$7:$C$41</definedName>
    <definedName name="DadosExternos_2" localSheetId="1">Cotacao!$C$7:$C$63</definedName>
    <definedName name="DadosExternos_2" localSheetId="2">'Cotacao 2'!$C$7:$C$63</definedName>
    <definedName name="DadosExternos_2" localSheetId="3">'Cotacao 3'!$C$7:$C$63</definedName>
    <definedName name="DadosExternos_2" localSheetId="4">'Cotacao 4'!$C$7:$C$63</definedName>
    <definedName name="DadosExternos_2" localSheetId="5">'Cotacao 5'!$C$7:$C$63</definedName>
    <definedName name="DadosExternos_20" localSheetId="1">Cotacao!$C$7:$C$64</definedName>
    <definedName name="DadosExternos_20" localSheetId="2">'Cotacao 2'!$C$7:$C$64</definedName>
    <definedName name="DadosExternos_20" localSheetId="3">'Cotacao 3'!$C$7:$C$64</definedName>
    <definedName name="DadosExternos_20" localSheetId="4">'Cotacao 4'!$C$7:$C$64</definedName>
    <definedName name="DadosExternos_20" localSheetId="5">'Cotacao 5'!$C$7:$C$64</definedName>
    <definedName name="DadosExternos_200" localSheetId="1">Cotacao!$C$7:$C$112</definedName>
    <definedName name="DadosExternos_200" localSheetId="2">'Cotacao 2'!$C$7:$C$41</definedName>
    <definedName name="DadosExternos_200" localSheetId="3">'Cotacao 3'!$C$7:$C$41</definedName>
    <definedName name="DadosExternos_200" localSheetId="4">'Cotacao 4'!$C$7:$C$41</definedName>
    <definedName name="DadosExternos_200" localSheetId="5">'Cotacao 5'!$C$7:$C$41</definedName>
    <definedName name="DadosExternos_201" localSheetId="1">Cotacao!$C$7:$C$112</definedName>
    <definedName name="DadosExternos_201" localSheetId="2">'Cotacao 2'!$C$7:$C$41</definedName>
    <definedName name="DadosExternos_201" localSheetId="3">'Cotacao 3'!$C$7:$C$41</definedName>
    <definedName name="DadosExternos_201" localSheetId="4">'Cotacao 4'!$C$7:$C$41</definedName>
    <definedName name="DadosExternos_201" localSheetId="5">'Cotacao 5'!$C$7:$C$41</definedName>
    <definedName name="DadosExternos_202" localSheetId="1">Cotacao!$C$7:$C$112</definedName>
    <definedName name="DadosExternos_202" localSheetId="2">'Cotacao 2'!$C$7:$C$41</definedName>
    <definedName name="DadosExternos_202" localSheetId="3">'Cotacao 3'!$C$7:$C$41</definedName>
    <definedName name="DadosExternos_202" localSheetId="4">'Cotacao 4'!$C$7:$C$41</definedName>
    <definedName name="DadosExternos_202" localSheetId="5">'Cotacao 5'!$C$7:$C$41</definedName>
    <definedName name="DadosExternos_203" localSheetId="1">Cotacao!$C$7:$C$112</definedName>
    <definedName name="DadosExternos_203" localSheetId="2">'Cotacao 2'!$C$7:$C$41</definedName>
    <definedName name="DadosExternos_203" localSheetId="3">'Cotacao 3'!$C$7:$C$41</definedName>
    <definedName name="DadosExternos_203" localSheetId="4">'Cotacao 4'!$C$7:$C$41</definedName>
    <definedName name="DadosExternos_203" localSheetId="5">'Cotacao 5'!$C$7:$C$41</definedName>
    <definedName name="DadosExternos_204" localSheetId="1">Cotacao!$C$7:$C$112</definedName>
    <definedName name="DadosExternos_204" localSheetId="2">'Cotacao 2'!$C$7:$C$41</definedName>
    <definedName name="DadosExternos_204" localSheetId="3">'Cotacao 3'!$C$7:$C$41</definedName>
    <definedName name="DadosExternos_204" localSheetId="4">'Cotacao 4'!$C$7:$C$41</definedName>
    <definedName name="DadosExternos_204" localSheetId="5">'Cotacao 5'!$C$7:$C$41</definedName>
    <definedName name="DadosExternos_205" localSheetId="1">Cotacao!$C$7:$C$112</definedName>
    <definedName name="DadosExternos_205" localSheetId="2">'Cotacao 2'!$C$7:$C$41</definedName>
    <definedName name="DadosExternos_205" localSheetId="3">'Cotacao 3'!$C$7:$C$41</definedName>
    <definedName name="DadosExternos_205" localSheetId="4">'Cotacao 4'!$C$7:$C$41</definedName>
    <definedName name="DadosExternos_205" localSheetId="5">'Cotacao 5'!$C$7:$C$41</definedName>
    <definedName name="DadosExternos_206" localSheetId="1">Cotacao!$C$7:$C$112</definedName>
    <definedName name="DadosExternos_206" localSheetId="2">'Cotacao 2'!$C$7:$C$43</definedName>
    <definedName name="DadosExternos_206" localSheetId="3">'Cotacao 3'!$C$7:$C$43</definedName>
    <definedName name="DadosExternos_206" localSheetId="4">'Cotacao 4'!$C$7:$C$43</definedName>
    <definedName name="DadosExternos_206" localSheetId="5">'Cotacao 5'!$C$7:$C$43</definedName>
    <definedName name="DadosExternos_207" localSheetId="1">Cotacao!$C$7:$C$112</definedName>
    <definedName name="DadosExternos_207" localSheetId="2">'Cotacao 2'!$C$7:$C$43</definedName>
    <definedName name="DadosExternos_207" localSheetId="3">'Cotacao 3'!$C$7:$C$43</definedName>
    <definedName name="DadosExternos_207" localSheetId="4">'Cotacao 4'!$C$7:$C$43</definedName>
    <definedName name="DadosExternos_207" localSheetId="5">'Cotacao 5'!$C$7:$C$43</definedName>
    <definedName name="DadosExternos_208" localSheetId="2">'Cotacao 2'!$C$7:$C$43</definedName>
    <definedName name="DadosExternos_208" localSheetId="3">'Cotacao 3'!$C$7:$C$43</definedName>
    <definedName name="DadosExternos_208" localSheetId="4">'Cotacao 4'!$C$7:$C$43</definedName>
    <definedName name="DadosExternos_208" localSheetId="5">'Cotacao 5'!$C$7:$C$43</definedName>
    <definedName name="DadosExternos_209" localSheetId="1">Cotacao!$C$7:$C$112</definedName>
    <definedName name="DadosExternos_209" localSheetId="2">'Cotacao 2'!$C$7:$C$44</definedName>
    <definedName name="DadosExternos_209" localSheetId="3">'Cotacao 3'!$C$7:$C$44</definedName>
    <definedName name="DadosExternos_209" localSheetId="4">'Cotacao 4'!$C$7:$C$44</definedName>
    <definedName name="DadosExternos_209" localSheetId="5">'Cotacao 5'!$C$7:$C$44</definedName>
    <definedName name="DadosExternos_21" localSheetId="1">Cotacao!$C$7:$C$63</definedName>
    <definedName name="DadosExternos_21" localSheetId="2">'Cotacao 2'!$C$7:$C$63</definedName>
    <definedName name="DadosExternos_21" localSheetId="3">'Cotacao 3'!$C$7:$C$63</definedName>
    <definedName name="DadosExternos_21" localSheetId="4">'Cotacao 4'!$C$7:$C$63</definedName>
    <definedName name="DadosExternos_21" localSheetId="5">'Cotacao 5'!$C$7:$C$63</definedName>
    <definedName name="DadosExternos_210" localSheetId="2">'Cotacao 2'!$C$7:$C$45</definedName>
    <definedName name="DadosExternos_210" localSheetId="3">'Cotacao 3'!$C$7:$C$45</definedName>
    <definedName name="DadosExternos_210" localSheetId="4">'Cotacao 4'!$C$7:$C$45</definedName>
    <definedName name="DadosExternos_210" localSheetId="5">'Cotacao 5'!$C$7:$C$45</definedName>
    <definedName name="DadosExternos_211" localSheetId="1">Cotacao!$C$7:$C$112</definedName>
    <definedName name="DadosExternos_211" localSheetId="2">'Cotacao 2'!$C$7:$C$46</definedName>
    <definedName name="DadosExternos_211" localSheetId="3">'Cotacao 3'!$C$7:$C$46</definedName>
    <definedName name="DadosExternos_211" localSheetId="4">'Cotacao 4'!$C$7:$C$46</definedName>
    <definedName name="DadosExternos_211" localSheetId="5">'Cotacao 5'!$C$7:$C$46</definedName>
    <definedName name="DadosExternos_212" localSheetId="1">Cotacao!$C$7:$C$112</definedName>
    <definedName name="DadosExternos_212" localSheetId="2">'Cotacao 2'!$C$7:$C$47</definedName>
    <definedName name="DadosExternos_212" localSheetId="3">'Cotacao 3'!$C$7:$C$47</definedName>
    <definedName name="DadosExternos_212" localSheetId="4">'Cotacao 4'!$C$7:$C$47</definedName>
    <definedName name="DadosExternos_212" localSheetId="5">'Cotacao 5'!$C$7:$C$47</definedName>
    <definedName name="DadosExternos_213" localSheetId="1">Cotacao!$C$7:$C$112</definedName>
    <definedName name="DadosExternos_213" localSheetId="2">'Cotacao 2'!$C$7:$C$48</definedName>
    <definedName name="DadosExternos_213" localSheetId="3">'Cotacao 3'!$C$7:$C$48</definedName>
    <definedName name="DadosExternos_213" localSheetId="4">'Cotacao 4'!$C$7:$C$48</definedName>
    <definedName name="DadosExternos_213" localSheetId="5">'Cotacao 5'!$C$7:$C$48</definedName>
    <definedName name="DadosExternos_214" localSheetId="2">'Cotacao 2'!$C$7:$C$49</definedName>
    <definedName name="DadosExternos_214" localSheetId="3">'Cotacao 3'!$C$7:$C$49</definedName>
    <definedName name="DadosExternos_214" localSheetId="4">'Cotacao 4'!$C$7:$C$49</definedName>
    <definedName name="DadosExternos_214" localSheetId="5">'Cotacao 5'!$C$7:$C$49</definedName>
    <definedName name="DadosExternos_215" localSheetId="1">Cotacao!$C$7:$C$112</definedName>
    <definedName name="DadosExternos_215" localSheetId="2">'Cotacao 2'!$C$7:$C$50</definedName>
    <definedName name="DadosExternos_215" localSheetId="3">'Cotacao 3'!$C$7:$C$50</definedName>
    <definedName name="DadosExternos_215" localSheetId="4">'Cotacao 4'!$C$7:$C$50</definedName>
    <definedName name="DadosExternos_215" localSheetId="5">'Cotacao 5'!$C$7:$C$50</definedName>
    <definedName name="DadosExternos_216" localSheetId="1">Cotacao!$C$7:$C$112</definedName>
    <definedName name="DadosExternos_216" localSheetId="2">'Cotacao 2'!$C$7:$C$51</definedName>
    <definedName name="DadosExternos_216" localSheetId="3">'Cotacao 3'!$C$7:$C$51</definedName>
    <definedName name="DadosExternos_216" localSheetId="4">'Cotacao 4'!$C$7:$C$51</definedName>
    <definedName name="DadosExternos_216" localSheetId="5">'Cotacao 5'!$C$7:$C$51</definedName>
    <definedName name="DadosExternos_217" localSheetId="1">Cotacao!$C$7:$C$112</definedName>
    <definedName name="DadosExternos_217" localSheetId="2">'Cotacao 2'!$C$7:$C$51</definedName>
    <definedName name="DadosExternos_217" localSheetId="3">'Cotacao 3'!$C$7:$C$51</definedName>
    <definedName name="DadosExternos_217" localSheetId="4">'Cotacao 4'!$C$7:$C$51</definedName>
    <definedName name="DadosExternos_217" localSheetId="5">'Cotacao 5'!$C$7:$C$51</definedName>
    <definedName name="DadosExternos_218" localSheetId="1">Cotacao!$C$7:$C$112</definedName>
    <definedName name="DadosExternos_219" localSheetId="1">Cotacao!$C$7:$C$112</definedName>
    <definedName name="DadosExternos_219" localSheetId="2">'Cotacao 2'!$C$7:$C$51</definedName>
    <definedName name="DadosExternos_219" localSheetId="3">'Cotacao 3'!$C$7:$C$51</definedName>
    <definedName name="DadosExternos_219" localSheetId="4">'Cotacao 4'!$C$7:$C$51</definedName>
    <definedName name="DadosExternos_219" localSheetId="5">'Cotacao 5'!$C$7:$C$51</definedName>
    <definedName name="DadosExternos_220" localSheetId="1">Cotacao!$C$7:$C$112</definedName>
    <definedName name="DadosExternos_220" localSheetId="2">'Cotacao 2'!$C$7:$C$51</definedName>
    <definedName name="DadosExternos_220" localSheetId="3">'Cotacao 3'!$C$7:$C$51</definedName>
    <definedName name="DadosExternos_220" localSheetId="4">'Cotacao 4'!$C$7:$C$51</definedName>
    <definedName name="DadosExternos_220" localSheetId="5">'Cotacao 5'!$C$7:$C$51</definedName>
    <definedName name="DadosExternos_221" localSheetId="1">Cotacao!$C$7:$C$112</definedName>
    <definedName name="DadosExternos_221" localSheetId="2">'Cotacao 2'!$C$7:$C$51</definedName>
    <definedName name="DadosExternos_221" localSheetId="3">'Cotacao 3'!$C$7:$C$51</definedName>
    <definedName name="DadosExternos_221" localSheetId="4">'Cotacao 4'!$C$7:$C$51</definedName>
    <definedName name="DadosExternos_221" localSheetId="5">'Cotacao 5'!$C$7:$C$51</definedName>
    <definedName name="DadosExternos_222" localSheetId="1">Cotacao!$C$7:$C$112</definedName>
    <definedName name="DadosExternos_222" localSheetId="2">'Cotacao 2'!$C$7:$C$52</definedName>
    <definedName name="DadosExternos_222" localSheetId="3">'Cotacao 3'!$C$7:$C$52</definedName>
    <definedName name="DadosExternos_222" localSheetId="4">'Cotacao 4'!$C$7:$C$52</definedName>
    <definedName name="DadosExternos_222" localSheetId="5">'Cotacao 5'!$C$7:$C$52</definedName>
    <definedName name="DadosExternos_223" localSheetId="2">'Cotacao 2'!$C$7:$C$53</definedName>
    <definedName name="DadosExternos_223" localSheetId="3">'Cotacao 3'!$C$7:$C$53</definedName>
    <definedName name="DadosExternos_223" localSheetId="4">'Cotacao 4'!$C$7:$C$53</definedName>
    <definedName name="DadosExternos_223" localSheetId="5">'Cotacao 5'!$C$7:$C$53</definedName>
    <definedName name="DadosExternos_224" localSheetId="1">Cotacao!$C$7:$C$112</definedName>
    <definedName name="DadosExternos_224" localSheetId="2">'Cotacao 2'!$C$7:$C$54</definedName>
    <definedName name="DadosExternos_224" localSheetId="3">'Cotacao 3'!$C$7:$C$54</definedName>
    <definedName name="DadosExternos_224" localSheetId="4">'Cotacao 4'!$C$7:$C$54</definedName>
    <definedName name="DadosExternos_224" localSheetId="5">'Cotacao 5'!$C$7:$C$54</definedName>
    <definedName name="DadosExternos_225" localSheetId="1">Cotacao!$C$7:$C$112</definedName>
    <definedName name="DadosExternos_225" localSheetId="2">'Cotacao 2'!$C$7:$C$55</definedName>
    <definedName name="DadosExternos_225" localSheetId="3">'Cotacao 3'!$C$7:$C$55</definedName>
    <definedName name="DadosExternos_225" localSheetId="4">'Cotacao 4'!$C$7:$C$55</definedName>
    <definedName name="DadosExternos_225" localSheetId="5">'Cotacao 5'!$C$7:$C$55</definedName>
    <definedName name="DadosExternos_226" localSheetId="1">Cotacao!$C$7:$C$112</definedName>
    <definedName name="DadosExternos_227" localSheetId="2">'Cotacao 2'!$C$7:$C$56</definedName>
    <definedName name="DadosExternos_227" localSheetId="3">'Cotacao 3'!$C$7:$C$56</definedName>
    <definedName name="DadosExternos_227" localSheetId="4">'Cotacao 4'!$C$7:$C$56</definedName>
    <definedName name="DadosExternos_227" localSheetId="5">'Cotacao 5'!$C$7:$C$56</definedName>
    <definedName name="DadosExternos_228" localSheetId="1">Cotacao!$C$7:$C$112</definedName>
    <definedName name="DadosExternos_228" localSheetId="2">'Cotacao 2'!$C$7:$C$57</definedName>
    <definedName name="DadosExternos_228" localSheetId="3">'Cotacao 3'!$C$7:$C$57</definedName>
    <definedName name="DadosExternos_228" localSheetId="4">'Cotacao 4'!$C$7:$C$57</definedName>
    <definedName name="DadosExternos_228" localSheetId="5">'Cotacao 5'!$C$7:$C$57</definedName>
    <definedName name="DadosExternos_229" localSheetId="1">Cotacao!$C$7:$C$112</definedName>
    <definedName name="DadosExternos_229" localSheetId="2">'Cotacao 2'!$C$7:$C$58</definedName>
    <definedName name="DadosExternos_229" localSheetId="3">'Cotacao 3'!$C$7:$C$58</definedName>
    <definedName name="DadosExternos_229" localSheetId="4">'Cotacao 4'!$C$7:$C$58</definedName>
    <definedName name="DadosExternos_229" localSheetId="5">'Cotacao 5'!$C$7:$C$58</definedName>
    <definedName name="DadosExternos_230" localSheetId="1">Cotacao!$C$7:$C$112</definedName>
    <definedName name="DadosExternos_230" localSheetId="2">'Cotacao 2'!$C$7:$C$59</definedName>
    <definedName name="DadosExternos_230" localSheetId="3">'Cotacao 3'!$C$7:$C$59</definedName>
    <definedName name="DadosExternos_230" localSheetId="4">'Cotacao 4'!$C$7:$C$59</definedName>
    <definedName name="DadosExternos_230" localSheetId="5">'Cotacao 5'!$C$7:$C$59</definedName>
    <definedName name="DadosExternos_231" localSheetId="1">Cotacao!$C$7:$C$112</definedName>
    <definedName name="DadosExternos_232" localSheetId="1">Cotacao!$C$7:$C$112</definedName>
    <definedName name="DadosExternos_233" localSheetId="1">Cotacao!$C$7:$C$112</definedName>
    <definedName name="DadosExternos_233" localSheetId="2">'Cotacao 2'!$C$7:$C$61</definedName>
    <definedName name="DadosExternos_233" localSheetId="3">'Cotacao 3'!$C$7:$C$61</definedName>
    <definedName name="DadosExternos_233" localSheetId="4">'Cotacao 4'!$C$7:$C$61</definedName>
    <definedName name="DadosExternos_233" localSheetId="5">'Cotacao 5'!$C$7:$C$61</definedName>
    <definedName name="DadosExternos_234" localSheetId="2">'Cotacao 2'!$C$7:$C$63</definedName>
    <definedName name="DadosExternos_234" localSheetId="3">'Cotacao 3'!$C$7:$C$63</definedName>
    <definedName name="DadosExternos_234" localSheetId="4">'Cotacao 4'!$C$7:$C$63</definedName>
    <definedName name="DadosExternos_234" localSheetId="5">'Cotacao 5'!$C$7:$C$63</definedName>
    <definedName name="DadosExternos_235" localSheetId="1">Cotacao!$C$7:$C$112</definedName>
    <definedName name="DadosExternos_235" localSheetId="2">'Cotacao 2'!$C$7:$C$64</definedName>
    <definedName name="DadosExternos_235" localSheetId="3">'Cotacao 3'!$C$7:$C$64</definedName>
    <definedName name="DadosExternos_235" localSheetId="4">'Cotacao 4'!$C$7:$C$64</definedName>
    <definedName name="DadosExternos_235" localSheetId="5">'Cotacao 5'!$C$7:$C$64</definedName>
    <definedName name="DadosExternos_237" localSheetId="1">Cotacao!$C$7:$C$112</definedName>
    <definedName name="DadosExternos_237" localSheetId="2">'Cotacao 2'!$C$7:$C$65</definedName>
    <definedName name="DadosExternos_237" localSheetId="3">'Cotacao 3'!$C$7:$C$65</definedName>
    <definedName name="DadosExternos_237" localSheetId="4">'Cotacao 4'!$C$7:$C$65</definedName>
    <definedName name="DadosExternos_237" localSheetId="5">'Cotacao 5'!$C$7:$C$65</definedName>
    <definedName name="DadosExternos_238" localSheetId="1">Cotacao!$C$7:$C$112</definedName>
    <definedName name="DadosExternos_238" localSheetId="2">'Cotacao 2'!$C$7:$C$66</definedName>
    <definedName name="DadosExternos_238" localSheetId="3">'Cotacao 3'!$C$7:$C$66</definedName>
    <definedName name="DadosExternos_238" localSheetId="4">'Cotacao 4'!$C$7:$C$66</definedName>
    <definedName name="DadosExternos_238" localSheetId="5">'Cotacao 5'!$C$7:$C$66</definedName>
    <definedName name="DadosExternos_239" localSheetId="2">'Cotacao 2'!$C$7:$C$68</definedName>
    <definedName name="DadosExternos_239" localSheetId="3">'Cotacao 3'!$C$7:$C$68</definedName>
    <definedName name="DadosExternos_239" localSheetId="4">'Cotacao 4'!$C$7:$C$68</definedName>
    <definedName name="DadosExternos_239" localSheetId="5">'Cotacao 5'!$C$7:$C$68</definedName>
    <definedName name="DadosExternos_24" localSheetId="1">Cotacao!$C$7:$C$63</definedName>
    <definedName name="DadosExternos_24" localSheetId="2">'Cotacao 2'!$C$7:$C$63</definedName>
    <definedName name="DadosExternos_24" localSheetId="3">'Cotacao 3'!$C$7:$C$63</definedName>
    <definedName name="DadosExternos_24" localSheetId="4">'Cotacao 4'!$C$7:$C$63</definedName>
    <definedName name="DadosExternos_24" localSheetId="5">'Cotacao 5'!$C$7:$C$63</definedName>
    <definedName name="DadosExternos_240" localSheetId="1">Cotacao!$C$7:$C$112</definedName>
    <definedName name="DadosExternos_240" localSheetId="2">'Cotacao 2'!$C$7:$C$68</definedName>
    <definedName name="DadosExternos_240" localSheetId="3">'Cotacao 3'!$C$7:$C$68</definedName>
    <definedName name="DadosExternos_240" localSheetId="4">'Cotacao 4'!$C$7:$C$68</definedName>
    <definedName name="DadosExternos_240" localSheetId="5">'Cotacao 5'!$C$7:$C$68</definedName>
    <definedName name="DadosExternos_241" localSheetId="1">Cotacao!$C$7:$C$113</definedName>
    <definedName name="DadosExternos_241" localSheetId="2">'Cotacao 2'!$C$7:$C$68</definedName>
    <definedName name="DadosExternos_241" localSheetId="3">'Cotacao 3'!$C$7:$C$68</definedName>
    <definedName name="DadosExternos_241" localSheetId="4">'Cotacao 4'!$C$7:$C$68</definedName>
    <definedName name="DadosExternos_241" localSheetId="5">'Cotacao 5'!$C$7:$C$68</definedName>
    <definedName name="DadosExternos_242" localSheetId="2">'Cotacao 2'!$C$7:$C$68</definedName>
    <definedName name="DadosExternos_242" localSheetId="3">'Cotacao 3'!$C$7:$C$68</definedName>
    <definedName name="DadosExternos_242" localSheetId="4">'Cotacao 4'!$C$7:$C$68</definedName>
    <definedName name="DadosExternos_242" localSheetId="5">'Cotacao 5'!$C$7:$C$68</definedName>
    <definedName name="DadosExternos_243" localSheetId="1">Cotacao!$C$7:$C$113</definedName>
    <definedName name="DadosExternos_243" localSheetId="2">'Cotacao 2'!$C$7:$C$68</definedName>
    <definedName name="DadosExternos_243" localSheetId="3">'Cotacao 3'!$C$7:$C$68</definedName>
    <definedName name="DadosExternos_243" localSheetId="4">'Cotacao 4'!$C$7:$C$68</definedName>
    <definedName name="DadosExternos_243" localSheetId="5">'Cotacao 5'!$C$7:$C$68</definedName>
    <definedName name="DadosExternos_244" localSheetId="1">Cotacao!$C$7:$C$113</definedName>
    <definedName name="DadosExternos_244" localSheetId="2">'Cotacao 2'!$C$7:$C$68</definedName>
    <definedName name="DadosExternos_244" localSheetId="3">'Cotacao 3'!$C$7:$C$68</definedName>
    <definedName name="DadosExternos_244" localSheetId="4">'Cotacao 4'!$C$7:$C$68</definedName>
    <definedName name="DadosExternos_244" localSheetId="5">'Cotacao 5'!$C$7:$C$68</definedName>
    <definedName name="DadosExternos_245" localSheetId="1">Cotacao!$C$7:$C$113</definedName>
    <definedName name="DadosExternos_246" localSheetId="2">'Cotacao 2'!$C$7:$C$68</definedName>
    <definedName name="DadosExternos_246" localSheetId="3">'Cotacao 3'!$C$7:$C$68</definedName>
    <definedName name="DadosExternos_246" localSheetId="4">'Cotacao 4'!$C$7:$C$68</definedName>
    <definedName name="DadosExternos_246" localSheetId="5">'Cotacao 5'!$C$7:$C$68</definedName>
    <definedName name="DadosExternos_247" localSheetId="1">Cotacao!$C$7:$C$113</definedName>
    <definedName name="DadosExternos_249" localSheetId="1">Cotacao!$C$7:$C$113</definedName>
    <definedName name="DadosExternos_249" localSheetId="2">'Cotacao 2'!$C$7:$C$68</definedName>
    <definedName name="DadosExternos_249" localSheetId="3">'Cotacao 3'!$C$7:$C$68</definedName>
    <definedName name="DadosExternos_249" localSheetId="4">'Cotacao 4'!$C$7:$C$68</definedName>
    <definedName name="DadosExternos_249" localSheetId="5">'Cotacao 5'!$C$7:$C$68</definedName>
    <definedName name="DadosExternos_250" localSheetId="1">Cotacao!$C$7:$C$113</definedName>
    <definedName name="DadosExternos_250" localSheetId="2">'Cotacao 2'!$C$7:$C$68</definedName>
    <definedName name="DadosExternos_250" localSheetId="3">'Cotacao 3'!$C$7:$C$68</definedName>
    <definedName name="DadosExternos_250" localSheetId="4">'Cotacao 4'!$C$7:$C$68</definedName>
    <definedName name="DadosExternos_250" localSheetId="5">'Cotacao 5'!$C$7:$C$68</definedName>
    <definedName name="DadosExternos_251" localSheetId="1">Cotacao!$C$7:$C$113</definedName>
    <definedName name="DadosExternos_251" localSheetId="2">'Cotacao 2'!$C$7:$C$68</definedName>
    <definedName name="DadosExternos_251" localSheetId="3">'Cotacao 3'!$C$7:$C$68</definedName>
    <definedName name="DadosExternos_251" localSheetId="4">'Cotacao 4'!$C$7:$C$68</definedName>
    <definedName name="DadosExternos_251" localSheetId="5">'Cotacao 5'!$C$7:$C$68</definedName>
    <definedName name="DadosExternos_252" localSheetId="1">Cotacao!$C$7:$C$113</definedName>
    <definedName name="DadosExternos_253" localSheetId="1">Cotacao!$C$7:$C$113</definedName>
    <definedName name="DadosExternos_253" localSheetId="2">'Cotacao 2'!$C$7:$C$69</definedName>
    <definedName name="DadosExternos_253" localSheetId="3">'Cotacao 3'!$C$7:$C$69</definedName>
    <definedName name="DadosExternos_253" localSheetId="4">'Cotacao 4'!$C$7:$C$69</definedName>
    <definedName name="DadosExternos_253" localSheetId="5">'Cotacao 5'!$C$7:$C$69</definedName>
    <definedName name="DadosExternos_254" localSheetId="1">Cotacao!$C$7:$C$113</definedName>
    <definedName name="DadosExternos_255" localSheetId="1">Cotacao!$C$7:$C$113</definedName>
    <definedName name="DadosExternos_256" localSheetId="1">Cotacao!$C$7:$C$113</definedName>
    <definedName name="DadosExternos_256" localSheetId="2">'Cotacao 2'!$C$7:$C$69</definedName>
    <definedName name="DadosExternos_256" localSheetId="3">'Cotacao 3'!$C$7:$C$69</definedName>
    <definedName name="DadosExternos_256" localSheetId="4">'Cotacao 4'!$C$7:$C$69</definedName>
    <definedName name="DadosExternos_256" localSheetId="5">'Cotacao 5'!$C$7:$C$69</definedName>
    <definedName name="DadosExternos_257" localSheetId="2">'Cotacao 2'!$C$7:$C$69</definedName>
    <definedName name="DadosExternos_257" localSheetId="3">'Cotacao 3'!$C$7:$C$69</definedName>
    <definedName name="DadosExternos_257" localSheetId="4">'Cotacao 4'!$C$7:$C$69</definedName>
    <definedName name="DadosExternos_257" localSheetId="5">'Cotacao 5'!$C$7:$C$69</definedName>
    <definedName name="DadosExternos_258" localSheetId="2">'Cotacao 2'!$C$7:$C$69</definedName>
    <definedName name="DadosExternos_258" localSheetId="3">'Cotacao 3'!$C$7:$C$69</definedName>
    <definedName name="DadosExternos_258" localSheetId="4">'Cotacao 4'!$C$7:$C$69</definedName>
    <definedName name="DadosExternos_258" localSheetId="5">'Cotacao 5'!$C$7:$C$69</definedName>
    <definedName name="DadosExternos_259" localSheetId="2">'Cotacao 2'!$C$7:$C$69</definedName>
    <definedName name="DadosExternos_259" localSheetId="3">'Cotacao 3'!$C$7:$C$69</definedName>
    <definedName name="DadosExternos_259" localSheetId="4">'Cotacao 4'!$C$7:$C$69</definedName>
    <definedName name="DadosExternos_259" localSheetId="5">'Cotacao 5'!$C$7:$C$69</definedName>
    <definedName name="DadosExternos_26" localSheetId="1">Cotacao!$C$7:$C$64</definedName>
    <definedName name="DadosExternos_26" localSheetId="2">'Cotacao 2'!$C$7:$C$64</definedName>
    <definedName name="DadosExternos_26" localSheetId="3">'Cotacao 3'!$C$7:$C$64</definedName>
    <definedName name="DadosExternos_26" localSheetId="4">'Cotacao 4'!$C$7:$C$64</definedName>
    <definedName name="DadosExternos_26" localSheetId="5">'Cotacao 5'!$C$7:$C$64</definedName>
    <definedName name="DadosExternos_260" localSheetId="2">'Cotacao 2'!$C$7:$C$69</definedName>
    <definedName name="DadosExternos_260" localSheetId="3">'Cotacao 3'!$C$7:$C$69</definedName>
    <definedName name="DadosExternos_260" localSheetId="4">'Cotacao 4'!$C$7:$C$69</definedName>
    <definedName name="DadosExternos_260" localSheetId="5">'Cotacao 5'!$C$7:$C$69</definedName>
    <definedName name="DadosExternos_261" localSheetId="2">'Cotacao 2'!$C$7:$C$69</definedName>
    <definedName name="DadosExternos_261" localSheetId="3">'Cotacao 3'!$C$7:$C$69</definedName>
    <definedName name="DadosExternos_261" localSheetId="4">'Cotacao 4'!$C$7:$C$69</definedName>
    <definedName name="DadosExternos_261" localSheetId="5">'Cotacao 5'!$C$7:$C$69</definedName>
    <definedName name="DadosExternos_262" localSheetId="2">'Cotacao 2'!$C$7:$C$69</definedName>
    <definedName name="DadosExternos_262" localSheetId="3">'Cotacao 3'!$C$7:$C$69</definedName>
    <definedName name="DadosExternos_262" localSheetId="4">'Cotacao 4'!$C$7:$C$69</definedName>
    <definedName name="DadosExternos_262" localSheetId="5">'Cotacao 5'!$C$7:$C$69</definedName>
    <definedName name="DadosExternos_263" localSheetId="2">'Cotacao 2'!$C$7:$C$69</definedName>
    <definedName name="DadosExternos_263" localSheetId="3">'Cotacao 3'!$C$7:$C$69</definedName>
    <definedName name="DadosExternos_263" localSheetId="4">'Cotacao 4'!$C$7:$C$69</definedName>
    <definedName name="DadosExternos_263" localSheetId="5">'Cotacao 5'!$C$7:$C$69</definedName>
    <definedName name="DadosExternos_265" localSheetId="2">'Cotacao 2'!$C$7:$C$69</definedName>
    <definedName name="DadosExternos_265" localSheetId="3">'Cotacao 3'!$C$7:$C$69</definedName>
    <definedName name="DadosExternos_265" localSheetId="4">'Cotacao 4'!$C$7:$C$69</definedName>
    <definedName name="DadosExternos_265" localSheetId="5">'Cotacao 5'!$C$7:$C$69</definedName>
    <definedName name="DadosExternos_268" localSheetId="2">'Cotacao 2'!$C$7:$C$69</definedName>
    <definedName name="DadosExternos_268" localSheetId="3">'Cotacao 3'!$C$7:$C$69</definedName>
    <definedName name="DadosExternos_268" localSheetId="4">'Cotacao 4'!$C$7:$C$69</definedName>
    <definedName name="DadosExternos_268" localSheetId="5">'Cotacao 5'!$C$7:$C$69</definedName>
    <definedName name="DadosExternos_269" localSheetId="2">'Cotacao 2'!$C$7:$C$69</definedName>
    <definedName name="DadosExternos_269" localSheetId="3">'Cotacao 3'!$C$7:$C$69</definedName>
    <definedName name="DadosExternos_269" localSheetId="4">'Cotacao 4'!$C$7:$C$69</definedName>
    <definedName name="DadosExternos_269" localSheetId="5">'Cotacao 5'!$C$7:$C$69</definedName>
    <definedName name="DadosExternos_27" localSheetId="1">Cotacao!$C$7:$C$65</definedName>
    <definedName name="DadosExternos_27" localSheetId="2">'Cotacao 2'!$C$7:$C$65</definedName>
    <definedName name="DadosExternos_27" localSheetId="3">'Cotacao 3'!$C$7:$C$65</definedName>
    <definedName name="DadosExternos_27" localSheetId="4">'Cotacao 4'!$C$7:$C$65</definedName>
    <definedName name="DadosExternos_27" localSheetId="5">'Cotacao 5'!$C$7:$C$65</definedName>
    <definedName name="DadosExternos_270" localSheetId="2">'Cotacao 2'!$C$7:$C$69</definedName>
    <definedName name="DadosExternos_270" localSheetId="3">'Cotacao 3'!$C$7:$C$69</definedName>
    <definedName name="DadosExternos_270" localSheetId="4">'Cotacao 4'!$C$7:$C$69</definedName>
    <definedName name="DadosExternos_270" localSheetId="5">'Cotacao 5'!$C$7:$C$69</definedName>
    <definedName name="DadosExternos_271" localSheetId="2">'Cotacao 2'!$C$7:$C$69</definedName>
    <definedName name="DadosExternos_271" localSheetId="3">'Cotacao 3'!$C$7:$C$69</definedName>
    <definedName name="DadosExternos_271" localSheetId="4">'Cotacao 4'!$C$7:$C$69</definedName>
    <definedName name="DadosExternos_271" localSheetId="5">'Cotacao 5'!$C$7:$C$69</definedName>
    <definedName name="DadosExternos_272" localSheetId="2">'Cotacao 2'!$C$7:$C$69</definedName>
    <definedName name="DadosExternos_272" localSheetId="3">'Cotacao 3'!$C$7:$C$69</definedName>
    <definedName name="DadosExternos_272" localSheetId="4">'Cotacao 4'!$C$7:$C$69</definedName>
    <definedName name="DadosExternos_272" localSheetId="5">'Cotacao 5'!$C$7:$C$69</definedName>
    <definedName name="DadosExternos_275" localSheetId="2">'Cotacao 2'!$C$7:$C$69</definedName>
    <definedName name="DadosExternos_275" localSheetId="3">'Cotacao 3'!$C$7:$C$69</definedName>
    <definedName name="DadosExternos_275" localSheetId="4">'Cotacao 4'!$C$7:$C$69</definedName>
    <definedName name="DadosExternos_275" localSheetId="5">'Cotacao 5'!$C$7:$C$69</definedName>
    <definedName name="DadosExternos_276" localSheetId="2">'Cotacao 2'!$C$7:$C$69</definedName>
    <definedName name="DadosExternos_276" localSheetId="3">'Cotacao 3'!$C$7:$C$69</definedName>
    <definedName name="DadosExternos_276" localSheetId="4">'Cotacao 4'!$C$7:$C$69</definedName>
    <definedName name="DadosExternos_276" localSheetId="5">'Cotacao 5'!$C$7:$C$69</definedName>
    <definedName name="DadosExternos_277" localSheetId="2">'Cotacao 2'!$C$7:$C$69</definedName>
    <definedName name="DadosExternos_277" localSheetId="3">'Cotacao 3'!$C$7:$C$69</definedName>
    <definedName name="DadosExternos_277" localSheetId="4">'Cotacao 4'!$C$7:$C$69</definedName>
    <definedName name="DadosExternos_277" localSheetId="5">'Cotacao 5'!$C$7:$C$69</definedName>
    <definedName name="DadosExternos_278" localSheetId="2">'Cotacao 2'!$C$7:$C$69</definedName>
    <definedName name="DadosExternos_278" localSheetId="3">'Cotacao 3'!$C$7:$C$69</definedName>
    <definedName name="DadosExternos_278" localSheetId="4">'Cotacao 4'!$C$7:$C$69</definedName>
    <definedName name="DadosExternos_278" localSheetId="5">'Cotacao 5'!$C$7:$C$69</definedName>
    <definedName name="DadosExternos_279" localSheetId="2">'Cotacao 2'!$C$7:$C$69</definedName>
    <definedName name="DadosExternos_279" localSheetId="3">'Cotacao 3'!$C$7:$C$69</definedName>
    <definedName name="DadosExternos_279" localSheetId="4">'Cotacao 4'!$C$7:$C$69</definedName>
    <definedName name="DadosExternos_279" localSheetId="5">'Cotacao 5'!$C$7:$C$69</definedName>
    <definedName name="DadosExternos_28" localSheetId="1">Cotacao!$C$7:$C$65</definedName>
    <definedName name="DadosExternos_28" localSheetId="2">'Cotacao 2'!$C$7:$C$65</definedName>
    <definedName name="DadosExternos_28" localSheetId="3">'Cotacao 3'!$C$7:$C$65</definedName>
    <definedName name="DadosExternos_28" localSheetId="4">'Cotacao 4'!$C$7:$C$65</definedName>
    <definedName name="DadosExternos_28" localSheetId="5">'Cotacao 5'!$C$7:$C$65</definedName>
    <definedName name="DadosExternos_280" localSheetId="2">'Cotacao 2'!$C$7:$C$69</definedName>
    <definedName name="DadosExternos_280" localSheetId="3">'Cotacao 3'!$C$7:$C$69</definedName>
    <definedName name="DadosExternos_280" localSheetId="4">'Cotacao 4'!$C$7:$C$69</definedName>
    <definedName name="DadosExternos_280" localSheetId="5">'Cotacao 5'!$C$7:$C$69</definedName>
    <definedName name="DadosExternos_281" localSheetId="2">'Cotacao 2'!$C$7:$C$69</definedName>
    <definedName name="DadosExternos_281" localSheetId="3">'Cotacao 3'!$C$7:$C$69</definedName>
    <definedName name="DadosExternos_281" localSheetId="4">'Cotacao 4'!$C$7:$C$69</definedName>
    <definedName name="DadosExternos_281" localSheetId="5">'Cotacao 5'!$C$7:$C$69</definedName>
    <definedName name="DadosExternos_282" localSheetId="2">'Cotacao 2'!$C$7:$C$69</definedName>
    <definedName name="DadosExternos_282" localSheetId="3">'Cotacao 3'!$C$7:$C$69</definedName>
    <definedName name="DadosExternos_282" localSheetId="4">'Cotacao 4'!$C$7:$C$69</definedName>
    <definedName name="DadosExternos_282" localSheetId="5">'Cotacao 5'!$C$7:$C$69</definedName>
    <definedName name="DadosExternos_287" localSheetId="2">'Cotacao 2'!$C$7:$C$69</definedName>
    <definedName name="DadosExternos_287" localSheetId="3">'Cotacao 3'!$C$7:$C$69</definedName>
    <definedName name="DadosExternos_287" localSheetId="4">'Cotacao 4'!$C$7:$C$69</definedName>
    <definedName name="DadosExternos_287" localSheetId="5">'Cotacao 5'!$C$7:$C$69</definedName>
    <definedName name="DadosExternos_288" localSheetId="2">'Cotacao 2'!$C$7:$C$71</definedName>
    <definedName name="DadosExternos_288" localSheetId="3">'Cotacao 3'!$C$7:$C$71</definedName>
    <definedName name="DadosExternos_288" localSheetId="4">'Cotacao 4'!$C$7:$C$71</definedName>
    <definedName name="DadosExternos_288" localSheetId="5">'Cotacao 5'!$C$7:$C$71</definedName>
    <definedName name="DadosExternos_29" localSheetId="1">Cotacao!$C$7:$C$65</definedName>
    <definedName name="DadosExternos_29" localSheetId="2">'Cotacao 2'!$C$7:$C$65</definedName>
    <definedName name="DadosExternos_29" localSheetId="3">'Cotacao 3'!$C$7:$C$65</definedName>
    <definedName name="DadosExternos_29" localSheetId="4">'Cotacao 4'!$C$7:$C$65</definedName>
    <definedName name="DadosExternos_29" localSheetId="5">'Cotacao 5'!$C$7:$C$65</definedName>
    <definedName name="DadosExternos_290" localSheetId="2">'Cotacao 2'!$C$7:$C$69</definedName>
    <definedName name="DadosExternos_290" localSheetId="3">'Cotacao 3'!$C$7:$C$69</definedName>
    <definedName name="DadosExternos_290" localSheetId="4">'Cotacao 4'!$C$7:$C$69</definedName>
    <definedName name="DadosExternos_290" localSheetId="5">'Cotacao 5'!$C$7:$C$69</definedName>
    <definedName name="DadosExternos_291" localSheetId="2">'Cotacao 2'!$C$7:$C$71</definedName>
    <definedName name="DadosExternos_291" localSheetId="3">'Cotacao 3'!$C$7:$C$71</definedName>
    <definedName name="DadosExternos_291" localSheetId="4">'Cotacao 4'!$C$7:$C$71</definedName>
    <definedName name="DadosExternos_291" localSheetId="5">'Cotacao 5'!$C$7:$C$71</definedName>
    <definedName name="DadosExternos_292" localSheetId="2">'Cotacao 2'!$C$7:$C$71</definedName>
    <definedName name="DadosExternos_292" localSheetId="3">'Cotacao 3'!$C$7:$C$71</definedName>
    <definedName name="DadosExternos_292" localSheetId="4">'Cotacao 4'!$C$7:$C$71</definedName>
    <definedName name="DadosExternos_292" localSheetId="5">'Cotacao 5'!$C$7:$C$71</definedName>
    <definedName name="DadosExternos_293" localSheetId="2">'Cotacao 2'!$C$7:$C$71</definedName>
    <definedName name="DadosExternos_293" localSheetId="3">'Cotacao 3'!$C$7:$C$71</definedName>
    <definedName name="DadosExternos_293" localSheetId="4">'Cotacao 4'!$C$7:$C$71</definedName>
    <definedName name="DadosExternos_293" localSheetId="5">'Cotacao 5'!$C$7:$C$71</definedName>
    <definedName name="DadosExternos_294" localSheetId="2">'Cotacao 2'!$C$7:$C$72</definedName>
    <definedName name="DadosExternos_294" localSheetId="3">'Cotacao 3'!$C$7:$C$72</definedName>
    <definedName name="DadosExternos_294" localSheetId="4">'Cotacao 4'!$C$7:$C$72</definedName>
    <definedName name="DadosExternos_294" localSheetId="5">'Cotacao 5'!$C$7:$C$72</definedName>
    <definedName name="DadosExternos_295" localSheetId="2">'Cotacao 2'!$C$7:$C$71</definedName>
    <definedName name="DadosExternos_295" localSheetId="3">'Cotacao 3'!$C$7:$C$71</definedName>
    <definedName name="DadosExternos_295" localSheetId="4">'Cotacao 4'!$C$7:$C$71</definedName>
    <definedName name="DadosExternos_295" localSheetId="5">'Cotacao 5'!$C$7:$C$71</definedName>
    <definedName name="DadosExternos_296" localSheetId="2">'Cotacao 2'!$C$7:$C$72</definedName>
    <definedName name="DadosExternos_296" localSheetId="3">'Cotacao 3'!$C$7:$C$72</definedName>
    <definedName name="DadosExternos_296" localSheetId="4">'Cotacao 4'!$C$7:$C$72</definedName>
    <definedName name="DadosExternos_296" localSheetId="5">'Cotacao 5'!$C$7:$C$72</definedName>
    <definedName name="DadosExternos_297" localSheetId="2">'Cotacao 2'!$C$7:$C$74</definedName>
    <definedName name="DadosExternos_297" localSheetId="3">'Cotacao 3'!$C$7:$C$74</definedName>
    <definedName name="DadosExternos_297" localSheetId="4">'Cotacao 4'!$C$7:$C$74</definedName>
    <definedName name="DadosExternos_297" localSheetId="5">'Cotacao 5'!$C$7:$C$74</definedName>
    <definedName name="DadosExternos_298" localSheetId="2">'Cotacao 2'!$C$7:$C$75</definedName>
    <definedName name="DadosExternos_298" localSheetId="3">'Cotacao 3'!$C$7:$C$75</definedName>
    <definedName name="DadosExternos_298" localSheetId="4">'Cotacao 4'!$C$7:$C$75</definedName>
    <definedName name="DadosExternos_298" localSheetId="5">'Cotacao 5'!$C$7:$C$75</definedName>
    <definedName name="DadosExternos_299" localSheetId="2">'Cotacao 2'!$C$7:$C$78</definedName>
    <definedName name="DadosExternos_299" localSheetId="3">'Cotacao 3'!$C$7:$C$78</definedName>
    <definedName name="DadosExternos_299" localSheetId="4">'Cotacao 4'!$C$7:$C$78</definedName>
    <definedName name="DadosExternos_299" localSheetId="5">'Cotacao 5'!$C$7:$C$78</definedName>
    <definedName name="DadosExternos_3" localSheetId="1">Cotacao!$C$7:$C$63</definedName>
    <definedName name="DadosExternos_3" localSheetId="2">'Cotacao 2'!$C$7:$C$63</definedName>
    <definedName name="DadosExternos_3" localSheetId="3">'Cotacao 3'!$C$7:$C$63</definedName>
    <definedName name="DadosExternos_3" localSheetId="4">'Cotacao 4'!$C$7:$C$63</definedName>
    <definedName name="DadosExternos_3" localSheetId="5">'Cotacao 5'!$C$7:$C$63</definedName>
    <definedName name="DadosExternos_30" localSheetId="1">Cotacao!$C$7:$C$65</definedName>
    <definedName name="DadosExternos_30" localSheetId="2">'Cotacao 2'!$C$7:$C$65</definedName>
    <definedName name="DadosExternos_30" localSheetId="3">'Cotacao 3'!$C$7:$C$65</definedName>
    <definedName name="DadosExternos_30" localSheetId="4">'Cotacao 4'!$C$7:$C$65</definedName>
    <definedName name="DadosExternos_30" localSheetId="5">'Cotacao 5'!$C$7:$C$65</definedName>
    <definedName name="DadosExternos_300" localSheetId="2">'Cotacao 2'!$C$7:$C$78</definedName>
    <definedName name="DadosExternos_300" localSheetId="3">'Cotacao 3'!$C$7:$C$78</definedName>
    <definedName name="DadosExternos_300" localSheetId="4">'Cotacao 4'!$C$7:$C$78</definedName>
    <definedName name="DadosExternos_300" localSheetId="5">'Cotacao 5'!$C$7:$C$78</definedName>
    <definedName name="DadosExternos_302" localSheetId="2">'Cotacao 2'!$C$7:$C$79</definedName>
    <definedName name="DadosExternos_302" localSheetId="3">'Cotacao 3'!$C$7:$C$79</definedName>
    <definedName name="DadosExternos_302" localSheetId="4">'Cotacao 4'!$C$7:$C$79</definedName>
    <definedName name="DadosExternos_302" localSheetId="5">'Cotacao 5'!$C$7:$C$79</definedName>
    <definedName name="DadosExternos_304" localSheetId="2">'Cotacao 2'!$C$7:$C$81</definedName>
    <definedName name="DadosExternos_304" localSheetId="3">'Cotacao 3'!$C$7:$C$81</definedName>
    <definedName name="DadosExternos_304" localSheetId="4">'Cotacao 4'!$C$7:$C$81</definedName>
    <definedName name="DadosExternos_304" localSheetId="5">'Cotacao 5'!$C$7:$C$81</definedName>
    <definedName name="DadosExternos_305" localSheetId="2">'Cotacao 2'!$C$7:$C$80</definedName>
    <definedName name="DadosExternos_305" localSheetId="3">'Cotacao 3'!$C$7:$C$80</definedName>
    <definedName name="DadosExternos_305" localSheetId="4">'Cotacao 4'!$C$7:$C$80</definedName>
    <definedName name="DadosExternos_305" localSheetId="5">'Cotacao 5'!$C$7:$C$80</definedName>
    <definedName name="DadosExternos_307" localSheetId="2">'Cotacao 2'!$C$7:$C$80</definedName>
    <definedName name="DadosExternos_307" localSheetId="3">'Cotacao 3'!$C$7:$C$80</definedName>
    <definedName name="DadosExternos_307" localSheetId="4">'Cotacao 4'!$C$7:$C$80</definedName>
    <definedName name="DadosExternos_307" localSheetId="5">'Cotacao 5'!$C$7:$C$80</definedName>
    <definedName name="DadosExternos_308" localSheetId="2">'Cotacao 2'!$C$7:$C$81</definedName>
    <definedName name="DadosExternos_308" localSheetId="3">'Cotacao 3'!$C$7:$C$81</definedName>
    <definedName name="DadosExternos_308" localSheetId="4">'Cotacao 4'!$C$7:$C$81</definedName>
    <definedName name="DadosExternos_308" localSheetId="5">'Cotacao 5'!$C$7:$C$81</definedName>
    <definedName name="DadosExternos_309" localSheetId="2">'Cotacao 2'!$C$7:$C$81</definedName>
    <definedName name="DadosExternos_309" localSheetId="3">'Cotacao 3'!$C$7:$C$81</definedName>
    <definedName name="DadosExternos_309" localSheetId="4">'Cotacao 4'!$C$7:$C$81</definedName>
    <definedName name="DadosExternos_309" localSheetId="5">'Cotacao 5'!$C$7:$C$81</definedName>
    <definedName name="DadosExternos_31" localSheetId="1">Cotacao!$C$7:$C$65</definedName>
    <definedName name="DadosExternos_31" localSheetId="2">'Cotacao 2'!$C$7:$C$65</definedName>
    <definedName name="DadosExternos_31" localSheetId="3">'Cotacao 3'!$C$7:$C$65</definedName>
    <definedName name="DadosExternos_31" localSheetId="4">'Cotacao 4'!$C$7:$C$65</definedName>
    <definedName name="DadosExternos_31" localSheetId="5">'Cotacao 5'!$C$7:$C$65</definedName>
    <definedName name="DadosExternos_311" localSheetId="2">'Cotacao 2'!$C$7:$C$85</definedName>
    <definedName name="DadosExternos_311" localSheetId="3">'Cotacao 3'!$C$7:$C$85</definedName>
    <definedName name="DadosExternos_311" localSheetId="4">'Cotacao 4'!$C$7:$C$85</definedName>
    <definedName name="DadosExternos_311" localSheetId="5">'Cotacao 5'!$C$7:$C$85</definedName>
    <definedName name="DadosExternos_315" localSheetId="2">'Cotacao 2'!$C$7:$C$85</definedName>
    <definedName name="DadosExternos_315" localSheetId="3">'Cotacao 3'!$C$7:$C$85</definedName>
    <definedName name="DadosExternos_315" localSheetId="4">'Cotacao 4'!$C$7:$C$85</definedName>
    <definedName name="DadosExternos_315" localSheetId="5">'Cotacao 5'!$C$7:$C$85</definedName>
    <definedName name="DadosExternos_317" localSheetId="2">'Cotacao 2'!$C$7:$C$86</definedName>
    <definedName name="DadosExternos_317" localSheetId="3">'Cotacao 3'!$C$7:$C$86</definedName>
    <definedName name="DadosExternos_317" localSheetId="4">'Cotacao 4'!$C$7:$C$86</definedName>
    <definedName name="DadosExternos_317" localSheetId="5">'Cotacao 5'!$C$7:$C$86</definedName>
    <definedName name="DadosExternos_318" localSheetId="2">'Cotacao 2'!$C$7:$C$86</definedName>
    <definedName name="DadosExternos_318" localSheetId="3">'Cotacao 3'!$C$7:$C$86</definedName>
    <definedName name="DadosExternos_318" localSheetId="4">'Cotacao 4'!$C$7:$C$86</definedName>
    <definedName name="DadosExternos_318" localSheetId="5">'Cotacao 5'!$C$7:$C$86</definedName>
    <definedName name="DadosExternos_319" localSheetId="2">'Cotacao 2'!$C$7:$C$87</definedName>
    <definedName name="DadosExternos_319" localSheetId="3">'Cotacao 3'!$C$7:$C$87</definedName>
    <definedName name="DadosExternos_319" localSheetId="4">'Cotacao 4'!$C$7:$C$87</definedName>
    <definedName name="DadosExternos_319" localSheetId="5">'Cotacao 5'!$C$7:$C$87</definedName>
    <definedName name="DadosExternos_32" localSheetId="1">Cotacao!$C$7:$C$65</definedName>
    <definedName name="DadosExternos_32" localSheetId="2">'Cotacao 2'!$C$7:$C$65</definedName>
    <definedName name="DadosExternos_32" localSheetId="3">'Cotacao 3'!$C$7:$C$65</definedName>
    <definedName name="DadosExternos_32" localSheetId="4">'Cotacao 4'!$C$7:$C$65</definedName>
    <definedName name="DadosExternos_32" localSheetId="5">'Cotacao 5'!$C$7:$C$65</definedName>
    <definedName name="DadosExternos_320" localSheetId="2">'Cotacao 2'!$C$7:$C$87</definedName>
    <definedName name="DadosExternos_320" localSheetId="3">'Cotacao 3'!$C$7:$C$87</definedName>
    <definedName name="DadosExternos_320" localSheetId="4">'Cotacao 4'!$C$7:$C$87</definedName>
    <definedName name="DadosExternos_320" localSheetId="5">'Cotacao 5'!$C$7:$C$87</definedName>
    <definedName name="DadosExternos_323" localSheetId="2">'Cotacao 2'!$C$7:$C$88</definedName>
    <definedName name="DadosExternos_323" localSheetId="3">'Cotacao 3'!$C$7:$C$88</definedName>
    <definedName name="DadosExternos_323" localSheetId="4">'Cotacao 4'!$C$7:$C$88</definedName>
    <definedName name="DadosExternos_323" localSheetId="5">'Cotacao 5'!$C$7:$C$88</definedName>
    <definedName name="DadosExternos_324" localSheetId="2">'Cotacao 2'!$C$7:$C$88</definedName>
    <definedName name="DadosExternos_324" localSheetId="3">'Cotacao 3'!$C$7:$C$88</definedName>
    <definedName name="DadosExternos_324" localSheetId="4">'Cotacao 4'!$C$7:$C$88</definedName>
    <definedName name="DadosExternos_324" localSheetId="5">'Cotacao 5'!$C$7:$C$88</definedName>
    <definedName name="DadosExternos_325" localSheetId="2">'Cotacao 2'!$C$7:$C$88</definedName>
    <definedName name="DadosExternos_325" localSheetId="3">'Cotacao 3'!$C$7:$C$88</definedName>
    <definedName name="DadosExternos_325" localSheetId="4">'Cotacao 4'!$C$7:$C$88</definedName>
    <definedName name="DadosExternos_325" localSheetId="5">'Cotacao 5'!$C$7:$C$88</definedName>
    <definedName name="DadosExternos_326" localSheetId="2">'Cotacao 2'!$C$7:$C$88</definedName>
    <definedName name="DadosExternos_326" localSheetId="3">'Cotacao 3'!$C$7:$C$88</definedName>
    <definedName name="DadosExternos_326" localSheetId="4">'Cotacao 4'!$C$7:$C$88</definedName>
    <definedName name="DadosExternos_326" localSheetId="5">'Cotacao 5'!$C$7:$C$88</definedName>
    <definedName name="DadosExternos_327" localSheetId="2">'Cotacao 2'!$C$7:$C$89</definedName>
    <definedName name="DadosExternos_327" localSheetId="3">'Cotacao 3'!$C$7:$C$89</definedName>
    <definedName name="DadosExternos_327" localSheetId="4">'Cotacao 4'!$C$7:$C$89</definedName>
    <definedName name="DadosExternos_327" localSheetId="5">'Cotacao 5'!$C$7:$C$89</definedName>
    <definedName name="DadosExternos_328" localSheetId="2">'Cotacao 2'!$C$7:$C$91</definedName>
    <definedName name="DadosExternos_328" localSheetId="3">'Cotacao 3'!$C$7:$C$91</definedName>
    <definedName name="DadosExternos_328" localSheetId="4">'Cotacao 4'!$C$7:$C$91</definedName>
    <definedName name="DadosExternos_328" localSheetId="5">'Cotacao 5'!$C$7:$C$91</definedName>
    <definedName name="DadosExternos_329" localSheetId="2">'Cotacao 2'!$C$7:$C$93</definedName>
    <definedName name="DadosExternos_329" localSheetId="3">'Cotacao 3'!$C$7:$C$93</definedName>
    <definedName name="DadosExternos_329" localSheetId="4">'Cotacao 4'!$C$7:$C$93</definedName>
    <definedName name="DadosExternos_329" localSheetId="5">'Cotacao 5'!$C$7:$C$93</definedName>
    <definedName name="DadosExternos_33" localSheetId="1">Cotacao!$C$7:$C$65</definedName>
    <definedName name="DadosExternos_33" localSheetId="2">'Cotacao 2'!$C$7:$C$65</definedName>
    <definedName name="DadosExternos_33" localSheetId="3">'Cotacao 3'!$C$7:$C$65</definedName>
    <definedName name="DadosExternos_33" localSheetId="4">'Cotacao 4'!$C$7:$C$65</definedName>
    <definedName name="DadosExternos_33" localSheetId="5">'Cotacao 5'!$C$7:$C$65</definedName>
    <definedName name="DadosExternos_330" localSheetId="2">'Cotacao 2'!$C$7:$C$93</definedName>
    <definedName name="DadosExternos_330" localSheetId="3">'Cotacao 3'!$C$7:$C$93</definedName>
    <definedName name="DadosExternos_330" localSheetId="4">'Cotacao 4'!$C$7:$C$93</definedName>
    <definedName name="DadosExternos_330" localSheetId="5">'Cotacao 5'!$C$7:$C$93</definedName>
    <definedName name="DadosExternos_331" localSheetId="2">'Cotacao 2'!$C$7:$C$95</definedName>
    <definedName name="DadosExternos_331" localSheetId="3">'Cotacao 3'!$C$7:$C$95</definedName>
    <definedName name="DadosExternos_331" localSheetId="4">'Cotacao 4'!$C$7:$C$95</definedName>
    <definedName name="DadosExternos_331" localSheetId="5">'Cotacao 5'!$C$7:$C$95</definedName>
    <definedName name="DadosExternos_333" localSheetId="2">'Cotacao 2'!$C$7:$C$95</definedName>
    <definedName name="DadosExternos_333" localSheetId="3">'Cotacao 3'!$C$7:$C$95</definedName>
    <definedName name="DadosExternos_333" localSheetId="4">'Cotacao 4'!$C$7:$C$95</definedName>
    <definedName name="DadosExternos_333" localSheetId="5">'Cotacao 5'!$C$7:$C$95</definedName>
    <definedName name="DadosExternos_336" localSheetId="2">'Cotacao 2'!$C$7:$C$96</definedName>
    <definedName name="DadosExternos_336" localSheetId="3">'Cotacao 3'!$C$7:$C$96</definedName>
    <definedName name="DadosExternos_336" localSheetId="4">'Cotacao 4'!$C$7:$C$96</definedName>
    <definedName name="DadosExternos_336" localSheetId="5">'Cotacao 5'!$C$7:$C$96</definedName>
    <definedName name="DadosExternos_337" localSheetId="2">'Cotacao 2'!$C$7:$C$97</definedName>
    <definedName name="DadosExternos_337" localSheetId="3">'Cotacao 3'!$C$7:$C$97</definedName>
    <definedName name="DadosExternos_337" localSheetId="4">'Cotacao 4'!$C$7:$C$97</definedName>
    <definedName name="DadosExternos_337" localSheetId="5">'Cotacao 5'!$C$7:$C$97</definedName>
    <definedName name="DadosExternos_338" localSheetId="2">'Cotacao 2'!$C$7:$C$98</definedName>
    <definedName name="DadosExternos_338" localSheetId="3">'Cotacao 3'!$C$7:$C$98</definedName>
    <definedName name="DadosExternos_338" localSheetId="4">'Cotacao 4'!$C$7:$C$98</definedName>
    <definedName name="DadosExternos_338" localSheetId="5">'Cotacao 5'!$C$7:$C$98</definedName>
    <definedName name="DadosExternos_339" localSheetId="2">'Cotacao 2'!$C$7:$C$101</definedName>
    <definedName name="DadosExternos_339" localSheetId="3">'Cotacao 3'!$C$7:$C$101</definedName>
    <definedName name="DadosExternos_339" localSheetId="4">'Cotacao 4'!$C$7:$C$101</definedName>
    <definedName name="DadosExternos_339" localSheetId="5">'Cotacao 5'!$C$7:$C$101</definedName>
    <definedName name="DadosExternos_34" localSheetId="1">Cotacao!$C$7:$C$65</definedName>
    <definedName name="DadosExternos_34" localSheetId="2">'Cotacao 2'!$C$7:$C$65</definedName>
    <definedName name="DadosExternos_34" localSheetId="3">'Cotacao 3'!$C$7:$C$65</definedName>
    <definedName name="DadosExternos_34" localSheetId="4">'Cotacao 4'!$C$7:$C$65</definedName>
    <definedName name="DadosExternos_34" localSheetId="5">'Cotacao 5'!$C$7:$C$65</definedName>
    <definedName name="DadosExternos_342" localSheetId="2">'Cotacao 2'!$C$7:$C$102</definedName>
    <definedName name="DadosExternos_342" localSheetId="3">'Cotacao 3'!$C$7:$C$102</definedName>
    <definedName name="DadosExternos_342" localSheetId="4">'Cotacao 4'!$C$7:$C$102</definedName>
    <definedName name="DadosExternos_342" localSheetId="5">'Cotacao 5'!$C$7:$C$102</definedName>
    <definedName name="DadosExternos_343" localSheetId="2">'Cotacao 2'!$C$7:$C$103</definedName>
    <definedName name="DadosExternos_343" localSheetId="3">'Cotacao 3'!$C$7:$C$103</definedName>
    <definedName name="DadosExternos_343" localSheetId="4">'Cotacao 4'!$C$7:$C$103</definedName>
    <definedName name="DadosExternos_343" localSheetId="5">'Cotacao 5'!$C$7:$C$103</definedName>
    <definedName name="DadosExternos_344" localSheetId="2">'Cotacao 2'!$C$7:$C$104</definedName>
    <definedName name="DadosExternos_344" localSheetId="3">'Cotacao 3'!$C$7:$C$104</definedName>
    <definedName name="DadosExternos_344" localSheetId="4">'Cotacao 4'!$C$7:$C$104</definedName>
    <definedName name="DadosExternos_344" localSheetId="5">'Cotacao 5'!$C$7:$C$104</definedName>
    <definedName name="DadosExternos_345" localSheetId="2">'Cotacao 2'!$C$7:$C$104</definedName>
    <definedName name="DadosExternos_345" localSheetId="3">'Cotacao 3'!$C$7:$C$104</definedName>
    <definedName name="DadosExternos_345" localSheetId="4">'Cotacao 4'!$C$7:$C$104</definedName>
    <definedName name="DadosExternos_345" localSheetId="5">'Cotacao 5'!$C$7:$C$104</definedName>
    <definedName name="DadosExternos_349" localSheetId="2">'Cotacao 2'!$C$7:$C$104</definedName>
    <definedName name="DadosExternos_349" localSheetId="3">'Cotacao 3'!$C$7:$C$104</definedName>
    <definedName name="DadosExternos_349" localSheetId="4">'Cotacao 4'!$C$7:$C$104</definedName>
    <definedName name="DadosExternos_349" localSheetId="5">'Cotacao 5'!$C$7:$C$104</definedName>
    <definedName name="DadosExternos_35" localSheetId="1">Cotacao!$C$7:$C$66</definedName>
    <definedName name="DadosExternos_35" localSheetId="2">'Cotacao 2'!$C$7:$C$66</definedName>
    <definedName name="DadosExternos_35" localSheetId="3">'Cotacao 3'!$C$7:$C$66</definedName>
    <definedName name="DadosExternos_35" localSheetId="4">'Cotacao 4'!$C$7:$C$66</definedName>
    <definedName name="DadosExternos_35" localSheetId="5">'Cotacao 5'!$C$7:$C$66</definedName>
    <definedName name="DadosExternos_350" localSheetId="2">'Cotacao 2'!$C$7:$C$104</definedName>
    <definedName name="DadosExternos_350" localSheetId="3">'Cotacao 3'!$C$7:$C$104</definedName>
    <definedName name="DadosExternos_350" localSheetId="4">'Cotacao 4'!$C$7:$C$104</definedName>
    <definedName name="DadosExternos_350" localSheetId="5">'Cotacao 5'!$C$7:$C$104</definedName>
    <definedName name="DadosExternos_352" localSheetId="2">'Cotacao 2'!$C$7:$C$104</definedName>
    <definedName name="DadosExternos_352" localSheetId="3">'Cotacao 3'!$C$7:$C$104</definedName>
    <definedName name="DadosExternos_352" localSheetId="4">'Cotacao 4'!$C$7:$C$104</definedName>
    <definedName name="DadosExternos_352" localSheetId="5">'Cotacao 5'!$C$7:$C$104</definedName>
    <definedName name="DadosExternos_353" localSheetId="2">'Cotacao 2'!$C$7:$C$105</definedName>
    <definedName name="DadosExternos_353" localSheetId="3">'Cotacao 3'!$C$7:$C$105</definedName>
    <definedName name="DadosExternos_353" localSheetId="4">'Cotacao 4'!$C$7:$C$105</definedName>
    <definedName name="DadosExternos_353" localSheetId="5">'Cotacao 5'!$C$7:$C$105</definedName>
    <definedName name="DadosExternos_356" localSheetId="2">'Cotacao 2'!$C$7:$C$106</definedName>
    <definedName name="DadosExternos_356" localSheetId="3">'Cotacao 3'!$C$7:$C$106</definedName>
    <definedName name="DadosExternos_356" localSheetId="4">'Cotacao 4'!$C$7:$C$106</definedName>
    <definedName name="DadosExternos_356" localSheetId="5">'Cotacao 5'!$C$7:$C$106</definedName>
    <definedName name="DadosExternos_358" localSheetId="2">'Cotacao 2'!$C$7:$C$106</definedName>
    <definedName name="DadosExternos_358" localSheetId="3">'Cotacao 3'!$C$7:$C$106</definedName>
    <definedName name="DadosExternos_358" localSheetId="4">'Cotacao 4'!$C$7:$C$106</definedName>
    <definedName name="DadosExternos_358" localSheetId="5">'Cotacao 5'!$C$7:$C$106</definedName>
    <definedName name="DadosExternos_36" localSheetId="1">Cotacao!$C$7:$C$67</definedName>
    <definedName name="DadosExternos_36" localSheetId="2">'Cotacao 2'!$C$7:$C$67</definedName>
    <definedName name="DadosExternos_36" localSheetId="3">'Cotacao 3'!$C$7:$C$67</definedName>
    <definedName name="DadosExternos_36" localSheetId="4">'Cotacao 4'!$C$7:$C$67</definedName>
    <definedName name="DadosExternos_36" localSheetId="5">'Cotacao 5'!$C$7:$C$67</definedName>
    <definedName name="DadosExternos_360" localSheetId="2">'Cotacao 2'!$C$7:$C$107</definedName>
    <definedName name="DadosExternos_360" localSheetId="3">'Cotacao 3'!$C$7:$C$107</definedName>
    <definedName name="DadosExternos_360" localSheetId="4">'Cotacao 4'!$C$7:$C$107</definedName>
    <definedName name="DadosExternos_360" localSheetId="5">'Cotacao 5'!$C$7:$C$107</definedName>
    <definedName name="DadosExternos_361" localSheetId="2">'Cotacao 2'!$C$7:$C$108</definedName>
    <definedName name="DadosExternos_361" localSheetId="3">'Cotacao 3'!$C$7:$C$108</definedName>
    <definedName name="DadosExternos_361" localSheetId="4">'Cotacao 4'!$C$7:$C$108</definedName>
    <definedName name="DadosExternos_361" localSheetId="5">'Cotacao 5'!$C$7:$C$108</definedName>
    <definedName name="DadosExternos_362" localSheetId="2">'Cotacao 2'!$C$7:$C$108</definedName>
    <definedName name="DadosExternos_362" localSheetId="3">'Cotacao 3'!$C$7:$C$108</definedName>
    <definedName name="DadosExternos_362" localSheetId="4">'Cotacao 4'!$C$7:$C$108</definedName>
    <definedName name="DadosExternos_362" localSheetId="5">'Cotacao 5'!$C$7:$C$108</definedName>
    <definedName name="DadosExternos_363" localSheetId="2">'Cotacao 2'!$C$7:$C$108</definedName>
    <definedName name="DadosExternos_363" localSheetId="3">'Cotacao 3'!$C$7:$C$108</definedName>
    <definedName name="DadosExternos_363" localSheetId="4">'Cotacao 4'!$C$7:$C$108</definedName>
    <definedName name="DadosExternos_363" localSheetId="5">'Cotacao 5'!$C$7:$C$108</definedName>
    <definedName name="DadosExternos_365" localSheetId="2">'Cotacao 2'!$C$7:$C$109</definedName>
    <definedName name="DadosExternos_365" localSheetId="3">'Cotacao 3'!$C$7:$C$109</definedName>
    <definedName name="DadosExternos_365" localSheetId="4">'Cotacao 4'!$C$7:$C$109</definedName>
    <definedName name="DadosExternos_365" localSheetId="5">'Cotacao 5'!$C$7:$C$109</definedName>
    <definedName name="DadosExternos_367" localSheetId="2">'Cotacao 2'!$C$7:$C$111</definedName>
    <definedName name="DadosExternos_367" localSheetId="3">'Cotacao 3'!$C$7:$C$111</definedName>
    <definedName name="DadosExternos_367" localSheetId="4">'Cotacao 4'!$C$7:$C$111</definedName>
    <definedName name="DadosExternos_367" localSheetId="5">'Cotacao 5'!$C$7:$C$111</definedName>
    <definedName name="DadosExternos_369" localSheetId="2">'Cotacao 2'!$C$7:$C$113</definedName>
    <definedName name="DadosExternos_369" localSheetId="3">'Cotacao 3'!$C$7:$C$113</definedName>
    <definedName name="DadosExternos_369" localSheetId="4">'Cotacao 4'!$C$7:$C$113</definedName>
    <definedName name="DadosExternos_369" localSheetId="5">'Cotacao 5'!$C$7:$C$113</definedName>
    <definedName name="DadosExternos_37" localSheetId="1">Cotacao!$C$7:$C$68</definedName>
    <definedName name="DadosExternos_37" localSheetId="2">'Cotacao 2'!$C$7:$C$68</definedName>
    <definedName name="DadosExternos_37" localSheetId="3">'Cotacao 3'!$C$7:$C$68</definedName>
    <definedName name="DadosExternos_37" localSheetId="4">'Cotacao 4'!$C$7:$C$68</definedName>
    <definedName name="DadosExternos_37" localSheetId="5">'Cotacao 5'!$C$7:$C$68</definedName>
    <definedName name="DadosExternos_370" localSheetId="2">'Cotacao 2'!$C$7:$C$113</definedName>
    <definedName name="DadosExternos_370" localSheetId="3">'Cotacao 3'!$C$7:$C$8</definedName>
    <definedName name="DadosExternos_370" localSheetId="4">'Cotacao 4'!$C$7:$C$8</definedName>
    <definedName name="DadosExternos_370" localSheetId="5">'Cotacao 5'!$C$7:$C$8</definedName>
    <definedName name="DadosExternos_371" localSheetId="2">'Cotacao 2'!$C$7:$C$113</definedName>
    <definedName name="DadosExternos_371" localSheetId="3">'Cotacao 3'!$C$7:$C$8</definedName>
    <definedName name="DadosExternos_371" localSheetId="4">'Cotacao 4'!$C$7:$C$8</definedName>
    <definedName name="DadosExternos_371" localSheetId="5">'Cotacao 5'!$C$7:$C$8</definedName>
    <definedName name="DadosExternos_372" localSheetId="3">'Cotacao 3'!$C$7:$C$10</definedName>
    <definedName name="DadosExternos_372" localSheetId="4">'Cotacao 4'!$C$7:$C$10</definedName>
    <definedName name="DadosExternos_372" localSheetId="5">'Cotacao 5'!$C$7:$C$10</definedName>
    <definedName name="DadosExternos_373" localSheetId="3">'Cotacao 3'!$C$7:$C$10</definedName>
    <definedName name="DadosExternos_373" localSheetId="4">'Cotacao 4'!$C$7:$C$10</definedName>
    <definedName name="DadosExternos_373" localSheetId="5">'Cotacao 5'!$C$7:$C$10</definedName>
    <definedName name="DadosExternos_374" localSheetId="3">'Cotacao 3'!$C$7:$C$10</definedName>
    <definedName name="DadosExternos_374" localSheetId="4">'Cotacao 4'!$C$7:$C$10</definedName>
    <definedName name="DadosExternos_374" localSheetId="5">'Cotacao 5'!$C$7:$C$10</definedName>
    <definedName name="DadosExternos_375" localSheetId="2">'Cotacao 2'!$C$7:$C$113</definedName>
    <definedName name="DadosExternos_376" localSheetId="2">'Cotacao 2'!$C$7:$C$113</definedName>
    <definedName name="DadosExternos_376" localSheetId="3">'Cotacao 3'!$C$7:$C$8</definedName>
    <definedName name="DadosExternos_376" localSheetId="4">'Cotacao 4'!$C$7:$C$8</definedName>
    <definedName name="DadosExternos_376" localSheetId="5">'Cotacao 5'!$C$7:$C$8</definedName>
    <definedName name="DadosExternos_377" localSheetId="2">'Cotacao 2'!$C$7:$C$113</definedName>
    <definedName name="DadosExternos_377" localSheetId="3">'Cotacao 3'!$C$7:$C$8</definedName>
    <definedName name="DadosExternos_377" localSheetId="4">'Cotacao 4'!$C$7:$C$8</definedName>
    <definedName name="DadosExternos_377" localSheetId="5">'Cotacao 5'!$C$7:$C$8</definedName>
    <definedName name="DadosExternos_378" localSheetId="2">'Cotacao 2'!$C$7:$C$113</definedName>
    <definedName name="DadosExternos_378" localSheetId="3">'Cotacao 3'!$C$7:$C$10</definedName>
    <definedName name="DadosExternos_378" localSheetId="4">'Cotacao 4'!$C$7:$C$10</definedName>
    <definedName name="DadosExternos_378" localSheetId="5">'Cotacao 5'!$C$7:$C$10</definedName>
    <definedName name="DadosExternos_379" localSheetId="2">'Cotacao 2'!$C$7:$C$113</definedName>
    <definedName name="DadosExternos_379" localSheetId="3">'Cotacao 3'!$C$7:$C$11</definedName>
    <definedName name="DadosExternos_379" localSheetId="4">'Cotacao 4'!$C$7:$C$11</definedName>
    <definedName name="DadosExternos_379" localSheetId="5">'Cotacao 5'!$C$7:$C$11</definedName>
    <definedName name="DadosExternos_38" localSheetId="1">Cotacao!$C$7:$C$69</definedName>
    <definedName name="DadosExternos_38" localSheetId="2">'Cotacao 2'!$C$7:$C$69</definedName>
    <definedName name="DadosExternos_38" localSheetId="3">'Cotacao 3'!$C$7:$C$69</definedName>
    <definedName name="DadosExternos_38" localSheetId="4">'Cotacao 4'!$C$7:$C$69</definedName>
    <definedName name="DadosExternos_38" localSheetId="5">'Cotacao 5'!$C$7:$C$69</definedName>
    <definedName name="DadosExternos_380" localSheetId="3">'Cotacao 3'!$C$7:$C$13</definedName>
    <definedName name="DadosExternos_380" localSheetId="4">'Cotacao 4'!$C$7:$C$13</definedName>
    <definedName name="DadosExternos_380" localSheetId="5">'Cotacao 5'!$C$7:$C$13</definedName>
    <definedName name="DadosExternos_381" localSheetId="3">'Cotacao 3'!$C$7:$C$14</definedName>
    <definedName name="DadosExternos_381" localSheetId="4">'Cotacao 4'!$C$7:$C$14</definedName>
    <definedName name="DadosExternos_381" localSheetId="5">'Cotacao 5'!$C$7:$C$14</definedName>
    <definedName name="DadosExternos_382" localSheetId="3">'Cotacao 3'!$C$7:$C$17</definedName>
    <definedName name="DadosExternos_382" localSheetId="4">'Cotacao 4'!$C$7:$C$17</definedName>
    <definedName name="DadosExternos_382" localSheetId="5">'Cotacao 5'!$C$7:$C$17</definedName>
    <definedName name="DadosExternos_388" localSheetId="3">'Cotacao 3'!$C$7:$C$18</definedName>
    <definedName name="DadosExternos_388" localSheetId="4">'Cotacao 4'!$C$7:$C$18</definedName>
    <definedName name="DadosExternos_388" localSheetId="5">'Cotacao 5'!$C$7:$C$18</definedName>
    <definedName name="DadosExternos_389" localSheetId="3">'Cotacao 3'!$C$7:$C$18</definedName>
    <definedName name="DadosExternos_389" localSheetId="4">'Cotacao 4'!$C$7:$C$18</definedName>
    <definedName name="DadosExternos_389" localSheetId="5">'Cotacao 5'!$C$7:$C$18</definedName>
    <definedName name="DadosExternos_39" localSheetId="1">Cotacao!$C$7:$C$70</definedName>
    <definedName name="DadosExternos_39" localSheetId="2">'Cotacao 2'!$C$7:$C$70</definedName>
    <definedName name="DadosExternos_39" localSheetId="3">'Cotacao 3'!$C$7:$C$70</definedName>
    <definedName name="DadosExternos_39" localSheetId="4">'Cotacao 4'!$C$7:$C$70</definedName>
    <definedName name="DadosExternos_39" localSheetId="5">'Cotacao 5'!$C$7:$C$70</definedName>
    <definedName name="DadosExternos_390" localSheetId="3">'Cotacao 3'!$C$7:$C$19</definedName>
    <definedName name="DadosExternos_390" localSheetId="4">'Cotacao 4'!$C$7:$C$19</definedName>
    <definedName name="DadosExternos_390" localSheetId="5">'Cotacao 5'!$C$7:$C$19</definedName>
    <definedName name="DadosExternos_391" localSheetId="3">'Cotacao 3'!$C$7:$C$19</definedName>
    <definedName name="DadosExternos_391" localSheetId="4">'Cotacao 4'!$C$7:$C$19</definedName>
    <definedName name="DadosExternos_391" localSheetId="5">'Cotacao 5'!$C$7:$C$19</definedName>
    <definedName name="DadosExternos_392" localSheetId="3">'Cotacao 3'!$C$7:$C$22</definedName>
    <definedName name="DadosExternos_392" localSheetId="4">'Cotacao 4'!$C$7:$C$22</definedName>
    <definedName name="DadosExternos_392" localSheetId="5">'Cotacao 5'!$C$7:$C$22</definedName>
    <definedName name="DadosExternos_394" localSheetId="3">'Cotacao 3'!$C$7:$C$23</definedName>
    <definedName name="DadosExternos_394" localSheetId="4">'Cotacao 4'!$C$7:$C$23</definedName>
    <definedName name="DadosExternos_394" localSheetId="5">'Cotacao 5'!$C$7:$C$23</definedName>
    <definedName name="DadosExternos_397" localSheetId="3">'Cotacao 3'!$C$7:$C$24</definedName>
    <definedName name="DadosExternos_397" localSheetId="4">'Cotacao 4'!$C$7:$C$24</definedName>
    <definedName name="DadosExternos_397" localSheetId="5">'Cotacao 5'!$C$7:$C$24</definedName>
    <definedName name="DadosExternos_398" localSheetId="3">'Cotacao 3'!$C$7:$C$27</definedName>
    <definedName name="DadosExternos_398" localSheetId="4">'Cotacao 4'!$C$7:$C$27</definedName>
    <definedName name="DadosExternos_398" localSheetId="5">'Cotacao 5'!$C$7:$C$27</definedName>
    <definedName name="DadosExternos_4" localSheetId="1">Cotacao!$C$7:$C$63</definedName>
    <definedName name="DadosExternos_4" localSheetId="2">'Cotacao 2'!$C$7:$C$63</definedName>
    <definedName name="DadosExternos_4" localSheetId="3">'Cotacao 3'!$C$7:$C$63</definedName>
    <definedName name="DadosExternos_4" localSheetId="4">'Cotacao 4'!$C$7:$C$63</definedName>
    <definedName name="DadosExternos_4" localSheetId="5">'Cotacao 5'!$C$7:$C$63</definedName>
    <definedName name="DadosExternos_40" localSheetId="1">Cotacao!$C$7:$C$71</definedName>
    <definedName name="DadosExternos_40" localSheetId="2">'Cotacao 2'!$C$7:$C$71</definedName>
    <definedName name="DadosExternos_40" localSheetId="3">'Cotacao 3'!$C$7:$C$71</definedName>
    <definedName name="DadosExternos_40" localSheetId="4">'Cotacao 4'!$C$7:$C$71</definedName>
    <definedName name="DadosExternos_40" localSheetId="5">'Cotacao 5'!$C$7:$C$71</definedName>
    <definedName name="DadosExternos_400" localSheetId="3">'Cotacao 3'!$C$7:$C$28</definedName>
    <definedName name="DadosExternos_400" localSheetId="4">'Cotacao 4'!$C$7:$C$28</definedName>
    <definedName name="DadosExternos_400" localSheetId="5">'Cotacao 5'!$C$7:$C$28</definedName>
    <definedName name="DadosExternos_401" localSheetId="3">'Cotacao 3'!$C$7:$C$29</definedName>
    <definedName name="DadosExternos_401" localSheetId="4">'Cotacao 4'!$C$7:$C$29</definedName>
    <definedName name="DadosExternos_401" localSheetId="5">'Cotacao 5'!$C$7:$C$29</definedName>
    <definedName name="DadosExternos_402" localSheetId="3">'Cotacao 3'!$C$7:$C$30</definedName>
    <definedName name="DadosExternos_402" localSheetId="4">'Cotacao 4'!$C$7:$C$30</definedName>
    <definedName name="DadosExternos_402" localSheetId="5">'Cotacao 5'!$C$7:$C$30</definedName>
    <definedName name="DadosExternos_403" localSheetId="3">'Cotacao 3'!$C$7:$C$33</definedName>
    <definedName name="DadosExternos_403" localSheetId="4">'Cotacao 4'!$C$7:$C$33</definedName>
    <definedName name="DadosExternos_403" localSheetId="5">'Cotacao 5'!$C$7:$C$33</definedName>
    <definedName name="DadosExternos_404" localSheetId="3">'Cotacao 3'!$C$7:$C$35</definedName>
    <definedName name="DadosExternos_404" localSheetId="4">'Cotacao 4'!$C$7:$C$35</definedName>
    <definedName name="DadosExternos_404" localSheetId="5">'Cotacao 5'!$C$7:$C$35</definedName>
    <definedName name="DadosExternos_408" localSheetId="3">'Cotacao 3'!$C$7:$C$37</definedName>
    <definedName name="DadosExternos_408" localSheetId="4">'Cotacao 4'!$C$7:$C$37</definedName>
    <definedName name="DadosExternos_408" localSheetId="5">'Cotacao 5'!$C$7:$C$37</definedName>
    <definedName name="DadosExternos_409" localSheetId="3">'Cotacao 3'!$C$7:$C$39</definedName>
    <definedName name="DadosExternos_409" localSheetId="4">'Cotacao 4'!$C$7:$C$39</definedName>
    <definedName name="DadosExternos_409" localSheetId="5">'Cotacao 5'!$C$7:$C$39</definedName>
    <definedName name="DadosExternos_41" localSheetId="1">Cotacao!$C$7:$C$72</definedName>
    <definedName name="DadosExternos_41" localSheetId="2">'Cotacao 2'!$C$7:$C$72</definedName>
    <definedName name="DadosExternos_41" localSheetId="3">'Cotacao 3'!$C$7:$C$72</definedName>
    <definedName name="DadosExternos_41" localSheetId="4">'Cotacao 4'!$C$7:$C$72</definedName>
    <definedName name="DadosExternos_41" localSheetId="5">'Cotacao 5'!$C$7:$C$72</definedName>
    <definedName name="DadosExternos_410" localSheetId="3">'Cotacao 3'!$C$7:$C$41</definedName>
    <definedName name="DadosExternos_410" localSheetId="4">'Cotacao 4'!$C$7:$C$41</definedName>
    <definedName name="DadosExternos_410" localSheetId="5">'Cotacao 5'!$C$7:$C$41</definedName>
    <definedName name="DadosExternos_411" localSheetId="3">'Cotacao 3'!$C$7:$C$43</definedName>
    <definedName name="DadosExternos_411" localSheetId="4">'Cotacao 4'!$C$7:$C$43</definedName>
    <definedName name="DadosExternos_411" localSheetId="5">'Cotacao 5'!$C$7:$C$43</definedName>
    <definedName name="DadosExternos_414" localSheetId="3">'Cotacao 3'!$C$7:$C$45</definedName>
    <definedName name="DadosExternos_414" localSheetId="4">'Cotacao 4'!$C$7:$C$45</definedName>
    <definedName name="DadosExternos_414" localSheetId="5">'Cotacao 5'!$C$7:$C$45</definedName>
    <definedName name="DadosExternos_415" localSheetId="3">'Cotacao 3'!$C$7:$C$44</definedName>
    <definedName name="DadosExternos_415" localSheetId="4">'Cotacao 4'!$C$7:$C$44</definedName>
    <definedName name="DadosExternos_415" localSheetId="5">'Cotacao 5'!$C$7:$C$44</definedName>
    <definedName name="DadosExternos_416" localSheetId="3">'Cotacao 3'!$C$7:$C$47</definedName>
    <definedName name="DadosExternos_416" localSheetId="4">'Cotacao 4'!$C$7:$C$47</definedName>
    <definedName name="DadosExternos_416" localSheetId="5">'Cotacao 5'!$C$7:$C$47</definedName>
    <definedName name="DadosExternos_418" localSheetId="3">'Cotacao 3'!$C$7:$C$48</definedName>
    <definedName name="DadosExternos_418" localSheetId="4">'Cotacao 4'!$C$7:$C$48</definedName>
    <definedName name="DadosExternos_418" localSheetId="5">'Cotacao 5'!$C$7:$C$48</definedName>
    <definedName name="DadosExternos_42" localSheetId="1">Cotacao!$C$7:$C$73</definedName>
    <definedName name="DadosExternos_42" localSheetId="2">'Cotacao 2'!$C$7:$C$73</definedName>
    <definedName name="DadosExternos_42" localSheetId="3">'Cotacao 3'!$C$7:$C$73</definedName>
    <definedName name="DadosExternos_42" localSheetId="4">'Cotacao 4'!$C$7:$C$73</definedName>
    <definedName name="DadosExternos_42" localSheetId="5">'Cotacao 5'!$C$7:$C$73</definedName>
    <definedName name="DadosExternos_421" localSheetId="3">'Cotacao 3'!$C$7:$C$49</definedName>
    <definedName name="DadosExternos_421" localSheetId="4">'Cotacao 4'!$C$7:$C$49</definedName>
    <definedName name="DadosExternos_421" localSheetId="5">'Cotacao 5'!$C$7:$C$49</definedName>
    <definedName name="DadosExternos_423" localSheetId="3">'Cotacao 3'!$C$7:$C$50</definedName>
    <definedName name="DadosExternos_423" localSheetId="4">'Cotacao 4'!$C$7:$C$50</definedName>
    <definedName name="DadosExternos_423" localSheetId="5">'Cotacao 5'!$C$7:$C$50</definedName>
    <definedName name="DadosExternos_424" localSheetId="3">'Cotacao 3'!$C$7:$C$51</definedName>
    <definedName name="DadosExternos_424" localSheetId="4">'Cotacao 4'!$C$7:$C$51</definedName>
    <definedName name="DadosExternos_424" localSheetId="5">'Cotacao 5'!$C$7:$C$51</definedName>
    <definedName name="DadosExternos_425" localSheetId="3">'Cotacao 3'!$C$7:$C$54</definedName>
    <definedName name="DadosExternos_425" localSheetId="4">'Cotacao 4'!$C$7:$C$54</definedName>
    <definedName name="DadosExternos_425" localSheetId="5">'Cotacao 5'!$C$7:$C$54</definedName>
    <definedName name="DadosExternos_426" localSheetId="3">'Cotacao 3'!$C$7:$C$52</definedName>
    <definedName name="DadosExternos_426" localSheetId="4">'Cotacao 4'!$C$7:$C$52</definedName>
    <definedName name="DadosExternos_426" localSheetId="5">'Cotacao 5'!$C$7:$C$52</definedName>
    <definedName name="DadosExternos_428" localSheetId="3">'Cotacao 3'!$C$7:$C$53</definedName>
    <definedName name="DadosExternos_428" localSheetId="4">'Cotacao 4'!$C$7:$C$53</definedName>
    <definedName name="DadosExternos_428" localSheetId="5">'Cotacao 5'!$C$7:$C$53</definedName>
    <definedName name="DadosExternos_43" localSheetId="1">Cotacao!$C$7:$C$74</definedName>
    <definedName name="DadosExternos_43" localSheetId="2">'Cotacao 2'!$C$7:$C$74</definedName>
    <definedName name="DadosExternos_43" localSheetId="3">'Cotacao 3'!$C$7:$C$74</definedName>
    <definedName name="DadosExternos_43" localSheetId="4">'Cotacao 4'!$C$7:$C$74</definedName>
    <definedName name="DadosExternos_43" localSheetId="5">'Cotacao 5'!$C$7:$C$74</definedName>
    <definedName name="DadosExternos_431" localSheetId="3">'Cotacao 3'!$C$7:$C$55</definedName>
    <definedName name="DadosExternos_431" localSheetId="4">'Cotacao 4'!$C$7:$C$55</definedName>
    <definedName name="DadosExternos_431" localSheetId="5">'Cotacao 5'!$C$7:$C$55</definedName>
    <definedName name="DadosExternos_432" localSheetId="3">'Cotacao 3'!$C$7:$C$57</definedName>
    <definedName name="DadosExternos_432" localSheetId="4">'Cotacao 4'!$C$7:$C$57</definedName>
    <definedName name="DadosExternos_432" localSheetId="5">'Cotacao 5'!$C$7:$C$57</definedName>
    <definedName name="DadosExternos_433" localSheetId="3">'Cotacao 3'!$C$7:$C$58</definedName>
    <definedName name="DadosExternos_433" localSheetId="4">'Cotacao 4'!$C$7:$C$58</definedName>
    <definedName name="DadosExternos_433" localSheetId="5">'Cotacao 5'!$C$7:$C$58</definedName>
    <definedName name="DadosExternos_434" localSheetId="3">'Cotacao 3'!$C$7:$C$59</definedName>
    <definedName name="DadosExternos_434" localSheetId="4">'Cotacao 4'!$C$7:$C$59</definedName>
    <definedName name="DadosExternos_434" localSheetId="5">'Cotacao 5'!$C$7:$C$59</definedName>
    <definedName name="DadosExternos_435" localSheetId="3">'Cotacao 3'!$C$7:$C$62</definedName>
    <definedName name="DadosExternos_435" localSheetId="4">'Cotacao 4'!$C$7:$C$62</definedName>
    <definedName name="DadosExternos_435" localSheetId="5">'Cotacao 5'!$C$7:$C$62</definedName>
    <definedName name="DadosExternos_437" localSheetId="3">'Cotacao 3'!$C$7:$C$60</definedName>
    <definedName name="DadosExternos_437" localSheetId="4">'Cotacao 4'!$C$7:$C$60</definedName>
    <definedName name="DadosExternos_437" localSheetId="5">'Cotacao 5'!$C$7:$C$60</definedName>
    <definedName name="DadosExternos_438" localSheetId="3">'Cotacao 3'!$C$7:$C$61</definedName>
    <definedName name="DadosExternos_438" localSheetId="4">'Cotacao 4'!$C$7:$C$61</definedName>
    <definedName name="DadosExternos_438" localSheetId="5">'Cotacao 5'!$C$7:$C$61</definedName>
    <definedName name="DadosExternos_439" localSheetId="3">'Cotacao 3'!$C$7:$C$63</definedName>
    <definedName name="DadosExternos_439" localSheetId="4">'Cotacao 4'!$C$7:$C$63</definedName>
    <definedName name="DadosExternos_439" localSheetId="5">'Cotacao 5'!$C$7:$C$63</definedName>
    <definedName name="DadosExternos_44" localSheetId="1">Cotacao!$C$7:$C$75</definedName>
    <definedName name="DadosExternos_44" localSheetId="2">'Cotacao 2'!$C$7:$C$75</definedName>
    <definedName name="DadosExternos_44" localSheetId="3">'Cotacao 3'!$C$7:$C$75</definedName>
    <definedName name="DadosExternos_44" localSheetId="4">'Cotacao 4'!$C$7:$C$75</definedName>
    <definedName name="DadosExternos_44" localSheetId="5">'Cotacao 5'!$C$7:$C$75</definedName>
    <definedName name="DadosExternos_440" localSheetId="3">'Cotacao 3'!$C$7:$C$66</definedName>
    <definedName name="DadosExternos_440" localSheetId="4">'Cotacao 4'!$C$7:$C$66</definedName>
    <definedName name="DadosExternos_440" localSheetId="5">'Cotacao 5'!$C$7:$C$66</definedName>
    <definedName name="DadosExternos_441" localSheetId="3">'Cotacao 3'!$C$7:$C$64</definedName>
    <definedName name="DadosExternos_441" localSheetId="4">'Cotacao 4'!$C$7:$C$64</definedName>
    <definedName name="DadosExternos_441" localSheetId="5">'Cotacao 5'!$C$7:$C$64</definedName>
    <definedName name="DadosExternos_442" localSheetId="3">'Cotacao 3'!$C$7:$C$66</definedName>
    <definedName name="DadosExternos_442" localSheetId="4">'Cotacao 4'!$C$7:$C$66</definedName>
    <definedName name="DadosExternos_442" localSheetId="5">'Cotacao 5'!$C$7:$C$66</definedName>
    <definedName name="DadosExternos_444" localSheetId="3">'Cotacao 3'!$C$7:$C$68</definedName>
    <definedName name="DadosExternos_444" localSheetId="4">'Cotacao 4'!$C$7:$C$68</definedName>
    <definedName name="DadosExternos_444" localSheetId="5">'Cotacao 5'!$C$7:$C$68</definedName>
    <definedName name="DadosExternos_445" localSheetId="3">'Cotacao 3'!$C$7:$C$69</definedName>
    <definedName name="DadosExternos_445" localSheetId="4">'Cotacao 4'!$C$7:$C$69</definedName>
    <definedName name="DadosExternos_445" localSheetId="5">'Cotacao 5'!$C$7:$C$69</definedName>
    <definedName name="DadosExternos_446" localSheetId="3">'Cotacao 3'!$C$7:$C$70</definedName>
    <definedName name="DadosExternos_446" localSheetId="4">'Cotacao 4'!$C$7:$C$70</definedName>
    <definedName name="DadosExternos_446" localSheetId="5">'Cotacao 5'!$C$7:$C$70</definedName>
    <definedName name="DadosExternos_447" localSheetId="3">'Cotacao 3'!$C$7:$C$72</definedName>
    <definedName name="DadosExternos_447" localSheetId="4">'Cotacao 4'!$C$7:$C$72</definedName>
    <definedName name="DadosExternos_447" localSheetId="5">'Cotacao 5'!$C$7:$C$72</definedName>
    <definedName name="DadosExternos_45" localSheetId="1">Cotacao!$C$7:$C$76</definedName>
    <definedName name="DadosExternos_45" localSheetId="2">'Cotacao 2'!$C$7:$C$76</definedName>
    <definedName name="DadosExternos_45" localSheetId="3">'Cotacao 3'!$C$7:$C$76</definedName>
    <definedName name="DadosExternos_45" localSheetId="4">'Cotacao 4'!$C$7:$C$76</definedName>
    <definedName name="DadosExternos_45" localSheetId="5">'Cotacao 5'!$C$7:$C$76</definedName>
    <definedName name="DadosExternos_450" localSheetId="3">'Cotacao 3'!$C$7:$C$74</definedName>
    <definedName name="DadosExternos_450" localSheetId="4">'Cotacao 4'!$C$7:$C$74</definedName>
    <definedName name="DadosExternos_450" localSheetId="5">'Cotacao 5'!$C$7:$C$74</definedName>
    <definedName name="DadosExternos_451" localSheetId="3">'Cotacao 3'!$C$7:$C$74</definedName>
    <definedName name="DadosExternos_451" localSheetId="4">'Cotacao 4'!$C$7:$C$74</definedName>
    <definedName name="DadosExternos_451" localSheetId="5">'Cotacao 5'!$C$7:$C$74</definedName>
    <definedName name="DadosExternos_452" localSheetId="3">'Cotacao 3'!$C$7:$C$76</definedName>
    <definedName name="DadosExternos_452" localSheetId="4">'Cotacao 4'!$C$7:$C$76</definedName>
    <definedName name="DadosExternos_452" localSheetId="5">'Cotacao 5'!$C$7:$C$76</definedName>
    <definedName name="DadosExternos_453" localSheetId="3">'Cotacao 3'!$C$7:$C$76</definedName>
    <definedName name="DadosExternos_453" localSheetId="4">'Cotacao 4'!$C$7:$C$76</definedName>
    <definedName name="DadosExternos_453" localSheetId="5">'Cotacao 5'!$C$7:$C$76</definedName>
    <definedName name="DadosExternos_454" localSheetId="3">'Cotacao 3'!$C$7:$C$77</definedName>
    <definedName name="DadosExternos_454" localSheetId="4">'Cotacao 4'!$C$7:$C$77</definedName>
    <definedName name="DadosExternos_454" localSheetId="5">'Cotacao 5'!$C$7:$C$77</definedName>
    <definedName name="DadosExternos_455" localSheetId="3">'Cotacao 3'!$C$7:$C$79</definedName>
    <definedName name="DadosExternos_455" localSheetId="4">'Cotacao 4'!$C$7:$C$79</definedName>
    <definedName name="DadosExternos_455" localSheetId="5">'Cotacao 5'!$C$7:$C$79</definedName>
    <definedName name="DadosExternos_456" localSheetId="3">'Cotacao 3'!$C$7:$C$79</definedName>
    <definedName name="DadosExternos_456" localSheetId="4">'Cotacao 4'!$C$7:$C$79</definedName>
    <definedName name="DadosExternos_456" localSheetId="5">'Cotacao 5'!$C$7:$C$79</definedName>
    <definedName name="DadosExternos_457" localSheetId="3">'Cotacao 3'!$C$7:$C$80</definedName>
    <definedName name="DadosExternos_457" localSheetId="4">'Cotacao 4'!$C$7:$C$80</definedName>
    <definedName name="DadosExternos_457" localSheetId="5">'Cotacao 5'!$C$7:$C$80</definedName>
    <definedName name="DadosExternos_458" localSheetId="3">'Cotacao 3'!$C$7:$C$81</definedName>
    <definedName name="DadosExternos_458" localSheetId="4">'Cotacao 4'!$C$7:$C$81</definedName>
    <definedName name="DadosExternos_458" localSheetId="5">'Cotacao 5'!$C$7:$C$81</definedName>
    <definedName name="DadosExternos_459" localSheetId="3">'Cotacao 3'!$C$7:$C$81</definedName>
    <definedName name="DadosExternos_459" localSheetId="4">'Cotacao 4'!$C$7:$C$81</definedName>
    <definedName name="DadosExternos_459" localSheetId="5">'Cotacao 5'!$C$7:$C$81</definedName>
    <definedName name="DadosExternos_46" localSheetId="1">Cotacao!$C$7:$C$77</definedName>
    <definedName name="DadosExternos_46" localSheetId="2">'Cotacao 2'!$C$7:$C$77</definedName>
    <definedName name="DadosExternos_46" localSheetId="3">'Cotacao 3'!$C$7:$C$77</definedName>
    <definedName name="DadosExternos_46" localSheetId="4">'Cotacao 4'!$C$7:$C$77</definedName>
    <definedName name="DadosExternos_46" localSheetId="5">'Cotacao 5'!$C$7:$C$77</definedName>
    <definedName name="DadosExternos_460" localSheetId="3">'Cotacao 3'!$C$7:$C$82</definedName>
    <definedName name="DadosExternos_460" localSheetId="4">'Cotacao 4'!$C$7:$C$82</definedName>
    <definedName name="DadosExternos_460" localSheetId="5">'Cotacao 5'!$C$7:$C$82</definedName>
    <definedName name="DadosExternos_461" localSheetId="3">'Cotacao 3'!$C$7:$C$83</definedName>
    <definedName name="DadosExternos_461" localSheetId="4">'Cotacao 4'!$C$7:$C$83</definedName>
    <definedName name="DadosExternos_461" localSheetId="5">'Cotacao 5'!$C$7:$C$83</definedName>
    <definedName name="DadosExternos_462" localSheetId="3">'Cotacao 3'!$C$7:$C$84</definedName>
    <definedName name="DadosExternos_462" localSheetId="4">'Cotacao 4'!$C$7:$C$84</definedName>
    <definedName name="DadosExternos_462" localSheetId="5">'Cotacao 5'!$C$7:$C$84</definedName>
    <definedName name="DadosExternos_463" localSheetId="3">'Cotacao 3'!$C$7:$C$85</definedName>
    <definedName name="DadosExternos_463" localSheetId="4">'Cotacao 4'!$C$7:$C$85</definedName>
    <definedName name="DadosExternos_463" localSheetId="5">'Cotacao 5'!$C$7:$C$85</definedName>
    <definedName name="DadosExternos_464" localSheetId="3">'Cotacao 3'!$C$7:$C$86</definedName>
    <definedName name="DadosExternos_464" localSheetId="4">'Cotacao 4'!$C$7:$C$86</definedName>
    <definedName name="DadosExternos_464" localSheetId="5">'Cotacao 5'!$C$7:$C$86</definedName>
    <definedName name="DadosExternos_465" localSheetId="3">'Cotacao 3'!$C$7:$C$87</definedName>
    <definedName name="DadosExternos_465" localSheetId="4">'Cotacao 4'!$C$7:$C$87</definedName>
    <definedName name="DadosExternos_465" localSheetId="5">'Cotacao 5'!$C$7:$C$87</definedName>
    <definedName name="DadosExternos_466" localSheetId="3">'Cotacao 3'!$C$7:$C$87</definedName>
    <definedName name="DadosExternos_466" localSheetId="4">'Cotacao 4'!$C$7:$C$87</definedName>
    <definedName name="DadosExternos_466" localSheetId="5">'Cotacao 5'!$C$7:$C$87</definedName>
    <definedName name="DadosExternos_467" localSheetId="3">'Cotacao 3'!$C$7:$C$88</definedName>
    <definedName name="DadosExternos_467" localSheetId="4">'Cotacao 4'!$C$7:$C$88</definedName>
    <definedName name="DadosExternos_467" localSheetId="5">'Cotacao 5'!$C$7:$C$88</definedName>
    <definedName name="DadosExternos_468" localSheetId="3">'Cotacao 3'!$C$7:$C$88</definedName>
    <definedName name="DadosExternos_468" localSheetId="4">'Cotacao 4'!$C$7:$C$88</definedName>
    <definedName name="DadosExternos_468" localSheetId="5">'Cotacao 5'!$C$7:$C$88</definedName>
    <definedName name="DadosExternos_469" localSheetId="3">'Cotacao 3'!$C$7:$C$88</definedName>
    <definedName name="DadosExternos_469" localSheetId="4">'Cotacao 4'!$C$7:$C$88</definedName>
    <definedName name="DadosExternos_469" localSheetId="5">'Cotacao 5'!$C$7:$C$88</definedName>
    <definedName name="DadosExternos_47" localSheetId="1">Cotacao!$C$7:$C$78</definedName>
    <definedName name="DadosExternos_47" localSheetId="2">'Cotacao 2'!$C$7:$C$78</definedName>
    <definedName name="DadosExternos_47" localSheetId="3">'Cotacao 3'!$C$7:$C$78</definedName>
    <definedName name="DadosExternos_47" localSheetId="4">'Cotacao 4'!$C$7:$C$78</definedName>
    <definedName name="DadosExternos_47" localSheetId="5">'Cotacao 5'!$C$7:$C$78</definedName>
    <definedName name="DadosExternos_48" localSheetId="1">Cotacao!$C$7:$C$79</definedName>
    <definedName name="DadosExternos_48" localSheetId="2">'Cotacao 2'!$C$7:$C$79</definedName>
    <definedName name="DadosExternos_48" localSheetId="3">'Cotacao 3'!$C$7:$C$79</definedName>
    <definedName name="DadosExternos_48" localSheetId="4">'Cotacao 4'!$C$7:$C$79</definedName>
    <definedName name="DadosExternos_48" localSheetId="5">'Cotacao 5'!$C$7:$C$79</definedName>
    <definedName name="DadosExternos_49" localSheetId="1">Cotacao!$C$7:$C$80</definedName>
    <definedName name="DadosExternos_49" localSheetId="2">'Cotacao 2'!$C$7:$C$80</definedName>
    <definedName name="DadosExternos_49" localSheetId="3">'Cotacao 3'!$C$7:$C$80</definedName>
    <definedName name="DadosExternos_49" localSheetId="4">'Cotacao 4'!$C$7:$C$80</definedName>
    <definedName name="DadosExternos_49" localSheetId="5">'Cotacao 5'!$C$7:$C$80</definedName>
    <definedName name="DadosExternos_50" localSheetId="1">Cotacao!$C$7:$C$81</definedName>
    <definedName name="DadosExternos_50" localSheetId="2">'Cotacao 2'!$C$7:$C$81</definedName>
    <definedName name="DadosExternos_50" localSheetId="3">'Cotacao 3'!$C$7:$C$81</definedName>
    <definedName name="DadosExternos_50" localSheetId="4">'Cotacao 4'!$C$7:$C$81</definedName>
    <definedName name="DadosExternos_50" localSheetId="5">'Cotacao 5'!$C$7:$C$81</definedName>
    <definedName name="DadosExternos_51" localSheetId="1">Cotacao!$C$7:$C$82</definedName>
    <definedName name="DadosExternos_51" localSheetId="2">'Cotacao 2'!$C$7:$C$82</definedName>
    <definedName name="DadosExternos_51" localSheetId="3">'Cotacao 3'!$C$7:$C$82</definedName>
    <definedName name="DadosExternos_51" localSheetId="4">'Cotacao 4'!$C$7:$C$82</definedName>
    <definedName name="DadosExternos_51" localSheetId="5">'Cotacao 5'!$C$7:$C$82</definedName>
    <definedName name="DadosExternos_52" localSheetId="1">Cotacao!$C$7:$C$83</definedName>
    <definedName name="DadosExternos_52" localSheetId="2">'Cotacao 2'!$C$7:$C$83</definedName>
    <definedName name="DadosExternos_52" localSheetId="3">'Cotacao 3'!$C$7:$C$83</definedName>
    <definedName name="DadosExternos_52" localSheetId="4">'Cotacao 4'!$C$7:$C$83</definedName>
    <definedName name="DadosExternos_52" localSheetId="5">'Cotacao 5'!$C$7:$C$83</definedName>
    <definedName name="DadosExternos_53" localSheetId="1">Cotacao!$C$7:$C$84</definedName>
    <definedName name="DadosExternos_53" localSheetId="2">'Cotacao 2'!$C$7:$C$84</definedName>
    <definedName name="DadosExternos_53" localSheetId="3">'Cotacao 3'!$C$7:$C$84</definedName>
    <definedName name="DadosExternos_53" localSheetId="4">'Cotacao 4'!$C$7:$C$84</definedName>
    <definedName name="DadosExternos_53" localSheetId="5">'Cotacao 5'!$C$7:$C$84</definedName>
    <definedName name="DadosExternos_54" localSheetId="1">Cotacao!$C$7:$C$96</definedName>
    <definedName name="DadosExternos_54" localSheetId="2">'Cotacao 2'!$C$7:$C$96</definedName>
    <definedName name="DadosExternos_54" localSheetId="3">'Cotacao 3'!$C$7:$C$96</definedName>
    <definedName name="DadosExternos_54" localSheetId="4">'Cotacao 4'!$C$7:$C$96</definedName>
    <definedName name="DadosExternos_54" localSheetId="5">'Cotacao 5'!$C$7:$C$96</definedName>
    <definedName name="DadosExternos_55" localSheetId="1">Cotacao!$C$7:$C$96</definedName>
    <definedName name="DadosExternos_55" localSheetId="2">'Cotacao 2'!$C$7:$C$96</definedName>
    <definedName name="DadosExternos_55" localSheetId="3">'Cotacao 3'!$C$7:$C$96</definedName>
    <definedName name="DadosExternos_55" localSheetId="4">'Cotacao 4'!$C$7:$C$96</definedName>
    <definedName name="DadosExternos_55" localSheetId="5">'Cotacao 5'!$C$7:$C$96</definedName>
    <definedName name="DadosExternos_56" localSheetId="1">Cotacao!$C$7:$C$96</definedName>
    <definedName name="DadosExternos_56" localSheetId="2">'Cotacao 2'!$C$7:$C$96</definedName>
    <definedName name="DadosExternos_56" localSheetId="3">'Cotacao 3'!$C$7:$C$96</definedName>
    <definedName name="DadosExternos_56" localSheetId="4">'Cotacao 4'!$C$7:$C$96</definedName>
    <definedName name="DadosExternos_56" localSheetId="5">'Cotacao 5'!$C$7:$C$96</definedName>
    <definedName name="DadosExternos_57" localSheetId="1">Cotacao!$C$7:$C$96</definedName>
    <definedName name="DadosExternos_57" localSheetId="2">'Cotacao 2'!$C$7:$C$96</definedName>
    <definedName name="DadosExternos_57" localSheetId="3">'Cotacao 3'!$C$7:$C$96</definedName>
    <definedName name="DadosExternos_57" localSheetId="4">'Cotacao 4'!$C$7:$C$96</definedName>
    <definedName name="DadosExternos_57" localSheetId="5">'Cotacao 5'!$C$7:$C$96</definedName>
    <definedName name="DadosExternos_58" localSheetId="1">Cotacao!$C$7:$C$96</definedName>
    <definedName name="DadosExternos_58" localSheetId="2">'Cotacao 2'!$C$7:$C$96</definedName>
    <definedName name="DadosExternos_58" localSheetId="3">'Cotacao 3'!$C$7:$C$96</definedName>
    <definedName name="DadosExternos_58" localSheetId="4">'Cotacao 4'!$C$7:$C$96</definedName>
    <definedName name="DadosExternos_58" localSheetId="5">'Cotacao 5'!$C$7:$C$96</definedName>
    <definedName name="DadosExternos_59" localSheetId="1">Cotacao!$C$7:$C$96</definedName>
    <definedName name="DadosExternos_59" localSheetId="2">'Cotacao 2'!$C$7:$C$96</definedName>
    <definedName name="DadosExternos_59" localSheetId="3">'Cotacao 3'!$C$7:$C$96</definedName>
    <definedName name="DadosExternos_59" localSheetId="4">'Cotacao 4'!$C$7:$C$96</definedName>
    <definedName name="DadosExternos_59" localSheetId="5">'Cotacao 5'!$C$7:$C$96</definedName>
    <definedName name="DadosExternos_6" localSheetId="1">Cotacao!$C$7:$C$63</definedName>
    <definedName name="DadosExternos_6" localSheetId="2">'Cotacao 2'!$C$7:$C$63</definedName>
    <definedName name="DadosExternos_6" localSheetId="3">'Cotacao 3'!$C$7:$C$63</definedName>
    <definedName name="DadosExternos_6" localSheetId="4">'Cotacao 4'!$C$7:$C$63</definedName>
    <definedName name="DadosExternos_6" localSheetId="5">'Cotacao 5'!$C$7:$C$63</definedName>
    <definedName name="DadosExternos_60" localSheetId="1">Cotacao!$C$7:$C$97</definedName>
    <definedName name="DadosExternos_60" localSheetId="2">'Cotacao 2'!$C$7:$C$97</definedName>
    <definedName name="DadosExternos_60" localSheetId="3">'Cotacao 3'!$C$7:$C$97</definedName>
    <definedName name="DadosExternos_60" localSheetId="4">'Cotacao 4'!$C$7:$C$97</definedName>
    <definedName name="DadosExternos_60" localSheetId="5">'Cotacao 5'!$C$7:$C$97</definedName>
    <definedName name="DadosExternos_61" localSheetId="1">Cotacao!$C$7:$C$97</definedName>
    <definedName name="DadosExternos_61" localSheetId="2">'Cotacao 2'!$C$7:$C$97</definedName>
    <definedName name="DadosExternos_61" localSheetId="3">'Cotacao 3'!$C$7:$C$97</definedName>
    <definedName name="DadosExternos_61" localSheetId="4">'Cotacao 4'!$C$7:$C$97</definedName>
    <definedName name="DadosExternos_61" localSheetId="5">'Cotacao 5'!$C$7:$C$97</definedName>
    <definedName name="DadosExternos_62" localSheetId="1">Cotacao!$C$7:$C$103</definedName>
    <definedName name="DadosExternos_62" localSheetId="2">'Cotacao 2'!$C$7:$C$103</definedName>
    <definedName name="DadosExternos_62" localSheetId="3">'Cotacao 3'!$C$7:$C$103</definedName>
    <definedName name="DadosExternos_62" localSheetId="4">'Cotacao 4'!$C$7:$C$103</definedName>
    <definedName name="DadosExternos_62" localSheetId="5">'Cotacao 5'!$C$7:$C$103</definedName>
    <definedName name="DadosExternos_63" localSheetId="1">Cotacao!$C$7:$C$106</definedName>
    <definedName name="DadosExternos_63" localSheetId="2">'Cotacao 2'!$C$7:$C$106</definedName>
    <definedName name="DadosExternos_63" localSheetId="3">'Cotacao 3'!$C$7:$C$106</definedName>
    <definedName name="DadosExternos_63" localSheetId="4">'Cotacao 4'!$C$7:$C$106</definedName>
    <definedName name="DadosExternos_63" localSheetId="5">'Cotacao 5'!$C$7:$C$106</definedName>
    <definedName name="DadosExternos_64" localSheetId="1">Cotacao!$C$7:$C$106</definedName>
    <definedName name="DadosExternos_64" localSheetId="2">'Cotacao 2'!$C$7:$C$106</definedName>
    <definedName name="DadosExternos_64" localSheetId="3">'Cotacao 3'!$C$7:$C$106</definedName>
    <definedName name="DadosExternos_64" localSheetId="4">'Cotacao 4'!$C$7:$C$106</definedName>
    <definedName name="DadosExternos_64" localSheetId="5">'Cotacao 5'!$C$7:$C$106</definedName>
    <definedName name="DadosExternos_65" localSheetId="1">Cotacao!$C$7:$C$109</definedName>
    <definedName name="DadosExternos_65" localSheetId="2">'Cotacao 2'!$C$7:$C$109</definedName>
    <definedName name="DadosExternos_65" localSheetId="3">'Cotacao 3'!$C$7:$C$109</definedName>
    <definedName name="DadosExternos_65" localSheetId="4">'Cotacao 4'!$C$7:$C$109</definedName>
    <definedName name="DadosExternos_65" localSheetId="5">'Cotacao 5'!$C$7:$C$109</definedName>
    <definedName name="DadosExternos_66" localSheetId="1">Cotacao!$C$7:$C$111</definedName>
    <definedName name="DadosExternos_66" localSheetId="2">'Cotacao 2'!$C$7:$C$111</definedName>
    <definedName name="DadosExternos_66" localSheetId="3">'Cotacao 3'!$C$7:$C$111</definedName>
    <definedName name="DadosExternos_66" localSheetId="4">'Cotacao 4'!$C$7:$C$111</definedName>
    <definedName name="DadosExternos_66" localSheetId="5">'Cotacao 5'!$C$7:$C$111</definedName>
    <definedName name="DadosExternos_67" localSheetId="1">Cotacao!$C$7:$C$112</definedName>
    <definedName name="DadosExternos_67" localSheetId="2">'Cotacao 2'!$C$7:$C$112</definedName>
    <definedName name="DadosExternos_67" localSheetId="3">'Cotacao 3'!$C$7:$C$112</definedName>
    <definedName name="DadosExternos_67" localSheetId="4">'Cotacao 4'!$C$7:$C$112</definedName>
    <definedName name="DadosExternos_67" localSheetId="5">'Cotacao 5'!$C$7:$C$112</definedName>
    <definedName name="DadosExternos_68" localSheetId="1">Cotacao!$C$7:$C$110</definedName>
    <definedName name="DadosExternos_68" localSheetId="2">'Cotacao 2'!$C$7:$C$110</definedName>
    <definedName name="DadosExternos_68" localSheetId="3">'Cotacao 3'!$C$7:$C$110</definedName>
    <definedName name="DadosExternos_68" localSheetId="4">'Cotacao 4'!$C$7:$C$110</definedName>
    <definedName name="DadosExternos_68" localSheetId="5">'Cotacao 5'!$C$7:$C$110</definedName>
    <definedName name="DadosExternos_69" localSheetId="1">Cotacao!$C$7:$C$110</definedName>
    <definedName name="DadosExternos_69" localSheetId="2">'Cotacao 2'!$C$7:$C$110</definedName>
    <definedName name="DadosExternos_69" localSheetId="3">'Cotacao 3'!$C$7:$C$110</definedName>
    <definedName name="DadosExternos_69" localSheetId="4">'Cotacao 4'!$C$7:$C$110</definedName>
    <definedName name="DadosExternos_69" localSheetId="5">'Cotacao 5'!$C$7:$C$110</definedName>
    <definedName name="DadosExternos_7" localSheetId="1">Cotacao!$C$7:$C$63</definedName>
    <definedName name="DadosExternos_7" localSheetId="2">'Cotacao 2'!$C$7:$C$63</definedName>
    <definedName name="DadosExternos_7" localSheetId="3">'Cotacao 3'!$C$7:$C$63</definedName>
    <definedName name="DadosExternos_7" localSheetId="4">'Cotacao 4'!$C$7:$C$63</definedName>
    <definedName name="DadosExternos_7" localSheetId="5">'Cotacao 5'!$C$7:$C$63</definedName>
    <definedName name="DadosExternos_70" localSheetId="1">Cotacao!$C$7:$C$110</definedName>
    <definedName name="DadosExternos_70" localSheetId="2">'Cotacao 2'!$C$7:$C$110</definedName>
    <definedName name="DadosExternos_70" localSheetId="3">'Cotacao 3'!$C$7:$C$110</definedName>
    <definedName name="DadosExternos_70" localSheetId="4">'Cotacao 4'!$C$7:$C$110</definedName>
    <definedName name="DadosExternos_70" localSheetId="5">'Cotacao 5'!$C$7:$C$110</definedName>
    <definedName name="DadosExternos_71" localSheetId="1">Cotacao!$C$7:$C$110</definedName>
    <definedName name="DadosExternos_71" localSheetId="2">'Cotacao 2'!$C$7:$C$110</definedName>
    <definedName name="DadosExternos_71" localSheetId="3">'Cotacao 3'!$C$7:$C$110</definedName>
    <definedName name="DadosExternos_71" localSheetId="4">'Cotacao 4'!$C$7:$C$110</definedName>
    <definedName name="DadosExternos_71" localSheetId="5">'Cotacao 5'!$C$7:$C$110</definedName>
    <definedName name="DadosExternos_72" localSheetId="1">Cotacao!$C$7:$C$112</definedName>
    <definedName name="DadosExternos_72" localSheetId="2">'Cotacao 2'!$C$7:$C$112</definedName>
    <definedName name="DadosExternos_72" localSheetId="3">'Cotacao 3'!$C$7:$C$112</definedName>
    <definedName name="DadosExternos_72" localSheetId="4">'Cotacao 4'!$C$7:$C$112</definedName>
    <definedName name="DadosExternos_72" localSheetId="5">'Cotacao 5'!$C$7:$C$112</definedName>
    <definedName name="DadosExternos_73" localSheetId="1">Cotacao!$C$7:$C$114</definedName>
    <definedName name="DadosExternos_73" localSheetId="2">'Cotacao 2'!$C$7:$C$114</definedName>
    <definedName name="DadosExternos_73" localSheetId="3">'Cotacao 3'!$C$7:$C$114</definedName>
    <definedName name="DadosExternos_73" localSheetId="4">'Cotacao 4'!$C$7:$C$114</definedName>
    <definedName name="DadosExternos_73" localSheetId="5">'Cotacao 5'!$C$7:$C$114</definedName>
    <definedName name="DadosExternos_8" localSheetId="1">Cotacao!$C$7:$C$63</definedName>
    <definedName name="DadosExternos_8" localSheetId="2">'Cotacao 2'!$C$7:$C$63</definedName>
    <definedName name="DadosExternos_8" localSheetId="3">'Cotacao 3'!$C$7:$C$63</definedName>
    <definedName name="DadosExternos_8" localSheetId="4">'Cotacao 4'!$C$7:$C$63</definedName>
    <definedName name="DadosExternos_8" localSheetId="5">'Cotacao 5'!$C$7:$C$63</definedName>
    <definedName name="DadosExternos_9" localSheetId="1">Cotacao!$C$7:$C$63</definedName>
    <definedName name="DadosExternos_9" localSheetId="2">'Cotacao 2'!$C$7:$C$63</definedName>
    <definedName name="DadosExternos_9" localSheetId="3">'Cotacao 3'!$C$7:$C$63</definedName>
    <definedName name="DadosExternos_9" localSheetId="4">'Cotacao 4'!$C$7:$C$63</definedName>
    <definedName name="DadosExternos_9" localSheetId="5">'Cotacao 5'!$C$7:$C$63</definedName>
    <definedName name="DadosExternos_90" localSheetId="1">Cotacao!$C$7:$C$114</definedName>
    <definedName name="DadosExternos_90" localSheetId="2">'Cotacao 2'!$C$7:$C$114</definedName>
    <definedName name="DadosExternos_90" localSheetId="3">'Cotacao 3'!$C$7:$C$114</definedName>
    <definedName name="DadosExternos_90" localSheetId="4">'Cotacao 4'!$C$7:$C$114</definedName>
    <definedName name="DadosExternos_90" localSheetId="5">'Cotacao 5'!$C$7:$C$114</definedName>
    <definedName name="DadosExternos_96" localSheetId="1">Cotacao!$C$7:$C$114</definedName>
    <definedName name="DadosExternos_96" localSheetId="2">'Cotacao 2'!$C$7:$C$114</definedName>
    <definedName name="DadosExternos_96" localSheetId="3">'Cotacao 3'!$C$7:$C$114</definedName>
    <definedName name="DadosExternos_96" localSheetId="4">'Cotacao 4'!$C$7:$C$114</definedName>
    <definedName name="DadosExternos_96" localSheetId="5">'Cotacao 5'!$C$7:$C$114</definedName>
    <definedName name="DadosExternos_97" localSheetId="1">Cotacao!$C$7:$C$114</definedName>
    <definedName name="DadosExternos_97" localSheetId="2">'Cotacao 2'!$C$7:$C$114</definedName>
    <definedName name="DadosExternos_97" localSheetId="3">'Cotacao 3'!$C$7:$C$114</definedName>
    <definedName name="DadosExternos_97" localSheetId="4">'Cotacao 4'!$C$7:$C$114</definedName>
    <definedName name="DadosExternos_97" localSheetId="5">'Cotacao 5'!$C$7:$C$114</definedName>
    <definedName name="DadosExternos_98" localSheetId="1">Cotacao!$C$7:$C$114</definedName>
    <definedName name="DadosExternos_98" localSheetId="2">'Cotacao 2'!$C$7:$C$114</definedName>
    <definedName name="DadosExternos_98" localSheetId="3">'Cotacao 3'!$C$7:$C$114</definedName>
    <definedName name="DadosExternos_98" localSheetId="4">'Cotacao 4'!$C$7:$C$114</definedName>
    <definedName name="DadosExternos_98" localSheetId="5">'Cotacao 5'!$C$7:$C$114</definedName>
    <definedName name="ExternalData_1" localSheetId="1">Cotacao!$C$7:$C$64</definedName>
    <definedName name="ExternalData_1" localSheetId="2">'Cotacao 2'!$C$7:$C$64</definedName>
    <definedName name="ExternalData_1" localSheetId="3">'Cotacao 3'!$C$7:$C$64</definedName>
    <definedName name="ExternalData_1" localSheetId="4">'Cotacao 4'!$C$7:$C$64</definedName>
    <definedName name="ExternalData_1" localSheetId="5">'Cotacao 5'!$C$7:$C$64</definedName>
    <definedName name="ExternalData_10" localSheetId="1">Cotacao!$C$7:$C$93</definedName>
    <definedName name="ExternalData_10" localSheetId="2">'Cotacao 2'!$C$7:$C$93</definedName>
    <definedName name="ExternalData_10" localSheetId="3">'Cotacao 3'!$C$7:$C$93</definedName>
    <definedName name="ExternalData_10" localSheetId="4">'Cotacao 4'!$C$7:$C$93</definedName>
    <definedName name="ExternalData_10" localSheetId="5">'Cotacao 5'!$C$7:$C$93</definedName>
    <definedName name="ExternalData_100" localSheetId="4">'Cotacao 4'!$C$7:$C$46</definedName>
    <definedName name="ExternalData_100" localSheetId="5">'Cotacao 5'!$C$7:$C$46</definedName>
    <definedName name="ExternalData_101" localSheetId="4">'Cotacao 4'!$C$7:$C$48</definedName>
    <definedName name="ExternalData_101" localSheetId="5">'Cotacao 5'!$C$7:$C$48</definedName>
    <definedName name="ExternalData_102" localSheetId="4">'Cotacao 4'!$C$7:$C$49</definedName>
    <definedName name="ExternalData_102" localSheetId="5">'Cotacao 5'!$C$7:$C$49</definedName>
    <definedName name="ExternalData_103" localSheetId="4">'Cotacao 4'!$C$7:$C$51</definedName>
    <definedName name="ExternalData_103" localSheetId="5">'Cotacao 5'!$C$7:$C$51</definedName>
    <definedName name="ExternalData_104" localSheetId="4">'Cotacao 4'!$C$7:$C$53</definedName>
    <definedName name="ExternalData_104" localSheetId="5">'Cotacao 5'!$C$7:$C$53</definedName>
    <definedName name="ExternalData_105" localSheetId="4">'Cotacao 4'!$C$7:$C$55</definedName>
    <definedName name="ExternalData_105" localSheetId="5">'Cotacao 5'!$C$7:$C$55</definedName>
    <definedName name="ExternalData_106" localSheetId="4">'Cotacao 4'!$C$7:$C$55</definedName>
    <definedName name="ExternalData_106" localSheetId="5">'Cotacao 5'!$C$7:$C$55</definedName>
    <definedName name="ExternalData_107" localSheetId="4">'Cotacao 4'!$C$7:$C$57</definedName>
    <definedName name="ExternalData_107" localSheetId="5">'Cotacao 5'!$C$7:$C$57</definedName>
    <definedName name="ExternalData_108" localSheetId="4">'Cotacao 4'!$C$7:$C$58</definedName>
    <definedName name="ExternalData_108" localSheetId="5">'Cotacao 5'!$C$7:$C$58</definedName>
    <definedName name="ExternalData_109" localSheetId="4">'Cotacao 4'!$C$7:$C$59</definedName>
    <definedName name="ExternalData_109" localSheetId="5">'Cotacao 5'!$C$7:$C$59</definedName>
    <definedName name="ExternalData_11" localSheetId="1">Cotacao!$C$7:$C$94</definedName>
    <definedName name="ExternalData_11" localSheetId="2">'Cotacao 2'!$C$7:$C$94</definedName>
    <definedName name="ExternalData_11" localSheetId="3">'Cotacao 3'!$C$7:$C$94</definedName>
    <definedName name="ExternalData_11" localSheetId="4">'Cotacao 4'!$C$7:$C$94</definedName>
    <definedName name="ExternalData_11" localSheetId="5">'Cotacao 5'!$C$7:$C$94</definedName>
    <definedName name="ExternalData_110" localSheetId="4">'Cotacao 4'!$C$7:$C$63</definedName>
    <definedName name="ExternalData_110" localSheetId="5">'Cotacao 5'!$C$7:$C$63</definedName>
    <definedName name="ExternalData_111" localSheetId="4">'Cotacao 4'!$C$7:$C$65</definedName>
    <definedName name="ExternalData_111" localSheetId="5">'Cotacao 5'!$C$7:$C$65</definedName>
    <definedName name="ExternalData_112" localSheetId="4">'Cotacao 4'!$C$7:$C$65</definedName>
    <definedName name="ExternalData_112" localSheetId="5">'Cotacao 5'!$C$7:$C$65</definedName>
    <definedName name="ExternalData_113" localSheetId="4">'Cotacao 4'!$C$7:$C$67</definedName>
    <definedName name="ExternalData_113" localSheetId="5">'Cotacao 5'!$C$7:$C$67</definedName>
    <definedName name="ExternalData_114" localSheetId="4">'Cotacao 4'!$C$7:$C$69</definedName>
    <definedName name="ExternalData_114" localSheetId="5">'Cotacao 5'!$C$7:$C$69</definedName>
    <definedName name="ExternalData_115" localSheetId="4">'Cotacao 4'!$C$7:$C$71</definedName>
    <definedName name="ExternalData_115" localSheetId="5">'Cotacao 5'!$C$7:$C$71</definedName>
    <definedName name="ExternalData_116" localSheetId="4">'Cotacao 4'!$C$7:$C$74</definedName>
    <definedName name="ExternalData_116" localSheetId="5">'Cotacao 5'!$C$7:$C$74</definedName>
    <definedName name="ExternalData_117" localSheetId="4">'Cotacao 4'!$C$7:$C$76</definedName>
    <definedName name="ExternalData_117" localSheetId="5">'Cotacao 5'!$C$7:$C$76</definedName>
    <definedName name="ExternalData_118" localSheetId="4">'Cotacao 4'!$C$7:$C$78</definedName>
    <definedName name="ExternalData_118" localSheetId="5">'Cotacao 5'!$C$7:$C$78</definedName>
    <definedName name="ExternalData_119" localSheetId="4">'Cotacao 4'!$C$7:$C$78</definedName>
    <definedName name="ExternalData_119" localSheetId="5">'Cotacao 5'!$C$7:$C$78</definedName>
    <definedName name="ExternalData_12" localSheetId="1">Cotacao!$C$7:$C$95</definedName>
    <definedName name="ExternalData_12" localSheetId="2">'Cotacao 2'!$C$7:$C$95</definedName>
    <definedName name="ExternalData_12" localSheetId="3">'Cotacao 3'!$C$7:$C$95</definedName>
    <definedName name="ExternalData_12" localSheetId="4">'Cotacao 4'!$C$7:$C$95</definedName>
    <definedName name="ExternalData_12" localSheetId="5">'Cotacao 5'!$C$7:$C$95</definedName>
    <definedName name="ExternalData_120" localSheetId="4">'Cotacao 4'!$C$7:$C$79</definedName>
    <definedName name="ExternalData_120" localSheetId="5">'Cotacao 5'!$C$7:$C$79</definedName>
    <definedName name="ExternalData_121" localSheetId="4">'Cotacao 4'!$C$7:$C$77</definedName>
    <definedName name="ExternalData_121" localSheetId="5">'Cotacao 5'!$C$7:$C$77</definedName>
    <definedName name="ExternalData_122" localSheetId="4">'Cotacao 4'!$C$7:$C$77</definedName>
    <definedName name="ExternalData_122" localSheetId="5">'Cotacao 5'!$C$7:$C$77</definedName>
    <definedName name="ExternalData_123" localSheetId="4">'Cotacao 4'!$C$7:$C$78</definedName>
    <definedName name="ExternalData_123" localSheetId="5">'Cotacao 5'!$C$7:$C$78</definedName>
    <definedName name="ExternalData_124" localSheetId="4">'Cotacao 4'!$C$7:$C$79</definedName>
    <definedName name="ExternalData_124" localSheetId="5">'Cotacao 5'!$C$7:$C$79</definedName>
    <definedName name="ExternalData_125" localSheetId="4">'Cotacao 4'!$C$7:$C$80</definedName>
    <definedName name="ExternalData_125" localSheetId="5">'Cotacao 5'!$C$7:$C$80</definedName>
    <definedName name="ExternalData_126" localSheetId="4">'Cotacao 4'!$C$7:$C$82</definedName>
    <definedName name="ExternalData_126" localSheetId="5">'Cotacao 5'!$C$7:$C$82</definedName>
    <definedName name="ExternalData_127" localSheetId="4">'Cotacao 4'!$C$7:$C$84</definedName>
    <definedName name="ExternalData_127" localSheetId="5">'Cotacao 5'!$C$7:$C$84</definedName>
    <definedName name="ExternalData_128" localSheetId="4">'Cotacao 4'!$C$7:$C$86</definedName>
    <definedName name="ExternalData_128" localSheetId="5">'Cotacao 5'!$C$7:$C$86</definedName>
    <definedName name="ExternalData_129" localSheetId="4">'Cotacao 4'!$C$7:$C$87</definedName>
    <definedName name="ExternalData_129" localSheetId="5">'Cotacao 5'!$C$7:$C$87</definedName>
    <definedName name="ExternalData_13" localSheetId="1">Cotacao!$C$7:$C$96</definedName>
    <definedName name="ExternalData_13" localSheetId="2">'Cotacao 2'!$C$7:$C$96</definedName>
    <definedName name="ExternalData_13" localSheetId="3">'Cotacao 3'!$C$7:$C$96</definedName>
    <definedName name="ExternalData_13" localSheetId="4">'Cotacao 4'!$C$7:$C$96</definedName>
    <definedName name="ExternalData_13" localSheetId="5">'Cotacao 5'!$C$7:$C$96</definedName>
    <definedName name="ExternalData_130" localSheetId="4">'Cotacao 4'!$C$7:$C$88</definedName>
    <definedName name="ExternalData_130" localSheetId="5">'Cotacao 5'!$C$7:$C$88</definedName>
    <definedName name="ExternalData_131" localSheetId="4">'Cotacao 4'!$C$7:$C$91</definedName>
    <definedName name="ExternalData_131" localSheetId="5">'Cotacao 5'!$C$7:$C$91</definedName>
    <definedName name="ExternalData_132" localSheetId="4">'Cotacao 4'!$C$7:$C$92</definedName>
    <definedName name="ExternalData_132" localSheetId="5">'Cotacao 5'!$C$7:$C$92</definedName>
    <definedName name="ExternalData_133" localSheetId="4">'Cotacao 4'!$C$7:$C$94</definedName>
    <definedName name="ExternalData_133" localSheetId="5">'Cotacao 5'!$C$7:$C$94</definedName>
    <definedName name="ExternalData_134" localSheetId="4">'Cotacao 4'!$C$7:$C$102</definedName>
    <definedName name="ExternalData_134" localSheetId="5">'Cotacao 5'!$C$7:$C$102</definedName>
    <definedName name="ExternalData_135" localSheetId="4">'Cotacao 4'!$C$7:$C$112</definedName>
    <definedName name="ExternalData_135" localSheetId="5">'Cotacao 5'!$C$7:$C$112</definedName>
    <definedName name="ExternalData_136" localSheetId="4">'Cotacao 4'!$C$7:$C$112</definedName>
    <definedName name="ExternalData_136" localSheetId="5">'Cotacao 5'!$C$7:$C$19</definedName>
    <definedName name="ExternalData_137" localSheetId="4">'Cotacao 4'!$C$7:$C$112</definedName>
    <definedName name="ExternalData_137" localSheetId="5">'Cotacao 5'!$C$7:$C$16</definedName>
    <definedName name="ExternalData_138" localSheetId="4">'Cotacao 4'!$C$7:$C$112</definedName>
    <definedName name="ExternalData_138" localSheetId="5">'Cotacao 5'!$C$7:$C$16</definedName>
    <definedName name="ExternalData_139" localSheetId="4">'Cotacao 4'!$C$7:$C$112</definedName>
    <definedName name="ExternalData_139" localSheetId="5">'Cotacao 5'!$C$7:$C$21</definedName>
    <definedName name="ExternalData_14" localSheetId="1">Cotacao!$C$7:$C$98</definedName>
    <definedName name="ExternalData_14" localSheetId="2">'Cotacao 2'!$C$7:$C$98</definedName>
    <definedName name="ExternalData_14" localSheetId="3">'Cotacao 3'!$C$7:$C$98</definedName>
    <definedName name="ExternalData_14" localSheetId="4">'Cotacao 4'!$C$7:$C$98</definedName>
    <definedName name="ExternalData_14" localSheetId="5">'Cotacao 5'!$C$7:$C$98</definedName>
    <definedName name="ExternalData_140" localSheetId="4">'Cotacao 4'!$C$7:$C$112</definedName>
    <definedName name="ExternalData_140" localSheetId="5">'Cotacao 5'!$C$7:$C$23</definedName>
    <definedName name="ExternalData_141" localSheetId="5">'Cotacao 5'!$C$7:$C$28</definedName>
    <definedName name="ExternalData_142" localSheetId="5">'Cotacao 5'!$C$7:$C$37</definedName>
    <definedName name="ExternalData_143" localSheetId="5">'Cotacao 5'!$C$7:$C$37</definedName>
    <definedName name="ExternalData_144" localSheetId="5">'Cotacao 5'!$C$7:$C$36</definedName>
    <definedName name="ExternalData_145" localSheetId="5">'Cotacao 5'!$C$7:$C$40</definedName>
    <definedName name="ExternalData_146" localSheetId="5">'Cotacao 5'!$C$7:$C$46</definedName>
    <definedName name="ExternalData_147" localSheetId="5">'Cotacao 5'!$C$7:$C$48</definedName>
    <definedName name="ExternalData_148" localSheetId="5">'Cotacao 5'!$C$7:$C$51</definedName>
    <definedName name="ExternalData_149" localSheetId="5">'Cotacao 5'!$C$7:$C$54</definedName>
    <definedName name="ExternalData_15" localSheetId="1">Cotacao!$C$7:$C$100</definedName>
    <definedName name="ExternalData_15" localSheetId="2">'Cotacao 2'!$C$7:$C$100</definedName>
    <definedName name="ExternalData_15" localSheetId="3">'Cotacao 3'!$C$7:$C$100</definedName>
    <definedName name="ExternalData_15" localSheetId="4">'Cotacao 4'!$C$7:$C$100</definedName>
    <definedName name="ExternalData_15" localSheetId="5">'Cotacao 5'!$C$7:$C$100</definedName>
    <definedName name="ExternalData_150" localSheetId="5">'Cotacao 5'!$C$7:$C$56</definedName>
    <definedName name="ExternalData_151" localSheetId="5">'Cotacao 5'!$C$7:$C$60</definedName>
    <definedName name="ExternalData_152" localSheetId="5">'Cotacao 5'!$C$7:$C$58</definedName>
    <definedName name="ExternalData_153" localSheetId="5">'Cotacao 5'!$C$7:$C$59</definedName>
    <definedName name="ExternalData_154" localSheetId="5">'Cotacao 5'!$C$7:$C$61</definedName>
    <definedName name="ExternalData_155" localSheetId="5">'Cotacao 5'!$C$7:$C$65</definedName>
    <definedName name="ExternalData_156" localSheetId="5">'Cotacao 5'!$C$7:$C$67</definedName>
    <definedName name="ExternalData_157" localSheetId="5">'Cotacao 5'!$C$7:$C$67</definedName>
    <definedName name="ExternalData_158" localSheetId="5">'Cotacao 5'!$C$7:$C$74</definedName>
    <definedName name="ExternalData_159" localSheetId="5">'Cotacao 5'!$C$7:$C$77</definedName>
    <definedName name="ExternalData_16" localSheetId="1">Cotacao!$C$7:$C$101</definedName>
    <definedName name="ExternalData_16" localSheetId="2">'Cotacao 2'!$C$7:$C$101</definedName>
    <definedName name="ExternalData_16" localSheetId="3">'Cotacao 3'!$C$7:$C$101</definedName>
    <definedName name="ExternalData_16" localSheetId="4">'Cotacao 4'!$C$7:$C$101</definedName>
    <definedName name="ExternalData_16" localSheetId="5">'Cotacao 5'!$C$7:$C$101</definedName>
    <definedName name="ExternalData_160" localSheetId="5">'Cotacao 5'!$C$7:$C$78</definedName>
    <definedName name="ExternalData_161" localSheetId="5">'Cotacao 5'!$C$7:$C$80</definedName>
    <definedName name="ExternalData_162" localSheetId="5">'Cotacao 5'!$C$7:$C$95</definedName>
    <definedName name="ExternalData_163" localSheetId="5">'Cotacao 5'!$C$7:$C$95</definedName>
    <definedName name="ExternalData_164" localSheetId="5">'Cotacao 5'!$C$7:$C$96</definedName>
    <definedName name="ExternalData_165" localSheetId="5">'Cotacao 5'!$C$7:$C$97</definedName>
    <definedName name="ExternalData_166" localSheetId="5">'Cotacao 5'!$C$7:$C$98</definedName>
    <definedName name="ExternalData_167" localSheetId="5">'Cotacao 5'!$C$7:$C$98</definedName>
    <definedName name="ExternalData_168" localSheetId="5">'Cotacao 5'!$C$7:$C$98</definedName>
    <definedName name="ExternalData_17" localSheetId="1">Cotacao!$C$7:$C$110</definedName>
    <definedName name="ExternalData_17" localSheetId="2">'Cotacao 2'!$C$7:$C$110</definedName>
    <definedName name="ExternalData_17" localSheetId="3">'Cotacao 3'!$C$7:$C$110</definedName>
    <definedName name="ExternalData_17" localSheetId="4">'Cotacao 4'!$C$7:$C$110</definedName>
    <definedName name="ExternalData_17" localSheetId="5">'Cotacao 5'!$C$7:$C$110</definedName>
    <definedName name="ExternalData_18" localSheetId="1">Cotacao!$C$7:$C$111</definedName>
    <definedName name="ExternalData_18" localSheetId="2">'Cotacao 2'!$C$7:$C$111</definedName>
    <definedName name="ExternalData_18" localSheetId="3">'Cotacao 3'!$C$7:$C$111</definedName>
    <definedName name="ExternalData_18" localSheetId="4">'Cotacao 4'!$C$7:$C$111</definedName>
    <definedName name="ExternalData_18" localSheetId="5">'Cotacao 5'!$C$7:$C$111</definedName>
    <definedName name="ExternalData_19" localSheetId="1">Cotacao!$C$7:$C$113</definedName>
    <definedName name="ExternalData_19" localSheetId="2">'Cotacao 2'!$C$7:$C$113</definedName>
    <definedName name="ExternalData_19" localSheetId="3">'Cotacao 3'!$C$7:$C$113</definedName>
    <definedName name="ExternalData_19" localSheetId="4">'Cotacao 4'!$C$7:$C$113</definedName>
    <definedName name="ExternalData_19" localSheetId="5">'Cotacao 5'!$C$7:$C$113</definedName>
    <definedName name="ExternalData_2" localSheetId="1">Cotacao!$C$7:$C$85</definedName>
    <definedName name="ExternalData_2" localSheetId="2">'Cotacao 2'!$C$7:$C$85</definedName>
    <definedName name="ExternalData_2" localSheetId="3">'Cotacao 3'!$C$7:$C$85</definedName>
    <definedName name="ExternalData_2" localSheetId="4">'Cotacao 4'!$C$7:$C$85</definedName>
    <definedName name="ExternalData_2" localSheetId="5">'Cotacao 5'!$C$7:$C$85</definedName>
    <definedName name="ExternalData_20" localSheetId="1">Cotacao!$C$7:$C$111</definedName>
    <definedName name="ExternalData_20" localSheetId="2">'Cotacao 2'!$C$7:$C$111</definedName>
    <definedName name="ExternalData_20" localSheetId="3">'Cotacao 3'!$C$7:$C$111</definedName>
    <definedName name="ExternalData_20" localSheetId="4">'Cotacao 4'!$C$7:$C$111</definedName>
    <definedName name="ExternalData_20" localSheetId="5">'Cotacao 5'!$C$7:$C$111</definedName>
    <definedName name="ExternalData_21" localSheetId="1">Cotacao!$C$7:$C$112</definedName>
    <definedName name="ExternalData_21" localSheetId="2">'Cotacao 2'!$C$7:$C$112</definedName>
    <definedName name="ExternalData_21" localSheetId="3">'Cotacao 3'!$C$7:$C$112</definedName>
    <definedName name="ExternalData_21" localSheetId="4">'Cotacao 4'!$C$7:$C$112</definedName>
    <definedName name="ExternalData_21" localSheetId="5">'Cotacao 5'!$C$7:$C$112</definedName>
    <definedName name="ExternalData_22" localSheetId="1">Cotacao!$C$7:$C$113</definedName>
    <definedName name="ExternalData_22" localSheetId="2">'Cotacao 2'!$C$7:$C$23</definedName>
    <definedName name="ExternalData_22" localSheetId="3">'Cotacao 3'!$C$7:$C$23</definedName>
    <definedName name="ExternalData_22" localSheetId="4">'Cotacao 4'!$C$7:$C$23</definedName>
    <definedName name="ExternalData_22" localSheetId="5">'Cotacao 5'!$C$7:$C$23</definedName>
    <definedName name="ExternalData_23" localSheetId="1">Cotacao!$C$7:$C$113</definedName>
    <definedName name="ExternalData_23" localSheetId="2">'Cotacao 2'!$C$7:$C$23</definedName>
    <definedName name="ExternalData_23" localSheetId="3">'Cotacao 3'!$C$7:$C$23</definedName>
    <definedName name="ExternalData_23" localSheetId="4">'Cotacao 4'!$C$7:$C$23</definedName>
    <definedName name="ExternalData_23" localSheetId="5">'Cotacao 5'!$C$7:$C$23</definedName>
    <definedName name="ExternalData_24" localSheetId="1">Cotacao!$C$7:$C$113</definedName>
    <definedName name="ExternalData_24" localSheetId="2">'Cotacao 2'!$C$7:$C$24</definedName>
    <definedName name="ExternalData_24" localSheetId="3">'Cotacao 3'!$C$7:$C$24</definedName>
    <definedName name="ExternalData_24" localSheetId="4">'Cotacao 4'!$C$7:$C$24</definedName>
    <definedName name="ExternalData_24" localSheetId="5">'Cotacao 5'!$C$7:$C$24</definedName>
    <definedName name="ExternalData_25" localSheetId="2">'Cotacao 2'!$C$7:$C$26</definedName>
    <definedName name="ExternalData_25" localSheetId="3">'Cotacao 3'!$C$7:$C$26</definedName>
    <definedName name="ExternalData_25" localSheetId="4">'Cotacao 4'!$C$7:$C$26</definedName>
    <definedName name="ExternalData_25" localSheetId="5">'Cotacao 5'!$C$7:$C$26</definedName>
    <definedName name="ExternalData_26" localSheetId="1">Cotacao!$C$7:$C$113</definedName>
    <definedName name="ExternalData_26" localSheetId="2">'Cotacao 2'!$C$7:$C$27</definedName>
    <definedName name="ExternalData_26" localSheetId="3">'Cotacao 3'!$C$7:$C$27</definedName>
    <definedName name="ExternalData_26" localSheetId="4">'Cotacao 4'!$C$7:$C$27</definedName>
    <definedName name="ExternalData_26" localSheetId="5">'Cotacao 5'!$C$7:$C$27</definedName>
    <definedName name="ExternalData_27" localSheetId="1">Cotacao!$C$7:$C$113</definedName>
    <definedName name="ExternalData_27" localSheetId="2">'Cotacao 2'!$C$7:$C$29</definedName>
    <definedName name="ExternalData_27" localSheetId="3">'Cotacao 3'!$C$7:$C$29</definedName>
    <definedName name="ExternalData_27" localSheetId="4">'Cotacao 4'!$C$7:$C$29</definedName>
    <definedName name="ExternalData_27" localSheetId="5">'Cotacao 5'!$C$7:$C$29</definedName>
    <definedName name="ExternalData_28" localSheetId="1">Cotacao!$C$7:$C$113</definedName>
    <definedName name="ExternalData_28" localSheetId="2">'Cotacao 2'!$C$7:$C$28</definedName>
    <definedName name="ExternalData_28" localSheetId="3">'Cotacao 3'!$C$7:$C$28</definedName>
    <definedName name="ExternalData_28" localSheetId="4">'Cotacao 4'!$C$7:$C$28</definedName>
    <definedName name="ExternalData_28" localSheetId="5">'Cotacao 5'!$C$7:$C$28</definedName>
    <definedName name="ExternalData_29" localSheetId="1">Cotacao!$C$7:$C$113</definedName>
    <definedName name="ExternalData_29" localSheetId="2">'Cotacao 2'!$C$7:$C$28</definedName>
    <definedName name="ExternalData_29" localSheetId="3">'Cotacao 3'!$C$7:$C$28</definedName>
    <definedName name="ExternalData_29" localSheetId="4">'Cotacao 4'!$C$7:$C$28</definedName>
    <definedName name="ExternalData_29" localSheetId="5">'Cotacao 5'!$C$7:$C$28</definedName>
    <definedName name="ExternalData_3" localSheetId="1">Cotacao!$C$7:$C$86</definedName>
    <definedName name="ExternalData_3" localSheetId="2">'Cotacao 2'!$C$7:$C$86</definedName>
    <definedName name="ExternalData_3" localSheetId="3">'Cotacao 3'!$C$7:$C$86</definedName>
    <definedName name="ExternalData_3" localSheetId="4">'Cotacao 4'!$C$7:$C$86</definedName>
    <definedName name="ExternalData_3" localSheetId="5">'Cotacao 5'!$C$7:$C$86</definedName>
    <definedName name="ExternalData_30" localSheetId="1">Cotacao!$C$7:$C$113</definedName>
    <definedName name="ExternalData_30" localSheetId="2">'Cotacao 2'!$C$7:$C$29</definedName>
    <definedName name="ExternalData_30" localSheetId="3">'Cotacao 3'!$C$7:$C$29</definedName>
    <definedName name="ExternalData_30" localSheetId="4">'Cotacao 4'!$C$7:$C$29</definedName>
    <definedName name="ExternalData_30" localSheetId="5">'Cotacao 5'!$C$7:$C$29</definedName>
    <definedName name="ExternalData_31" localSheetId="1">Cotacao!$C$7:$C$113</definedName>
    <definedName name="ExternalData_31" localSheetId="2">'Cotacao 2'!$C$7:$C$30</definedName>
    <definedName name="ExternalData_31" localSheetId="3">'Cotacao 3'!$C$7:$C$30</definedName>
    <definedName name="ExternalData_31" localSheetId="4">'Cotacao 4'!$C$7:$C$30</definedName>
    <definedName name="ExternalData_31" localSheetId="5">'Cotacao 5'!$C$7:$C$30</definedName>
    <definedName name="ExternalData_32" localSheetId="1">Cotacao!$C$7:$C$113</definedName>
    <definedName name="ExternalData_32" localSheetId="2">'Cotacao 2'!$C$7:$C$32</definedName>
    <definedName name="ExternalData_32" localSheetId="3">'Cotacao 3'!$C$7:$C$32</definedName>
    <definedName name="ExternalData_32" localSheetId="4">'Cotacao 4'!$C$7:$C$32</definedName>
    <definedName name="ExternalData_32" localSheetId="5">'Cotacao 5'!$C$7:$C$32</definedName>
    <definedName name="ExternalData_33" localSheetId="1">Cotacao!$C$7:$C$113</definedName>
    <definedName name="ExternalData_33" localSheetId="2">'Cotacao 2'!$C$7:$C$32</definedName>
    <definedName name="ExternalData_33" localSheetId="3">'Cotacao 3'!$C$7:$C$32</definedName>
    <definedName name="ExternalData_33" localSheetId="4">'Cotacao 4'!$C$7:$C$32</definedName>
    <definedName name="ExternalData_33" localSheetId="5">'Cotacao 5'!$C$7:$C$32</definedName>
    <definedName name="ExternalData_34" localSheetId="2">'Cotacao 2'!$C$7:$C$34</definedName>
    <definedName name="ExternalData_34" localSheetId="3">'Cotacao 3'!$C$7:$C$34</definedName>
    <definedName name="ExternalData_34" localSheetId="4">'Cotacao 4'!$C$7:$C$34</definedName>
    <definedName name="ExternalData_34" localSheetId="5">'Cotacao 5'!$C$7:$C$34</definedName>
    <definedName name="ExternalData_35" localSheetId="2">'Cotacao 2'!$C$7:$C$36</definedName>
    <definedName name="ExternalData_35" localSheetId="3">'Cotacao 3'!$C$7:$C$36</definedName>
    <definedName name="ExternalData_35" localSheetId="4">'Cotacao 4'!$C$7:$C$36</definedName>
    <definedName name="ExternalData_35" localSheetId="5">'Cotacao 5'!$C$7:$C$36</definedName>
    <definedName name="ExternalData_36" localSheetId="2">'Cotacao 2'!$C$7:$C$39</definedName>
    <definedName name="ExternalData_36" localSheetId="3">'Cotacao 3'!$C$7:$C$39</definedName>
    <definedName name="ExternalData_36" localSheetId="4">'Cotacao 4'!$C$7:$C$39</definedName>
    <definedName name="ExternalData_36" localSheetId="5">'Cotacao 5'!$C$7:$C$39</definedName>
    <definedName name="ExternalData_37" localSheetId="2">'Cotacao 2'!$C$7:$C$38</definedName>
    <definedName name="ExternalData_37" localSheetId="3">'Cotacao 3'!$C$7:$C$38</definedName>
    <definedName name="ExternalData_37" localSheetId="4">'Cotacao 4'!$C$7:$C$38</definedName>
    <definedName name="ExternalData_37" localSheetId="5">'Cotacao 5'!$C$7:$C$38</definedName>
    <definedName name="ExternalData_38" localSheetId="2">'Cotacao 2'!$C$7:$C$39</definedName>
    <definedName name="ExternalData_38" localSheetId="3">'Cotacao 3'!$C$7:$C$39</definedName>
    <definedName name="ExternalData_38" localSheetId="4">'Cotacao 4'!$C$7:$C$39</definedName>
    <definedName name="ExternalData_38" localSheetId="5">'Cotacao 5'!$C$7:$C$39</definedName>
    <definedName name="ExternalData_39" localSheetId="2">'Cotacao 2'!$C$7:$C$40</definedName>
    <definedName name="ExternalData_39" localSheetId="3">'Cotacao 3'!$C$7:$C$40</definedName>
    <definedName name="ExternalData_39" localSheetId="4">'Cotacao 4'!$C$7:$C$40</definedName>
    <definedName name="ExternalData_39" localSheetId="5">'Cotacao 5'!$C$7:$C$40</definedName>
    <definedName name="ExternalData_4" localSheetId="1">Cotacao!$C$7:$C$87</definedName>
    <definedName name="ExternalData_4" localSheetId="2">'Cotacao 2'!$C$7:$C$87</definedName>
    <definedName name="ExternalData_4" localSheetId="3">'Cotacao 3'!$C$7:$C$87</definedName>
    <definedName name="ExternalData_4" localSheetId="4">'Cotacao 4'!$C$7:$C$87</definedName>
    <definedName name="ExternalData_4" localSheetId="5">'Cotacao 5'!$C$7:$C$87</definedName>
    <definedName name="ExternalData_40" localSheetId="2">'Cotacao 2'!$C$7:$C$41</definedName>
    <definedName name="ExternalData_40" localSheetId="3">'Cotacao 3'!$C$7:$C$41</definedName>
    <definedName name="ExternalData_40" localSheetId="4">'Cotacao 4'!$C$7:$C$41</definedName>
    <definedName name="ExternalData_40" localSheetId="5">'Cotacao 5'!$C$7:$C$41</definedName>
    <definedName name="ExternalData_41" localSheetId="2">'Cotacao 2'!$C$7:$C$113</definedName>
    <definedName name="ExternalData_41" localSheetId="3">'Cotacao 3'!$C$7:$C$88</definedName>
    <definedName name="ExternalData_41" localSheetId="4">'Cotacao 4'!$C$7:$C$88</definedName>
    <definedName name="ExternalData_41" localSheetId="5">'Cotacao 5'!$C$7:$C$88</definedName>
    <definedName name="ExternalData_42" localSheetId="2">'Cotacao 2'!$C$7:$C$113</definedName>
    <definedName name="ExternalData_42" localSheetId="3">'Cotacao 3'!$C$7:$C$88</definedName>
    <definedName name="ExternalData_42" localSheetId="4">'Cotacao 4'!$C$7:$C$88</definedName>
    <definedName name="ExternalData_42" localSheetId="5">'Cotacao 5'!$C$7:$C$88</definedName>
    <definedName name="ExternalData_43" localSheetId="2">'Cotacao 2'!$C$7:$C$113</definedName>
    <definedName name="ExternalData_43" localSheetId="3">'Cotacao 3'!$C$7:$C$89</definedName>
    <definedName name="ExternalData_43" localSheetId="4">'Cotacao 4'!$C$7:$C$89</definedName>
    <definedName name="ExternalData_43" localSheetId="5">'Cotacao 5'!$C$7:$C$89</definedName>
    <definedName name="ExternalData_44" localSheetId="2">'Cotacao 2'!$C$7:$C$113</definedName>
    <definedName name="ExternalData_44" localSheetId="3">'Cotacao 3'!$C$7:$C$91</definedName>
    <definedName name="ExternalData_44" localSheetId="4">'Cotacao 4'!$C$7:$C$91</definedName>
    <definedName name="ExternalData_44" localSheetId="5">'Cotacao 5'!$C$7:$C$91</definedName>
    <definedName name="ExternalData_45" localSheetId="2">'Cotacao 2'!$C$7:$C$113</definedName>
    <definedName name="ExternalData_45" localSheetId="3">'Cotacao 3'!$C$7:$C$92</definedName>
    <definedName name="ExternalData_45" localSheetId="4">'Cotacao 4'!$C$7:$C$92</definedName>
    <definedName name="ExternalData_45" localSheetId="5">'Cotacao 5'!$C$7:$C$92</definedName>
    <definedName name="ExternalData_46" localSheetId="2">'Cotacao 2'!$C$7:$C$113</definedName>
    <definedName name="ExternalData_46" localSheetId="3">'Cotacao 3'!$C$7:$C$94</definedName>
    <definedName name="ExternalData_46" localSheetId="4">'Cotacao 4'!$C$7:$C$94</definedName>
    <definedName name="ExternalData_46" localSheetId="5">'Cotacao 5'!$C$7:$C$94</definedName>
    <definedName name="ExternalData_47" localSheetId="2">'Cotacao 2'!$C$7:$C$113</definedName>
    <definedName name="ExternalData_47" localSheetId="3">'Cotacao 3'!$C$7:$C$95</definedName>
    <definedName name="ExternalData_47" localSheetId="4">'Cotacao 4'!$C$7:$C$95</definedName>
    <definedName name="ExternalData_47" localSheetId="5">'Cotacao 5'!$C$7:$C$95</definedName>
    <definedName name="ExternalData_48" localSheetId="2">'Cotacao 2'!$C$7:$C$113</definedName>
    <definedName name="ExternalData_48" localSheetId="3">'Cotacao 3'!$C$7:$C$96</definedName>
    <definedName name="ExternalData_48" localSheetId="4">'Cotacao 4'!$C$7:$C$96</definedName>
    <definedName name="ExternalData_48" localSheetId="5">'Cotacao 5'!$C$7:$C$96</definedName>
    <definedName name="ExternalData_49" localSheetId="2">'Cotacao 2'!$C$7:$C$113</definedName>
    <definedName name="ExternalData_49" localSheetId="3">'Cotacao 3'!$C$7:$C$97</definedName>
    <definedName name="ExternalData_49" localSheetId="4">'Cotacao 4'!$C$7:$C$97</definedName>
    <definedName name="ExternalData_49" localSheetId="5">'Cotacao 5'!$C$7:$C$97</definedName>
    <definedName name="ExternalData_5" localSheetId="1">Cotacao!$C$7:$C$88</definedName>
    <definedName name="ExternalData_5" localSheetId="2">'Cotacao 2'!$C$7:$C$88</definedName>
    <definedName name="ExternalData_5" localSheetId="3">'Cotacao 3'!$C$7:$C$88</definedName>
    <definedName name="ExternalData_5" localSheetId="4">'Cotacao 4'!$C$7:$C$88</definedName>
    <definedName name="ExternalData_5" localSheetId="5">'Cotacao 5'!$C$7:$C$88</definedName>
    <definedName name="ExternalData_50" localSheetId="2">'Cotacao 2'!$C$7:$C$113</definedName>
    <definedName name="ExternalData_50" localSheetId="3">'Cotacao 3'!$C$7:$C$98</definedName>
    <definedName name="ExternalData_50" localSheetId="4">'Cotacao 4'!$C$7:$C$98</definedName>
    <definedName name="ExternalData_50" localSheetId="5">'Cotacao 5'!$C$7:$C$98</definedName>
    <definedName name="ExternalData_51" localSheetId="2">'Cotacao 2'!$C$7:$C$113</definedName>
    <definedName name="ExternalData_51" localSheetId="3">'Cotacao 3'!$C$7:$C$100</definedName>
    <definedName name="ExternalData_51" localSheetId="4">'Cotacao 4'!$C$7:$C$100</definedName>
    <definedName name="ExternalData_51" localSheetId="5">'Cotacao 5'!$C$7:$C$100</definedName>
    <definedName name="ExternalData_52" localSheetId="3">'Cotacao 3'!$C$7:$C$101</definedName>
    <definedName name="ExternalData_52" localSheetId="4">'Cotacao 4'!$C$7:$C$101</definedName>
    <definedName name="ExternalData_52" localSheetId="5">'Cotacao 5'!$C$7:$C$101</definedName>
    <definedName name="ExternalData_53" localSheetId="3">'Cotacao 3'!$C$7:$C$101</definedName>
    <definedName name="ExternalData_53" localSheetId="4">'Cotacao 4'!$C$7:$C$101</definedName>
    <definedName name="ExternalData_53" localSheetId="5">'Cotacao 5'!$C$7:$C$101</definedName>
    <definedName name="ExternalData_54" localSheetId="3">'Cotacao 3'!$C$7:$C$103</definedName>
    <definedName name="ExternalData_54" localSheetId="4">'Cotacao 4'!$C$7:$C$103</definedName>
    <definedName name="ExternalData_54" localSheetId="5">'Cotacao 5'!$C$7:$C$103</definedName>
    <definedName name="ExternalData_55" localSheetId="3">'Cotacao 3'!$C$7:$C$104</definedName>
    <definedName name="ExternalData_55" localSheetId="4">'Cotacao 4'!$C$7:$C$104</definedName>
    <definedName name="ExternalData_55" localSheetId="5">'Cotacao 5'!$C$7:$C$104</definedName>
    <definedName name="ExternalData_56" localSheetId="3">'Cotacao 3'!$C$7:$C$105</definedName>
    <definedName name="ExternalData_56" localSheetId="4">'Cotacao 4'!$C$7:$C$105</definedName>
    <definedName name="ExternalData_56" localSheetId="5">'Cotacao 5'!$C$7:$C$105</definedName>
    <definedName name="ExternalData_57" localSheetId="3">'Cotacao 3'!$C$7:$C$105</definedName>
    <definedName name="ExternalData_57" localSheetId="4">'Cotacao 4'!$C$7:$C$105</definedName>
    <definedName name="ExternalData_57" localSheetId="5">'Cotacao 5'!$C$7:$C$105</definedName>
    <definedName name="ExternalData_58" localSheetId="3">'Cotacao 3'!$C$7:$C$107</definedName>
    <definedName name="ExternalData_58" localSheetId="4">'Cotacao 4'!$C$7:$C$107</definedName>
    <definedName name="ExternalData_58" localSheetId="5">'Cotacao 5'!$C$7:$C$107</definedName>
    <definedName name="ExternalData_59" localSheetId="3">'Cotacao 3'!$C$7:$C$108</definedName>
    <definedName name="ExternalData_59" localSheetId="4">'Cotacao 4'!$C$7:$C$108</definedName>
    <definedName name="ExternalData_59" localSheetId="5">'Cotacao 5'!$C$7:$C$108</definedName>
    <definedName name="ExternalData_6" localSheetId="1">Cotacao!$C$7:$C$89</definedName>
    <definedName name="ExternalData_6" localSheetId="2">'Cotacao 2'!$C$7:$C$89</definedName>
    <definedName name="ExternalData_6" localSheetId="3">'Cotacao 3'!$C$7:$C$89</definedName>
    <definedName name="ExternalData_6" localSheetId="4">'Cotacao 4'!$C$7:$C$89</definedName>
    <definedName name="ExternalData_6" localSheetId="5">'Cotacao 5'!$C$7:$C$89</definedName>
    <definedName name="ExternalData_60" localSheetId="3">'Cotacao 3'!$C$7:$C$110</definedName>
    <definedName name="ExternalData_60" localSheetId="4">'Cotacao 4'!$C$7:$C$110</definedName>
    <definedName name="ExternalData_60" localSheetId="5">'Cotacao 5'!$C$7:$C$110</definedName>
    <definedName name="ExternalData_61" localSheetId="3">'Cotacao 3'!$C$7:$C$112</definedName>
    <definedName name="ExternalData_61" localSheetId="4">'Cotacao 4'!$C$7:$C$112</definedName>
    <definedName name="ExternalData_61" localSheetId="5">'Cotacao 5'!$C$7:$C$112</definedName>
    <definedName name="ExternalData_62" localSheetId="3">'Cotacao 3'!$C$7:$C$113</definedName>
    <definedName name="ExternalData_62" localSheetId="4">'Cotacao 4'!$C$7:$C$113</definedName>
    <definedName name="ExternalData_62" localSheetId="5">'Cotacao 5'!$C$7:$C$113</definedName>
    <definedName name="ExternalData_63" localSheetId="3">'Cotacao 3'!$C$7:$C$113</definedName>
    <definedName name="ExternalData_63" localSheetId="4">'Cotacao 4'!$C$7:$C$113</definedName>
    <definedName name="ExternalData_63" localSheetId="5">'Cotacao 5'!$C$7:$C$113</definedName>
    <definedName name="ExternalData_64" localSheetId="3">'Cotacao 3'!$C$7:$C$113</definedName>
    <definedName name="ExternalData_64" localSheetId="4">'Cotacao 4'!$C$7:$C$10</definedName>
    <definedName name="ExternalData_64" localSheetId="5">'Cotacao 5'!$C$7:$C$10</definedName>
    <definedName name="ExternalData_65" localSheetId="3">'Cotacao 3'!$C$7:$C$113</definedName>
    <definedName name="ExternalData_65" localSheetId="4">'Cotacao 4'!$C$7:$C$12</definedName>
    <definedName name="ExternalData_65" localSheetId="5">'Cotacao 5'!$C$7:$C$12</definedName>
    <definedName name="ExternalData_66" localSheetId="3">'Cotacao 3'!$C$7:$C$113</definedName>
    <definedName name="ExternalData_66" localSheetId="4">'Cotacao 4'!$C$7:$C$12</definedName>
    <definedName name="ExternalData_66" localSheetId="5">'Cotacao 5'!$C$7:$C$12</definedName>
    <definedName name="ExternalData_67" localSheetId="3">'Cotacao 3'!$C$7:$C$113</definedName>
    <definedName name="ExternalData_67" localSheetId="4">'Cotacao 4'!$C$7:$C$13</definedName>
    <definedName name="ExternalData_67" localSheetId="5">'Cotacao 5'!$C$7:$C$13</definedName>
    <definedName name="ExternalData_68" localSheetId="3">'Cotacao 3'!$C$7:$C$113</definedName>
    <definedName name="ExternalData_68" localSheetId="4">'Cotacao 4'!$C$7:$C$14</definedName>
    <definedName name="ExternalData_68" localSheetId="5">'Cotacao 5'!$C$7:$C$14</definedName>
    <definedName name="ExternalData_69" localSheetId="3">'Cotacao 3'!$C$7:$C$113</definedName>
    <definedName name="ExternalData_69" localSheetId="4">'Cotacao 4'!$C$7:$C$15</definedName>
    <definedName name="ExternalData_69" localSheetId="5">'Cotacao 5'!$C$7:$C$15</definedName>
    <definedName name="ExternalData_7" localSheetId="1">Cotacao!$C$7:$C$90</definedName>
    <definedName name="ExternalData_7" localSheetId="2">'Cotacao 2'!$C$7:$C$90</definedName>
    <definedName name="ExternalData_7" localSheetId="3">'Cotacao 3'!$C$7:$C$90</definedName>
    <definedName name="ExternalData_7" localSheetId="4">'Cotacao 4'!$C$7:$C$90</definedName>
    <definedName name="ExternalData_7" localSheetId="5">'Cotacao 5'!$C$7:$C$90</definedName>
    <definedName name="ExternalData_70" localSheetId="3">'Cotacao 3'!$C$7:$C$113</definedName>
    <definedName name="ExternalData_70" localSheetId="4">'Cotacao 4'!$C$7:$C$16</definedName>
    <definedName name="ExternalData_70" localSheetId="5">'Cotacao 5'!$C$7:$C$16</definedName>
    <definedName name="ExternalData_71" localSheetId="3">'Cotacao 3'!$C$7:$C$113</definedName>
    <definedName name="ExternalData_71" localSheetId="4">'Cotacao 4'!$C$7:$C$17</definedName>
    <definedName name="ExternalData_71" localSheetId="5">'Cotacao 5'!$C$7:$C$17</definedName>
    <definedName name="ExternalData_72" localSheetId="3">'Cotacao 3'!$C$7:$C$113</definedName>
    <definedName name="ExternalData_72" localSheetId="4">'Cotacao 4'!$C$7:$C$18</definedName>
    <definedName name="ExternalData_72" localSheetId="5">'Cotacao 5'!$C$7:$C$18</definedName>
    <definedName name="ExternalData_73" localSheetId="4">'Cotacao 4'!$C$7:$C$20</definedName>
    <definedName name="ExternalData_73" localSheetId="5">'Cotacao 5'!$C$7:$C$20</definedName>
    <definedName name="ExternalData_74" localSheetId="4">'Cotacao 4'!$C$7:$C$20</definedName>
    <definedName name="ExternalData_74" localSheetId="5">'Cotacao 5'!$C$7:$C$20</definedName>
    <definedName name="ExternalData_75" localSheetId="4">'Cotacao 4'!$C$7:$C$21</definedName>
    <definedName name="ExternalData_75" localSheetId="5">'Cotacao 5'!$C$7:$C$21</definedName>
    <definedName name="ExternalData_76" localSheetId="4">'Cotacao 4'!$C$7:$C$22</definedName>
    <definedName name="ExternalData_76" localSheetId="5">'Cotacao 5'!$C$7:$C$22</definedName>
    <definedName name="ExternalData_77" localSheetId="4">'Cotacao 4'!$C$7:$C$24</definedName>
    <definedName name="ExternalData_77" localSheetId="5">'Cotacao 5'!$C$7:$C$24</definedName>
    <definedName name="ExternalData_78" localSheetId="4">'Cotacao 4'!$C$7:$C$23</definedName>
    <definedName name="ExternalData_78" localSheetId="5">'Cotacao 5'!$C$7:$C$23</definedName>
    <definedName name="ExternalData_79" localSheetId="4">'Cotacao 4'!$C$7:$C$24</definedName>
    <definedName name="ExternalData_79" localSheetId="5">'Cotacao 5'!$C$7:$C$24</definedName>
    <definedName name="ExternalData_8" localSheetId="1">Cotacao!$C$7:$C$91</definedName>
    <definedName name="ExternalData_8" localSheetId="2">'Cotacao 2'!$C$7:$C$91</definedName>
    <definedName name="ExternalData_8" localSheetId="3">'Cotacao 3'!$C$7:$C$91</definedName>
    <definedName name="ExternalData_8" localSheetId="4">'Cotacao 4'!$C$7:$C$91</definedName>
    <definedName name="ExternalData_8" localSheetId="5">'Cotacao 5'!$C$7:$C$91</definedName>
    <definedName name="ExternalData_80" localSheetId="4">'Cotacao 4'!$C$7:$C$26</definedName>
    <definedName name="ExternalData_80" localSheetId="5">'Cotacao 5'!$C$7:$C$26</definedName>
    <definedName name="ExternalData_81" localSheetId="4">'Cotacao 4'!$C$7:$C$28</definedName>
    <definedName name="ExternalData_81" localSheetId="5">'Cotacao 5'!$C$7:$C$28</definedName>
    <definedName name="ExternalData_82" localSheetId="4">'Cotacao 4'!$C$7:$C$29</definedName>
    <definedName name="ExternalData_82" localSheetId="5">'Cotacao 5'!$C$7:$C$29</definedName>
    <definedName name="ExternalData_83" localSheetId="4">'Cotacao 4'!$C$7:$C$32</definedName>
    <definedName name="ExternalData_83" localSheetId="5">'Cotacao 5'!$C$7:$C$32</definedName>
    <definedName name="ExternalData_84" localSheetId="4">'Cotacao 4'!$C$7:$C$33</definedName>
    <definedName name="ExternalData_84" localSheetId="5">'Cotacao 5'!$C$7:$C$33</definedName>
    <definedName name="ExternalData_85" localSheetId="4">'Cotacao 4'!$C$7:$C$36</definedName>
    <definedName name="ExternalData_85" localSheetId="5">'Cotacao 5'!$C$7:$C$36</definedName>
    <definedName name="ExternalData_86" localSheetId="4">'Cotacao 4'!$C$7:$C$34</definedName>
    <definedName name="ExternalData_86" localSheetId="5">'Cotacao 5'!$C$7:$C$34</definedName>
    <definedName name="ExternalData_87" localSheetId="4">'Cotacao 4'!$C$7:$C$36</definedName>
    <definedName name="ExternalData_87" localSheetId="5">'Cotacao 5'!$C$7:$C$36</definedName>
    <definedName name="ExternalData_88" localSheetId="4">'Cotacao 4'!$C$7:$C$36</definedName>
    <definedName name="ExternalData_88" localSheetId="5">'Cotacao 5'!$C$7:$C$36</definedName>
    <definedName name="ExternalData_89" localSheetId="4">'Cotacao 4'!$C$7:$C$36</definedName>
    <definedName name="ExternalData_89" localSheetId="5">'Cotacao 5'!$C$7:$C$36</definedName>
    <definedName name="ExternalData_9" localSheetId="1">Cotacao!$C$7:$C$92</definedName>
    <definedName name="ExternalData_9" localSheetId="2">'Cotacao 2'!$C$7:$C$92</definedName>
    <definedName name="ExternalData_9" localSheetId="3">'Cotacao 3'!$C$7:$C$92</definedName>
    <definedName name="ExternalData_9" localSheetId="4">'Cotacao 4'!$C$7:$C$92</definedName>
    <definedName name="ExternalData_9" localSheetId="5">'Cotacao 5'!$C$7:$C$92</definedName>
    <definedName name="ExternalData_90" localSheetId="4">'Cotacao 4'!$C$7:$C$36</definedName>
    <definedName name="ExternalData_90" localSheetId="5">'Cotacao 5'!$C$7:$C$36</definedName>
    <definedName name="ExternalData_91" localSheetId="4">'Cotacao 4'!$C$7:$C$36</definedName>
    <definedName name="ExternalData_91" localSheetId="5">'Cotacao 5'!$C$7:$C$36</definedName>
    <definedName name="ExternalData_92" localSheetId="4">'Cotacao 4'!$C$7:$C$38</definedName>
    <definedName name="ExternalData_92" localSheetId="5">'Cotacao 5'!$C$7:$C$38</definedName>
    <definedName name="ExternalData_93" localSheetId="4">'Cotacao 4'!$C$7:$C$40</definedName>
    <definedName name="ExternalData_93" localSheetId="5">'Cotacao 5'!$C$7:$C$40</definedName>
    <definedName name="ExternalData_94" localSheetId="4">'Cotacao 4'!$C$7:$C$42</definedName>
    <definedName name="ExternalData_94" localSheetId="5">'Cotacao 5'!$C$7:$C$42</definedName>
    <definedName name="ExternalData_95" localSheetId="4">'Cotacao 4'!$C$7:$C$44</definedName>
    <definedName name="ExternalData_95" localSheetId="5">'Cotacao 5'!$C$7:$C$44</definedName>
    <definedName name="ExternalData_96" localSheetId="4">'Cotacao 4'!$C$7:$C$46</definedName>
    <definedName name="ExternalData_96" localSheetId="5">'Cotacao 5'!$C$7:$C$46</definedName>
    <definedName name="ExternalData_97" localSheetId="4">'Cotacao 4'!$C$7:$C$48</definedName>
    <definedName name="ExternalData_97" localSheetId="5">'Cotacao 5'!$C$7:$C$48</definedName>
    <definedName name="ExternalData_98" localSheetId="4">'Cotacao 4'!$C$7:$C$48</definedName>
    <definedName name="ExternalData_98" localSheetId="5">'Cotacao 5'!$C$7:$C$48</definedName>
    <definedName name="ExternalData_99" localSheetId="4">'Cotacao 4'!$C$7:$C$46</definedName>
    <definedName name="ExternalData_99" localSheetId="5">'Cotacao 5'!$C$7:$C$46</definedName>
  </definedNames>
  <calcPr calcId="144525"/>
  <pivotCaches>
    <pivotCache cacheId="0" r:id="rId12"/>
  </pivotCaches>
</workbook>
</file>

<file path=xl/calcChain.xml><?xml version="1.0" encoding="utf-8"?>
<calcChain xmlns="http://schemas.openxmlformats.org/spreadsheetml/2006/main">
  <c r="R99" i="1" l="1"/>
  <c r="X99" i="1" s="1"/>
  <c r="R100" i="1"/>
  <c r="X100" i="1" s="1"/>
  <c r="R113" i="1"/>
  <c r="X113" i="1" s="1"/>
  <c r="R330" i="1"/>
  <c r="X330" i="1" s="1"/>
  <c r="R331" i="1"/>
  <c r="X331" i="1" s="1"/>
  <c r="R332" i="1"/>
  <c r="X332" i="1" s="1"/>
  <c r="R295" i="1"/>
  <c r="X295" i="1" s="1"/>
  <c r="R37" i="1"/>
  <c r="X37" i="1" s="1"/>
  <c r="R82" i="1"/>
  <c r="X82" i="1" s="1"/>
  <c r="R83" i="1"/>
  <c r="X83" i="1" s="1"/>
  <c r="R84" i="1"/>
  <c r="X84" i="1" s="1"/>
  <c r="R350" i="1"/>
  <c r="X350" i="1" s="1"/>
  <c r="R351" i="1"/>
  <c r="X351" i="1" s="1"/>
  <c r="R352" i="1"/>
  <c r="X352" i="1" s="1"/>
  <c r="R353" i="1"/>
  <c r="X353" i="1" s="1"/>
  <c r="R339" i="1"/>
  <c r="X339" i="1" s="1"/>
  <c r="R103" i="1"/>
  <c r="X103" i="1" s="1"/>
  <c r="R104" i="1"/>
  <c r="X104" i="1" s="1"/>
  <c r="R305" i="1"/>
  <c r="X305" i="1" s="1"/>
  <c r="R174" i="1"/>
  <c r="X174" i="1" s="1"/>
  <c r="R175" i="1"/>
  <c r="X175" i="1" s="1"/>
  <c r="R176" i="1"/>
  <c r="X176" i="1" s="1"/>
  <c r="R192" i="1"/>
  <c r="X192" i="1" s="1"/>
  <c r="R42" i="1"/>
  <c r="X42" i="1" s="1"/>
  <c r="R68" i="1"/>
  <c r="X68" i="1" s="1"/>
  <c r="R157" i="1"/>
  <c r="X157" i="1" s="1"/>
  <c r="R181" i="1"/>
  <c r="X181" i="1" s="1"/>
  <c r="R182" i="1"/>
  <c r="X182" i="1" s="1"/>
  <c r="R228" i="1"/>
  <c r="X228" i="1" s="1"/>
  <c r="R8" i="1"/>
  <c r="X8" i="1" s="1"/>
  <c r="R77" i="1"/>
  <c r="X77" i="1" s="1"/>
  <c r="R11" i="1"/>
  <c r="X11" i="1" s="1"/>
  <c r="R12" i="1"/>
  <c r="X12" i="1" s="1"/>
  <c r="R132" i="1"/>
  <c r="X132" i="1" s="1"/>
  <c r="R9" i="1"/>
  <c r="X9" i="1" s="1"/>
  <c r="R59" i="1"/>
  <c r="X59" i="1" s="1"/>
  <c r="R60" i="1"/>
  <c r="X60" i="1" s="1"/>
  <c r="R201" i="1"/>
  <c r="X201" i="1" s="1"/>
  <c r="R15" i="1"/>
  <c r="X15" i="1" s="1"/>
  <c r="R354" i="1"/>
  <c r="X354" i="1" s="1"/>
  <c r="R355" i="1"/>
  <c r="X355" i="1" s="1"/>
  <c r="R356" i="1"/>
  <c r="X356" i="1" s="1"/>
  <c r="R168" i="1"/>
  <c r="X168" i="1" s="1"/>
  <c r="R169" i="1"/>
  <c r="X169" i="1" s="1"/>
  <c r="R193" i="1"/>
  <c r="X193" i="1" s="1"/>
  <c r="R50" i="1"/>
  <c r="X50" i="1" s="1"/>
  <c r="R51" i="1"/>
  <c r="X51" i="1" s="1"/>
  <c r="R318" i="1"/>
  <c r="X318" i="1" s="1"/>
  <c r="R319" i="1"/>
  <c r="X319" i="1" s="1"/>
  <c r="R357" i="1"/>
  <c r="X357" i="1" s="1"/>
  <c r="R358" i="1"/>
  <c r="X358" i="1" s="1"/>
  <c r="R359" i="1"/>
  <c r="X359" i="1" s="1"/>
  <c r="R360" i="1"/>
  <c r="X360" i="1" s="1"/>
  <c r="R306" i="1"/>
  <c r="X306" i="1" s="1"/>
  <c r="R10" i="1"/>
  <c r="X10" i="1" s="1"/>
  <c r="R257" i="1"/>
  <c r="X257" i="1" s="1"/>
  <c r="R19" i="1"/>
  <c r="X19" i="1" s="1"/>
  <c r="R31" i="1"/>
  <c r="X31" i="1" s="1"/>
  <c r="R117" i="1"/>
  <c r="X117" i="1" s="1"/>
  <c r="R118" i="1"/>
  <c r="X118" i="1" s="1"/>
  <c r="R361" i="1"/>
  <c r="X361" i="1" s="1"/>
  <c r="R362" i="1"/>
  <c r="X362" i="1" s="1"/>
  <c r="R308" i="1"/>
  <c r="X308" i="1" s="1"/>
  <c r="R363" i="1"/>
  <c r="X363" i="1" s="1"/>
  <c r="R364" i="1"/>
  <c r="X364" i="1" s="1"/>
  <c r="R170" i="1"/>
  <c r="X170" i="1" s="1"/>
  <c r="R171" i="1"/>
  <c r="X171" i="1" s="1"/>
  <c r="R229" i="1"/>
  <c r="X229" i="1" s="1"/>
  <c r="R275" i="1"/>
  <c r="X275" i="1" s="1"/>
  <c r="R261" i="1"/>
  <c r="X261" i="1" s="1"/>
  <c r="R262" i="1"/>
  <c r="X262" i="1" s="1"/>
  <c r="R210" i="1"/>
  <c r="X210" i="1" s="1"/>
  <c r="R264" i="1"/>
  <c r="X264" i="1" s="1"/>
  <c r="R196" i="1"/>
  <c r="X196" i="1" s="1"/>
  <c r="R265" i="1"/>
  <c r="X265" i="1" s="1"/>
  <c r="R43" i="1"/>
  <c r="X43" i="1" s="1"/>
  <c r="R269" i="1"/>
  <c r="X269" i="1" s="1"/>
  <c r="R28" i="1"/>
  <c r="X28" i="1" s="1"/>
  <c r="R216" i="1"/>
  <c r="X216" i="1" s="1"/>
  <c r="R217" i="1"/>
  <c r="X217" i="1" s="1"/>
  <c r="R29" i="1"/>
  <c r="X29" i="1" s="1"/>
  <c r="R271" i="1"/>
  <c r="X271" i="1" s="1"/>
  <c r="R321" i="1"/>
  <c r="X321" i="1" s="1"/>
  <c r="R78" i="1"/>
  <c r="X78" i="1" s="1"/>
  <c r="R255" i="1"/>
  <c r="X255" i="1" s="1"/>
  <c r="R80" i="1"/>
  <c r="X80" i="1" s="1"/>
  <c r="R365" i="1"/>
  <c r="X365" i="1" s="1"/>
  <c r="R93" i="1"/>
  <c r="X93" i="1" s="1"/>
  <c r="R94" i="1"/>
  <c r="X94" i="1" s="1"/>
  <c r="R366" i="1"/>
  <c r="X366" i="1" s="1"/>
  <c r="R367" i="1"/>
  <c r="X367" i="1" s="1"/>
  <c r="R368" i="1"/>
  <c r="X368" i="1" s="1"/>
  <c r="R232" i="1"/>
  <c r="X232" i="1" s="1"/>
  <c r="R243" i="1"/>
  <c r="X243" i="1" s="1"/>
  <c r="R2" i="1"/>
  <c r="X2" i="1" s="1"/>
  <c r="R3" i="1"/>
  <c r="X3" i="1" s="1"/>
  <c r="R267" i="1"/>
  <c r="X267" i="1" s="1"/>
  <c r="R268" i="1"/>
  <c r="X268" i="1" s="1"/>
  <c r="R369" i="1"/>
  <c r="X369" i="1" s="1"/>
  <c r="R314" i="1"/>
  <c r="X314" i="1" s="1"/>
  <c r="R315" i="1"/>
  <c r="X315" i="1" s="1"/>
  <c r="R35" i="1"/>
  <c r="X35" i="1" s="1"/>
  <c r="R370" i="1"/>
  <c r="X370" i="1" s="1"/>
  <c r="R371" i="1"/>
  <c r="X371" i="1" s="1"/>
  <c r="R372" i="1"/>
  <c r="X372" i="1" s="1"/>
  <c r="R373" i="1"/>
  <c r="X373" i="1" s="1"/>
  <c r="R46" i="1"/>
  <c r="X46" i="1" s="1"/>
  <c r="R20" i="1"/>
  <c r="X20" i="1" s="1"/>
  <c r="R374" i="1"/>
  <c r="X374" i="1" s="1"/>
  <c r="R274" i="1"/>
  <c r="X274" i="1" s="1"/>
  <c r="R260" i="1"/>
  <c r="X260" i="1" s="1"/>
  <c r="R276" i="1"/>
  <c r="X276" i="1" s="1"/>
  <c r="R293" i="1"/>
  <c r="X293" i="1" s="1"/>
  <c r="R294" i="1"/>
  <c r="X294" i="1" s="1"/>
  <c r="R73" i="1"/>
  <c r="X73" i="1" s="1"/>
  <c r="R74" i="1"/>
  <c r="X74" i="1" s="1"/>
  <c r="R75" i="1"/>
  <c r="X75" i="1" s="1"/>
  <c r="R375" i="1"/>
  <c r="X375" i="1" s="1"/>
  <c r="R376" i="1"/>
  <c r="X376" i="1" s="1"/>
  <c r="R25" i="1"/>
  <c r="X25" i="1" s="1"/>
  <c r="R377" i="1"/>
  <c r="X377" i="1" s="1"/>
  <c r="R378" i="1"/>
  <c r="X378" i="1" s="1"/>
  <c r="R379" i="1"/>
  <c r="X379" i="1" s="1"/>
  <c r="R380" i="1"/>
  <c r="X380" i="1" s="1"/>
  <c r="R310" i="1"/>
  <c r="X310" i="1" s="1"/>
  <c r="R311" i="1"/>
  <c r="X311" i="1" s="1"/>
  <c r="R312" i="1"/>
  <c r="X312" i="1" s="1"/>
  <c r="R195" i="1"/>
  <c r="X195" i="1" s="1"/>
  <c r="R263" i="1"/>
  <c r="X263" i="1" s="1"/>
  <c r="R197" i="1"/>
  <c r="X197" i="1" s="1"/>
  <c r="R56" i="1"/>
  <c r="X56" i="1" s="1"/>
  <c r="R57" i="1"/>
  <c r="X57" i="1" s="1"/>
  <c r="R166" i="1"/>
  <c r="X166" i="1" s="1"/>
  <c r="R167" i="1"/>
  <c r="X167" i="1" s="1"/>
  <c r="R5" i="1"/>
  <c r="X5" i="1" s="1"/>
  <c r="R30" i="1"/>
  <c r="X30" i="1" s="1"/>
  <c r="R97" i="1"/>
  <c r="X97" i="1" s="1"/>
  <c r="R381" i="1"/>
  <c r="X381" i="1" s="1"/>
  <c r="R382" i="1"/>
  <c r="X382" i="1" s="1"/>
  <c r="R189" i="1"/>
  <c r="X189" i="1" s="1"/>
  <c r="R270" i="1"/>
  <c r="X270" i="1" s="1"/>
  <c r="R52" i="1"/>
  <c r="X52" i="1" s="1"/>
  <c r="R190" i="1"/>
  <c r="X190" i="1" s="1"/>
  <c r="R150" i="1"/>
  <c r="X150" i="1" s="1"/>
  <c r="R151" i="1"/>
  <c r="X151" i="1" s="1"/>
  <c r="R152" i="1"/>
  <c r="X152" i="1" s="1"/>
  <c r="R383" i="1"/>
  <c r="X383" i="1" s="1"/>
  <c r="R384" i="1"/>
  <c r="X384" i="1" s="1"/>
  <c r="R158" i="1"/>
  <c r="X158" i="1" s="1"/>
  <c r="R58" i="1"/>
  <c r="X58" i="1" s="1"/>
  <c r="R248" i="1"/>
  <c r="X248" i="1" s="1"/>
  <c r="R211" i="1"/>
  <c r="X211" i="1" s="1"/>
  <c r="R385" i="1"/>
  <c r="X385" i="1" s="1"/>
  <c r="R155" i="1"/>
  <c r="X155" i="1" s="1"/>
  <c r="R242" i="1"/>
  <c r="X242" i="1" s="1"/>
  <c r="R266" i="1"/>
  <c r="X266" i="1" s="1"/>
  <c r="R7" i="1"/>
  <c r="X7" i="1" s="1"/>
  <c r="R336" i="1"/>
  <c r="X336" i="1" s="1"/>
  <c r="R337" i="1"/>
  <c r="X337" i="1" s="1"/>
  <c r="R344" i="1"/>
  <c r="X344" i="1" s="1"/>
  <c r="R186" i="1"/>
  <c r="X186" i="1" s="1"/>
  <c r="R120" i="1"/>
  <c r="X120" i="1" s="1"/>
  <c r="R47" i="1"/>
  <c r="X47" i="1" s="1"/>
  <c r="R48" i="1"/>
  <c r="X48" i="1" s="1"/>
  <c r="R49" i="1"/>
  <c r="X49" i="1" s="1"/>
  <c r="R386" i="1"/>
  <c r="X386" i="1" s="1"/>
  <c r="R202" i="1"/>
  <c r="X202" i="1" s="1"/>
  <c r="R203" i="1"/>
  <c r="X203" i="1" s="1"/>
  <c r="R65" i="1"/>
  <c r="X65" i="1" s="1"/>
  <c r="R387" i="1"/>
  <c r="X387" i="1" s="1"/>
  <c r="R388" i="1"/>
  <c r="X388" i="1" s="1"/>
  <c r="R389" i="1"/>
  <c r="X389" i="1" s="1"/>
  <c r="R390" i="1"/>
  <c r="X390" i="1" s="1"/>
  <c r="R61" i="1"/>
  <c r="X61" i="1" s="1"/>
  <c r="R126" i="1"/>
  <c r="X126" i="1" s="1"/>
  <c r="R127" i="1"/>
  <c r="X127" i="1" s="1"/>
  <c r="R16" i="1"/>
  <c r="X16" i="1" s="1"/>
  <c r="R154" i="1"/>
  <c r="X154" i="1" s="1"/>
  <c r="R291" i="1"/>
  <c r="X291" i="1" s="1"/>
  <c r="R207" i="1"/>
  <c r="X207" i="1" s="1"/>
  <c r="R208" i="1"/>
  <c r="X208" i="1" s="1"/>
  <c r="R391" i="1"/>
  <c r="X391" i="1" s="1"/>
  <c r="R392" i="1"/>
  <c r="X392" i="1" s="1"/>
  <c r="R119" i="1"/>
  <c r="X119" i="1" s="1"/>
  <c r="R393" i="1"/>
  <c r="X393" i="1" s="1"/>
  <c r="R394" i="1"/>
  <c r="X394" i="1" s="1"/>
  <c r="R219" i="1"/>
  <c r="X219" i="1" s="1"/>
  <c r="R220" i="1"/>
  <c r="X220" i="1" s="1"/>
  <c r="R395" i="1"/>
  <c r="X395" i="1" s="1"/>
  <c r="R396" i="1"/>
  <c r="X396" i="1" s="1"/>
  <c r="R122" i="1"/>
  <c r="X122" i="1" s="1"/>
  <c r="R345" i="1"/>
  <c r="X345" i="1" s="1"/>
  <c r="R346" i="1"/>
  <c r="X346" i="1" s="1"/>
  <c r="R130" i="1"/>
  <c r="X130" i="1" s="1"/>
  <c r="R131" i="1"/>
  <c r="X131" i="1" s="1"/>
  <c r="R284" i="1"/>
  <c r="X284" i="1" s="1"/>
  <c r="R142" i="1"/>
  <c r="X142" i="1" s="1"/>
  <c r="R92" i="1"/>
  <c r="X92" i="1" s="1"/>
  <c r="R397" i="1"/>
  <c r="X397" i="1" s="1"/>
  <c r="R398" i="1"/>
  <c r="X398" i="1" s="1"/>
  <c r="R399" i="1"/>
  <c r="X399" i="1" s="1"/>
  <c r="R400" i="1"/>
  <c r="X400" i="1" s="1"/>
  <c r="R71" i="1"/>
  <c r="X71" i="1" s="1"/>
  <c r="R72" i="1"/>
  <c r="X72" i="1" s="1"/>
  <c r="R187" i="1"/>
  <c r="X187" i="1" s="1"/>
  <c r="R188" i="1"/>
  <c r="X188" i="1" s="1"/>
  <c r="R401" i="1"/>
  <c r="X401" i="1" s="1"/>
  <c r="R402" i="1"/>
  <c r="X402" i="1" s="1"/>
  <c r="R403" i="1"/>
  <c r="X403" i="1" s="1"/>
  <c r="R76" i="1"/>
  <c r="X76" i="1" s="1"/>
  <c r="R129" i="1"/>
  <c r="X129" i="1" s="1"/>
  <c r="R277" i="1"/>
  <c r="X277" i="1" s="1"/>
  <c r="R278" i="1"/>
  <c r="X278" i="1" s="1"/>
  <c r="R309" i="1"/>
  <c r="X309" i="1" s="1"/>
  <c r="R204" i="1"/>
  <c r="X204" i="1" s="1"/>
  <c r="R404" i="1"/>
  <c r="X404" i="1" s="1"/>
  <c r="R405" i="1"/>
  <c r="X405" i="1" s="1"/>
  <c r="R144" i="1"/>
  <c r="X144" i="1" s="1"/>
  <c r="R145" i="1"/>
  <c r="X145" i="1" s="1"/>
  <c r="R133" i="1"/>
  <c r="X133" i="1" s="1"/>
  <c r="R134" i="1"/>
  <c r="X134" i="1" s="1"/>
  <c r="R135" i="1"/>
  <c r="X135" i="1" s="1"/>
  <c r="R251" i="1"/>
  <c r="X251" i="1" s="1"/>
  <c r="R406" i="1"/>
  <c r="X406" i="1" s="1"/>
  <c r="R407" i="1"/>
  <c r="X407" i="1" s="1"/>
  <c r="R81" i="1"/>
  <c r="X81" i="1" s="1"/>
  <c r="R212" i="1"/>
  <c r="X212" i="1" s="1"/>
  <c r="R96" i="1"/>
  <c r="X96" i="1" s="1"/>
  <c r="R153" i="1"/>
  <c r="X153" i="1" s="1"/>
  <c r="R36" i="1"/>
  <c r="X36" i="1" s="1"/>
  <c r="R408" i="1"/>
  <c r="X408" i="1" s="1"/>
  <c r="R409" i="1"/>
  <c r="X409" i="1" s="1"/>
  <c r="R258" i="1"/>
  <c r="X258" i="1" s="1"/>
  <c r="R259" i="1"/>
  <c r="X259" i="1" s="1"/>
  <c r="R410" i="1"/>
  <c r="X410" i="1" s="1"/>
  <c r="R411" i="1"/>
  <c r="X411" i="1" s="1"/>
  <c r="R412" i="1"/>
  <c r="X412" i="1" s="1"/>
  <c r="R413" i="1"/>
  <c r="X413" i="1" s="1"/>
  <c r="R283" i="1"/>
  <c r="X283" i="1" s="1"/>
  <c r="R173" i="1"/>
  <c r="X173" i="1" s="1"/>
  <c r="R414" i="1"/>
  <c r="X414" i="1" s="1"/>
  <c r="R148" i="1"/>
  <c r="X148" i="1" s="1"/>
  <c r="R149" i="1"/>
  <c r="X149" i="1" s="1"/>
  <c r="R13" i="1"/>
  <c r="X13" i="1" s="1"/>
  <c r="R14" i="1"/>
  <c r="X14" i="1" s="1"/>
  <c r="R415" i="1"/>
  <c r="X415" i="1" s="1"/>
  <c r="R272" i="1"/>
  <c r="X272" i="1" s="1"/>
  <c r="R273" i="1"/>
  <c r="X273" i="1" s="1"/>
  <c r="R289" i="1"/>
  <c r="X289" i="1" s="1"/>
  <c r="R290" i="1"/>
  <c r="X290" i="1" s="1"/>
  <c r="R416" i="1"/>
  <c r="X416" i="1" s="1"/>
  <c r="R417" i="1"/>
  <c r="X417" i="1" s="1"/>
  <c r="R515" i="1"/>
  <c r="X515" i="1" s="1"/>
  <c r="R418" i="1"/>
  <c r="X418" i="1" s="1"/>
  <c r="R33" i="1"/>
  <c r="X33" i="1" s="1"/>
  <c r="R419" i="1"/>
  <c r="X419" i="1" s="1"/>
  <c r="R66" i="1"/>
  <c r="X66" i="1" s="1"/>
  <c r="R67" i="1"/>
  <c r="X67" i="1" s="1"/>
  <c r="R89" i="1"/>
  <c r="X89" i="1" s="1"/>
  <c r="R90" i="1"/>
  <c r="X90" i="1" s="1"/>
  <c r="R516" i="1"/>
  <c r="X516" i="1" s="1"/>
  <c r="R517" i="1"/>
  <c r="X517" i="1" s="1"/>
  <c r="R108" i="1"/>
  <c r="X108" i="1" s="1"/>
  <c r="R322" i="1"/>
  <c r="X322" i="1" s="1"/>
  <c r="R323" i="1"/>
  <c r="X323" i="1" s="1"/>
  <c r="R324" i="1"/>
  <c r="X324" i="1" s="1"/>
  <c r="R420" i="1"/>
  <c r="X420" i="1" s="1"/>
  <c r="R421" i="1"/>
  <c r="X421" i="1" s="1"/>
  <c r="R26" i="1"/>
  <c r="X26" i="1" s="1"/>
  <c r="R301" i="1"/>
  <c r="X301" i="1" s="1"/>
  <c r="R340" i="1"/>
  <c r="X340" i="1" s="1"/>
  <c r="R422" i="1"/>
  <c r="X422" i="1" s="1"/>
  <c r="R423" i="1"/>
  <c r="X423" i="1" s="1"/>
  <c r="R424" i="1"/>
  <c r="X424" i="1" s="1"/>
  <c r="R234" i="1"/>
  <c r="X234" i="1" s="1"/>
  <c r="R425" i="1"/>
  <c r="X425" i="1" s="1"/>
  <c r="R426" i="1"/>
  <c r="X426" i="1" s="1"/>
  <c r="R427" i="1"/>
  <c r="X427" i="1" s="1"/>
  <c r="R428" i="1"/>
  <c r="X428" i="1" s="1"/>
  <c r="R429" i="1"/>
  <c r="X429" i="1" s="1"/>
  <c r="R430" i="1"/>
  <c r="X430" i="1" s="1"/>
  <c r="R431" i="1"/>
  <c r="X431" i="1" s="1"/>
  <c r="R432" i="1"/>
  <c r="X432" i="1" s="1"/>
  <c r="R433" i="1"/>
  <c r="X433" i="1" s="1"/>
  <c r="R434" i="1"/>
  <c r="X434" i="1" s="1"/>
  <c r="R54" i="1"/>
  <c r="X54" i="1" s="1"/>
  <c r="R55" i="1"/>
  <c r="X55" i="1" s="1"/>
  <c r="R105" i="1"/>
  <c r="X105" i="1" s="1"/>
  <c r="R106" i="1"/>
  <c r="X106" i="1" s="1"/>
  <c r="R235" i="1"/>
  <c r="X235" i="1" s="1"/>
  <c r="R236" i="1"/>
  <c r="X236" i="1" s="1"/>
  <c r="R282" i="1"/>
  <c r="X282" i="1" s="1"/>
  <c r="R304" i="1"/>
  <c r="X304" i="1" s="1"/>
  <c r="R281" i="1"/>
  <c r="X281" i="1" s="1"/>
  <c r="R279" i="1"/>
  <c r="X279" i="1" s="1"/>
  <c r="R280" i="1"/>
  <c r="X280" i="1" s="1"/>
  <c r="R200" i="1"/>
  <c r="X200" i="1" s="1"/>
  <c r="R140" i="1"/>
  <c r="X140" i="1" s="1"/>
  <c r="R435" i="1"/>
  <c r="X435" i="1" s="1"/>
  <c r="R240" i="1"/>
  <c r="X240" i="1" s="1"/>
  <c r="R241" i="1"/>
  <c r="X241" i="1" s="1"/>
  <c r="R39" i="1"/>
  <c r="X39" i="1" s="1"/>
  <c r="R40" i="1"/>
  <c r="X40" i="1" s="1"/>
  <c r="R205" i="1"/>
  <c r="X205" i="1" s="1"/>
  <c r="R123" i="1"/>
  <c r="X123" i="1" s="1"/>
  <c r="R436" i="1"/>
  <c r="X436" i="1" s="1"/>
  <c r="R437" i="1"/>
  <c r="X437" i="1" s="1"/>
  <c r="R296" i="1"/>
  <c r="X296" i="1" s="1"/>
  <c r="R297" i="1"/>
  <c r="X297" i="1" s="1"/>
  <c r="R101" i="1"/>
  <c r="X101" i="1" s="1"/>
  <c r="R139" i="1"/>
  <c r="X139" i="1" s="1"/>
  <c r="R292" i="1"/>
  <c r="X292" i="1" s="1"/>
  <c r="R438" i="1"/>
  <c r="X438" i="1" s="1"/>
  <c r="R439" i="1"/>
  <c r="X439" i="1" s="1"/>
  <c r="R440" i="1"/>
  <c r="X440" i="1" s="1"/>
  <c r="R441" i="1"/>
  <c r="X441" i="1" s="1"/>
  <c r="R338" i="1"/>
  <c r="X338" i="1" s="1"/>
  <c r="R64" i="1"/>
  <c r="X64" i="1" s="1"/>
  <c r="R91" i="1"/>
  <c r="X91" i="1" s="1"/>
  <c r="R222" i="1"/>
  <c r="X222" i="1" s="1"/>
  <c r="R223" i="1"/>
  <c r="X223" i="1" s="1"/>
  <c r="R328" i="1"/>
  <c r="X328" i="1" s="1"/>
  <c r="R95" i="1"/>
  <c r="X95" i="1" s="1"/>
  <c r="R442" i="1"/>
  <c r="X442" i="1" s="1"/>
  <c r="R443" i="1"/>
  <c r="X443" i="1" s="1"/>
  <c r="R444" i="1"/>
  <c r="X444" i="1" s="1"/>
  <c r="R128" i="1"/>
  <c r="X128" i="1" s="1"/>
  <c r="R285" i="1"/>
  <c r="X285" i="1" s="1"/>
  <c r="R445" i="1"/>
  <c r="X445" i="1" s="1"/>
  <c r="R446" i="1"/>
  <c r="X446" i="1" s="1"/>
  <c r="R124" i="1"/>
  <c r="X124" i="1" s="1"/>
  <c r="R110" i="1"/>
  <c r="X110" i="1" s="1"/>
  <c r="R447" i="1"/>
  <c r="X447" i="1" s="1"/>
  <c r="R448" i="1"/>
  <c r="X448" i="1" s="1"/>
  <c r="R449" i="1"/>
  <c r="X449" i="1" s="1"/>
  <c r="R214" i="1"/>
  <c r="X214" i="1" s="1"/>
  <c r="R450" i="1"/>
  <c r="X450" i="1" s="1"/>
  <c r="R194" i="1"/>
  <c r="X194" i="1" s="1"/>
  <c r="R451" i="1"/>
  <c r="X451" i="1" s="1"/>
  <c r="R172" i="1"/>
  <c r="X172" i="1" s="1"/>
  <c r="R452" i="1"/>
  <c r="X452" i="1" s="1"/>
  <c r="R453" i="1"/>
  <c r="X453" i="1" s="1"/>
  <c r="R454" i="1"/>
  <c r="X454" i="1" s="1"/>
  <c r="R455" i="1"/>
  <c r="X455" i="1" s="1"/>
  <c r="R177" i="1"/>
  <c r="X177" i="1" s="1"/>
  <c r="R178" i="1"/>
  <c r="X178" i="1" s="1"/>
  <c r="R226" i="1"/>
  <c r="X226" i="1" s="1"/>
  <c r="R227" i="1"/>
  <c r="X227" i="1" s="1"/>
  <c r="R518" i="1"/>
  <c r="X518" i="1" s="1"/>
  <c r="R519" i="1"/>
  <c r="X519" i="1" s="1"/>
  <c r="R165" i="1"/>
  <c r="X165" i="1" s="1"/>
  <c r="R456" i="1"/>
  <c r="X456" i="1" s="1"/>
  <c r="R457" i="1"/>
  <c r="X457" i="1" s="1"/>
  <c r="R6" i="1"/>
  <c r="X6" i="1" s="1"/>
  <c r="R286" i="1"/>
  <c r="X286" i="1" s="1"/>
  <c r="R287" i="1"/>
  <c r="X287" i="1" s="1"/>
  <c r="R458" i="1"/>
  <c r="X458" i="1" s="1"/>
  <c r="R38" i="1"/>
  <c r="X38" i="1" s="1"/>
  <c r="R459" i="1"/>
  <c r="X459" i="1" s="1"/>
  <c r="R107" i="1"/>
  <c r="X107" i="1" s="1"/>
  <c r="R218" i="1"/>
  <c r="X218" i="1" s="1"/>
  <c r="R460" i="1"/>
  <c r="X460" i="1" s="1"/>
  <c r="R209" i="1"/>
  <c r="X209" i="1" s="1"/>
  <c r="R136" i="1"/>
  <c r="X136" i="1" s="1"/>
  <c r="R137" i="1"/>
  <c r="X137" i="1" s="1"/>
  <c r="R461" i="1"/>
  <c r="X461" i="1" s="1"/>
  <c r="R347" i="1"/>
  <c r="X347" i="1" s="1"/>
  <c r="R348" i="1"/>
  <c r="X348" i="1" s="1"/>
  <c r="R247" i="1"/>
  <c r="X247" i="1" s="1"/>
  <c r="R307" i="1"/>
  <c r="X307" i="1" s="1"/>
  <c r="R253" i="1"/>
  <c r="X253" i="1" s="1"/>
  <c r="R111" i="1"/>
  <c r="X111" i="1" s="1"/>
  <c r="R112" i="1"/>
  <c r="X112" i="1" s="1"/>
  <c r="R462" i="1"/>
  <c r="X462" i="1" s="1"/>
  <c r="R329" i="1"/>
  <c r="X329" i="1" s="1"/>
  <c r="R69" i="1"/>
  <c r="X69" i="1" s="1"/>
  <c r="R70" i="1"/>
  <c r="X70" i="1" s="1"/>
  <c r="R87" i="1"/>
  <c r="X87" i="1" s="1"/>
  <c r="R88" i="1"/>
  <c r="X88" i="1" s="1"/>
  <c r="R463" i="1"/>
  <c r="X463" i="1" s="1"/>
  <c r="R183" i="1"/>
  <c r="X183" i="1" s="1"/>
  <c r="R184" i="1"/>
  <c r="X184" i="1" s="1"/>
  <c r="R288" i="1"/>
  <c r="X288" i="1" s="1"/>
  <c r="R27" i="1"/>
  <c r="X27" i="1" s="1"/>
  <c r="R21" i="1"/>
  <c r="X21" i="1" s="1"/>
  <c r="R316" i="1"/>
  <c r="X316" i="1" s="1"/>
  <c r="R317" i="1"/>
  <c r="X317" i="1" s="1"/>
  <c r="R198" i="1"/>
  <c r="X198" i="1" s="1"/>
  <c r="R199" i="1"/>
  <c r="X199" i="1" s="1"/>
  <c r="R206" i="1"/>
  <c r="X206" i="1" s="1"/>
  <c r="R325" i="1"/>
  <c r="X325" i="1" s="1"/>
  <c r="R298" i="1"/>
  <c r="X298" i="1" s="1"/>
  <c r="R244" i="1"/>
  <c r="X244" i="1" s="1"/>
  <c r="R245" i="1"/>
  <c r="X245" i="1" s="1"/>
  <c r="R85" i="1"/>
  <c r="X85" i="1" s="1"/>
  <c r="R86" i="1"/>
  <c r="X86" i="1" s="1"/>
  <c r="R464" i="1"/>
  <c r="X464" i="1" s="1"/>
  <c r="R465" i="1"/>
  <c r="X465" i="1" s="1"/>
  <c r="R225" i="1"/>
  <c r="X225" i="1" s="1"/>
  <c r="R109" i="1"/>
  <c r="X109" i="1" s="1"/>
  <c r="R466" i="1"/>
  <c r="X466" i="1" s="1"/>
  <c r="R467" i="1"/>
  <c r="X467" i="1" s="1"/>
  <c r="R41" i="1"/>
  <c r="X41" i="1" s="1"/>
  <c r="R468" i="1"/>
  <c r="X468" i="1" s="1"/>
  <c r="R143" i="1"/>
  <c r="X143" i="1" s="1"/>
  <c r="R469" i="1"/>
  <c r="X469" i="1" s="1"/>
  <c r="R334" i="1"/>
  <c r="X334" i="1" s="1"/>
  <c r="R335" i="1"/>
  <c r="X335" i="1" s="1"/>
  <c r="R341" i="1"/>
  <c r="X341" i="1" s="1"/>
  <c r="R254" i="1"/>
  <c r="X254" i="1" s="1"/>
  <c r="R141" i="1"/>
  <c r="X141" i="1" s="1"/>
  <c r="R256" i="1"/>
  <c r="X256" i="1" s="1"/>
  <c r="R470" i="1"/>
  <c r="X470" i="1" s="1"/>
  <c r="R471" i="1"/>
  <c r="X471" i="1" s="1"/>
  <c r="R313" i="1"/>
  <c r="X313" i="1" s="1"/>
  <c r="R472" i="1"/>
  <c r="X472" i="1" s="1"/>
  <c r="R473" i="1"/>
  <c r="X473" i="1" s="1"/>
  <c r="R474" i="1"/>
  <c r="X474" i="1" s="1"/>
  <c r="R302" i="1"/>
  <c r="X302" i="1" s="1"/>
  <c r="R303" i="1"/>
  <c r="X303" i="1" s="1"/>
  <c r="R159" i="1"/>
  <c r="X159" i="1" s="1"/>
  <c r="R160" i="1"/>
  <c r="X160" i="1" s="1"/>
  <c r="R138" i="1"/>
  <c r="X138" i="1" s="1"/>
  <c r="R156" i="1"/>
  <c r="X156" i="1" s="1"/>
  <c r="R326" i="1"/>
  <c r="X326" i="1" s="1"/>
  <c r="R327" i="1"/>
  <c r="X327" i="1" s="1"/>
  <c r="R299" i="1"/>
  <c r="X299" i="1" s="1"/>
  <c r="R300" i="1"/>
  <c r="X300" i="1" s="1"/>
  <c r="R475" i="1"/>
  <c r="X475" i="1" s="1"/>
  <c r="R476" i="1"/>
  <c r="X476" i="1" s="1"/>
  <c r="R477" i="1"/>
  <c r="X477" i="1" s="1"/>
  <c r="R478" i="1"/>
  <c r="X478" i="1" s="1"/>
  <c r="R115" i="1"/>
  <c r="X115" i="1" s="1"/>
  <c r="R116" i="1"/>
  <c r="X116" i="1" s="1"/>
  <c r="R249" i="1"/>
  <c r="X249" i="1" s="1"/>
  <c r="R342" i="1"/>
  <c r="X342" i="1" s="1"/>
  <c r="R343" i="1"/>
  <c r="X343" i="1" s="1"/>
  <c r="R250" i="1"/>
  <c r="X250" i="1" s="1"/>
  <c r="R191" i="1"/>
  <c r="X191" i="1" s="1"/>
  <c r="R479" i="1"/>
  <c r="X479" i="1" s="1"/>
  <c r="R480" i="1"/>
  <c r="X480" i="1" s="1"/>
  <c r="R481" i="1"/>
  <c r="X481" i="1" s="1"/>
  <c r="R237" i="1"/>
  <c r="X237" i="1" s="1"/>
  <c r="R238" i="1"/>
  <c r="X238" i="1" s="1"/>
  <c r="R239" i="1"/>
  <c r="X239" i="1" s="1"/>
  <c r="R482" i="1"/>
  <c r="X482" i="1" s="1"/>
  <c r="R483" i="1"/>
  <c r="X483" i="1" s="1"/>
  <c r="R484" i="1"/>
  <c r="X484" i="1" s="1"/>
  <c r="R215" i="1"/>
  <c r="X215" i="1" s="1"/>
  <c r="R485" i="1"/>
  <c r="X485" i="1" s="1"/>
  <c r="R44" i="1"/>
  <c r="X44" i="1" s="1"/>
  <c r="R45" i="1"/>
  <c r="X45" i="1" s="1"/>
  <c r="R163" i="1"/>
  <c r="X163" i="1" s="1"/>
  <c r="R164" i="1"/>
  <c r="X164" i="1" s="1"/>
  <c r="R233" i="1"/>
  <c r="X233" i="1" s="1"/>
  <c r="R486" i="1"/>
  <c r="X486" i="1" s="1"/>
  <c r="R487" i="1"/>
  <c r="X487" i="1" s="1"/>
  <c r="R488" i="1"/>
  <c r="X488" i="1" s="1"/>
  <c r="R489" i="1"/>
  <c r="X489" i="1" s="1"/>
  <c r="R490" i="1"/>
  <c r="X490" i="1" s="1"/>
  <c r="R53" i="1"/>
  <c r="X53" i="1" s="1"/>
  <c r="R62" i="1"/>
  <c r="X62" i="1" s="1"/>
  <c r="R63" i="1"/>
  <c r="X63" i="1" s="1"/>
  <c r="R32" i="1"/>
  <c r="X32" i="1" s="1"/>
  <c r="R491" i="1"/>
  <c r="X491" i="1" s="1"/>
  <c r="R492" i="1"/>
  <c r="X492" i="1" s="1"/>
  <c r="R121" i="1"/>
  <c r="X121" i="1" s="1"/>
  <c r="R333" i="1"/>
  <c r="X333" i="1" s="1"/>
  <c r="R493" i="1"/>
  <c r="X493" i="1" s="1"/>
  <c r="R494" i="1"/>
  <c r="X494" i="1" s="1"/>
  <c r="R224" i="1"/>
  <c r="X224" i="1" s="1"/>
  <c r="R495" i="1"/>
  <c r="X495" i="1" s="1"/>
  <c r="R496" i="1"/>
  <c r="X496" i="1" s="1"/>
  <c r="R497" i="1"/>
  <c r="X497" i="1" s="1"/>
  <c r="R498" i="1"/>
  <c r="X498" i="1" s="1"/>
  <c r="R320" i="1"/>
  <c r="X320" i="1" s="1"/>
  <c r="R147" i="1"/>
  <c r="X147" i="1" s="1"/>
  <c r="R499" i="1"/>
  <c r="X499" i="1" s="1"/>
  <c r="R500" i="1"/>
  <c r="X500" i="1" s="1"/>
  <c r="R501" i="1"/>
  <c r="X501" i="1" s="1"/>
  <c r="R146" i="1"/>
  <c r="X146" i="1" s="1"/>
  <c r="R179" i="1"/>
  <c r="X179" i="1" s="1"/>
  <c r="R180" i="1"/>
  <c r="X180" i="1" s="1"/>
  <c r="R34" i="1"/>
  <c r="X34" i="1" s="1"/>
  <c r="R502" i="1"/>
  <c r="X502" i="1" s="1"/>
  <c r="R503" i="1"/>
  <c r="X503" i="1" s="1"/>
  <c r="R349" i="1"/>
  <c r="X349" i="1" s="1"/>
  <c r="R252" i="1"/>
  <c r="X252" i="1" s="1"/>
  <c r="R504" i="1"/>
  <c r="X504" i="1" s="1"/>
  <c r="R505" i="1"/>
  <c r="X505" i="1" s="1"/>
  <c r="R4" i="1"/>
  <c r="X4" i="1" s="1"/>
  <c r="R246" i="1"/>
  <c r="X246" i="1" s="1"/>
  <c r="R221" i="1"/>
  <c r="X221" i="1" s="1"/>
  <c r="R102" i="1"/>
  <c r="X102" i="1" s="1"/>
  <c r="R213" i="1"/>
  <c r="X213" i="1" s="1"/>
  <c r="R79" i="1"/>
  <c r="X79" i="1" s="1"/>
  <c r="R125" i="1"/>
  <c r="X125" i="1" s="1"/>
  <c r="R506" i="1"/>
  <c r="X506" i="1" s="1"/>
  <c r="R507" i="1"/>
  <c r="X507" i="1" s="1"/>
  <c r="R508" i="1"/>
  <c r="X508" i="1" s="1"/>
  <c r="R509" i="1"/>
  <c r="X509" i="1" s="1"/>
  <c r="R161" i="1"/>
  <c r="X161" i="1" s="1"/>
  <c r="R162" i="1"/>
  <c r="X162" i="1" s="1"/>
  <c r="R185" i="1"/>
  <c r="X185" i="1" s="1"/>
  <c r="R510" i="1"/>
  <c r="X510" i="1" s="1"/>
  <c r="R230" i="1"/>
  <c r="X230" i="1" s="1"/>
  <c r="R231" i="1"/>
  <c r="X231" i="1" s="1"/>
  <c r="R114" i="1"/>
  <c r="X114" i="1" s="1"/>
  <c r="R511" i="1"/>
  <c r="X511" i="1" s="1"/>
  <c r="R512" i="1"/>
  <c r="X512" i="1" s="1"/>
  <c r="R513" i="1"/>
  <c r="X513" i="1" s="1"/>
  <c r="R22" i="1"/>
  <c r="X22" i="1" s="1"/>
  <c r="R23" i="1"/>
  <c r="X23" i="1" s="1"/>
  <c r="R24" i="1"/>
  <c r="X24" i="1" s="1"/>
  <c r="R98" i="1"/>
  <c r="X98" i="1" s="1"/>
  <c r="R17" i="1"/>
  <c r="X17" i="1" s="1"/>
  <c r="R18" i="1"/>
  <c r="X18" i="1" s="1"/>
  <c r="R514" i="1"/>
  <c r="X514" i="1" s="1"/>
  <c r="V99" i="1"/>
  <c r="V100" i="1"/>
  <c r="V113" i="1"/>
  <c r="V330" i="1"/>
  <c r="V331" i="1"/>
  <c r="V332" i="1"/>
  <c r="V295" i="1"/>
  <c r="V37" i="1"/>
  <c r="V82" i="1"/>
  <c r="V83" i="1"/>
  <c r="V84" i="1"/>
  <c r="V350" i="1"/>
  <c r="V351" i="1"/>
  <c r="V352" i="1"/>
  <c r="V353" i="1"/>
  <c r="V339" i="1"/>
  <c r="V103" i="1"/>
  <c r="V104" i="1"/>
  <c r="V305" i="1"/>
  <c r="V174" i="1"/>
  <c r="V175" i="1"/>
  <c r="V176" i="1"/>
  <c r="V192" i="1"/>
  <c r="V42" i="1"/>
  <c r="V68" i="1"/>
  <c r="V157" i="1"/>
  <c r="V181" i="1"/>
  <c r="V182" i="1"/>
  <c r="V228" i="1"/>
  <c r="V8" i="1"/>
  <c r="V77" i="1"/>
  <c r="V11" i="1"/>
  <c r="V12" i="1"/>
  <c r="V132" i="1"/>
  <c r="V9" i="1"/>
  <c r="V59" i="1"/>
  <c r="V60" i="1"/>
  <c r="V201" i="1"/>
  <c r="V15" i="1"/>
  <c r="V354" i="1"/>
  <c r="V355" i="1"/>
  <c r="V356" i="1"/>
  <c r="V168" i="1"/>
  <c r="V169" i="1"/>
  <c r="V193" i="1"/>
  <c r="V50" i="1"/>
  <c r="V51" i="1"/>
  <c r="V318" i="1"/>
  <c r="V319" i="1"/>
  <c r="V357" i="1"/>
  <c r="V358" i="1"/>
  <c r="V359" i="1"/>
  <c r="V360" i="1"/>
  <c r="V306" i="1"/>
  <c r="V10" i="1"/>
  <c r="V257" i="1"/>
  <c r="V19" i="1"/>
  <c r="V31" i="1"/>
  <c r="V117" i="1"/>
  <c r="V118" i="1"/>
  <c r="V361" i="1"/>
  <c r="V362" i="1"/>
  <c r="V308" i="1"/>
  <c r="V363" i="1"/>
  <c r="V364" i="1"/>
  <c r="V170" i="1"/>
  <c r="V171" i="1"/>
  <c r="V229" i="1"/>
  <c r="V275" i="1"/>
  <c r="V261" i="1"/>
  <c r="V262" i="1"/>
  <c r="V210" i="1"/>
  <c r="V264" i="1"/>
  <c r="V196" i="1"/>
  <c r="V265" i="1"/>
  <c r="V43" i="1"/>
  <c r="V269" i="1"/>
  <c r="V28" i="1"/>
  <c r="V216" i="1"/>
  <c r="V217" i="1"/>
  <c r="V29" i="1"/>
  <c r="V271" i="1"/>
  <c r="V321" i="1"/>
  <c r="V78" i="1"/>
  <c r="V255" i="1"/>
  <c r="V80" i="1"/>
  <c r="V365" i="1"/>
  <c r="V93" i="1"/>
  <c r="V94" i="1"/>
  <c r="V366" i="1"/>
  <c r="V367" i="1"/>
  <c r="V368" i="1"/>
  <c r="V232" i="1"/>
  <c r="V243" i="1"/>
  <c r="V2" i="1"/>
  <c r="V3" i="1"/>
  <c r="V267" i="1"/>
  <c r="V268" i="1"/>
  <c r="V369" i="1"/>
  <c r="V314" i="1"/>
  <c r="V315" i="1"/>
  <c r="V35" i="1"/>
  <c r="V370" i="1"/>
  <c r="V371" i="1"/>
  <c r="V372" i="1"/>
  <c r="V373" i="1"/>
  <c r="V46" i="1"/>
  <c r="V20" i="1"/>
  <c r="V374" i="1"/>
  <c r="V274" i="1"/>
  <c r="V260" i="1"/>
  <c r="V276" i="1"/>
  <c r="V293" i="1"/>
  <c r="V294" i="1"/>
  <c r="V73" i="1"/>
  <c r="V74" i="1"/>
  <c r="V75" i="1"/>
  <c r="V375" i="1"/>
  <c r="V376" i="1"/>
  <c r="V25" i="1"/>
  <c r="V377" i="1"/>
  <c r="V378" i="1"/>
  <c r="V379" i="1"/>
  <c r="V380" i="1"/>
  <c r="V310" i="1"/>
  <c r="V311" i="1"/>
  <c r="V312" i="1"/>
  <c r="V195" i="1"/>
  <c r="V263" i="1"/>
  <c r="V197" i="1"/>
  <c r="V56" i="1"/>
  <c r="V57" i="1"/>
  <c r="V166" i="1"/>
  <c r="V167" i="1"/>
  <c r="V5" i="1"/>
  <c r="V30" i="1"/>
  <c r="V97" i="1"/>
  <c r="V381" i="1"/>
  <c r="V382" i="1"/>
  <c r="V189" i="1"/>
  <c r="V270" i="1"/>
  <c r="V52" i="1"/>
  <c r="V190" i="1"/>
  <c r="V150" i="1"/>
  <c r="V151" i="1"/>
  <c r="V152" i="1"/>
  <c r="V383" i="1"/>
  <c r="V384" i="1"/>
  <c r="V158" i="1"/>
  <c r="V58" i="1"/>
  <c r="V248" i="1"/>
  <c r="V211" i="1"/>
  <c r="V385" i="1"/>
  <c r="V155" i="1"/>
  <c r="V242" i="1"/>
  <c r="V266" i="1"/>
  <c r="V7" i="1"/>
  <c r="V336" i="1"/>
  <c r="V337" i="1"/>
  <c r="V344" i="1"/>
  <c r="V186" i="1"/>
  <c r="V120" i="1"/>
  <c r="V47" i="1"/>
  <c r="V48" i="1"/>
  <c r="V49" i="1"/>
  <c r="V386" i="1"/>
  <c r="V202" i="1"/>
  <c r="V203" i="1"/>
  <c r="V65" i="1"/>
  <c r="V387" i="1"/>
  <c r="V388" i="1"/>
  <c r="V389" i="1"/>
  <c r="V390" i="1"/>
  <c r="V61" i="1"/>
  <c r="V126" i="1"/>
  <c r="V127" i="1"/>
  <c r="V16" i="1"/>
  <c r="V154" i="1"/>
  <c r="V291" i="1"/>
  <c r="V207" i="1"/>
  <c r="V208" i="1"/>
  <c r="V391" i="1"/>
  <c r="V392" i="1"/>
  <c r="V119" i="1"/>
  <c r="V393" i="1"/>
  <c r="V394" i="1"/>
  <c r="V219" i="1"/>
  <c r="V220" i="1"/>
  <c r="V395" i="1"/>
  <c r="V396" i="1"/>
  <c r="V122" i="1"/>
  <c r="V345" i="1"/>
  <c r="V346" i="1"/>
  <c r="V130" i="1"/>
  <c r="V131" i="1"/>
  <c r="V284" i="1"/>
  <c r="V142" i="1"/>
  <c r="V92" i="1"/>
  <c r="V397" i="1"/>
  <c r="V398" i="1"/>
  <c r="V399" i="1"/>
  <c r="V400" i="1"/>
  <c r="V71" i="1"/>
  <c r="V72" i="1"/>
  <c r="V187" i="1"/>
  <c r="V188" i="1"/>
  <c r="V401" i="1"/>
  <c r="V402" i="1"/>
  <c r="V403" i="1"/>
  <c r="V76" i="1"/>
  <c r="V129" i="1"/>
  <c r="V277" i="1"/>
  <c r="V278" i="1"/>
  <c r="V309" i="1"/>
  <c r="V204" i="1"/>
  <c r="V404" i="1"/>
  <c r="V405" i="1"/>
  <c r="V144" i="1"/>
  <c r="V145" i="1"/>
  <c r="V133" i="1"/>
  <c r="V134" i="1"/>
  <c r="V135" i="1"/>
  <c r="V251" i="1"/>
  <c r="V406" i="1"/>
  <c r="V407" i="1"/>
  <c r="V81" i="1"/>
  <c r="V212" i="1"/>
  <c r="V96" i="1"/>
  <c r="V153" i="1"/>
  <c r="V36" i="1"/>
  <c r="V408" i="1"/>
  <c r="V409" i="1"/>
  <c r="V258" i="1"/>
  <c r="V259" i="1"/>
  <c r="V410" i="1"/>
  <c r="V411" i="1"/>
  <c r="V412" i="1"/>
  <c r="V413" i="1"/>
  <c r="V283" i="1"/>
  <c r="V173" i="1"/>
  <c r="V414" i="1"/>
  <c r="V148" i="1"/>
  <c r="V149" i="1"/>
  <c r="V13" i="1"/>
  <c r="V14" i="1"/>
  <c r="V415" i="1"/>
  <c r="V272" i="1"/>
  <c r="V273" i="1"/>
  <c r="V289" i="1"/>
  <c r="V290" i="1"/>
  <c r="V416" i="1"/>
  <c r="V417" i="1"/>
  <c r="V515" i="1"/>
  <c r="V418" i="1"/>
  <c r="V33" i="1"/>
  <c r="V419" i="1"/>
  <c r="V66" i="1"/>
  <c r="V67" i="1"/>
  <c r="V89" i="1"/>
  <c r="V90" i="1"/>
  <c r="V516" i="1"/>
  <c r="V517" i="1"/>
  <c r="V108" i="1"/>
  <c r="V322" i="1"/>
  <c r="V323" i="1"/>
  <c r="V324" i="1"/>
  <c r="V420" i="1"/>
  <c r="V421" i="1"/>
  <c r="V26" i="1"/>
  <c r="V301" i="1"/>
  <c r="V340" i="1"/>
  <c r="V422" i="1"/>
  <c r="V423" i="1"/>
  <c r="V424" i="1"/>
  <c r="V234" i="1"/>
  <c r="V425" i="1"/>
  <c r="V426" i="1"/>
  <c r="V427" i="1"/>
  <c r="V428" i="1"/>
  <c r="V429" i="1"/>
  <c r="V430" i="1"/>
  <c r="V431" i="1"/>
  <c r="V432" i="1"/>
  <c r="V433" i="1"/>
  <c r="V434" i="1"/>
  <c r="V54" i="1"/>
  <c r="V55" i="1"/>
  <c r="V105" i="1"/>
  <c r="V106" i="1"/>
  <c r="V235" i="1"/>
  <c r="V236" i="1"/>
  <c r="V282" i="1"/>
  <c r="V304" i="1"/>
  <c r="V281" i="1"/>
  <c r="V279" i="1"/>
  <c r="V280" i="1"/>
  <c r="V200" i="1"/>
  <c r="V140" i="1"/>
  <c r="V435" i="1"/>
  <c r="V240" i="1"/>
  <c r="V241" i="1"/>
  <c r="V39" i="1"/>
  <c r="V40" i="1"/>
  <c r="V205" i="1"/>
  <c r="V123" i="1"/>
  <c r="V436" i="1"/>
  <c r="V437" i="1"/>
  <c r="V296" i="1"/>
  <c r="V297" i="1"/>
  <c r="V101" i="1"/>
  <c r="V139" i="1"/>
  <c r="V292" i="1"/>
  <c r="V438" i="1"/>
  <c r="V439" i="1"/>
  <c r="V440" i="1"/>
  <c r="V441" i="1"/>
  <c r="V338" i="1"/>
  <c r="V64" i="1"/>
  <c r="V91" i="1"/>
  <c r="V222" i="1"/>
  <c r="V223" i="1"/>
  <c r="V328" i="1"/>
  <c r="V95" i="1"/>
  <c r="V442" i="1"/>
  <c r="V443" i="1"/>
  <c r="V444" i="1"/>
  <c r="V128" i="1"/>
  <c r="V285" i="1"/>
  <c r="V445" i="1"/>
  <c r="V446" i="1"/>
  <c r="V124" i="1"/>
  <c r="V110" i="1"/>
  <c r="V447" i="1"/>
  <c r="V448" i="1"/>
  <c r="V449" i="1"/>
  <c r="V214" i="1"/>
  <c r="V450" i="1"/>
  <c r="V194" i="1"/>
  <c r="V451" i="1"/>
  <c r="V172" i="1"/>
  <c r="V452" i="1"/>
  <c r="V453" i="1"/>
  <c r="V454" i="1"/>
  <c r="V455" i="1"/>
  <c r="V177" i="1"/>
  <c r="V178" i="1"/>
  <c r="V226" i="1"/>
  <c r="V227" i="1"/>
  <c r="V518" i="1"/>
  <c r="V519" i="1"/>
  <c r="V165" i="1"/>
  <c r="V456" i="1"/>
  <c r="V457" i="1"/>
  <c r="V6" i="1"/>
  <c r="V286" i="1"/>
  <c r="V287" i="1"/>
  <c r="V458" i="1"/>
  <c r="V38" i="1"/>
  <c r="V459" i="1"/>
  <c r="V107" i="1"/>
  <c r="V218" i="1"/>
  <c r="V460" i="1"/>
  <c r="V209" i="1"/>
  <c r="V136" i="1"/>
  <c r="V137" i="1"/>
  <c r="V461" i="1"/>
  <c r="V347" i="1"/>
  <c r="V348" i="1"/>
  <c r="V247" i="1"/>
  <c r="V307" i="1"/>
  <c r="V253" i="1"/>
  <c r="V111" i="1"/>
  <c r="V112" i="1"/>
  <c r="V462" i="1"/>
  <c r="V329" i="1"/>
  <c r="V69" i="1"/>
  <c r="V70" i="1"/>
  <c r="V87" i="1"/>
  <c r="V88" i="1"/>
  <c r="V463" i="1"/>
  <c r="V183" i="1"/>
  <c r="V184" i="1"/>
  <c r="V288" i="1"/>
  <c r="V27" i="1"/>
  <c r="V21" i="1"/>
  <c r="V316" i="1"/>
  <c r="V317" i="1"/>
  <c r="V198" i="1"/>
  <c r="V199" i="1"/>
  <c r="V206" i="1"/>
  <c r="V325" i="1"/>
  <c r="V298" i="1"/>
  <c r="V244" i="1"/>
  <c r="V245" i="1"/>
  <c r="V85" i="1"/>
  <c r="V86" i="1"/>
  <c r="V464" i="1"/>
  <c r="V465" i="1"/>
  <c r="V225" i="1"/>
  <c r="V109" i="1"/>
  <c r="V466" i="1"/>
  <c r="V467" i="1"/>
  <c r="V41" i="1"/>
  <c r="V468" i="1"/>
  <c r="V143" i="1"/>
  <c r="V469" i="1"/>
  <c r="V334" i="1"/>
  <c r="V335" i="1"/>
  <c r="V341" i="1"/>
  <c r="V254" i="1"/>
  <c r="V141" i="1"/>
  <c r="V256" i="1"/>
  <c r="V470" i="1"/>
  <c r="V471" i="1"/>
  <c r="V313" i="1"/>
  <c r="V472" i="1"/>
  <c r="V473" i="1"/>
  <c r="V474" i="1"/>
  <c r="V302" i="1"/>
  <c r="V303" i="1"/>
  <c r="V159" i="1"/>
  <c r="V160" i="1"/>
  <c r="V138" i="1"/>
  <c r="V156" i="1"/>
  <c r="V326" i="1"/>
  <c r="V327" i="1"/>
  <c r="V299" i="1"/>
  <c r="V300" i="1"/>
  <c r="V475" i="1"/>
  <c r="V476" i="1"/>
  <c r="V477" i="1"/>
  <c r="V478" i="1"/>
  <c r="V115" i="1"/>
  <c r="V116" i="1"/>
  <c r="V249" i="1"/>
  <c r="V342" i="1"/>
  <c r="V343" i="1"/>
  <c r="V250" i="1"/>
  <c r="V191" i="1"/>
  <c r="V479" i="1"/>
  <c r="V480" i="1"/>
  <c r="V481" i="1"/>
  <c r="V237" i="1"/>
  <c r="V238" i="1"/>
  <c r="V239" i="1"/>
  <c r="V482" i="1"/>
  <c r="V483" i="1"/>
  <c r="V484" i="1"/>
  <c r="V215" i="1"/>
  <c r="V485" i="1"/>
  <c r="V44" i="1"/>
  <c r="V45" i="1"/>
  <c r="V163" i="1"/>
  <c r="V164" i="1"/>
  <c r="V233" i="1"/>
  <c r="V486" i="1"/>
  <c r="V487" i="1"/>
  <c r="V488" i="1"/>
  <c r="V489" i="1"/>
  <c r="V490" i="1"/>
  <c r="V53" i="1"/>
  <c r="V62" i="1"/>
  <c r="V63" i="1"/>
  <c r="V32" i="1"/>
  <c r="V491" i="1"/>
  <c r="V492" i="1"/>
  <c r="V121" i="1"/>
  <c r="V333" i="1"/>
  <c r="V493" i="1"/>
  <c r="V494" i="1"/>
  <c r="V224" i="1"/>
  <c r="V495" i="1"/>
  <c r="V496" i="1"/>
  <c r="V497" i="1"/>
  <c r="V498" i="1"/>
  <c r="V320" i="1"/>
  <c r="V147" i="1"/>
  <c r="V499" i="1"/>
  <c r="V500" i="1"/>
  <c r="V501" i="1"/>
  <c r="V146" i="1"/>
  <c r="V179" i="1"/>
  <c r="V180" i="1"/>
  <c r="V34" i="1"/>
  <c r="V502" i="1"/>
  <c r="V503" i="1"/>
  <c r="V349" i="1"/>
  <c r="V252" i="1"/>
  <c r="V504" i="1"/>
  <c r="V505" i="1"/>
  <c r="V4" i="1"/>
  <c r="V246" i="1"/>
  <c r="V221" i="1"/>
  <c r="V102" i="1"/>
  <c r="V213" i="1"/>
  <c r="V79" i="1"/>
  <c r="V125" i="1"/>
  <c r="V506" i="1"/>
  <c r="V507" i="1"/>
  <c r="V508" i="1"/>
  <c r="V509" i="1"/>
  <c r="V161" i="1"/>
  <c r="V162" i="1"/>
  <c r="V185" i="1"/>
  <c r="V510" i="1"/>
  <c r="V230" i="1"/>
  <c r="V231" i="1"/>
  <c r="V114" i="1"/>
  <c r="V511" i="1"/>
  <c r="V512" i="1"/>
  <c r="V513" i="1"/>
  <c r="V22" i="1"/>
  <c r="V23" i="1"/>
  <c r="V24" i="1"/>
  <c r="V98" i="1"/>
  <c r="V17" i="1"/>
  <c r="V18" i="1"/>
  <c r="V514" i="1"/>
  <c r="T99" i="1"/>
  <c r="T100" i="1"/>
  <c r="T113" i="1"/>
  <c r="T330" i="1"/>
  <c r="T331" i="1"/>
  <c r="T332" i="1"/>
  <c r="T295" i="1"/>
  <c r="T37" i="1"/>
  <c r="T82" i="1"/>
  <c r="T83" i="1"/>
  <c r="T84" i="1"/>
  <c r="T350" i="1"/>
  <c r="T351" i="1"/>
  <c r="T352" i="1"/>
  <c r="T353" i="1"/>
  <c r="T339" i="1"/>
  <c r="T103" i="1"/>
  <c r="T104" i="1"/>
  <c r="T305" i="1"/>
  <c r="T174" i="1"/>
  <c r="T175" i="1"/>
  <c r="T176" i="1"/>
  <c r="T192" i="1"/>
  <c r="T42" i="1"/>
  <c r="T68" i="1"/>
  <c r="T157" i="1"/>
  <c r="T181" i="1"/>
  <c r="T182" i="1"/>
  <c r="T228" i="1"/>
  <c r="T8" i="1"/>
  <c r="T77" i="1"/>
  <c r="T11" i="1"/>
  <c r="T12" i="1"/>
  <c r="T132" i="1"/>
  <c r="T9" i="1"/>
  <c r="T59" i="1"/>
  <c r="T60" i="1"/>
  <c r="T201" i="1"/>
  <c r="T15" i="1"/>
  <c r="T354" i="1"/>
  <c r="T355" i="1"/>
  <c r="T356" i="1"/>
  <c r="T168" i="1"/>
  <c r="T169" i="1"/>
  <c r="T193" i="1"/>
  <c r="T50" i="1"/>
  <c r="T51" i="1"/>
  <c r="T318" i="1"/>
  <c r="T319" i="1"/>
  <c r="T357" i="1"/>
  <c r="T358" i="1"/>
  <c r="T359" i="1"/>
  <c r="T360" i="1"/>
  <c r="T306" i="1"/>
  <c r="T10" i="1"/>
  <c r="T257" i="1"/>
  <c r="T19" i="1"/>
  <c r="T31" i="1"/>
  <c r="T117" i="1"/>
  <c r="T118" i="1"/>
  <c r="T361" i="1"/>
  <c r="T362" i="1"/>
  <c r="T308" i="1"/>
  <c r="T363" i="1"/>
  <c r="T364" i="1"/>
  <c r="T170" i="1"/>
  <c r="T171" i="1"/>
  <c r="T229" i="1"/>
  <c r="T275" i="1"/>
  <c r="T261" i="1"/>
  <c r="T262" i="1"/>
  <c r="T210" i="1"/>
  <c r="T264" i="1"/>
  <c r="T196" i="1"/>
  <c r="T265" i="1"/>
  <c r="T43" i="1"/>
  <c r="T269" i="1"/>
  <c r="T28" i="1"/>
  <c r="T216" i="1"/>
  <c r="T217" i="1"/>
  <c r="T29" i="1"/>
  <c r="T271" i="1"/>
  <c r="T321" i="1"/>
  <c r="T78" i="1"/>
  <c r="T255" i="1"/>
  <c r="T80" i="1"/>
  <c r="T365" i="1"/>
  <c r="T93" i="1"/>
  <c r="T94" i="1"/>
  <c r="T366" i="1"/>
  <c r="T367" i="1"/>
  <c r="T368" i="1"/>
  <c r="T232" i="1"/>
  <c r="T243" i="1"/>
  <c r="T2" i="1"/>
  <c r="T3" i="1"/>
  <c r="T267" i="1"/>
  <c r="T268" i="1"/>
  <c r="T369" i="1"/>
  <c r="T314" i="1"/>
  <c r="T315" i="1"/>
  <c r="T35" i="1"/>
  <c r="T370" i="1"/>
  <c r="T371" i="1"/>
  <c r="T372" i="1"/>
  <c r="T373" i="1"/>
  <c r="T46" i="1"/>
  <c r="T20" i="1"/>
  <c r="T374" i="1"/>
  <c r="T274" i="1"/>
  <c r="T260" i="1"/>
  <c r="T276" i="1"/>
  <c r="T293" i="1"/>
  <c r="T294" i="1"/>
  <c r="T73" i="1"/>
  <c r="T74" i="1"/>
  <c r="T75" i="1"/>
  <c r="T375" i="1"/>
  <c r="T376" i="1"/>
  <c r="T25" i="1"/>
  <c r="T377" i="1"/>
  <c r="T378" i="1"/>
  <c r="T379" i="1"/>
  <c r="T380" i="1"/>
  <c r="T310" i="1"/>
  <c r="T311" i="1"/>
  <c r="T312" i="1"/>
  <c r="T195" i="1"/>
  <c r="T263" i="1"/>
  <c r="T197" i="1"/>
  <c r="T56" i="1"/>
  <c r="T57" i="1"/>
  <c r="T166" i="1"/>
  <c r="T167" i="1"/>
  <c r="T5" i="1"/>
  <c r="T30" i="1"/>
  <c r="T97" i="1"/>
  <c r="T381" i="1"/>
  <c r="T382" i="1"/>
  <c r="T189" i="1"/>
  <c r="T270" i="1"/>
  <c r="T52" i="1"/>
  <c r="T190" i="1"/>
  <c r="T150" i="1"/>
  <c r="T151" i="1"/>
  <c r="T152" i="1"/>
  <c r="T383" i="1"/>
  <c r="T384" i="1"/>
  <c r="T158" i="1"/>
  <c r="T58" i="1"/>
  <c r="T248" i="1"/>
  <c r="T211" i="1"/>
  <c r="T385" i="1"/>
  <c r="T155" i="1"/>
  <c r="T242" i="1"/>
  <c r="T266" i="1"/>
  <c r="T7" i="1"/>
  <c r="T336" i="1"/>
  <c r="T337" i="1"/>
  <c r="T344" i="1"/>
  <c r="T186" i="1"/>
  <c r="T120" i="1"/>
  <c r="T47" i="1"/>
  <c r="T48" i="1"/>
  <c r="T49" i="1"/>
  <c r="T386" i="1"/>
  <c r="T202" i="1"/>
  <c r="T203" i="1"/>
  <c r="T65" i="1"/>
  <c r="T387" i="1"/>
  <c r="T388" i="1"/>
  <c r="T389" i="1"/>
  <c r="T390" i="1"/>
  <c r="T61" i="1"/>
  <c r="T126" i="1"/>
  <c r="T127" i="1"/>
  <c r="T16" i="1"/>
  <c r="T154" i="1"/>
  <c r="T291" i="1"/>
  <c r="T207" i="1"/>
  <c r="T208" i="1"/>
  <c r="T391" i="1"/>
  <c r="T392" i="1"/>
  <c r="T119" i="1"/>
  <c r="T393" i="1"/>
  <c r="T394" i="1"/>
  <c r="T219" i="1"/>
  <c r="T220" i="1"/>
  <c r="T395" i="1"/>
  <c r="T396" i="1"/>
  <c r="T122" i="1"/>
  <c r="T345" i="1"/>
  <c r="T346" i="1"/>
  <c r="T130" i="1"/>
  <c r="T131" i="1"/>
  <c r="T284" i="1"/>
  <c r="T142" i="1"/>
  <c r="T92" i="1"/>
  <c r="T397" i="1"/>
  <c r="T398" i="1"/>
  <c r="T399" i="1"/>
  <c r="T400" i="1"/>
  <c r="T71" i="1"/>
  <c r="T72" i="1"/>
  <c r="T187" i="1"/>
  <c r="T188" i="1"/>
  <c r="T401" i="1"/>
  <c r="T402" i="1"/>
  <c r="T403" i="1"/>
  <c r="T76" i="1"/>
  <c r="T129" i="1"/>
  <c r="T277" i="1"/>
  <c r="T278" i="1"/>
  <c r="T309" i="1"/>
  <c r="T204" i="1"/>
  <c r="T404" i="1"/>
  <c r="T405" i="1"/>
  <c r="T144" i="1"/>
  <c r="T145" i="1"/>
  <c r="T133" i="1"/>
  <c r="T134" i="1"/>
  <c r="T135" i="1"/>
  <c r="T251" i="1"/>
  <c r="T406" i="1"/>
  <c r="T407" i="1"/>
  <c r="T81" i="1"/>
  <c r="T212" i="1"/>
  <c r="T96" i="1"/>
  <c r="T153" i="1"/>
  <c r="T36" i="1"/>
  <c r="T408" i="1"/>
  <c r="T409" i="1"/>
  <c r="T258" i="1"/>
  <c r="T259" i="1"/>
  <c r="T410" i="1"/>
  <c r="T411" i="1"/>
  <c r="T412" i="1"/>
  <c r="T413" i="1"/>
  <c r="T283" i="1"/>
  <c r="T173" i="1"/>
  <c r="T414" i="1"/>
  <c r="T148" i="1"/>
  <c r="T149" i="1"/>
  <c r="T13" i="1"/>
  <c r="T14" i="1"/>
  <c r="T415" i="1"/>
  <c r="T272" i="1"/>
  <c r="T273" i="1"/>
  <c r="T289" i="1"/>
  <c r="T290" i="1"/>
  <c r="T416" i="1"/>
  <c r="T417" i="1"/>
  <c r="T515" i="1"/>
  <c r="T418" i="1"/>
  <c r="T33" i="1"/>
  <c r="T419" i="1"/>
  <c r="T66" i="1"/>
  <c r="T67" i="1"/>
  <c r="T89" i="1"/>
  <c r="T90" i="1"/>
  <c r="T516" i="1"/>
  <c r="T517" i="1"/>
  <c r="T108" i="1"/>
  <c r="T322" i="1"/>
  <c r="T323" i="1"/>
  <c r="T324" i="1"/>
  <c r="T420" i="1"/>
  <c r="T421" i="1"/>
  <c r="T26" i="1"/>
  <c r="T301" i="1"/>
  <c r="T340" i="1"/>
  <c r="T422" i="1"/>
  <c r="T423" i="1"/>
  <c r="T424" i="1"/>
  <c r="T234" i="1"/>
  <c r="T425" i="1"/>
  <c r="T426" i="1"/>
  <c r="T427" i="1"/>
  <c r="T428" i="1"/>
  <c r="T429" i="1"/>
  <c r="T430" i="1"/>
  <c r="T431" i="1"/>
  <c r="T432" i="1"/>
  <c r="T433" i="1"/>
  <c r="T434" i="1"/>
  <c r="T54" i="1"/>
  <c r="T55" i="1"/>
  <c r="T105" i="1"/>
  <c r="T106" i="1"/>
  <c r="T235" i="1"/>
  <c r="T236" i="1"/>
  <c r="T282" i="1"/>
  <c r="T304" i="1"/>
  <c r="T281" i="1"/>
  <c r="T279" i="1"/>
  <c r="T280" i="1"/>
  <c r="T200" i="1"/>
  <c r="T140" i="1"/>
  <c r="T435" i="1"/>
  <c r="T240" i="1"/>
  <c r="T241" i="1"/>
  <c r="T39" i="1"/>
  <c r="T40" i="1"/>
  <c r="T205" i="1"/>
  <c r="T123" i="1"/>
  <c r="T436" i="1"/>
  <c r="T437" i="1"/>
  <c r="T296" i="1"/>
  <c r="T297" i="1"/>
  <c r="T101" i="1"/>
  <c r="T139" i="1"/>
  <c r="T292" i="1"/>
  <c r="T438" i="1"/>
  <c r="T439" i="1"/>
  <c r="T440" i="1"/>
  <c r="T441" i="1"/>
  <c r="T338" i="1"/>
  <c r="T64" i="1"/>
  <c r="T91" i="1"/>
  <c r="T222" i="1"/>
  <c r="T223" i="1"/>
  <c r="T328" i="1"/>
  <c r="T95" i="1"/>
  <c r="T442" i="1"/>
  <c r="T443" i="1"/>
  <c r="T444" i="1"/>
  <c r="T128" i="1"/>
  <c r="T285" i="1"/>
  <c r="T445" i="1"/>
  <c r="T446" i="1"/>
  <c r="T124" i="1"/>
  <c r="T110" i="1"/>
  <c r="T447" i="1"/>
  <c r="T448" i="1"/>
  <c r="T449" i="1"/>
  <c r="T214" i="1"/>
  <c r="T450" i="1"/>
  <c r="T194" i="1"/>
  <c r="T451" i="1"/>
  <c r="T172" i="1"/>
  <c r="T452" i="1"/>
  <c r="T453" i="1"/>
  <c r="T454" i="1"/>
  <c r="T455" i="1"/>
  <c r="T177" i="1"/>
  <c r="T178" i="1"/>
  <c r="T226" i="1"/>
  <c r="T227" i="1"/>
  <c r="T518" i="1"/>
  <c r="T519" i="1"/>
  <c r="T165" i="1"/>
  <c r="T456" i="1"/>
  <c r="T457" i="1"/>
  <c r="T6" i="1"/>
  <c r="T286" i="1"/>
  <c r="T287" i="1"/>
  <c r="T458" i="1"/>
  <c r="T38" i="1"/>
  <c r="T459" i="1"/>
  <c r="T107" i="1"/>
  <c r="T218" i="1"/>
  <c r="T460" i="1"/>
  <c r="T209" i="1"/>
  <c r="T136" i="1"/>
  <c r="T137" i="1"/>
  <c r="T461" i="1"/>
  <c r="T347" i="1"/>
  <c r="T348" i="1"/>
  <c r="T247" i="1"/>
  <c r="T307" i="1"/>
  <c r="T253" i="1"/>
  <c r="T111" i="1"/>
  <c r="T112" i="1"/>
  <c r="T462" i="1"/>
  <c r="T329" i="1"/>
  <c r="T69" i="1"/>
  <c r="T70" i="1"/>
  <c r="T87" i="1"/>
  <c r="T88" i="1"/>
  <c r="T463" i="1"/>
  <c r="T183" i="1"/>
  <c r="T184" i="1"/>
  <c r="T288" i="1"/>
  <c r="T27" i="1"/>
  <c r="T21" i="1"/>
  <c r="T316" i="1"/>
  <c r="T317" i="1"/>
  <c r="T198" i="1"/>
  <c r="T199" i="1"/>
  <c r="T206" i="1"/>
  <c r="T325" i="1"/>
  <c r="T298" i="1"/>
  <c r="T244" i="1"/>
  <c r="T245" i="1"/>
  <c r="T85" i="1"/>
  <c r="T86" i="1"/>
  <c r="T464" i="1"/>
  <c r="T465" i="1"/>
  <c r="T225" i="1"/>
  <c r="T109" i="1"/>
  <c r="T466" i="1"/>
  <c r="T467" i="1"/>
  <c r="T41" i="1"/>
  <c r="T468" i="1"/>
  <c r="T143" i="1"/>
  <c r="T469" i="1"/>
  <c r="T334" i="1"/>
  <c r="T335" i="1"/>
  <c r="T341" i="1"/>
  <c r="T254" i="1"/>
  <c r="T141" i="1"/>
  <c r="T256" i="1"/>
  <c r="T470" i="1"/>
  <c r="T471" i="1"/>
  <c r="T313" i="1"/>
  <c r="T472" i="1"/>
  <c r="T473" i="1"/>
  <c r="T474" i="1"/>
  <c r="T302" i="1"/>
  <c r="T303" i="1"/>
  <c r="T159" i="1"/>
  <c r="T160" i="1"/>
  <c r="T138" i="1"/>
  <c r="T156" i="1"/>
  <c r="T326" i="1"/>
  <c r="T327" i="1"/>
  <c r="T299" i="1"/>
  <c r="T300" i="1"/>
  <c r="T475" i="1"/>
  <c r="T476" i="1"/>
  <c r="T477" i="1"/>
  <c r="T478" i="1"/>
  <c r="T115" i="1"/>
  <c r="T116" i="1"/>
  <c r="T249" i="1"/>
  <c r="T342" i="1"/>
  <c r="T343" i="1"/>
  <c r="T250" i="1"/>
  <c r="T191" i="1"/>
  <c r="T479" i="1"/>
  <c r="T480" i="1"/>
  <c r="T481" i="1"/>
  <c r="T237" i="1"/>
  <c r="T238" i="1"/>
  <c r="T239" i="1"/>
  <c r="T482" i="1"/>
  <c r="T483" i="1"/>
  <c r="T484" i="1"/>
  <c r="T215" i="1"/>
  <c r="T485" i="1"/>
  <c r="T44" i="1"/>
  <c r="T45" i="1"/>
  <c r="T163" i="1"/>
  <c r="T164" i="1"/>
  <c r="T233" i="1"/>
  <c r="T486" i="1"/>
  <c r="T487" i="1"/>
  <c r="T488" i="1"/>
  <c r="T489" i="1"/>
  <c r="T490" i="1"/>
  <c r="T53" i="1"/>
  <c r="T62" i="1"/>
  <c r="T63" i="1"/>
  <c r="T32" i="1"/>
  <c r="T491" i="1"/>
  <c r="T492" i="1"/>
  <c r="T121" i="1"/>
  <c r="T333" i="1"/>
  <c r="T493" i="1"/>
  <c r="T494" i="1"/>
  <c r="T224" i="1"/>
  <c r="T495" i="1"/>
  <c r="T496" i="1"/>
  <c r="T497" i="1"/>
  <c r="T498" i="1"/>
  <c r="T320" i="1"/>
  <c r="T147" i="1"/>
  <c r="T499" i="1"/>
  <c r="T500" i="1"/>
  <c r="T501" i="1"/>
  <c r="T146" i="1"/>
  <c r="T179" i="1"/>
  <c r="T180" i="1"/>
  <c r="T34" i="1"/>
  <c r="T502" i="1"/>
  <c r="T503" i="1"/>
  <c r="T349" i="1"/>
  <c r="T252" i="1"/>
  <c r="T504" i="1"/>
  <c r="T505" i="1"/>
  <c r="T4" i="1"/>
  <c r="T246" i="1"/>
  <c r="T221" i="1"/>
  <c r="T102" i="1"/>
  <c r="T213" i="1"/>
  <c r="T79" i="1"/>
  <c r="T125" i="1"/>
  <c r="T506" i="1"/>
  <c r="T507" i="1"/>
  <c r="T508" i="1"/>
  <c r="T509" i="1"/>
  <c r="T161" i="1"/>
  <c r="T162" i="1"/>
  <c r="T185" i="1"/>
  <c r="T510" i="1"/>
  <c r="T230" i="1"/>
  <c r="T231" i="1"/>
  <c r="T114" i="1"/>
  <c r="T511" i="1"/>
  <c r="T512" i="1"/>
  <c r="T513" i="1"/>
  <c r="T22" i="1"/>
  <c r="T23" i="1"/>
  <c r="T24" i="1"/>
  <c r="T98" i="1"/>
  <c r="T17" i="1"/>
  <c r="T18" i="1"/>
  <c r="T514" i="1"/>
  <c r="F55" i="1"/>
  <c r="F54" i="1"/>
  <c r="A520" i="1"/>
  <c r="C465" i="1"/>
  <c r="Z465" i="1"/>
  <c r="AA465" i="1" s="1"/>
  <c r="AB465" i="1"/>
  <c r="AC465" i="1" s="1"/>
  <c r="C88" i="1"/>
  <c r="Z88" i="1"/>
  <c r="AA88" i="1" s="1"/>
  <c r="AB88" i="1" s="1"/>
  <c r="AC88" i="1" s="1"/>
  <c r="C173" i="1"/>
  <c r="Z173" i="1"/>
  <c r="AA173" i="1" s="1"/>
  <c r="AB173" i="1" s="1"/>
  <c r="C157" i="1"/>
  <c r="C391" i="1"/>
  <c r="C392" i="1"/>
  <c r="C165" i="1"/>
  <c r="C123" i="1"/>
  <c r="C87" i="1"/>
  <c r="C472" i="1"/>
  <c r="C473" i="1"/>
  <c r="C462" i="1"/>
  <c r="C85" i="1"/>
  <c r="C86" i="1"/>
  <c r="C464" i="1"/>
  <c r="C246" i="1"/>
  <c r="C518" i="1"/>
  <c r="C519" i="1"/>
  <c r="Z157" i="1"/>
  <c r="AA157" i="1" s="1"/>
  <c r="AB157" i="1" s="1"/>
  <c r="Z391" i="1"/>
  <c r="AA391" i="1" s="1"/>
  <c r="AB391" i="1" s="1"/>
  <c r="Z392" i="1"/>
  <c r="AA392" i="1" s="1"/>
  <c r="AB392" i="1" s="1"/>
  <c r="Z165" i="1"/>
  <c r="AA165" i="1" s="1"/>
  <c r="AB165" i="1" s="1"/>
  <c r="AC165" i="1" s="1"/>
  <c r="Z123" i="1"/>
  <c r="AA123" i="1" s="1"/>
  <c r="AB123" i="1" s="1"/>
  <c r="Z87" i="1"/>
  <c r="AA87" i="1" s="1"/>
  <c r="AB87" i="1" s="1"/>
  <c r="Z472" i="1"/>
  <c r="AA472" i="1" s="1"/>
  <c r="AB472" i="1" s="1"/>
  <c r="AC472" i="1" s="1"/>
  <c r="Z473" i="1"/>
  <c r="AA473" i="1" s="1"/>
  <c r="AB473" i="1" s="1"/>
  <c r="Z462" i="1"/>
  <c r="AA462" i="1" s="1"/>
  <c r="AB462" i="1" s="1"/>
  <c r="Z85" i="1"/>
  <c r="AA85" i="1" s="1"/>
  <c r="AB85" i="1" s="1"/>
  <c r="Z86" i="1"/>
  <c r="AA86" i="1" s="1"/>
  <c r="AB86" i="1" s="1"/>
  <c r="Z464" i="1"/>
  <c r="AA464" i="1" s="1"/>
  <c r="AB464" i="1" s="1"/>
  <c r="AC464" i="1" s="1"/>
  <c r="Z246" i="1"/>
  <c r="AA246" i="1" s="1"/>
  <c r="AB246" i="1" s="1"/>
  <c r="Z518" i="1"/>
  <c r="AA518" i="1" s="1"/>
  <c r="AB518" i="1" s="1"/>
  <c r="Z519" i="1"/>
  <c r="AA519" i="1" s="1"/>
  <c r="AB519" i="1" s="1"/>
  <c r="AC519" i="1" s="1"/>
  <c r="C371" i="1"/>
  <c r="Z371" i="1"/>
  <c r="AA371" i="1" s="1"/>
  <c r="AB371" i="1"/>
  <c r="AC371" i="1" s="1"/>
  <c r="C370" i="1"/>
  <c r="Z370" i="1"/>
  <c r="AA370" i="1" s="1"/>
  <c r="AB370" i="1" s="1"/>
  <c r="C309" i="1"/>
  <c r="Z309" i="1"/>
  <c r="AA309" i="1" s="1"/>
  <c r="AB309" i="1" s="1"/>
  <c r="AC309" i="1" s="1"/>
  <c r="C98" i="1"/>
  <c r="Z98" i="1"/>
  <c r="AA98" i="1" s="1"/>
  <c r="AB98" i="1" s="1"/>
  <c r="C116" i="1"/>
  <c r="Z116" i="1"/>
  <c r="AA116" i="1" s="1"/>
  <c r="AB116" i="1" s="1"/>
  <c r="AC116" i="1" s="1"/>
  <c r="C115" i="1"/>
  <c r="Z115" i="1"/>
  <c r="AA115" i="1" s="1"/>
  <c r="AB115" i="1" s="1"/>
  <c r="C354" i="1"/>
  <c r="C355" i="1"/>
  <c r="C341" i="1"/>
  <c r="C431" i="1"/>
  <c r="C432" i="1"/>
  <c r="C140" i="1"/>
  <c r="Z354" i="1"/>
  <c r="AA354" i="1" s="1"/>
  <c r="AB354" i="1" s="1"/>
  <c r="Z355" i="1"/>
  <c r="AA355" i="1" s="1"/>
  <c r="AB355" i="1" s="1"/>
  <c r="Z341" i="1"/>
  <c r="AA341" i="1" s="1"/>
  <c r="AB341" i="1" s="1"/>
  <c r="Z431" i="1"/>
  <c r="AA431" i="1" s="1"/>
  <c r="AB431" i="1" s="1"/>
  <c r="Z432" i="1"/>
  <c r="AA432" i="1" s="1"/>
  <c r="AB432" i="1" s="1"/>
  <c r="Z140" i="1"/>
  <c r="AA140" i="1" s="1"/>
  <c r="AB140" i="1" s="1"/>
  <c r="AB372" i="1"/>
  <c r="AC372" i="1" s="1"/>
  <c r="AB373" i="1"/>
  <c r="C30" i="1"/>
  <c r="C77" i="1"/>
  <c r="Z30" i="1"/>
  <c r="AA30" i="1" s="1"/>
  <c r="AB30" i="1" s="1"/>
  <c r="Z77" i="1"/>
  <c r="AA77" i="1" s="1"/>
  <c r="AB77" i="1" s="1"/>
  <c r="C130" i="1"/>
  <c r="C131" i="1"/>
  <c r="C177" i="1"/>
  <c r="C178" i="1"/>
  <c r="Z130" i="1"/>
  <c r="AA130" i="1" s="1"/>
  <c r="AB130" i="1" s="1"/>
  <c r="AC130" i="1" s="1"/>
  <c r="Z131" i="1"/>
  <c r="AA131" i="1" s="1"/>
  <c r="AB131" i="1" s="1"/>
  <c r="AC131" i="1" s="1"/>
  <c r="Z177" i="1"/>
  <c r="AA177" i="1" s="1"/>
  <c r="AB177" i="1" s="1"/>
  <c r="AC177" i="1" s="1"/>
  <c r="Z178" i="1"/>
  <c r="AA178" i="1" s="1"/>
  <c r="AB178" i="1" s="1"/>
  <c r="AC178" i="1" s="1"/>
  <c r="C413" i="1"/>
  <c r="Z413" i="1"/>
  <c r="AA413" i="1" s="1"/>
  <c r="AB413" i="1" s="1"/>
  <c r="C412" i="1"/>
  <c r="Z412" i="1"/>
  <c r="AA412" i="1" s="1"/>
  <c r="AB412" i="1" s="1"/>
  <c r="AC412" i="1" s="1"/>
  <c r="C414" i="1"/>
  <c r="Z414" i="1"/>
  <c r="AA414" i="1" s="1"/>
  <c r="AB414" i="1"/>
  <c r="AC414" i="1" s="1"/>
  <c r="C299" i="1"/>
  <c r="C300" i="1"/>
  <c r="Z299" i="1"/>
  <c r="AA299" i="1" s="1"/>
  <c r="AB299" i="1" s="1"/>
  <c r="Z300" i="1"/>
  <c r="AA300" i="1" s="1"/>
  <c r="AB300" i="1" s="1"/>
  <c r="C147" i="1"/>
  <c r="Z147" i="1"/>
  <c r="AA147" i="1" s="1"/>
  <c r="AB147" i="1" s="1"/>
  <c r="C200" i="1"/>
  <c r="Z200" i="1"/>
  <c r="AA200" i="1" s="1"/>
  <c r="AB200" i="1" s="1"/>
  <c r="C223" i="1"/>
  <c r="Z223" i="1"/>
  <c r="AA223" i="1" s="1"/>
  <c r="AB223" i="1" s="1"/>
  <c r="C222" i="1"/>
  <c r="Z222" i="1"/>
  <c r="AA222" i="1" s="1"/>
  <c r="AB222" i="1" s="1"/>
  <c r="C338" i="1"/>
  <c r="Z338" i="1"/>
  <c r="AA338" i="1" s="1"/>
  <c r="AB338" i="1" s="1"/>
  <c r="C512" i="1"/>
  <c r="Z512" i="1"/>
  <c r="AA512" i="1" s="1"/>
  <c r="AB512" i="1"/>
  <c r="AC512" i="1" s="1"/>
  <c r="C511" i="1"/>
  <c r="Z511" i="1"/>
  <c r="AA511" i="1" s="1"/>
  <c r="AB511" i="1" s="1"/>
  <c r="C339" i="1"/>
  <c r="Z339" i="1"/>
  <c r="AA339" i="1" s="1"/>
  <c r="AB339" i="1" s="1"/>
  <c r="C417" i="1"/>
  <c r="Z417" i="1"/>
  <c r="AA417" i="1" s="1"/>
  <c r="AB417" i="1"/>
  <c r="AC417" i="1" s="1"/>
  <c r="C416" i="1"/>
  <c r="Z416" i="1"/>
  <c r="AA416" i="1" s="1"/>
  <c r="AB416" i="1"/>
  <c r="AC416" i="1" s="1"/>
  <c r="C45" i="1"/>
  <c r="Z45" i="1"/>
  <c r="AA45" i="1" s="1"/>
  <c r="AB45" i="1" s="1"/>
  <c r="AC45" i="1" s="1"/>
  <c r="C44" i="1"/>
  <c r="Z44" i="1"/>
  <c r="AA44" i="1" s="1"/>
  <c r="AB44" i="1" s="1"/>
  <c r="AC44" i="1" s="1"/>
  <c r="C485" i="1"/>
  <c r="Z485" i="1"/>
  <c r="AA485" i="1" s="1"/>
  <c r="AB485" i="1" s="1"/>
  <c r="AC485" i="1" s="1"/>
  <c r="C441" i="1"/>
  <c r="Z441" i="1"/>
  <c r="AA441" i="1" s="1"/>
  <c r="AB441" i="1" s="1"/>
  <c r="C429" i="1"/>
  <c r="Z429" i="1"/>
  <c r="AA429" i="1" s="1"/>
  <c r="AB429" i="1" s="1"/>
  <c r="AC429" i="1" s="1"/>
  <c r="C428" i="1"/>
  <c r="Z428" i="1"/>
  <c r="AA428" i="1" s="1"/>
  <c r="AB428" i="1" s="1"/>
  <c r="AC428" i="1" s="1"/>
  <c r="C42" i="1"/>
  <c r="C20" i="1"/>
  <c r="C92" i="1"/>
  <c r="C349" i="1"/>
  <c r="Z42" i="1"/>
  <c r="AA42" i="1" s="1"/>
  <c r="AB42" i="1" s="1"/>
  <c r="AC42" i="1" s="1"/>
  <c r="Z20" i="1"/>
  <c r="AA20" i="1" s="1"/>
  <c r="AB20" i="1" s="1"/>
  <c r="AC20" i="1" s="1"/>
  <c r="Z92" i="1"/>
  <c r="AA92" i="1" s="1"/>
  <c r="AB92" i="1" s="1"/>
  <c r="AC92" i="1" s="1"/>
  <c r="Z349" i="1"/>
  <c r="AA349" i="1" s="1"/>
  <c r="AB349" i="1" s="1"/>
  <c r="AC349" i="1" s="1"/>
  <c r="C386" i="1"/>
  <c r="C202" i="1"/>
  <c r="C203" i="1"/>
  <c r="C369" i="1"/>
  <c r="C395" i="1"/>
  <c r="C396" i="1"/>
  <c r="C110" i="1"/>
  <c r="C114" i="1"/>
  <c r="Z386" i="1"/>
  <c r="AA386" i="1" s="1"/>
  <c r="AB386" i="1" s="1"/>
  <c r="AC386" i="1" s="1"/>
  <c r="Z202" i="1"/>
  <c r="AA202" i="1" s="1"/>
  <c r="AB202" i="1" s="1"/>
  <c r="AC202" i="1" s="1"/>
  <c r="Z203" i="1"/>
  <c r="AA203" i="1" s="1"/>
  <c r="AB203" i="1" s="1"/>
  <c r="AC203" i="1" s="1"/>
  <c r="Z369" i="1"/>
  <c r="AA369" i="1" s="1"/>
  <c r="AB369" i="1" s="1"/>
  <c r="AC369" i="1" s="1"/>
  <c r="Z395" i="1"/>
  <c r="AA395" i="1" s="1"/>
  <c r="AB395" i="1" s="1"/>
  <c r="AC395" i="1" s="1"/>
  <c r="Z396" i="1"/>
  <c r="AA396" i="1" s="1"/>
  <c r="AB396" i="1" s="1"/>
  <c r="AC396" i="1" s="1"/>
  <c r="Z110" i="1"/>
  <c r="AA110" i="1" s="1"/>
  <c r="AB110" i="1" s="1"/>
  <c r="AC110" i="1" s="1"/>
  <c r="Z114" i="1"/>
  <c r="AA114" i="1" s="1"/>
  <c r="AB114" i="1" s="1"/>
  <c r="AC114" i="1" s="1"/>
  <c r="C372" i="1"/>
  <c r="C373" i="1"/>
  <c r="C516" i="1"/>
  <c r="C517" i="1"/>
  <c r="C21" i="1"/>
  <c r="Z372" i="1"/>
  <c r="AA372" i="1" s="1"/>
  <c r="Z373" i="1"/>
  <c r="AA373" i="1" s="1"/>
  <c r="Z516" i="1"/>
  <c r="AA516" i="1" s="1"/>
  <c r="AB516" i="1" s="1"/>
  <c r="Z517" i="1"/>
  <c r="AA517" i="1" s="1"/>
  <c r="AB517" i="1" s="1"/>
  <c r="Z21" i="1"/>
  <c r="AA21" i="1" s="1"/>
  <c r="C201" i="1"/>
  <c r="C64" i="1"/>
  <c r="Z201" i="1"/>
  <c r="AA201" i="1" s="1"/>
  <c r="AB201" i="1" s="1"/>
  <c r="Z64" i="1"/>
  <c r="AA64" i="1" s="1"/>
  <c r="AB64" i="1" s="1"/>
  <c r="C237" i="1"/>
  <c r="C238" i="1"/>
  <c r="C239" i="1"/>
  <c r="C491" i="1"/>
  <c r="C492" i="1"/>
  <c r="Z237" i="1"/>
  <c r="AA237" i="1" s="1"/>
  <c r="AB237" i="1" s="1"/>
  <c r="AC237" i="1" s="1"/>
  <c r="Z238" i="1"/>
  <c r="AA238" i="1" s="1"/>
  <c r="AB238" i="1" s="1"/>
  <c r="Z239" i="1"/>
  <c r="AA239" i="1" s="1"/>
  <c r="AB239" i="1" s="1"/>
  <c r="Z491" i="1"/>
  <c r="AA491" i="1" s="1"/>
  <c r="AB491" i="1" s="1"/>
  <c r="Z492" i="1"/>
  <c r="AA492" i="1" s="1"/>
  <c r="AB492" i="1" s="1"/>
  <c r="AC492" i="1" s="1"/>
  <c r="C181" i="1"/>
  <c r="C182" i="1"/>
  <c r="C438" i="1"/>
  <c r="C439" i="1"/>
  <c r="C442" i="1"/>
  <c r="C443" i="1"/>
  <c r="C444" i="1"/>
  <c r="C486" i="1"/>
  <c r="C487" i="1"/>
  <c r="Z181" i="1"/>
  <c r="AA181" i="1" s="1"/>
  <c r="AB181" i="1" s="1"/>
  <c r="Z182" i="1"/>
  <c r="AA182" i="1" s="1"/>
  <c r="AB182" i="1" s="1"/>
  <c r="Z438" i="1"/>
  <c r="AA438" i="1" s="1"/>
  <c r="AB438" i="1" s="1"/>
  <c r="Z439" i="1"/>
  <c r="AA439" i="1" s="1"/>
  <c r="AB439" i="1" s="1"/>
  <c r="Z442" i="1"/>
  <c r="AA442" i="1" s="1"/>
  <c r="AB442" i="1" s="1"/>
  <c r="Z443" i="1"/>
  <c r="AA443" i="1" s="1"/>
  <c r="AB443" i="1" s="1"/>
  <c r="Z444" i="1"/>
  <c r="AA444" i="1" s="1"/>
  <c r="AB444" i="1" s="1"/>
  <c r="Z486" i="1"/>
  <c r="AA486" i="1" s="1"/>
  <c r="AB486" i="1" s="1"/>
  <c r="Z487" i="1"/>
  <c r="AA487" i="1" s="1"/>
  <c r="AB487" i="1" s="1"/>
  <c r="M172" i="21"/>
  <c r="V156" i="21" s="1"/>
  <c r="L172" i="21"/>
  <c r="U156" i="21" s="1"/>
  <c r="K172" i="21"/>
  <c r="T156" i="21" s="1"/>
  <c r="J172" i="21"/>
  <c r="S156" i="21" s="1"/>
  <c r="M171" i="21"/>
  <c r="V155" i="21" s="1"/>
  <c r="L171" i="21"/>
  <c r="U155" i="21" s="1"/>
  <c r="K171" i="21"/>
  <c r="T155" i="21" s="1"/>
  <c r="J171" i="21"/>
  <c r="S155" i="21" s="1"/>
  <c r="M170" i="21"/>
  <c r="V154" i="21" s="1"/>
  <c r="L170" i="21"/>
  <c r="U154" i="21" s="1"/>
  <c r="K170" i="21"/>
  <c r="T154" i="21" s="1"/>
  <c r="J170" i="21"/>
  <c r="S154" i="21" s="1"/>
  <c r="M169" i="21"/>
  <c r="V153" i="21" s="1"/>
  <c r="L169" i="21"/>
  <c r="U153" i="21" s="1"/>
  <c r="K169" i="21"/>
  <c r="T153" i="21" s="1"/>
  <c r="J169" i="21"/>
  <c r="S153" i="21" s="1"/>
  <c r="M168" i="21"/>
  <c r="V152" i="21" s="1"/>
  <c r="L168" i="21"/>
  <c r="U152" i="21" s="1"/>
  <c r="K168" i="21"/>
  <c r="T152" i="21" s="1"/>
  <c r="J168" i="21"/>
  <c r="S152" i="21" s="1"/>
  <c r="M167" i="21"/>
  <c r="V151" i="21" s="1"/>
  <c r="L167" i="21"/>
  <c r="U151" i="21" s="1"/>
  <c r="K167" i="21"/>
  <c r="T151" i="21" s="1"/>
  <c r="J167" i="21"/>
  <c r="S151" i="21" s="1"/>
  <c r="M166" i="21"/>
  <c r="V150" i="21" s="1"/>
  <c r="L166" i="21"/>
  <c r="U150" i="21" s="1"/>
  <c r="K166" i="21"/>
  <c r="T150" i="21" s="1"/>
  <c r="J166" i="21"/>
  <c r="S150" i="21" s="1"/>
  <c r="M165" i="21"/>
  <c r="V149" i="21" s="1"/>
  <c r="L165" i="21"/>
  <c r="U149" i="21" s="1"/>
  <c r="K165" i="21"/>
  <c r="T149" i="21" s="1"/>
  <c r="J165" i="21"/>
  <c r="S149" i="21" s="1"/>
  <c r="M164" i="21"/>
  <c r="V148" i="21" s="1"/>
  <c r="L164" i="21"/>
  <c r="U148" i="21" s="1"/>
  <c r="K164" i="21"/>
  <c r="T148" i="21" s="1"/>
  <c r="J164" i="21"/>
  <c r="S148" i="21" s="1"/>
  <c r="M163" i="21"/>
  <c r="V147" i="21" s="1"/>
  <c r="L163" i="21"/>
  <c r="U147" i="21" s="1"/>
  <c r="K163" i="21"/>
  <c r="T147" i="21" s="1"/>
  <c r="J163" i="21"/>
  <c r="S147" i="21" s="1"/>
  <c r="M162" i="21"/>
  <c r="V146" i="21" s="1"/>
  <c r="L162" i="21"/>
  <c r="U146" i="21" s="1"/>
  <c r="K162" i="21"/>
  <c r="T146" i="21" s="1"/>
  <c r="J162" i="21"/>
  <c r="S146" i="21" s="1"/>
  <c r="M161" i="21"/>
  <c r="V145" i="21" s="1"/>
  <c r="L161" i="21"/>
  <c r="U145" i="21" s="1"/>
  <c r="K161" i="21"/>
  <c r="T145" i="21" s="1"/>
  <c r="J161" i="21"/>
  <c r="S145" i="21" s="1"/>
  <c r="M160" i="21"/>
  <c r="V144" i="21" s="1"/>
  <c r="L160" i="21"/>
  <c r="U144" i="21" s="1"/>
  <c r="K160" i="21"/>
  <c r="T144" i="21" s="1"/>
  <c r="J160" i="21"/>
  <c r="S144" i="21" s="1"/>
  <c r="M159" i="21"/>
  <c r="V143" i="21" s="1"/>
  <c r="L159" i="21"/>
  <c r="U143" i="21" s="1"/>
  <c r="K159" i="21"/>
  <c r="T143" i="21" s="1"/>
  <c r="J159" i="21"/>
  <c r="S143" i="21" s="1"/>
  <c r="V158" i="21"/>
  <c r="U158" i="21"/>
  <c r="T158" i="21"/>
  <c r="S158" i="21"/>
  <c r="R158" i="21"/>
  <c r="Q158" i="21"/>
  <c r="P158" i="21"/>
  <c r="M158" i="21"/>
  <c r="V142" i="21" s="1"/>
  <c r="L158" i="21"/>
  <c r="U142" i="21" s="1"/>
  <c r="K158" i="21"/>
  <c r="T142" i="21" s="1"/>
  <c r="J158" i="21"/>
  <c r="S142" i="21" s="1"/>
  <c r="V157" i="21"/>
  <c r="U157" i="21"/>
  <c r="T157" i="21"/>
  <c r="S157" i="21"/>
  <c r="R157" i="21"/>
  <c r="Q157" i="21"/>
  <c r="P157" i="21"/>
  <c r="M157" i="21"/>
  <c r="V141" i="21" s="1"/>
  <c r="L157" i="21"/>
  <c r="U141" i="21" s="1"/>
  <c r="K157" i="21"/>
  <c r="T141" i="21" s="1"/>
  <c r="J157" i="21"/>
  <c r="S141" i="21" s="1"/>
  <c r="R156" i="21"/>
  <c r="Q156" i="21"/>
  <c r="P156" i="21"/>
  <c r="M156" i="21"/>
  <c r="V140" i="21" s="1"/>
  <c r="L156" i="21"/>
  <c r="U140" i="21" s="1"/>
  <c r="K156" i="21"/>
  <c r="T140" i="21" s="1"/>
  <c r="J156" i="21"/>
  <c r="S140" i="21" s="1"/>
  <c r="R155" i="21"/>
  <c r="Q155" i="21"/>
  <c r="P155" i="21"/>
  <c r="M155" i="21"/>
  <c r="V139" i="21" s="1"/>
  <c r="L155" i="21"/>
  <c r="U139" i="21" s="1"/>
  <c r="K155" i="21"/>
  <c r="T139" i="21" s="1"/>
  <c r="J155" i="21"/>
  <c r="S139" i="21" s="1"/>
  <c r="R154" i="21"/>
  <c r="Q154" i="21"/>
  <c r="P154" i="21"/>
  <c r="M154" i="21"/>
  <c r="V138" i="21" s="1"/>
  <c r="L154" i="21"/>
  <c r="U138" i="21" s="1"/>
  <c r="K154" i="21"/>
  <c r="T138" i="21" s="1"/>
  <c r="J154" i="21"/>
  <c r="S138" i="21" s="1"/>
  <c r="R153" i="21"/>
  <c r="Q153" i="21"/>
  <c r="P153" i="21"/>
  <c r="M153" i="21"/>
  <c r="V137" i="21" s="1"/>
  <c r="L153" i="21"/>
  <c r="U137" i="21" s="1"/>
  <c r="K153" i="21"/>
  <c r="T137" i="21" s="1"/>
  <c r="J153" i="21"/>
  <c r="S137" i="21" s="1"/>
  <c r="R152" i="21"/>
  <c r="Q152" i="21"/>
  <c r="P152" i="21"/>
  <c r="M152" i="21"/>
  <c r="V136" i="21" s="1"/>
  <c r="L152" i="21"/>
  <c r="U136" i="21" s="1"/>
  <c r="K152" i="21"/>
  <c r="T136" i="21" s="1"/>
  <c r="J152" i="21"/>
  <c r="S136" i="21" s="1"/>
  <c r="R151" i="21"/>
  <c r="Q151" i="21"/>
  <c r="P151" i="21"/>
  <c r="M151" i="21"/>
  <c r="V135" i="21" s="1"/>
  <c r="L151" i="21"/>
  <c r="U135" i="21" s="1"/>
  <c r="K151" i="21"/>
  <c r="T135" i="21" s="1"/>
  <c r="J151" i="21"/>
  <c r="S135" i="21" s="1"/>
  <c r="R150" i="21"/>
  <c r="Q150" i="21"/>
  <c r="P150" i="21"/>
  <c r="M150" i="21"/>
  <c r="V134" i="21" s="1"/>
  <c r="L150" i="21"/>
  <c r="U134" i="21" s="1"/>
  <c r="K150" i="21"/>
  <c r="T134" i="21" s="1"/>
  <c r="J150" i="21"/>
  <c r="S134" i="21" s="1"/>
  <c r="R149" i="21"/>
  <c r="Q149" i="21"/>
  <c r="P149" i="21"/>
  <c r="M149" i="21"/>
  <c r="V133" i="21" s="1"/>
  <c r="L149" i="21"/>
  <c r="U133" i="21" s="1"/>
  <c r="K149" i="21"/>
  <c r="T133" i="21" s="1"/>
  <c r="J149" i="21"/>
  <c r="S133" i="21" s="1"/>
  <c r="R148" i="21"/>
  <c r="Q148" i="21"/>
  <c r="P148" i="21"/>
  <c r="M148" i="21"/>
  <c r="V132" i="21" s="1"/>
  <c r="L148" i="21"/>
  <c r="U132" i="21" s="1"/>
  <c r="K148" i="21"/>
  <c r="T132" i="21" s="1"/>
  <c r="J148" i="21"/>
  <c r="S132" i="21" s="1"/>
  <c r="R147" i="21"/>
  <c r="Q147" i="21"/>
  <c r="P147" i="21"/>
  <c r="M147" i="21"/>
  <c r="L147" i="21"/>
  <c r="K147" i="21"/>
  <c r="J147" i="21"/>
  <c r="R146" i="21"/>
  <c r="Q146" i="21"/>
  <c r="P146" i="21"/>
  <c r="M146" i="21"/>
  <c r="L146" i="21"/>
  <c r="K146" i="21"/>
  <c r="J146" i="21"/>
  <c r="R145" i="21"/>
  <c r="Q145" i="21"/>
  <c r="P145" i="21"/>
  <c r="M145" i="21"/>
  <c r="L145" i="21"/>
  <c r="K145" i="21"/>
  <c r="J145" i="21"/>
  <c r="R144" i="21"/>
  <c r="Q144" i="21"/>
  <c r="P144" i="21"/>
  <c r="M144" i="21"/>
  <c r="L144" i="21"/>
  <c r="K144" i="21"/>
  <c r="J144" i="21"/>
  <c r="R143" i="21"/>
  <c r="Q143" i="21"/>
  <c r="P143" i="21"/>
  <c r="M143" i="21"/>
  <c r="L143" i="21"/>
  <c r="K143" i="21"/>
  <c r="J143" i="21"/>
  <c r="R142" i="21"/>
  <c r="Q142" i="21"/>
  <c r="P142" i="21"/>
  <c r="M142" i="21"/>
  <c r="L142" i="21"/>
  <c r="K142" i="21"/>
  <c r="J142" i="21"/>
  <c r="R141" i="21"/>
  <c r="Q141" i="21"/>
  <c r="P141" i="21"/>
  <c r="M141" i="21"/>
  <c r="L141" i="21"/>
  <c r="K141" i="21"/>
  <c r="J141" i="21"/>
  <c r="R140" i="21"/>
  <c r="Q140" i="21"/>
  <c r="P140" i="21"/>
  <c r="M140" i="21"/>
  <c r="L140" i="21"/>
  <c r="K140" i="21"/>
  <c r="J140" i="21"/>
  <c r="R139" i="21"/>
  <c r="Q139" i="21"/>
  <c r="P139" i="21"/>
  <c r="M139" i="21"/>
  <c r="L139" i="21"/>
  <c r="K139" i="21"/>
  <c r="J139" i="21"/>
  <c r="R138" i="21"/>
  <c r="Q138" i="21"/>
  <c r="P138" i="21"/>
  <c r="M138" i="21"/>
  <c r="L138" i="21"/>
  <c r="K138" i="21"/>
  <c r="J138" i="21"/>
  <c r="R137" i="21"/>
  <c r="Q137" i="21"/>
  <c r="P137" i="21"/>
  <c r="M137" i="21"/>
  <c r="L137" i="21"/>
  <c r="K137" i="21"/>
  <c r="J137" i="21"/>
  <c r="R136" i="21"/>
  <c r="Q136" i="21"/>
  <c r="P136" i="21"/>
  <c r="M136" i="21"/>
  <c r="L136" i="21"/>
  <c r="K136" i="21"/>
  <c r="J136" i="21"/>
  <c r="R135" i="21"/>
  <c r="Q135" i="21"/>
  <c r="P135" i="21"/>
  <c r="M135" i="21"/>
  <c r="V131" i="21" s="1"/>
  <c r="L135" i="21"/>
  <c r="U131" i="21" s="1"/>
  <c r="K135" i="21"/>
  <c r="T131" i="21" s="1"/>
  <c r="J135" i="21"/>
  <c r="S131" i="21" s="1"/>
  <c r="R134" i="21"/>
  <c r="Q134" i="21"/>
  <c r="P134" i="21"/>
  <c r="M134" i="21"/>
  <c r="V130" i="21" s="1"/>
  <c r="L134" i="21"/>
  <c r="U130" i="21" s="1"/>
  <c r="K134" i="21"/>
  <c r="T130" i="21" s="1"/>
  <c r="J134" i="21"/>
  <c r="S130" i="21" s="1"/>
  <c r="R133" i="21"/>
  <c r="Q133" i="21"/>
  <c r="P133" i="21"/>
  <c r="A133" i="21"/>
  <c r="M133" i="21" s="1"/>
  <c r="V129" i="21" s="1"/>
  <c r="R132" i="21"/>
  <c r="Q132" i="21"/>
  <c r="P132" i="21"/>
  <c r="A132" i="21"/>
  <c r="M132" i="21" s="1"/>
  <c r="V128" i="21" s="1"/>
  <c r="R131" i="21"/>
  <c r="Q131" i="21"/>
  <c r="A131" i="21"/>
  <c r="Q127" i="21" s="1"/>
  <c r="R130" i="21"/>
  <c r="Q130" i="21"/>
  <c r="A130" i="21"/>
  <c r="A129" i="21"/>
  <c r="M129" i="21" s="1"/>
  <c r="V125" i="21" s="1"/>
  <c r="A128" i="21"/>
  <c r="M128" i="21" s="1"/>
  <c r="V124" i="21" s="1"/>
  <c r="A127" i="21"/>
  <c r="Q123" i="21" s="1"/>
  <c r="A126" i="21"/>
  <c r="A125" i="21"/>
  <c r="M125" i="21" s="1"/>
  <c r="V121" i="21" s="1"/>
  <c r="A124" i="21"/>
  <c r="M124" i="21" s="1"/>
  <c r="V120" i="21" s="1"/>
  <c r="A123" i="21"/>
  <c r="M123" i="21" s="1"/>
  <c r="V119" i="21" s="1"/>
  <c r="A122" i="21"/>
  <c r="M122" i="21" s="1"/>
  <c r="V118" i="21" s="1"/>
  <c r="A121" i="21"/>
  <c r="M121" i="21" s="1"/>
  <c r="V117" i="21" s="1"/>
  <c r="M120" i="21"/>
  <c r="V116" i="21" s="1"/>
  <c r="L120" i="21"/>
  <c r="U116" i="21" s="1"/>
  <c r="K120" i="21"/>
  <c r="T116" i="21" s="1"/>
  <c r="J120" i="21"/>
  <c r="S116" i="21" s="1"/>
  <c r="M119" i="21"/>
  <c r="V115" i="21" s="1"/>
  <c r="L119" i="21"/>
  <c r="U115" i="21" s="1"/>
  <c r="K119" i="21"/>
  <c r="T115" i="21" s="1"/>
  <c r="J119" i="21"/>
  <c r="S115" i="21" s="1"/>
  <c r="M118" i="21"/>
  <c r="L118" i="21"/>
  <c r="U114" i="21" s="1"/>
  <c r="K118" i="21"/>
  <c r="T114" i="21" s="1"/>
  <c r="J118" i="21"/>
  <c r="S114" i="21" s="1"/>
  <c r="M117" i="21"/>
  <c r="V113" i="21" s="1"/>
  <c r="L117" i="21"/>
  <c r="U113" i="21" s="1"/>
  <c r="K117" i="21"/>
  <c r="T113" i="21" s="1"/>
  <c r="J117" i="21"/>
  <c r="S113" i="21" s="1"/>
  <c r="R116" i="21"/>
  <c r="Q116" i="21"/>
  <c r="M116" i="21"/>
  <c r="L116" i="21"/>
  <c r="K116" i="21"/>
  <c r="J116" i="21"/>
  <c r="R115" i="21"/>
  <c r="Q115" i="21"/>
  <c r="M115" i="21"/>
  <c r="L115" i="21"/>
  <c r="K115" i="21"/>
  <c r="J115" i="21"/>
  <c r="V114" i="21"/>
  <c r="R114" i="21"/>
  <c r="Q114" i="21"/>
  <c r="M114" i="21"/>
  <c r="L114" i="21"/>
  <c r="K114" i="21"/>
  <c r="J114" i="21"/>
  <c r="R113" i="21"/>
  <c r="Q113" i="21"/>
  <c r="M113" i="21"/>
  <c r="L113" i="21"/>
  <c r="K113" i="21"/>
  <c r="J113" i="21"/>
  <c r="A112" i="21"/>
  <c r="M112" i="21" s="1"/>
  <c r="V112" i="21" s="1"/>
  <c r="A111" i="21"/>
  <c r="M111" i="21" s="1"/>
  <c r="V111" i="21" s="1"/>
  <c r="A110" i="21"/>
  <c r="A109" i="21"/>
  <c r="Q109" i="21" s="1"/>
  <c r="A108" i="21"/>
  <c r="M108" i="21" s="1"/>
  <c r="V108" i="21" s="1"/>
  <c r="A107" i="21"/>
  <c r="M107" i="21" s="1"/>
  <c r="V107" i="21" s="1"/>
  <c r="A106" i="21"/>
  <c r="L106" i="21" s="1"/>
  <c r="U106" i="21" s="1"/>
  <c r="A105" i="21"/>
  <c r="Q105" i="21" s="1"/>
  <c r="A104" i="21"/>
  <c r="M104" i="21" s="1"/>
  <c r="V104" i="21" s="1"/>
  <c r="A103" i="21"/>
  <c r="A102" i="21"/>
  <c r="A101" i="21"/>
  <c r="M101" i="21" s="1"/>
  <c r="V101" i="21" s="1"/>
  <c r="A100" i="21"/>
  <c r="M100" i="21" s="1"/>
  <c r="V100" i="21" s="1"/>
  <c r="A99" i="21"/>
  <c r="L99" i="21" s="1"/>
  <c r="U99" i="21" s="1"/>
  <c r="A98" i="21"/>
  <c r="L98" i="21" s="1"/>
  <c r="U98" i="21" s="1"/>
  <c r="A97" i="21"/>
  <c r="K97" i="21" s="1"/>
  <c r="T97" i="21" s="1"/>
  <c r="A96" i="21"/>
  <c r="M96" i="21" s="1"/>
  <c r="V96" i="21" s="1"/>
  <c r="A95" i="21"/>
  <c r="M95" i="21" s="1"/>
  <c r="V95" i="21" s="1"/>
  <c r="A94" i="21"/>
  <c r="M94" i="21" s="1"/>
  <c r="V94" i="21" s="1"/>
  <c r="A93" i="21"/>
  <c r="Q93" i="21" s="1"/>
  <c r="A92" i="21"/>
  <c r="Q92" i="21" s="1"/>
  <c r="A91" i="21"/>
  <c r="R91" i="21" s="1"/>
  <c r="A90" i="21"/>
  <c r="M90" i="21" s="1"/>
  <c r="V90" i="21" s="1"/>
  <c r="A89" i="21"/>
  <c r="Q89" i="21" s="1"/>
  <c r="A88" i="21"/>
  <c r="Q88" i="21" s="1"/>
  <c r="A87" i="21"/>
  <c r="R87" i="21" s="1"/>
  <c r="A86" i="21"/>
  <c r="M86" i="21" s="1"/>
  <c r="V86" i="21" s="1"/>
  <c r="A85" i="21"/>
  <c r="Q85" i="21" s="1"/>
  <c r="A84" i="21"/>
  <c r="Q84" i="21" s="1"/>
  <c r="A83" i="21"/>
  <c r="R83" i="21" s="1"/>
  <c r="A82" i="21"/>
  <c r="M82" i="21" s="1"/>
  <c r="V82" i="21" s="1"/>
  <c r="A81" i="21"/>
  <c r="Q81" i="21" s="1"/>
  <c r="A80" i="21"/>
  <c r="Q80" i="21" s="1"/>
  <c r="A79" i="21"/>
  <c r="R79" i="21" s="1"/>
  <c r="A78" i="21"/>
  <c r="M78" i="21" s="1"/>
  <c r="V78" i="21" s="1"/>
  <c r="A77" i="21"/>
  <c r="Q77" i="21" s="1"/>
  <c r="A76" i="21"/>
  <c r="Q76" i="21" s="1"/>
  <c r="A75" i="21"/>
  <c r="R75" i="21" s="1"/>
  <c r="A74" i="21"/>
  <c r="M74" i="21" s="1"/>
  <c r="V74" i="21" s="1"/>
  <c r="A73" i="21"/>
  <c r="Q73" i="21" s="1"/>
  <c r="A72" i="21"/>
  <c r="Q72" i="21" s="1"/>
  <c r="A71" i="21"/>
  <c r="R71" i="21" s="1"/>
  <c r="A70" i="21"/>
  <c r="Q70" i="21" s="1"/>
  <c r="A69" i="21"/>
  <c r="Q69" i="21" s="1"/>
  <c r="A68" i="21"/>
  <c r="Q68" i="21" s="1"/>
  <c r="A67" i="21"/>
  <c r="R67" i="21" s="1"/>
  <c r="A66" i="21"/>
  <c r="M66" i="21" s="1"/>
  <c r="V66" i="21" s="1"/>
  <c r="A65" i="21"/>
  <c r="Q65" i="21" s="1"/>
  <c r="A64" i="21"/>
  <c r="Q64" i="21" s="1"/>
  <c r="A63" i="21"/>
  <c r="R63" i="21" s="1"/>
  <c r="A62" i="21"/>
  <c r="M62" i="21" s="1"/>
  <c r="V62" i="21" s="1"/>
  <c r="A61" i="21"/>
  <c r="Q61" i="21" s="1"/>
  <c r="A60" i="21"/>
  <c r="Q60" i="21" s="1"/>
  <c r="A59" i="21"/>
  <c r="R59" i="21" s="1"/>
  <c r="A58" i="21"/>
  <c r="M58" i="21" s="1"/>
  <c r="V58" i="21" s="1"/>
  <c r="A57" i="21"/>
  <c r="Q57" i="21" s="1"/>
  <c r="A56" i="21"/>
  <c r="A55" i="21"/>
  <c r="R55" i="21" s="1"/>
  <c r="A54" i="21"/>
  <c r="Q54" i="21" s="1"/>
  <c r="A53" i="21"/>
  <c r="K53" i="21" s="1"/>
  <c r="T53" i="21" s="1"/>
  <c r="A52" i="21"/>
  <c r="A51" i="21"/>
  <c r="L51" i="21" s="1"/>
  <c r="U51" i="21" s="1"/>
  <c r="A50" i="21"/>
  <c r="M50" i="21" s="1"/>
  <c r="V50" i="21" s="1"/>
  <c r="A49" i="21"/>
  <c r="A48" i="21"/>
  <c r="Q48" i="21" s="1"/>
  <c r="A47" i="21"/>
  <c r="L47" i="21" s="1"/>
  <c r="U47" i="21" s="1"/>
  <c r="A46" i="21"/>
  <c r="M46" i="21" s="1"/>
  <c r="V46" i="21" s="1"/>
  <c r="A45" i="21"/>
  <c r="Q45" i="21" s="1"/>
  <c r="A44" i="21"/>
  <c r="L44" i="21" s="1"/>
  <c r="U44" i="21" s="1"/>
  <c r="A43" i="21"/>
  <c r="R43" i="21" s="1"/>
  <c r="A42" i="21"/>
  <c r="Q42" i="21" s="1"/>
  <c r="A41" i="21"/>
  <c r="Q41" i="21" s="1"/>
  <c r="A40" i="21"/>
  <c r="L40" i="21" s="1"/>
  <c r="U40" i="21" s="1"/>
  <c r="A39" i="21"/>
  <c r="M39" i="21" s="1"/>
  <c r="V39" i="21" s="1"/>
  <c r="A38" i="21"/>
  <c r="L38" i="21" s="1"/>
  <c r="U38" i="21" s="1"/>
  <c r="A37" i="21"/>
  <c r="Q37" i="21" s="1"/>
  <c r="A36" i="21"/>
  <c r="A35" i="21"/>
  <c r="A34" i="21"/>
  <c r="Q34" i="21" s="1"/>
  <c r="A33" i="21"/>
  <c r="Q33" i="21" s="1"/>
  <c r="A32" i="21"/>
  <c r="Q32" i="21" s="1"/>
  <c r="A31" i="21"/>
  <c r="M31" i="21" s="1"/>
  <c r="V31" i="21" s="1"/>
  <c r="A30" i="21"/>
  <c r="Q30" i="21" s="1"/>
  <c r="A29" i="21"/>
  <c r="M29" i="21" s="1"/>
  <c r="V29" i="21" s="1"/>
  <c r="A28" i="21"/>
  <c r="A27" i="21"/>
  <c r="M27" i="21" s="1"/>
  <c r="V27" i="21" s="1"/>
  <c r="A26" i="21"/>
  <c r="Q26" i="21" s="1"/>
  <c r="A25" i="21"/>
  <c r="M25" i="21" s="1"/>
  <c r="V25" i="21" s="1"/>
  <c r="A24" i="21"/>
  <c r="M24" i="21" s="1"/>
  <c r="V24" i="21" s="1"/>
  <c r="A23" i="21"/>
  <c r="M23" i="21" s="1"/>
  <c r="V23" i="21" s="1"/>
  <c r="A22" i="21"/>
  <c r="Q22" i="21" s="1"/>
  <c r="A21" i="21"/>
  <c r="A20" i="21"/>
  <c r="A19" i="21"/>
  <c r="A18" i="21"/>
  <c r="Q18" i="21" s="1"/>
  <c r="A17" i="21"/>
  <c r="K17" i="21" s="1"/>
  <c r="T17" i="21" s="1"/>
  <c r="A16" i="21"/>
  <c r="Q16" i="21" s="1"/>
  <c r="A15" i="21"/>
  <c r="A14" i="21"/>
  <c r="R14" i="21" s="1"/>
  <c r="A13" i="21"/>
  <c r="M13" i="21" s="1"/>
  <c r="A12" i="21"/>
  <c r="L12" i="21" s="1"/>
  <c r="A11" i="21"/>
  <c r="L11" i="21" s="1"/>
  <c r="A10" i="21"/>
  <c r="L10" i="21" s="1"/>
  <c r="A9" i="21"/>
  <c r="M9" i="21" s="1"/>
  <c r="A8" i="21"/>
  <c r="A7" i="21"/>
  <c r="Q7" i="21" s="1"/>
  <c r="C304" i="1"/>
  <c r="C172" i="1"/>
  <c r="C461" i="1"/>
  <c r="C225" i="1"/>
  <c r="C313" i="1"/>
  <c r="C475" i="1"/>
  <c r="C476" i="1"/>
  <c r="C121" i="1"/>
  <c r="C252" i="1"/>
  <c r="C510" i="1"/>
  <c r="Z304" i="1"/>
  <c r="AA304" i="1" s="1"/>
  <c r="AB304" i="1" s="1"/>
  <c r="Z172" i="1"/>
  <c r="AA172" i="1" s="1"/>
  <c r="AB172" i="1" s="1"/>
  <c r="Z461" i="1"/>
  <c r="AA461" i="1" s="1"/>
  <c r="AB461" i="1" s="1"/>
  <c r="Z225" i="1"/>
  <c r="AA225" i="1" s="1"/>
  <c r="AB225" i="1" s="1"/>
  <c r="AC225" i="1" s="1"/>
  <c r="Z313" i="1"/>
  <c r="AA313" i="1" s="1"/>
  <c r="AB313" i="1" s="1"/>
  <c r="Z475" i="1"/>
  <c r="AA475" i="1" s="1"/>
  <c r="AB475" i="1" s="1"/>
  <c r="Z476" i="1"/>
  <c r="AA476" i="1" s="1"/>
  <c r="AB476" i="1" s="1"/>
  <c r="Z121" i="1"/>
  <c r="AA121" i="1" s="1"/>
  <c r="AB121" i="1" s="1"/>
  <c r="Z252" i="1"/>
  <c r="AA252" i="1" s="1"/>
  <c r="AB252" i="1" s="1"/>
  <c r="Z510" i="1"/>
  <c r="AA510" i="1" s="1"/>
  <c r="AB510" i="1" s="1"/>
  <c r="C281" i="1"/>
  <c r="Z281" i="1"/>
  <c r="AA281" i="1" s="1"/>
  <c r="AB281" i="1" s="1"/>
  <c r="AC281" i="1" s="1"/>
  <c r="C58" i="1"/>
  <c r="Z58" i="1"/>
  <c r="AA58" i="1" s="1"/>
  <c r="AB58" i="1" s="1"/>
  <c r="AC58" i="1" s="1"/>
  <c r="C415" i="1"/>
  <c r="Z415" i="1"/>
  <c r="AA415" i="1" s="1"/>
  <c r="AB415" i="1" s="1"/>
  <c r="AC415" i="1" s="1"/>
  <c r="C36" i="1"/>
  <c r="Z36" i="1"/>
  <c r="AA36" i="1" s="1"/>
  <c r="AB36" i="1" s="1"/>
  <c r="AC36" i="1" s="1"/>
  <c r="C153" i="1"/>
  <c r="Z153" i="1"/>
  <c r="AA153" i="1" s="1"/>
  <c r="AB153" i="1" s="1"/>
  <c r="AC153" i="1" s="1"/>
  <c r="C119" i="1"/>
  <c r="Z119" i="1"/>
  <c r="AA119" i="1" s="1"/>
  <c r="AB119" i="1" s="1"/>
  <c r="C154" i="1"/>
  <c r="Z154" i="1"/>
  <c r="AA154" i="1" s="1"/>
  <c r="AB154" i="1" s="1"/>
  <c r="AC154" i="1" s="1"/>
  <c r="C385" i="1"/>
  <c r="Z385" i="1"/>
  <c r="AA385" i="1" s="1"/>
  <c r="AB385" i="1" s="1"/>
  <c r="C3" i="1"/>
  <c r="Z3" i="1"/>
  <c r="AA3" i="1" s="1"/>
  <c r="AB3" i="1" s="1"/>
  <c r="AC3" i="1" s="1"/>
  <c r="C2" i="1"/>
  <c r="Z2" i="1"/>
  <c r="AA2" i="1" s="1"/>
  <c r="AB2" i="1" s="1"/>
  <c r="AC2" i="1" s="1"/>
  <c r="C358" i="1"/>
  <c r="Z358" i="1"/>
  <c r="AA358" i="1" s="1"/>
  <c r="AB358" i="1" s="1"/>
  <c r="C484" i="1"/>
  <c r="Z484" i="1"/>
  <c r="AA484" i="1" s="1"/>
  <c r="AB484" i="1" s="1"/>
  <c r="C483" i="1"/>
  <c r="Z483" i="1"/>
  <c r="AA483" i="1" s="1"/>
  <c r="AB483" i="1" s="1"/>
  <c r="AC483" i="1" s="1"/>
  <c r="C482" i="1"/>
  <c r="Z482" i="1"/>
  <c r="AA482" i="1" s="1"/>
  <c r="AB482" i="1"/>
  <c r="AC482" i="1" s="1"/>
  <c r="C192" i="1"/>
  <c r="Z192" i="1"/>
  <c r="AA192" i="1" s="1"/>
  <c r="AB192" i="1" s="1"/>
  <c r="C91" i="1"/>
  <c r="Z91" i="1"/>
  <c r="AA91" i="1" s="1"/>
  <c r="AB91" i="1" s="1"/>
  <c r="AC91" i="1" s="1"/>
  <c r="C297" i="1"/>
  <c r="Z297" i="1"/>
  <c r="AA297" i="1" s="1"/>
  <c r="AB297" i="1" s="1"/>
  <c r="C296" i="1"/>
  <c r="Z296" i="1"/>
  <c r="AA296" i="1" s="1"/>
  <c r="AB296" i="1" s="1"/>
  <c r="AC296" i="1" s="1"/>
  <c r="C90" i="1"/>
  <c r="Z90" i="1"/>
  <c r="AA90" i="1" s="1"/>
  <c r="AB90" i="1" s="1"/>
  <c r="AC90" i="1" s="1"/>
  <c r="C89" i="1"/>
  <c r="Z89" i="1"/>
  <c r="AA89" i="1" s="1"/>
  <c r="AB89" i="1" s="1"/>
  <c r="AC89" i="1" s="1"/>
  <c r="C167" i="1"/>
  <c r="Z167" i="1"/>
  <c r="AA167" i="1" s="1"/>
  <c r="AB167" i="1" s="1"/>
  <c r="AC167" i="1" s="1"/>
  <c r="C166" i="1"/>
  <c r="Z166" i="1"/>
  <c r="AA166" i="1" s="1"/>
  <c r="AB166" i="1" s="1"/>
  <c r="C68" i="1"/>
  <c r="Z68" i="1"/>
  <c r="AA68" i="1" s="1"/>
  <c r="AB68" i="1" s="1"/>
  <c r="AC68" i="1" s="1"/>
  <c r="C440" i="1"/>
  <c r="Z440" i="1"/>
  <c r="AA440" i="1" s="1"/>
  <c r="AB440" i="1"/>
  <c r="AC440" i="1" s="1"/>
  <c r="C41" i="1"/>
  <c r="Z41" i="1"/>
  <c r="AA41" i="1" s="1"/>
  <c r="AB41" i="1" s="1"/>
  <c r="C430" i="1"/>
  <c r="Z430" i="1"/>
  <c r="AA430" i="1" s="1"/>
  <c r="AB430" i="1" s="1"/>
  <c r="W23" i="1" l="1"/>
  <c r="Y455" i="1"/>
  <c r="Y287" i="1"/>
  <c r="Y347" i="1"/>
  <c r="Y288" i="1"/>
  <c r="Y325" i="1"/>
  <c r="Y334" i="1"/>
  <c r="Y313" i="1"/>
  <c r="Y477" i="1"/>
  <c r="Y191" i="1"/>
  <c r="Y44" i="1"/>
  <c r="Y172" i="1"/>
  <c r="Y456" i="1"/>
  <c r="Y52" i="1"/>
  <c r="Y329" i="1"/>
  <c r="Y317" i="1"/>
  <c r="Y225" i="1"/>
  <c r="Y255" i="1"/>
  <c r="Y138" i="1"/>
  <c r="Y249" i="1"/>
  <c r="Y483" i="1"/>
  <c r="Y64" i="1"/>
  <c r="Y448" i="1"/>
  <c r="Y227" i="1"/>
  <c r="Y107" i="1"/>
  <c r="Y253" i="1"/>
  <c r="Y88" i="1"/>
  <c r="Y85" i="1"/>
  <c r="Y41" i="1"/>
  <c r="Y302" i="1"/>
  <c r="Y299" i="1"/>
  <c r="Y237" i="1"/>
  <c r="Y233" i="1"/>
  <c r="Y442" i="1"/>
  <c r="Y445" i="1"/>
  <c r="Y162" i="1"/>
  <c r="Y349" i="1"/>
  <c r="Y224" i="1"/>
  <c r="W354" i="1"/>
  <c r="Y98" i="1"/>
  <c r="Y507" i="1"/>
  <c r="Y180" i="1"/>
  <c r="Y121" i="1"/>
  <c r="Y513" i="1"/>
  <c r="Y9" i="1"/>
  <c r="Y500" i="1"/>
  <c r="Y63" i="1"/>
  <c r="Y37" i="1"/>
  <c r="Y231" i="1"/>
  <c r="Y4" i="1"/>
  <c r="Y498" i="1"/>
  <c r="Y489" i="1"/>
  <c r="Y339" i="1"/>
  <c r="Y438" i="1"/>
  <c r="Y296" i="1"/>
  <c r="Y39" i="1"/>
  <c r="Y200" i="1"/>
  <c r="Y282" i="1"/>
  <c r="Y54" i="1"/>
  <c r="Y430" i="1"/>
  <c r="Y425" i="1"/>
  <c r="Y421" i="1"/>
  <c r="Y419" i="1"/>
  <c r="Y173" i="1"/>
  <c r="Y406" i="1"/>
  <c r="Y402" i="1"/>
  <c r="Y345" i="1"/>
  <c r="Y127" i="1"/>
  <c r="Y344" i="1"/>
  <c r="Y150" i="1"/>
  <c r="Y195" i="1"/>
  <c r="Y276" i="1"/>
  <c r="Y3" i="1"/>
  <c r="Y216" i="1"/>
  <c r="Y308" i="1"/>
  <c r="Y318" i="1"/>
  <c r="Y11" i="1"/>
  <c r="Y514" i="1"/>
  <c r="Y24" i="1"/>
  <c r="Y512" i="1"/>
  <c r="Y230" i="1"/>
  <c r="Y161" i="1"/>
  <c r="Y506" i="1"/>
  <c r="Y102" i="1"/>
  <c r="Y505" i="1"/>
  <c r="Y503" i="1"/>
  <c r="Y179" i="1"/>
  <c r="Y499" i="1"/>
  <c r="Y497" i="1"/>
  <c r="Y494" i="1"/>
  <c r="Y492" i="1"/>
  <c r="Y62" i="1"/>
  <c r="Y488" i="1"/>
  <c r="Y164" i="1"/>
  <c r="Y485" i="1"/>
  <c r="Y482" i="1"/>
  <c r="Y481" i="1"/>
  <c r="Y250" i="1"/>
  <c r="Y116" i="1"/>
  <c r="Y476" i="1"/>
  <c r="Y327" i="1"/>
  <c r="Y160" i="1"/>
  <c r="Y474" i="1"/>
  <c r="Y471" i="1"/>
  <c r="Y254" i="1"/>
  <c r="Y469" i="1"/>
  <c r="Y467" i="1"/>
  <c r="Y465" i="1"/>
  <c r="Y245" i="1"/>
  <c r="Y206" i="1"/>
  <c r="Y316" i="1"/>
  <c r="Y184" i="1"/>
  <c r="Y87" i="1"/>
  <c r="Y462" i="1"/>
  <c r="Y248" i="1"/>
  <c r="Y461" i="1"/>
  <c r="Y61" i="1"/>
  <c r="Y459" i="1"/>
  <c r="Y286" i="1"/>
  <c r="Y165" i="1"/>
  <c r="Y226" i="1"/>
  <c r="Y454" i="1"/>
  <c r="Y194" i="1"/>
  <c r="Y447" i="1"/>
  <c r="Y129" i="1"/>
  <c r="Y328" i="1"/>
  <c r="Y338" i="1"/>
  <c r="Y292" i="1"/>
  <c r="Y436" i="1"/>
  <c r="Y241" i="1"/>
  <c r="Y280" i="1"/>
  <c r="Y235" i="1"/>
  <c r="Y434" i="1"/>
  <c r="Y429" i="1"/>
  <c r="Y423" i="1"/>
  <c r="Y323" i="1"/>
  <c r="Y417" i="1"/>
  <c r="Y411" i="1"/>
  <c r="Y133" i="1"/>
  <c r="Y72" i="1"/>
  <c r="Y220" i="1"/>
  <c r="Y389" i="1"/>
  <c r="Y243" i="1"/>
  <c r="Y189" i="1"/>
  <c r="Y380" i="1"/>
  <c r="Y20" i="1"/>
  <c r="Y367" i="1"/>
  <c r="Y266" i="1"/>
  <c r="Y118" i="1"/>
  <c r="Y169" i="1"/>
  <c r="Y182" i="1"/>
  <c r="Y350" i="1"/>
  <c r="Y18" i="1"/>
  <c r="Y23" i="1"/>
  <c r="Y511" i="1"/>
  <c r="Y510" i="1"/>
  <c r="Y509" i="1"/>
  <c r="Y8" i="1"/>
  <c r="Y221" i="1"/>
  <c r="Y504" i="1"/>
  <c r="Y502" i="1"/>
  <c r="Y146" i="1"/>
  <c r="Y147" i="1"/>
  <c r="Y496" i="1"/>
  <c r="Y493" i="1"/>
  <c r="Y491" i="1"/>
  <c r="Y53" i="1"/>
  <c r="Y487" i="1"/>
  <c r="Y163" i="1"/>
  <c r="Y215" i="1"/>
  <c r="Y239" i="1"/>
  <c r="Y480" i="1"/>
  <c r="Y343" i="1"/>
  <c r="Y115" i="1"/>
  <c r="Y475" i="1"/>
  <c r="Y326" i="1"/>
  <c r="Y159" i="1"/>
  <c r="Y473" i="1"/>
  <c r="Y470" i="1"/>
  <c r="Y341" i="1"/>
  <c r="Y143" i="1"/>
  <c r="Y466" i="1"/>
  <c r="Y464" i="1"/>
  <c r="Y244" i="1"/>
  <c r="Y199" i="1"/>
  <c r="Y21" i="1"/>
  <c r="Y183" i="1"/>
  <c r="Y70" i="1"/>
  <c r="Y112" i="1"/>
  <c r="Y247" i="1"/>
  <c r="Y137" i="1"/>
  <c r="Y460" i="1"/>
  <c r="Y38" i="1"/>
  <c r="Y6" i="1"/>
  <c r="Y519" i="1"/>
  <c r="Y178" i="1"/>
  <c r="Y453" i="1"/>
  <c r="Y450" i="1"/>
  <c r="Y110" i="1"/>
  <c r="Y444" i="1"/>
  <c r="Y223" i="1"/>
  <c r="Y441" i="1"/>
  <c r="Y101" i="1"/>
  <c r="Y123" i="1"/>
  <c r="Y240" i="1"/>
  <c r="Y281" i="1"/>
  <c r="Y106" i="1"/>
  <c r="Y433" i="1"/>
  <c r="Y427" i="1"/>
  <c r="Y422" i="1"/>
  <c r="Y322" i="1"/>
  <c r="Y273" i="1"/>
  <c r="Y409" i="1"/>
  <c r="Y404" i="1"/>
  <c r="Y398" i="1"/>
  <c r="Y119" i="1"/>
  <c r="Y203" i="1"/>
  <c r="Y211" i="1"/>
  <c r="Y108" i="1"/>
  <c r="Y25" i="1"/>
  <c r="Y371" i="1"/>
  <c r="Y365" i="1"/>
  <c r="Y262" i="1"/>
  <c r="Y257" i="1"/>
  <c r="Y354" i="1"/>
  <c r="Y42" i="1"/>
  <c r="Y99" i="1"/>
  <c r="Y331" i="1"/>
  <c r="Y82" i="1"/>
  <c r="Y351" i="1"/>
  <c r="Y103" i="1"/>
  <c r="Y175" i="1"/>
  <c r="Y68" i="1"/>
  <c r="Y228" i="1"/>
  <c r="Y12" i="1"/>
  <c r="Y60" i="1"/>
  <c r="Y355" i="1"/>
  <c r="Y193" i="1"/>
  <c r="Y319" i="1"/>
  <c r="Y360" i="1"/>
  <c r="Y19" i="1"/>
  <c r="Y361" i="1"/>
  <c r="Y363" i="1"/>
  <c r="Y229" i="1"/>
  <c r="Y263" i="1"/>
  <c r="Y43" i="1"/>
  <c r="Y217" i="1"/>
  <c r="Y78" i="1"/>
  <c r="Y93" i="1"/>
  <c r="Y368" i="1"/>
  <c r="Y267" i="1"/>
  <c r="Y315" i="1"/>
  <c r="Y372" i="1"/>
  <c r="Y374" i="1"/>
  <c r="Y293" i="1"/>
  <c r="Y75" i="1"/>
  <c r="Y377" i="1"/>
  <c r="Y310" i="1"/>
  <c r="Y196" i="1"/>
  <c r="Y166" i="1"/>
  <c r="Y97" i="1"/>
  <c r="Y190" i="1"/>
  <c r="Y151" i="1"/>
  <c r="Y158" i="1"/>
  <c r="Y385" i="1"/>
  <c r="Y7" i="1"/>
  <c r="Y186" i="1"/>
  <c r="Y49" i="1"/>
  <c r="Y65" i="1"/>
  <c r="Y390" i="1"/>
  <c r="Y16" i="1"/>
  <c r="Y208" i="1"/>
  <c r="Y393" i="1"/>
  <c r="Y395" i="1"/>
  <c r="Y346" i="1"/>
  <c r="Y285" i="1"/>
  <c r="Y399" i="1"/>
  <c r="Y187" i="1"/>
  <c r="Y403" i="1"/>
  <c r="Y278" i="1"/>
  <c r="Y405" i="1"/>
  <c r="Y134" i="1"/>
  <c r="Y407" i="1"/>
  <c r="Y153" i="1"/>
  <c r="Y258" i="1"/>
  <c r="Y412" i="1"/>
  <c r="Y414" i="1"/>
  <c r="Y14" i="1"/>
  <c r="Y289" i="1"/>
  <c r="Y515" i="1"/>
  <c r="Y66" i="1"/>
  <c r="Y516" i="1"/>
  <c r="Y100" i="1"/>
  <c r="Y332" i="1"/>
  <c r="Y83" i="1"/>
  <c r="Y352" i="1"/>
  <c r="Y104" i="1"/>
  <c r="Y176" i="1"/>
  <c r="Y157" i="1"/>
  <c r="Y30" i="1"/>
  <c r="Y132" i="1"/>
  <c r="Y201" i="1"/>
  <c r="Y356" i="1"/>
  <c r="Y50" i="1"/>
  <c r="Y357" i="1"/>
  <c r="Y306" i="1"/>
  <c r="Y31" i="1"/>
  <c r="Y362" i="1"/>
  <c r="Y364" i="1"/>
  <c r="Y260" i="1"/>
  <c r="Y264" i="1"/>
  <c r="Y269" i="1"/>
  <c r="Y218" i="1"/>
  <c r="Y79" i="1"/>
  <c r="Y94" i="1"/>
  <c r="Y232" i="1"/>
  <c r="Y268" i="1"/>
  <c r="Y35" i="1"/>
  <c r="Y373" i="1"/>
  <c r="Y274" i="1"/>
  <c r="Y294" i="1"/>
  <c r="Y375" i="1"/>
  <c r="Y378" i="1"/>
  <c r="Y311" i="1"/>
  <c r="Y197" i="1"/>
  <c r="Y167" i="1"/>
  <c r="Y381" i="1"/>
  <c r="Y29" i="1"/>
  <c r="Y152" i="1"/>
  <c r="Y209" i="1"/>
  <c r="Y155" i="1"/>
  <c r="Y336" i="1"/>
  <c r="Y120" i="1"/>
  <c r="Y386" i="1"/>
  <c r="Y387" i="1"/>
  <c r="Y125" i="1"/>
  <c r="Y154" i="1"/>
  <c r="Y391" i="1"/>
  <c r="Y394" i="1"/>
  <c r="Y396" i="1"/>
  <c r="Y130" i="1"/>
  <c r="Y92" i="1"/>
  <c r="Y400" i="1"/>
  <c r="Y188" i="1"/>
  <c r="Y141" i="1"/>
  <c r="Y309" i="1"/>
  <c r="Y144" i="1"/>
  <c r="Y135" i="1"/>
  <c r="Y81" i="1"/>
  <c r="Y36" i="1"/>
  <c r="Y259" i="1"/>
  <c r="Y413" i="1"/>
  <c r="Y148" i="1"/>
  <c r="Y415" i="1"/>
  <c r="Y290" i="1"/>
  <c r="Y418" i="1"/>
  <c r="Y67" i="1"/>
  <c r="Y517" i="1"/>
  <c r="Y324" i="1"/>
  <c r="Y301" i="1"/>
  <c r="Y424" i="1"/>
  <c r="Y113" i="1"/>
  <c r="Y295" i="1"/>
  <c r="Y84" i="1"/>
  <c r="Y353" i="1"/>
  <c r="Y305" i="1"/>
  <c r="Y192" i="1"/>
  <c r="Y181" i="1"/>
  <c r="Y77" i="1"/>
  <c r="Y76" i="1"/>
  <c r="Y15" i="1"/>
  <c r="Y168" i="1"/>
  <c r="Y51" i="1"/>
  <c r="Y358" i="1"/>
  <c r="Y307" i="1"/>
  <c r="Y117" i="1"/>
  <c r="Y170" i="1"/>
  <c r="Y261" i="1"/>
  <c r="Y265" i="1"/>
  <c r="Y270" i="1"/>
  <c r="Y271" i="1"/>
  <c r="Y80" i="1"/>
  <c r="Y366" i="1"/>
  <c r="Y2" i="1"/>
  <c r="Y369" i="1"/>
  <c r="Y370" i="1"/>
  <c r="Y46" i="1"/>
  <c r="Y275" i="1"/>
  <c r="Y73" i="1"/>
  <c r="Y376" i="1"/>
  <c r="Y379" i="1"/>
  <c r="Y312" i="1"/>
  <c r="Y56" i="1"/>
  <c r="Y5" i="1"/>
  <c r="Y382" i="1"/>
  <c r="Y28" i="1"/>
  <c r="Y383" i="1"/>
  <c r="Y210" i="1"/>
  <c r="Y242" i="1"/>
  <c r="Y337" i="1"/>
  <c r="Y47" i="1"/>
  <c r="Y202" i="1"/>
  <c r="Y388" i="1"/>
  <c r="Y126" i="1"/>
  <c r="Y291" i="1"/>
  <c r="Y392" i="1"/>
  <c r="Y219" i="1"/>
  <c r="Y122" i="1"/>
  <c r="Y131" i="1"/>
  <c r="Y397" i="1"/>
  <c r="Y71" i="1"/>
  <c r="Y401" i="1"/>
  <c r="Y142" i="1"/>
  <c r="Y204" i="1"/>
  <c r="Y145" i="1"/>
  <c r="Y251" i="1"/>
  <c r="Y212" i="1"/>
  <c r="Y408" i="1"/>
  <c r="Y410" i="1"/>
  <c r="Y283" i="1"/>
  <c r="Y149" i="1"/>
  <c r="Y272" i="1"/>
  <c r="Y416" i="1"/>
  <c r="Y33" i="1"/>
  <c r="Y89" i="1"/>
  <c r="Y58" i="1"/>
  <c r="Y420" i="1"/>
  <c r="Y340" i="1"/>
  <c r="Y234" i="1"/>
  <c r="Y428" i="1"/>
  <c r="Y432" i="1"/>
  <c r="Y55" i="1"/>
  <c r="Y236" i="1"/>
  <c r="Y279" i="1"/>
  <c r="Y435" i="1"/>
  <c r="Y40" i="1"/>
  <c r="Y437" i="1"/>
  <c r="Y139" i="1"/>
  <c r="Y440" i="1"/>
  <c r="Y91" i="1"/>
  <c r="Y95" i="1"/>
  <c r="Y128" i="1"/>
  <c r="Y124" i="1"/>
  <c r="Y449" i="1"/>
  <c r="Y451" i="1"/>
  <c r="Y17" i="1"/>
  <c r="Y22" i="1"/>
  <c r="Y114" i="1"/>
  <c r="Y185" i="1"/>
  <c r="Y508" i="1"/>
  <c r="Y10" i="1"/>
  <c r="Y246" i="1"/>
  <c r="Y252" i="1"/>
  <c r="Y34" i="1"/>
  <c r="Y501" i="1"/>
  <c r="Y320" i="1"/>
  <c r="Y495" i="1"/>
  <c r="Y333" i="1"/>
  <c r="Y32" i="1"/>
  <c r="Y490" i="1"/>
  <c r="Y486" i="1"/>
  <c r="Y45" i="1"/>
  <c r="Y484" i="1"/>
  <c r="Y238" i="1"/>
  <c r="Y479" i="1"/>
  <c r="Y342" i="1"/>
  <c r="Y478" i="1"/>
  <c r="Y300" i="1"/>
  <c r="Y156" i="1"/>
  <c r="Y303" i="1"/>
  <c r="Y472" i="1"/>
  <c r="Y256" i="1"/>
  <c r="Y335" i="1"/>
  <c r="Y468" i="1"/>
  <c r="Y109" i="1"/>
  <c r="Y86" i="1"/>
  <c r="Y298" i="1"/>
  <c r="Y198" i="1"/>
  <c r="Y27" i="1"/>
  <c r="Y463" i="1"/>
  <c r="Y69" i="1"/>
  <c r="Y111" i="1"/>
  <c r="Y348" i="1"/>
  <c r="Y136" i="1"/>
  <c r="Y96" i="1"/>
  <c r="Y458" i="1"/>
  <c r="Y457" i="1"/>
  <c r="Y518" i="1"/>
  <c r="Y177" i="1"/>
  <c r="Y452" i="1"/>
  <c r="Y214" i="1"/>
  <c r="Y446" i="1"/>
  <c r="Y443" i="1"/>
  <c r="Y222" i="1"/>
  <c r="Y439" i="1"/>
  <c r="Y297" i="1"/>
  <c r="Y205" i="1"/>
  <c r="Y140" i="1"/>
  <c r="Y304" i="1"/>
  <c r="Y105" i="1"/>
  <c r="Y431" i="1"/>
  <c r="Y426" i="1"/>
  <c r="Y26" i="1"/>
  <c r="Y90" i="1"/>
  <c r="Y13" i="1"/>
  <c r="Y213" i="1"/>
  <c r="Y277" i="1"/>
  <c r="Y284" i="1"/>
  <c r="Y207" i="1"/>
  <c r="Y48" i="1"/>
  <c r="Y384" i="1"/>
  <c r="Y57" i="1"/>
  <c r="Y74" i="1"/>
  <c r="Y314" i="1"/>
  <c r="Y321" i="1"/>
  <c r="Y171" i="1"/>
  <c r="Y359" i="1"/>
  <c r="Y59" i="1"/>
  <c r="Y174" i="1"/>
  <c r="Y330" i="1"/>
  <c r="W99" i="1"/>
  <c r="W331" i="1"/>
  <c r="W82" i="1"/>
  <c r="W351" i="1"/>
  <c r="W103" i="1"/>
  <c r="W175" i="1"/>
  <c r="W68" i="1"/>
  <c r="W228" i="1"/>
  <c r="W12" i="1"/>
  <c r="W60" i="1"/>
  <c r="W355" i="1"/>
  <c r="W193" i="1"/>
  <c r="W319" i="1"/>
  <c r="W360" i="1"/>
  <c r="W19" i="1"/>
  <c r="W361" i="1"/>
  <c r="W363" i="1"/>
  <c r="W229" i="1"/>
  <c r="W263" i="1"/>
  <c r="W43" i="1"/>
  <c r="W217" i="1"/>
  <c r="W78" i="1"/>
  <c r="W93" i="1"/>
  <c r="W368" i="1"/>
  <c r="W267" i="1"/>
  <c r="W315" i="1"/>
  <c r="W372" i="1"/>
  <c r="W374" i="1"/>
  <c r="W293" i="1"/>
  <c r="W75" i="1"/>
  <c r="W377" i="1"/>
  <c r="W310" i="1"/>
  <c r="W196" i="1"/>
  <c r="W166" i="1"/>
  <c r="W97" i="1"/>
  <c r="W190" i="1"/>
  <c r="W151" i="1"/>
  <c r="W158" i="1"/>
  <c r="W385" i="1"/>
  <c r="W7" i="1"/>
  <c r="W186" i="1"/>
  <c r="W49" i="1"/>
  <c r="W65" i="1"/>
  <c r="W390" i="1"/>
  <c r="W16" i="1"/>
  <c r="W208" i="1"/>
  <c r="W393" i="1"/>
  <c r="W395" i="1"/>
  <c r="W346" i="1"/>
  <c r="W285" i="1"/>
  <c r="W399" i="1"/>
  <c r="W187" i="1"/>
  <c r="W403" i="1"/>
  <c r="W278" i="1"/>
  <c r="W405" i="1"/>
  <c r="W134" i="1"/>
  <c r="W407" i="1"/>
  <c r="W153" i="1"/>
  <c r="W258" i="1"/>
  <c r="W412" i="1"/>
  <c r="W414" i="1"/>
  <c r="W14" i="1"/>
  <c r="W289" i="1"/>
  <c r="W515" i="1"/>
  <c r="W66" i="1"/>
  <c r="W516" i="1"/>
  <c r="W323" i="1"/>
  <c r="W26" i="1"/>
  <c r="W423" i="1"/>
  <c r="W426" i="1"/>
  <c r="W430" i="1"/>
  <c r="W434" i="1"/>
  <c r="W106" i="1"/>
  <c r="W304" i="1"/>
  <c r="W200" i="1"/>
  <c r="W241" i="1"/>
  <c r="W123" i="1"/>
  <c r="W297" i="1"/>
  <c r="W438" i="1"/>
  <c r="W338" i="1"/>
  <c r="W223" i="1"/>
  <c r="W443" i="1"/>
  <c r="W445" i="1"/>
  <c r="W447" i="1"/>
  <c r="W113" i="1"/>
  <c r="W295" i="1"/>
  <c r="W84" i="1"/>
  <c r="W353" i="1"/>
  <c r="W305" i="1"/>
  <c r="W192" i="1"/>
  <c r="W181" i="1"/>
  <c r="W77" i="1"/>
  <c r="W76" i="1"/>
  <c r="W15" i="1"/>
  <c r="W168" i="1"/>
  <c r="W51" i="1"/>
  <c r="W358" i="1"/>
  <c r="W307" i="1"/>
  <c r="W117" i="1"/>
  <c r="W170" i="1"/>
  <c r="W261" i="1"/>
  <c r="W265" i="1"/>
  <c r="W270" i="1"/>
  <c r="W271" i="1"/>
  <c r="W80" i="1"/>
  <c r="W366" i="1"/>
  <c r="W2" i="1"/>
  <c r="W369" i="1"/>
  <c r="W370" i="1"/>
  <c r="W46" i="1"/>
  <c r="W275" i="1"/>
  <c r="W73" i="1"/>
  <c r="W376" i="1"/>
  <c r="W379" i="1"/>
  <c r="W312" i="1"/>
  <c r="W56" i="1"/>
  <c r="W5" i="1"/>
  <c r="W382" i="1"/>
  <c r="W28" i="1"/>
  <c r="W383" i="1"/>
  <c r="W210" i="1"/>
  <c r="W242" i="1"/>
  <c r="W337" i="1"/>
  <c r="W47" i="1"/>
  <c r="W202" i="1"/>
  <c r="W388" i="1"/>
  <c r="W126" i="1"/>
  <c r="W291" i="1"/>
  <c r="W392" i="1"/>
  <c r="W219" i="1"/>
  <c r="W122" i="1"/>
  <c r="W131" i="1"/>
  <c r="W397" i="1"/>
  <c r="W71" i="1"/>
  <c r="W401" i="1"/>
  <c r="W142" i="1"/>
  <c r="W204" i="1"/>
  <c r="W145" i="1"/>
  <c r="W251" i="1"/>
  <c r="W212" i="1"/>
  <c r="W408" i="1"/>
  <c r="W410" i="1"/>
  <c r="W283" i="1"/>
  <c r="W149" i="1"/>
  <c r="W272" i="1"/>
  <c r="W416" i="1"/>
  <c r="W33" i="1"/>
  <c r="W89" i="1"/>
  <c r="W58" i="1"/>
  <c r="W420" i="1"/>
  <c r="W340" i="1"/>
  <c r="W234" i="1"/>
  <c r="W428" i="1"/>
  <c r="W432" i="1"/>
  <c r="W55" i="1"/>
  <c r="W236" i="1"/>
  <c r="W279" i="1"/>
  <c r="W435" i="1"/>
  <c r="W40" i="1"/>
  <c r="W437" i="1"/>
  <c r="W139" i="1"/>
  <c r="W440" i="1"/>
  <c r="W91" i="1"/>
  <c r="W95" i="1"/>
  <c r="W128" i="1"/>
  <c r="W124" i="1"/>
  <c r="W449" i="1"/>
  <c r="W451" i="1"/>
  <c r="W100" i="1"/>
  <c r="W83" i="1"/>
  <c r="W104" i="1"/>
  <c r="W157" i="1"/>
  <c r="W132" i="1"/>
  <c r="W356" i="1"/>
  <c r="W357" i="1"/>
  <c r="W31" i="1"/>
  <c r="W364" i="1"/>
  <c r="W264" i="1"/>
  <c r="W218" i="1"/>
  <c r="W94" i="1"/>
  <c r="W268" i="1"/>
  <c r="W373" i="1"/>
  <c r="W294" i="1"/>
  <c r="W378" i="1"/>
  <c r="W197" i="1"/>
  <c r="W381" i="1"/>
  <c r="W152" i="1"/>
  <c r="W155" i="1"/>
  <c r="W120" i="1"/>
  <c r="W387" i="1"/>
  <c r="W154" i="1"/>
  <c r="W394" i="1"/>
  <c r="W130" i="1"/>
  <c r="W400" i="1"/>
  <c r="W141" i="1"/>
  <c r="W144" i="1"/>
  <c r="W81" i="1"/>
  <c r="W259" i="1"/>
  <c r="W148" i="1"/>
  <c r="W290" i="1"/>
  <c r="W67" i="1"/>
  <c r="W324" i="1"/>
  <c r="W424" i="1"/>
  <c r="W431" i="1"/>
  <c r="W235" i="1"/>
  <c r="W140" i="1"/>
  <c r="W436" i="1"/>
  <c r="W439" i="1"/>
  <c r="W328" i="1"/>
  <c r="W446" i="1"/>
  <c r="W450" i="1"/>
  <c r="W453" i="1"/>
  <c r="W178" i="1"/>
  <c r="W519" i="1"/>
  <c r="W6" i="1"/>
  <c r="W38" i="1"/>
  <c r="W460" i="1"/>
  <c r="W137" i="1"/>
  <c r="W247" i="1"/>
  <c r="W112" i="1"/>
  <c r="W70" i="1"/>
  <c r="W183" i="1"/>
  <c r="W21" i="1"/>
  <c r="W199" i="1"/>
  <c r="W244" i="1"/>
  <c r="W464" i="1"/>
  <c r="W466" i="1"/>
  <c r="W143" i="1"/>
  <c r="W341" i="1"/>
  <c r="W470" i="1"/>
  <c r="W473" i="1"/>
  <c r="W159" i="1"/>
  <c r="W326" i="1"/>
  <c r="W475" i="1"/>
  <c r="W115" i="1"/>
  <c r="W343" i="1"/>
  <c r="W480" i="1"/>
  <c r="W239" i="1"/>
  <c r="W215" i="1"/>
  <c r="W163" i="1"/>
  <c r="W487" i="1"/>
  <c r="W53" i="1"/>
  <c r="W491" i="1"/>
  <c r="W493" i="1"/>
  <c r="W496" i="1"/>
  <c r="W147" i="1"/>
  <c r="W146" i="1"/>
  <c r="W502" i="1"/>
  <c r="W504" i="1"/>
  <c r="W330" i="1"/>
  <c r="W350" i="1"/>
  <c r="W174" i="1"/>
  <c r="W182" i="1"/>
  <c r="W59" i="1"/>
  <c r="W169" i="1"/>
  <c r="W359" i="1"/>
  <c r="W118" i="1"/>
  <c r="W171" i="1"/>
  <c r="W266" i="1"/>
  <c r="W321" i="1"/>
  <c r="W367" i="1"/>
  <c r="W314" i="1"/>
  <c r="W20" i="1"/>
  <c r="W74" i="1"/>
  <c r="W380" i="1"/>
  <c r="W57" i="1"/>
  <c r="W189" i="1"/>
  <c r="W384" i="1"/>
  <c r="W243" i="1"/>
  <c r="W48" i="1"/>
  <c r="W389" i="1"/>
  <c r="W207" i="1"/>
  <c r="W220" i="1"/>
  <c r="W284" i="1"/>
  <c r="W72" i="1"/>
  <c r="W277" i="1"/>
  <c r="W133" i="1"/>
  <c r="W213" i="1"/>
  <c r="W411" i="1"/>
  <c r="W13" i="1"/>
  <c r="W417" i="1"/>
  <c r="W90" i="1"/>
  <c r="W421" i="1"/>
  <c r="W425" i="1"/>
  <c r="W433" i="1"/>
  <c r="W282" i="1"/>
  <c r="W240" i="1"/>
  <c r="W296" i="1"/>
  <c r="W441" i="1"/>
  <c r="W442" i="1"/>
  <c r="W110" i="1"/>
  <c r="W194" i="1"/>
  <c r="W454" i="1"/>
  <c r="W226" i="1"/>
  <c r="W165" i="1"/>
  <c r="W286" i="1"/>
  <c r="W459" i="1"/>
  <c r="W61" i="1"/>
  <c r="W461" i="1"/>
  <c r="W248" i="1"/>
  <c r="W462" i="1"/>
  <c r="W87" i="1"/>
  <c r="W184" i="1"/>
  <c r="W316" i="1"/>
  <c r="W206" i="1"/>
  <c r="W245" i="1"/>
  <c r="W465" i="1"/>
  <c r="W467" i="1"/>
  <c r="W469" i="1"/>
  <c r="W254" i="1"/>
  <c r="W471" i="1"/>
  <c r="W474" i="1"/>
  <c r="W160" i="1"/>
  <c r="W327" i="1"/>
  <c r="W476" i="1"/>
  <c r="W116" i="1"/>
  <c r="W250" i="1"/>
  <c r="W481" i="1"/>
  <c r="W482" i="1"/>
  <c r="W485" i="1"/>
  <c r="W164" i="1"/>
  <c r="W488" i="1"/>
  <c r="W62" i="1"/>
  <c r="W492" i="1"/>
  <c r="W494" i="1"/>
  <c r="W497" i="1"/>
  <c r="W499" i="1"/>
  <c r="W179" i="1"/>
  <c r="W503" i="1"/>
  <c r="W505" i="1"/>
  <c r="W102" i="1"/>
  <c r="W506" i="1"/>
  <c r="W161" i="1"/>
  <c r="W230" i="1"/>
  <c r="W332" i="1"/>
  <c r="W352" i="1"/>
  <c r="W176" i="1"/>
  <c r="W30" i="1"/>
  <c r="W201" i="1"/>
  <c r="W50" i="1"/>
  <c r="W306" i="1"/>
  <c r="W362" i="1"/>
  <c r="W260" i="1"/>
  <c r="W269" i="1"/>
  <c r="W79" i="1"/>
  <c r="W232" i="1"/>
  <c r="W35" i="1"/>
  <c r="W274" i="1"/>
  <c r="W375" i="1"/>
  <c r="W311" i="1"/>
  <c r="W167" i="1"/>
  <c r="W29" i="1"/>
  <c r="W209" i="1"/>
  <c r="W336" i="1"/>
  <c r="W386" i="1"/>
  <c r="W125" i="1"/>
  <c r="W391" i="1"/>
  <c r="W396" i="1"/>
  <c r="W92" i="1"/>
  <c r="W188" i="1"/>
  <c r="W309" i="1"/>
  <c r="W135" i="1"/>
  <c r="W36" i="1"/>
  <c r="W413" i="1"/>
  <c r="W415" i="1"/>
  <c r="W418" i="1"/>
  <c r="W517" i="1"/>
  <c r="W301" i="1"/>
  <c r="W427" i="1"/>
  <c r="W54" i="1"/>
  <c r="W281" i="1"/>
  <c r="W39" i="1"/>
  <c r="W101" i="1"/>
  <c r="W64" i="1"/>
  <c r="W444" i="1"/>
  <c r="W448" i="1"/>
  <c r="W172" i="1"/>
  <c r="W455" i="1"/>
  <c r="W227" i="1"/>
  <c r="W456" i="1"/>
  <c r="W287" i="1"/>
  <c r="W107" i="1"/>
  <c r="W52" i="1"/>
  <c r="W347" i="1"/>
  <c r="W253" i="1"/>
  <c r="W329" i="1"/>
  <c r="W88" i="1"/>
  <c r="W288" i="1"/>
  <c r="W317" i="1"/>
  <c r="W325" i="1"/>
  <c r="W85" i="1"/>
  <c r="W225" i="1"/>
  <c r="W41" i="1"/>
  <c r="W334" i="1"/>
  <c r="W255" i="1"/>
  <c r="W313" i="1"/>
  <c r="W302" i="1"/>
  <c r="W138" i="1"/>
  <c r="W299" i="1"/>
  <c r="W477" i="1"/>
  <c r="W249" i="1"/>
  <c r="W191" i="1"/>
  <c r="W237" i="1"/>
  <c r="W483" i="1"/>
  <c r="W44" i="1"/>
  <c r="W233" i="1"/>
  <c r="W489" i="1"/>
  <c r="W63" i="1"/>
  <c r="W121" i="1"/>
  <c r="W224" i="1"/>
  <c r="W498" i="1"/>
  <c r="W500" i="1"/>
  <c r="W180" i="1"/>
  <c r="W349" i="1"/>
  <c r="W4" i="1"/>
  <c r="W9" i="1"/>
  <c r="W507" i="1"/>
  <c r="W162" i="1"/>
  <c r="W231" i="1"/>
  <c r="W513" i="1"/>
  <c r="W98" i="1"/>
  <c r="W37" i="1"/>
  <c r="W114" i="1"/>
  <c r="W508" i="1"/>
  <c r="W246" i="1"/>
  <c r="W320" i="1"/>
  <c r="W490" i="1"/>
  <c r="W238" i="1"/>
  <c r="W300" i="1"/>
  <c r="W256" i="1"/>
  <c r="W86" i="1"/>
  <c r="W463" i="1"/>
  <c r="W136" i="1"/>
  <c r="W518" i="1"/>
  <c r="W129" i="1"/>
  <c r="W280" i="1"/>
  <c r="W322" i="1"/>
  <c r="W409" i="1"/>
  <c r="W398" i="1"/>
  <c r="W203" i="1"/>
  <c r="W108" i="1"/>
  <c r="W371" i="1"/>
  <c r="W262" i="1"/>
  <c r="U99" i="1"/>
  <c r="W18" i="1"/>
  <c r="W22" i="1"/>
  <c r="W510" i="1"/>
  <c r="W8" i="1"/>
  <c r="W252" i="1"/>
  <c r="W495" i="1"/>
  <c r="W486" i="1"/>
  <c r="W479" i="1"/>
  <c r="W156" i="1"/>
  <c r="W335" i="1"/>
  <c r="W298" i="1"/>
  <c r="W69" i="1"/>
  <c r="W96" i="1"/>
  <c r="W177" i="1"/>
  <c r="W222" i="1"/>
  <c r="W105" i="1"/>
  <c r="W419" i="1"/>
  <c r="W406" i="1"/>
  <c r="W345" i="1"/>
  <c r="W344" i="1"/>
  <c r="W195" i="1"/>
  <c r="W3" i="1"/>
  <c r="W308" i="1"/>
  <c r="W11" i="1"/>
  <c r="W404" i="1"/>
  <c r="W514" i="1"/>
  <c r="W17" i="1"/>
  <c r="W512" i="1"/>
  <c r="W185" i="1"/>
  <c r="W10" i="1"/>
  <c r="W34" i="1"/>
  <c r="W333" i="1"/>
  <c r="W45" i="1"/>
  <c r="W342" i="1"/>
  <c r="W303" i="1"/>
  <c r="W468" i="1"/>
  <c r="W198" i="1"/>
  <c r="W111" i="1"/>
  <c r="W458" i="1"/>
  <c r="W452" i="1"/>
  <c r="W292" i="1"/>
  <c r="W429" i="1"/>
  <c r="W273" i="1"/>
  <c r="W119" i="1"/>
  <c r="W211" i="1"/>
  <c r="W25" i="1"/>
  <c r="W365" i="1"/>
  <c r="W257" i="1"/>
  <c r="W42" i="1"/>
  <c r="W24" i="1"/>
  <c r="W511" i="1"/>
  <c r="W509" i="1"/>
  <c r="W221" i="1"/>
  <c r="W501" i="1"/>
  <c r="W32" i="1"/>
  <c r="W484" i="1"/>
  <c r="W478" i="1"/>
  <c r="W472" i="1"/>
  <c r="W109" i="1"/>
  <c r="W27" i="1"/>
  <c r="W348" i="1"/>
  <c r="W457" i="1"/>
  <c r="W214" i="1"/>
  <c r="W205" i="1"/>
  <c r="W422" i="1"/>
  <c r="W173" i="1"/>
  <c r="W402" i="1"/>
  <c r="W127" i="1"/>
  <c r="W150" i="1"/>
  <c r="W276" i="1"/>
  <c r="W216" i="1"/>
  <c r="W318" i="1"/>
  <c r="W339" i="1"/>
  <c r="U23" i="1"/>
  <c r="U98" i="1"/>
  <c r="U350" i="1"/>
  <c r="U42" i="1"/>
  <c r="U354" i="1"/>
  <c r="U257" i="1"/>
  <c r="U262" i="1"/>
  <c r="U365" i="1"/>
  <c r="U371" i="1"/>
  <c r="U25" i="1"/>
  <c r="U108" i="1"/>
  <c r="U211" i="1"/>
  <c r="U203" i="1"/>
  <c r="U119" i="1"/>
  <c r="U398" i="1"/>
  <c r="U404" i="1"/>
  <c r="U409" i="1"/>
  <c r="U273" i="1"/>
  <c r="U322" i="1"/>
  <c r="U429" i="1"/>
  <c r="U280" i="1"/>
  <c r="U292" i="1"/>
  <c r="U129" i="1"/>
  <c r="U453" i="1"/>
  <c r="U519" i="1"/>
  <c r="U38" i="1"/>
  <c r="U137" i="1"/>
  <c r="U112" i="1"/>
  <c r="U183" i="1"/>
  <c r="U199" i="1"/>
  <c r="U464" i="1"/>
  <c r="U143" i="1"/>
  <c r="U470" i="1"/>
  <c r="U159" i="1"/>
  <c r="U475" i="1"/>
  <c r="U343" i="1"/>
  <c r="U239" i="1"/>
  <c r="U163" i="1"/>
  <c r="U53" i="1"/>
  <c r="U493" i="1"/>
  <c r="U147" i="1"/>
  <c r="U502" i="1"/>
  <c r="U221" i="1"/>
  <c r="U37" i="1"/>
  <c r="U11" i="1"/>
  <c r="U318" i="1"/>
  <c r="U308" i="1"/>
  <c r="U216" i="1"/>
  <c r="U3" i="1"/>
  <c r="U276" i="1"/>
  <c r="U195" i="1"/>
  <c r="U150" i="1"/>
  <c r="U344" i="1"/>
  <c r="U127" i="1"/>
  <c r="U345" i="1"/>
  <c r="U402" i="1"/>
  <c r="U406" i="1"/>
  <c r="U173" i="1"/>
  <c r="U419" i="1"/>
  <c r="U422" i="1"/>
  <c r="U105" i="1"/>
  <c r="U205" i="1"/>
  <c r="U222" i="1"/>
  <c r="U214" i="1"/>
  <c r="U178" i="1"/>
  <c r="U6" i="1"/>
  <c r="U460" i="1"/>
  <c r="U247" i="1"/>
  <c r="U70" i="1"/>
  <c r="U21" i="1"/>
  <c r="U244" i="1"/>
  <c r="U466" i="1"/>
  <c r="U341" i="1"/>
  <c r="U473" i="1"/>
  <c r="U326" i="1"/>
  <c r="U115" i="1"/>
  <c r="U480" i="1"/>
  <c r="U215" i="1"/>
  <c r="U487" i="1"/>
  <c r="U491" i="1"/>
  <c r="U496" i="1"/>
  <c r="U146" i="1"/>
  <c r="U504" i="1"/>
  <c r="U8" i="1"/>
  <c r="U510" i="1"/>
  <c r="U513" i="1"/>
  <c r="U339" i="1"/>
  <c r="U511" i="1"/>
  <c r="U18" i="1"/>
  <c r="U509" i="1"/>
  <c r="U514" i="1"/>
  <c r="U24" i="1"/>
  <c r="U512" i="1"/>
  <c r="U162" i="1"/>
  <c r="U9" i="1"/>
  <c r="U349" i="1"/>
  <c r="U500" i="1"/>
  <c r="U224" i="1"/>
  <c r="U63" i="1"/>
  <c r="U233" i="1"/>
  <c r="U483" i="1"/>
  <c r="U191" i="1"/>
  <c r="U477" i="1"/>
  <c r="U138" i="1"/>
  <c r="U313" i="1"/>
  <c r="U334" i="1"/>
  <c r="U225" i="1"/>
  <c r="U325" i="1"/>
  <c r="U288" i="1"/>
  <c r="U329" i="1"/>
  <c r="U347" i="1"/>
  <c r="U107" i="1"/>
  <c r="U456" i="1"/>
  <c r="U455" i="1"/>
  <c r="U110" i="1"/>
  <c r="U441" i="1"/>
  <c r="U240" i="1"/>
  <c r="U433" i="1"/>
  <c r="U421" i="1"/>
  <c r="U417" i="1"/>
  <c r="U411" i="1"/>
  <c r="U133" i="1"/>
  <c r="U72" i="1"/>
  <c r="U220" i="1"/>
  <c r="U389" i="1"/>
  <c r="U243" i="1"/>
  <c r="U189" i="1"/>
  <c r="U380" i="1"/>
  <c r="U20" i="1"/>
  <c r="U367" i="1"/>
  <c r="U266" i="1"/>
  <c r="U118" i="1"/>
  <c r="U169" i="1"/>
  <c r="U182" i="1"/>
  <c r="U331" i="1"/>
  <c r="U82" i="1"/>
  <c r="U351" i="1"/>
  <c r="U103" i="1"/>
  <c r="U175" i="1"/>
  <c r="U68" i="1"/>
  <c r="U228" i="1"/>
  <c r="U12" i="1"/>
  <c r="U60" i="1"/>
  <c r="U355" i="1"/>
  <c r="U193" i="1"/>
  <c r="U319" i="1"/>
  <c r="U360" i="1"/>
  <c r="U19" i="1"/>
  <c r="U361" i="1"/>
  <c r="U363" i="1"/>
  <c r="U229" i="1"/>
  <c r="U263" i="1"/>
  <c r="U43" i="1"/>
  <c r="U217" i="1"/>
  <c r="U78" i="1"/>
  <c r="U93" i="1"/>
  <c r="U368" i="1"/>
  <c r="U267" i="1"/>
  <c r="U315" i="1"/>
  <c r="U372" i="1"/>
  <c r="U374" i="1"/>
  <c r="U293" i="1"/>
  <c r="U75" i="1"/>
  <c r="U377" i="1"/>
  <c r="U310" i="1"/>
  <c r="U196" i="1"/>
  <c r="U166" i="1"/>
  <c r="U97" i="1"/>
  <c r="U190" i="1"/>
  <c r="U151" i="1"/>
  <c r="U158" i="1"/>
  <c r="U385" i="1"/>
  <c r="U7" i="1"/>
  <c r="U186" i="1"/>
  <c r="U49" i="1"/>
  <c r="U65" i="1"/>
  <c r="U390" i="1"/>
  <c r="U16" i="1"/>
  <c r="U208" i="1"/>
  <c r="U393" i="1"/>
  <c r="U395" i="1"/>
  <c r="U346" i="1"/>
  <c r="U285" i="1"/>
  <c r="U399" i="1"/>
  <c r="U187" i="1"/>
  <c r="U403" i="1"/>
  <c r="U278" i="1"/>
  <c r="U405" i="1"/>
  <c r="U134" i="1"/>
  <c r="U407" i="1"/>
  <c r="U153" i="1"/>
  <c r="U258" i="1"/>
  <c r="U412" i="1"/>
  <c r="U414" i="1"/>
  <c r="U14" i="1"/>
  <c r="U289" i="1"/>
  <c r="U515" i="1"/>
  <c r="U66" i="1"/>
  <c r="U516" i="1"/>
  <c r="U323" i="1"/>
  <c r="U26" i="1"/>
  <c r="U423" i="1"/>
  <c r="U426" i="1"/>
  <c r="U430" i="1"/>
  <c r="U434" i="1"/>
  <c r="U106" i="1"/>
  <c r="U304" i="1"/>
  <c r="U200" i="1"/>
  <c r="U241" i="1"/>
  <c r="U123" i="1"/>
  <c r="U297" i="1"/>
  <c r="U438" i="1"/>
  <c r="U338" i="1"/>
  <c r="U223" i="1"/>
  <c r="U443" i="1"/>
  <c r="U445" i="1"/>
  <c r="U447" i="1"/>
  <c r="U450" i="1"/>
  <c r="U100" i="1"/>
  <c r="U332" i="1"/>
  <c r="U83" i="1"/>
  <c r="U352" i="1"/>
  <c r="U104" i="1"/>
  <c r="U176" i="1"/>
  <c r="U157" i="1"/>
  <c r="U30" i="1"/>
  <c r="U132" i="1"/>
  <c r="U201" i="1"/>
  <c r="U356" i="1"/>
  <c r="U50" i="1"/>
  <c r="U357" i="1"/>
  <c r="U306" i="1"/>
  <c r="U31" i="1"/>
  <c r="U362" i="1"/>
  <c r="U364" i="1"/>
  <c r="U260" i="1"/>
  <c r="U264" i="1"/>
  <c r="U269" i="1"/>
  <c r="U218" i="1"/>
  <c r="U79" i="1"/>
  <c r="U94" i="1"/>
  <c r="U232" i="1"/>
  <c r="U268" i="1"/>
  <c r="U35" i="1"/>
  <c r="U373" i="1"/>
  <c r="U274" i="1"/>
  <c r="U294" i="1"/>
  <c r="U375" i="1"/>
  <c r="U378" i="1"/>
  <c r="U311" i="1"/>
  <c r="U197" i="1"/>
  <c r="U167" i="1"/>
  <c r="U381" i="1"/>
  <c r="U29" i="1"/>
  <c r="U152" i="1"/>
  <c r="U209" i="1"/>
  <c r="U155" i="1"/>
  <c r="U336" i="1"/>
  <c r="U120" i="1"/>
  <c r="U386" i="1"/>
  <c r="U387" i="1"/>
  <c r="U125" i="1"/>
  <c r="U154" i="1"/>
  <c r="U391" i="1"/>
  <c r="U394" i="1"/>
  <c r="U396" i="1"/>
  <c r="U130" i="1"/>
  <c r="U92" i="1"/>
  <c r="U400" i="1"/>
  <c r="U188" i="1"/>
  <c r="U141" i="1"/>
  <c r="U309" i="1"/>
  <c r="U144" i="1"/>
  <c r="U135" i="1"/>
  <c r="U81" i="1"/>
  <c r="U36" i="1"/>
  <c r="U259" i="1"/>
  <c r="U413" i="1"/>
  <c r="U148" i="1"/>
  <c r="U415" i="1"/>
  <c r="U290" i="1"/>
  <c r="U418" i="1"/>
  <c r="U67" i="1"/>
  <c r="U517" i="1"/>
  <c r="U324" i="1"/>
  <c r="U301" i="1"/>
  <c r="U424" i="1"/>
  <c r="U427" i="1"/>
  <c r="U431" i="1"/>
  <c r="U54" i="1"/>
  <c r="U235" i="1"/>
  <c r="U281" i="1"/>
  <c r="U140" i="1"/>
  <c r="U39" i="1"/>
  <c r="U436" i="1"/>
  <c r="U101" i="1"/>
  <c r="U439" i="1"/>
  <c r="U64" i="1"/>
  <c r="U328" i="1"/>
  <c r="U444" i="1"/>
  <c r="U446" i="1"/>
  <c r="U448" i="1"/>
  <c r="U194" i="1"/>
  <c r="U113" i="1"/>
  <c r="U84" i="1"/>
  <c r="U305" i="1"/>
  <c r="U181" i="1"/>
  <c r="U76" i="1"/>
  <c r="U168" i="1"/>
  <c r="U358" i="1"/>
  <c r="U117" i="1"/>
  <c r="U170" i="1"/>
  <c r="U265" i="1"/>
  <c r="U271" i="1"/>
  <c r="U366" i="1"/>
  <c r="U369" i="1"/>
  <c r="U46" i="1"/>
  <c r="U73" i="1"/>
  <c r="U379" i="1"/>
  <c r="U56" i="1"/>
  <c r="U382" i="1"/>
  <c r="U383" i="1"/>
  <c r="U242" i="1"/>
  <c r="U47" i="1"/>
  <c r="U388" i="1"/>
  <c r="U291" i="1"/>
  <c r="U219" i="1"/>
  <c r="U131" i="1"/>
  <c r="U71" i="1"/>
  <c r="U142" i="1"/>
  <c r="U145" i="1"/>
  <c r="U212" i="1"/>
  <c r="U410" i="1"/>
  <c r="U149" i="1"/>
  <c r="U416" i="1"/>
  <c r="U89" i="1"/>
  <c r="U420" i="1"/>
  <c r="U234" i="1"/>
  <c r="U432" i="1"/>
  <c r="U236" i="1"/>
  <c r="U435" i="1"/>
  <c r="U437" i="1"/>
  <c r="U440" i="1"/>
  <c r="U95" i="1"/>
  <c r="U124" i="1"/>
  <c r="U451" i="1"/>
  <c r="U454" i="1"/>
  <c r="U226" i="1"/>
  <c r="U165" i="1"/>
  <c r="U286" i="1"/>
  <c r="U459" i="1"/>
  <c r="U61" i="1"/>
  <c r="U461" i="1"/>
  <c r="U248" i="1"/>
  <c r="U462" i="1"/>
  <c r="U87" i="1"/>
  <c r="U184" i="1"/>
  <c r="U316" i="1"/>
  <c r="U206" i="1"/>
  <c r="U245" i="1"/>
  <c r="U465" i="1"/>
  <c r="U467" i="1"/>
  <c r="U469" i="1"/>
  <c r="U254" i="1"/>
  <c r="U471" i="1"/>
  <c r="U474" i="1"/>
  <c r="U160" i="1"/>
  <c r="U327" i="1"/>
  <c r="U476" i="1"/>
  <c r="U116" i="1"/>
  <c r="U250" i="1"/>
  <c r="U481" i="1"/>
  <c r="U482" i="1"/>
  <c r="U485" i="1"/>
  <c r="U164" i="1"/>
  <c r="U488" i="1"/>
  <c r="U62" i="1"/>
  <c r="U492" i="1"/>
  <c r="U494" i="1"/>
  <c r="U497" i="1"/>
  <c r="U499" i="1"/>
  <c r="U179" i="1"/>
  <c r="U503" i="1"/>
  <c r="U505" i="1"/>
  <c r="U102" i="1"/>
  <c r="U506" i="1"/>
  <c r="U161" i="1"/>
  <c r="U230" i="1"/>
  <c r="U295" i="1"/>
  <c r="U353" i="1"/>
  <c r="U192" i="1"/>
  <c r="U77" i="1"/>
  <c r="U15" i="1"/>
  <c r="U51" i="1"/>
  <c r="U307" i="1"/>
  <c r="U261" i="1"/>
  <c r="U270" i="1"/>
  <c r="U80" i="1"/>
  <c r="U2" i="1"/>
  <c r="U370" i="1"/>
  <c r="U275" i="1"/>
  <c r="U376" i="1"/>
  <c r="U312" i="1"/>
  <c r="U5" i="1"/>
  <c r="U28" i="1"/>
  <c r="U210" i="1"/>
  <c r="U337" i="1"/>
  <c r="U202" i="1"/>
  <c r="U126" i="1"/>
  <c r="U392" i="1"/>
  <c r="U122" i="1"/>
  <c r="U397" i="1"/>
  <c r="U401" i="1"/>
  <c r="U204" i="1"/>
  <c r="U251" i="1"/>
  <c r="U408" i="1"/>
  <c r="U283" i="1"/>
  <c r="U272" i="1"/>
  <c r="U33" i="1"/>
  <c r="U58" i="1"/>
  <c r="U340" i="1"/>
  <c r="U428" i="1"/>
  <c r="U55" i="1"/>
  <c r="U279" i="1"/>
  <c r="U40" i="1"/>
  <c r="U139" i="1"/>
  <c r="U91" i="1"/>
  <c r="U128" i="1"/>
  <c r="U449" i="1"/>
  <c r="U452" i="1"/>
  <c r="U177" i="1"/>
  <c r="U518" i="1"/>
  <c r="U457" i="1"/>
  <c r="U458" i="1"/>
  <c r="U96" i="1"/>
  <c r="U136" i="1"/>
  <c r="U348" i="1"/>
  <c r="U111" i="1"/>
  <c r="U69" i="1"/>
  <c r="U463" i="1"/>
  <c r="U27" i="1"/>
  <c r="U198" i="1"/>
  <c r="U298" i="1"/>
  <c r="U86" i="1"/>
  <c r="U109" i="1"/>
  <c r="U468" i="1"/>
  <c r="U335" i="1"/>
  <c r="U256" i="1"/>
  <c r="U472" i="1"/>
  <c r="U303" i="1"/>
  <c r="U156" i="1"/>
  <c r="U300" i="1"/>
  <c r="U478" i="1"/>
  <c r="U342" i="1"/>
  <c r="U479" i="1"/>
  <c r="U238" i="1"/>
  <c r="U484" i="1"/>
  <c r="U45" i="1"/>
  <c r="U486" i="1"/>
  <c r="U490" i="1"/>
  <c r="U32" i="1"/>
  <c r="U333" i="1"/>
  <c r="U495" i="1"/>
  <c r="U320" i="1"/>
  <c r="U501" i="1"/>
  <c r="U34" i="1"/>
  <c r="U252" i="1"/>
  <c r="U246" i="1"/>
  <c r="U10" i="1"/>
  <c r="U508" i="1"/>
  <c r="U185" i="1"/>
  <c r="U114" i="1"/>
  <c r="U17" i="1"/>
  <c r="U22" i="1"/>
  <c r="U231" i="1"/>
  <c r="U507" i="1"/>
  <c r="U4" i="1"/>
  <c r="U180" i="1"/>
  <c r="U498" i="1"/>
  <c r="U121" i="1"/>
  <c r="U489" i="1"/>
  <c r="U44" i="1"/>
  <c r="U237" i="1"/>
  <c r="U249" i="1"/>
  <c r="U299" i="1"/>
  <c r="U302" i="1"/>
  <c r="U255" i="1"/>
  <c r="U41" i="1"/>
  <c r="U85" i="1"/>
  <c r="U317" i="1"/>
  <c r="U88" i="1"/>
  <c r="U253" i="1"/>
  <c r="U52" i="1"/>
  <c r="U287" i="1"/>
  <c r="U227" i="1"/>
  <c r="U172" i="1"/>
  <c r="U442" i="1"/>
  <c r="U296" i="1"/>
  <c r="U282" i="1"/>
  <c r="U425" i="1"/>
  <c r="U90" i="1"/>
  <c r="U13" i="1"/>
  <c r="U213" i="1"/>
  <c r="U277" i="1"/>
  <c r="U284" i="1"/>
  <c r="U207" i="1"/>
  <c r="U48" i="1"/>
  <c r="U384" i="1"/>
  <c r="U57" i="1"/>
  <c r="U74" i="1"/>
  <c r="U314" i="1"/>
  <c r="U321" i="1"/>
  <c r="U171" i="1"/>
  <c r="U359" i="1"/>
  <c r="U59" i="1"/>
  <c r="U174" i="1"/>
  <c r="U330" i="1"/>
  <c r="R128" i="21"/>
  <c r="Q121" i="21"/>
  <c r="Q118" i="21"/>
  <c r="Q112" i="21"/>
  <c r="K133" i="21"/>
  <c r="T129" i="21" s="1"/>
  <c r="Q129" i="21"/>
  <c r="J123" i="21"/>
  <c r="S119" i="21" s="1"/>
  <c r="L125" i="21"/>
  <c r="U121" i="21" s="1"/>
  <c r="J128" i="21"/>
  <c r="S124" i="21" s="1"/>
  <c r="K132" i="21"/>
  <c r="T128" i="21" s="1"/>
  <c r="M99" i="21"/>
  <c r="V99" i="21" s="1"/>
  <c r="R120" i="21"/>
  <c r="K124" i="21"/>
  <c r="T120" i="21" s="1"/>
  <c r="Q117" i="21"/>
  <c r="R124" i="21"/>
  <c r="K128" i="21"/>
  <c r="T124" i="21" s="1"/>
  <c r="R129" i="21"/>
  <c r="J132" i="21"/>
  <c r="S128" i="21" s="1"/>
  <c r="J133" i="21"/>
  <c r="S129" i="21" s="1"/>
  <c r="K99" i="21"/>
  <c r="T99" i="21" s="1"/>
  <c r="R118" i="21"/>
  <c r="L121" i="21"/>
  <c r="U117" i="21" s="1"/>
  <c r="J124" i="21"/>
  <c r="S120" i="21" s="1"/>
  <c r="J98" i="21"/>
  <c r="S98" i="21" s="1"/>
  <c r="Q125" i="21"/>
  <c r="M131" i="21"/>
  <c r="V127" i="21" s="1"/>
  <c r="R22" i="21"/>
  <c r="M98" i="21"/>
  <c r="V98" i="21" s="1"/>
  <c r="Q111" i="21"/>
  <c r="R117" i="21"/>
  <c r="Q120" i="21"/>
  <c r="J121" i="21"/>
  <c r="S117" i="21" s="1"/>
  <c r="R121" i="21"/>
  <c r="Q124" i="21"/>
  <c r="J125" i="21"/>
  <c r="S121" i="21" s="1"/>
  <c r="R125" i="21"/>
  <c r="Q128" i="21"/>
  <c r="K129" i="21"/>
  <c r="T125" i="21" s="1"/>
  <c r="K39" i="21"/>
  <c r="T39" i="21" s="1"/>
  <c r="J129" i="21"/>
  <c r="S125" i="21" s="1"/>
  <c r="R26" i="21"/>
  <c r="K121" i="21"/>
  <c r="T117" i="21" s="1"/>
  <c r="K125" i="21"/>
  <c r="T121" i="21" s="1"/>
  <c r="L129" i="21"/>
  <c r="U125" i="21" s="1"/>
  <c r="J95" i="21"/>
  <c r="S95" i="21" s="1"/>
  <c r="AC173" i="1"/>
  <c r="AC246" i="1"/>
  <c r="AC462" i="1"/>
  <c r="AC157" i="1"/>
  <c r="AC86" i="1"/>
  <c r="AC391" i="1"/>
  <c r="AC392" i="1"/>
  <c r="AC123" i="1"/>
  <c r="AC87" i="1"/>
  <c r="AC85" i="1"/>
  <c r="AC473" i="1"/>
  <c r="AC518" i="1"/>
  <c r="L90" i="21"/>
  <c r="U90" i="21" s="1"/>
  <c r="R90" i="21"/>
  <c r="K82" i="21"/>
  <c r="T82" i="21" s="1"/>
  <c r="L82" i="21"/>
  <c r="U82" i="21" s="1"/>
  <c r="J82" i="21"/>
  <c r="S82" i="21" s="1"/>
  <c r="K78" i="21"/>
  <c r="T78" i="21" s="1"/>
  <c r="AC370" i="1"/>
  <c r="AC98" i="1"/>
  <c r="AC115" i="1"/>
  <c r="AC431" i="1"/>
  <c r="AC432" i="1"/>
  <c r="AC354" i="1"/>
  <c r="AC355" i="1"/>
  <c r="AC341" i="1"/>
  <c r="AC140" i="1"/>
  <c r="AC517" i="1"/>
  <c r="AB21" i="1"/>
  <c r="AC21" i="1" s="1"/>
  <c r="AC77" i="1"/>
  <c r="AC30" i="1"/>
  <c r="AC413" i="1"/>
  <c r="AC300" i="1"/>
  <c r="AC299" i="1"/>
  <c r="R58" i="21"/>
  <c r="M55" i="21"/>
  <c r="V55" i="21" s="1"/>
  <c r="AC147" i="1"/>
  <c r="AC200" i="1"/>
  <c r="AC222" i="1"/>
  <c r="AC223" i="1"/>
  <c r="AC338" i="1"/>
  <c r="AC511" i="1"/>
  <c r="AC339" i="1"/>
  <c r="AC441" i="1"/>
  <c r="L39" i="21"/>
  <c r="U39" i="21" s="1"/>
  <c r="J39" i="21"/>
  <c r="S39" i="21" s="1"/>
  <c r="K34" i="21"/>
  <c r="T34" i="21" s="1"/>
  <c r="R34" i="21"/>
  <c r="AC373" i="1"/>
  <c r="AC516" i="1"/>
  <c r="L25" i="21"/>
  <c r="U25" i="21" s="1"/>
  <c r="R25" i="21"/>
  <c r="AC64" i="1"/>
  <c r="AC201" i="1"/>
  <c r="AC238" i="1"/>
  <c r="AC239" i="1"/>
  <c r="AC491" i="1"/>
  <c r="AC439" i="1"/>
  <c r="AC444" i="1"/>
  <c r="AC438" i="1"/>
  <c r="AC182" i="1"/>
  <c r="AC486" i="1"/>
  <c r="AC487" i="1"/>
  <c r="AC442" i="1"/>
  <c r="AC181" i="1"/>
  <c r="AC443" i="1"/>
  <c r="R66" i="21"/>
  <c r="K18" i="21"/>
  <c r="T18" i="21" s="1"/>
  <c r="J29" i="21"/>
  <c r="S29" i="21" s="1"/>
  <c r="K30" i="21"/>
  <c r="T30" i="21" s="1"/>
  <c r="U12" i="21"/>
  <c r="L13" i="21"/>
  <c r="U10" i="21" s="1"/>
  <c r="K22" i="21"/>
  <c r="T22" i="21" s="1"/>
  <c r="L23" i="21"/>
  <c r="U23" i="21" s="1"/>
  <c r="L27" i="21"/>
  <c r="U27" i="21" s="1"/>
  <c r="L29" i="21"/>
  <c r="U29" i="21" s="1"/>
  <c r="R30" i="21"/>
  <c r="K38" i="21"/>
  <c r="T38" i="21" s="1"/>
  <c r="M41" i="21"/>
  <c r="V41" i="21" s="1"/>
  <c r="L46" i="21"/>
  <c r="U46" i="21" s="1"/>
  <c r="M48" i="21"/>
  <c r="V48" i="21" s="1"/>
  <c r="L50" i="21"/>
  <c r="U50" i="21" s="1"/>
  <c r="R51" i="21"/>
  <c r="J58" i="21"/>
  <c r="S58" i="21" s="1"/>
  <c r="K66" i="21"/>
  <c r="T66" i="21" s="1"/>
  <c r="L74" i="21"/>
  <c r="U74" i="21" s="1"/>
  <c r="K94" i="21"/>
  <c r="T94" i="21" s="1"/>
  <c r="L104" i="21"/>
  <c r="U104" i="21" s="1"/>
  <c r="L108" i="21"/>
  <c r="U108" i="21" s="1"/>
  <c r="J112" i="21"/>
  <c r="S112" i="21" s="1"/>
  <c r="R10" i="21"/>
  <c r="L22" i="21"/>
  <c r="U22" i="21" s="1"/>
  <c r="J25" i="21"/>
  <c r="S25" i="21" s="1"/>
  <c r="K26" i="21"/>
  <c r="T26" i="21" s="1"/>
  <c r="R29" i="21"/>
  <c r="R39" i="21"/>
  <c r="R46" i="21"/>
  <c r="R50" i="21"/>
  <c r="L58" i="21"/>
  <c r="U58" i="21" s="1"/>
  <c r="L66" i="21"/>
  <c r="U66" i="21" s="1"/>
  <c r="R74" i="21"/>
  <c r="R82" i="21"/>
  <c r="J90" i="21"/>
  <c r="S90" i="21" s="1"/>
  <c r="J99" i="21"/>
  <c r="S99" i="21" s="1"/>
  <c r="K100" i="21"/>
  <c r="T100" i="21" s="1"/>
  <c r="R104" i="21"/>
  <c r="Q107" i="21"/>
  <c r="R108" i="21"/>
  <c r="J111" i="21"/>
  <c r="S111" i="21" s="1"/>
  <c r="K112" i="21"/>
  <c r="T112" i="21" s="1"/>
  <c r="J46" i="21"/>
  <c r="S46" i="21" s="1"/>
  <c r="J50" i="21"/>
  <c r="S50" i="21" s="1"/>
  <c r="K51" i="21"/>
  <c r="T51" i="21" s="1"/>
  <c r="K62" i="21"/>
  <c r="T62" i="21" s="1"/>
  <c r="J66" i="21"/>
  <c r="S66" i="21" s="1"/>
  <c r="J74" i="21"/>
  <c r="S74" i="21" s="1"/>
  <c r="J104" i="21"/>
  <c r="S104" i="21" s="1"/>
  <c r="J108" i="21"/>
  <c r="S108" i="21" s="1"/>
  <c r="R112" i="21"/>
  <c r="R18" i="21"/>
  <c r="M11" i="21"/>
  <c r="V13" i="21" s="1"/>
  <c r="J11" i="21"/>
  <c r="L18" i="21"/>
  <c r="U18" i="21" s="1"/>
  <c r="J13" i="21"/>
  <c r="M12" i="21"/>
  <c r="V9" i="21" s="1"/>
  <c r="J12" i="21"/>
  <c r="J9" i="21"/>
  <c r="R11" i="21"/>
  <c r="L9" i="21"/>
  <c r="U11" i="21" s="1"/>
  <c r="M21" i="21"/>
  <c r="V21" i="21" s="1"/>
  <c r="R21" i="21"/>
  <c r="J21" i="21"/>
  <c r="S21" i="21" s="1"/>
  <c r="L21" i="21"/>
  <c r="U21" i="21" s="1"/>
  <c r="K42" i="21"/>
  <c r="T42" i="21" s="1"/>
  <c r="J20" i="21"/>
  <c r="S20" i="21" s="1"/>
  <c r="Q20" i="21"/>
  <c r="Q21" i="21"/>
  <c r="M33" i="21"/>
  <c r="V33" i="21" s="1"/>
  <c r="R33" i="21"/>
  <c r="J33" i="21"/>
  <c r="S33" i="21" s="1"/>
  <c r="L33" i="21"/>
  <c r="U33" i="21" s="1"/>
  <c r="J36" i="21"/>
  <c r="S36" i="21" s="1"/>
  <c r="Q36" i="21"/>
  <c r="M54" i="21"/>
  <c r="V54" i="21" s="1"/>
  <c r="R54" i="21"/>
  <c r="J54" i="21"/>
  <c r="S54" i="21" s="1"/>
  <c r="L54" i="21"/>
  <c r="U54" i="21" s="1"/>
  <c r="M37" i="21"/>
  <c r="V37" i="21" s="1"/>
  <c r="R37" i="21"/>
  <c r="J37" i="21"/>
  <c r="S37" i="21" s="1"/>
  <c r="L37" i="21"/>
  <c r="U37" i="21" s="1"/>
  <c r="M42" i="21"/>
  <c r="V42" i="21" s="1"/>
  <c r="L42" i="21"/>
  <c r="U42" i="21" s="1"/>
  <c r="R42" i="21"/>
  <c r="J42" i="21"/>
  <c r="S42" i="21" s="1"/>
  <c r="Q44" i="21"/>
  <c r="J44" i="21"/>
  <c r="S44" i="21" s="1"/>
  <c r="J53" i="21"/>
  <c r="S53" i="21" s="1"/>
  <c r="Q53" i="21"/>
  <c r="M17" i="21"/>
  <c r="V17" i="21" s="1"/>
  <c r="R17" i="21"/>
  <c r="J17" i="21"/>
  <c r="S17" i="21" s="1"/>
  <c r="L17" i="21"/>
  <c r="U17" i="21" s="1"/>
  <c r="K21" i="21"/>
  <c r="T21" i="21" s="1"/>
  <c r="K37" i="21"/>
  <c r="T37" i="21" s="1"/>
  <c r="M10" i="21"/>
  <c r="K10" i="21"/>
  <c r="Q17" i="21"/>
  <c r="M20" i="21"/>
  <c r="V20" i="21" s="1"/>
  <c r="Q24" i="21"/>
  <c r="J24" i="21"/>
  <c r="S24" i="21" s="1"/>
  <c r="K33" i="21"/>
  <c r="T33" i="21" s="1"/>
  <c r="M36" i="21"/>
  <c r="V36" i="21" s="1"/>
  <c r="R45" i="21"/>
  <c r="K54" i="21"/>
  <c r="T54" i="21" s="1"/>
  <c r="M70" i="21"/>
  <c r="V70" i="21" s="1"/>
  <c r="R70" i="21"/>
  <c r="J70" i="21"/>
  <c r="S70" i="21" s="1"/>
  <c r="L70" i="21"/>
  <c r="U70" i="21" s="1"/>
  <c r="K70" i="21"/>
  <c r="T70" i="21" s="1"/>
  <c r="Q62" i="21"/>
  <c r="Q78" i="21"/>
  <c r="K86" i="21"/>
  <c r="T86" i="21" s="1"/>
  <c r="Q94" i="21"/>
  <c r="K96" i="21"/>
  <c r="T96" i="21" s="1"/>
  <c r="L97" i="21"/>
  <c r="U97" i="21" s="1"/>
  <c r="Q100" i="21"/>
  <c r="L105" i="21"/>
  <c r="U105" i="21" s="1"/>
  <c r="L109" i="21"/>
  <c r="U109" i="21" s="1"/>
  <c r="Q11" i="21"/>
  <c r="R9" i="21"/>
  <c r="K13" i="21"/>
  <c r="K25" i="21"/>
  <c r="T25" i="21" s="1"/>
  <c r="L26" i="21"/>
  <c r="U26" i="21" s="1"/>
  <c r="K29" i="21"/>
  <c r="T29" i="21" s="1"/>
  <c r="L30" i="21"/>
  <c r="U30" i="21" s="1"/>
  <c r="Q39" i="21"/>
  <c r="K46" i="21"/>
  <c r="T46" i="21" s="1"/>
  <c r="K50" i="21"/>
  <c r="T50" i="21" s="1"/>
  <c r="K58" i="21"/>
  <c r="T58" i="21" s="1"/>
  <c r="J62" i="21"/>
  <c r="S62" i="21" s="1"/>
  <c r="R62" i="21"/>
  <c r="Q66" i="21"/>
  <c r="K74" i="21"/>
  <c r="T74" i="21" s="1"/>
  <c r="J78" i="21"/>
  <c r="S78" i="21" s="1"/>
  <c r="R78" i="21"/>
  <c r="Q82" i="21"/>
  <c r="L86" i="21"/>
  <c r="U86" i="21" s="1"/>
  <c r="K90" i="21"/>
  <c r="T90" i="21" s="1"/>
  <c r="J94" i="21"/>
  <c r="S94" i="21" s="1"/>
  <c r="R94" i="21"/>
  <c r="Q95" i="21"/>
  <c r="L96" i="21"/>
  <c r="U96" i="21" s="1"/>
  <c r="M97" i="21"/>
  <c r="V97" i="21" s="1"/>
  <c r="R99" i="21"/>
  <c r="J100" i="21"/>
  <c r="S100" i="21" s="1"/>
  <c r="R100" i="21"/>
  <c r="K104" i="21"/>
  <c r="T104" i="21" s="1"/>
  <c r="R105" i="21"/>
  <c r="K108" i="21"/>
  <c r="T108" i="21" s="1"/>
  <c r="R109" i="21"/>
  <c r="Q86" i="21"/>
  <c r="Q96" i="21"/>
  <c r="K9" i="21"/>
  <c r="K12" i="21"/>
  <c r="Q10" i="21"/>
  <c r="Q25" i="21"/>
  <c r="Q29" i="21"/>
  <c r="L34" i="21"/>
  <c r="U34" i="21" s="1"/>
  <c r="M38" i="21"/>
  <c r="V38" i="21" s="1"/>
  <c r="Q46" i="21"/>
  <c r="Q50" i="21"/>
  <c r="Q58" i="21"/>
  <c r="L62" i="21"/>
  <c r="U62" i="21" s="1"/>
  <c r="Q74" i="21"/>
  <c r="L78" i="21"/>
  <c r="U78" i="21" s="1"/>
  <c r="J86" i="21"/>
  <c r="S86" i="21" s="1"/>
  <c r="R86" i="21"/>
  <c r="Q90" i="21"/>
  <c r="L94" i="21"/>
  <c r="U94" i="21" s="1"/>
  <c r="J96" i="21"/>
  <c r="S96" i="21" s="1"/>
  <c r="R96" i="21"/>
  <c r="L100" i="21"/>
  <c r="U100" i="21" s="1"/>
  <c r="Q104" i="21"/>
  <c r="K105" i="21"/>
  <c r="T105" i="21" s="1"/>
  <c r="Q108" i="21"/>
  <c r="K109" i="21"/>
  <c r="T109" i="21" s="1"/>
  <c r="L8" i="21"/>
  <c r="U8" i="21" s="1"/>
  <c r="M8" i="21"/>
  <c r="V8" i="21" s="1"/>
  <c r="R8" i="21"/>
  <c r="J8" i="21"/>
  <c r="S8" i="21" s="1"/>
  <c r="K8" i="21"/>
  <c r="T8" i="21" s="1"/>
  <c r="R15" i="21"/>
  <c r="K15" i="21"/>
  <c r="T15" i="21" s="1"/>
  <c r="M15" i="21"/>
  <c r="V15" i="21" s="1"/>
  <c r="J15" i="21"/>
  <c r="S15" i="21" s="1"/>
  <c r="L15" i="21"/>
  <c r="U15" i="21" s="1"/>
  <c r="Q8" i="21"/>
  <c r="Q15" i="21"/>
  <c r="R7" i="21"/>
  <c r="K7" i="21"/>
  <c r="T7" i="21" s="1"/>
  <c r="M7" i="21"/>
  <c r="V7" i="21" s="1"/>
  <c r="J7" i="21"/>
  <c r="S7" i="21" s="1"/>
  <c r="L7" i="21"/>
  <c r="U7" i="21" s="1"/>
  <c r="Q14" i="21"/>
  <c r="J14" i="21"/>
  <c r="S14" i="21" s="1"/>
  <c r="M14" i="21"/>
  <c r="V14" i="21" s="1"/>
  <c r="K14" i="21"/>
  <c r="T14" i="21" s="1"/>
  <c r="L14" i="21"/>
  <c r="U14" i="21" s="1"/>
  <c r="L16" i="21"/>
  <c r="U16" i="21" s="1"/>
  <c r="R16" i="21"/>
  <c r="M16" i="21"/>
  <c r="V16" i="21" s="1"/>
  <c r="J16" i="21"/>
  <c r="S16" i="21" s="1"/>
  <c r="K16" i="21"/>
  <c r="T16" i="21" s="1"/>
  <c r="L28" i="21"/>
  <c r="U28" i="21" s="1"/>
  <c r="R28" i="21"/>
  <c r="K28" i="21"/>
  <c r="T28" i="21" s="1"/>
  <c r="L49" i="21"/>
  <c r="U49" i="21" s="1"/>
  <c r="R49" i="21"/>
  <c r="J49" i="21"/>
  <c r="S49" i="21" s="1"/>
  <c r="Q49" i="21"/>
  <c r="M49" i="21"/>
  <c r="V49" i="21" s="1"/>
  <c r="R52" i="21"/>
  <c r="K52" i="21"/>
  <c r="T52" i="21" s="1"/>
  <c r="M52" i="21"/>
  <c r="V52" i="21" s="1"/>
  <c r="L52" i="21"/>
  <c r="U52" i="21" s="1"/>
  <c r="J52" i="21"/>
  <c r="S52" i="21" s="1"/>
  <c r="R56" i="21"/>
  <c r="K56" i="21"/>
  <c r="T56" i="21" s="1"/>
  <c r="J56" i="21"/>
  <c r="S56" i="21" s="1"/>
  <c r="Q56" i="21"/>
  <c r="M56" i="21"/>
  <c r="V56" i="21" s="1"/>
  <c r="R19" i="21"/>
  <c r="K19" i="21"/>
  <c r="T19" i="21" s="1"/>
  <c r="J19" i="21"/>
  <c r="S19" i="21" s="1"/>
  <c r="Q19" i="21"/>
  <c r="L31" i="21"/>
  <c r="U31" i="21" s="1"/>
  <c r="L32" i="21"/>
  <c r="U32" i="21" s="1"/>
  <c r="R32" i="21"/>
  <c r="K32" i="21"/>
  <c r="T32" i="21" s="1"/>
  <c r="R35" i="21"/>
  <c r="K35" i="21"/>
  <c r="T35" i="21" s="1"/>
  <c r="Q35" i="21"/>
  <c r="J35" i="21"/>
  <c r="S35" i="21" s="1"/>
  <c r="Q52" i="21"/>
  <c r="K126" i="21"/>
  <c r="T122" i="21" s="1"/>
  <c r="R122" i="21"/>
  <c r="J126" i="21"/>
  <c r="S122" i="21" s="1"/>
  <c r="Q122" i="21"/>
  <c r="L126" i="21"/>
  <c r="U122" i="21" s="1"/>
  <c r="Q12" i="21"/>
  <c r="J10" i="21"/>
  <c r="R12" i="21"/>
  <c r="R13" i="21"/>
  <c r="K11" i="21"/>
  <c r="Q13" i="21"/>
  <c r="Q9" i="21"/>
  <c r="L19" i="21"/>
  <c r="U19" i="21" s="1"/>
  <c r="L20" i="21"/>
  <c r="U20" i="21" s="1"/>
  <c r="R20" i="21"/>
  <c r="K20" i="21"/>
  <c r="T20" i="21" s="1"/>
  <c r="R23" i="21"/>
  <c r="K23" i="21"/>
  <c r="T23" i="21" s="1"/>
  <c r="Q23" i="21"/>
  <c r="J23" i="21"/>
  <c r="S23" i="21" s="1"/>
  <c r="M28" i="21"/>
  <c r="V28" i="21" s="1"/>
  <c r="J32" i="21"/>
  <c r="S32" i="21" s="1"/>
  <c r="L35" i="21"/>
  <c r="U35" i="21" s="1"/>
  <c r="L36" i="21"/>
  <c r="U36" i="21" s="1"/>
  <c r="R36" i="21"/>
  <c r="K36" i="21"/>
  <c r="T36" i="21" s="1"/>
  <c r="R110" i="21"/>
  <c r="K110" i="21"/>
  <c r="T110" i="21" s="1"/>
  <c r="Q110" i="21"/>
  <c r="J110" i="21"/>
  <c r="S110" i="21" s="1"/>
  <c r="L110" i="21"/>
  <c r="U110" i="21" s="1"/>
  <c r="M110" i="21"/>
  <c r="V110" i="21" s="1"/>
  <c r="M126" i="21"/>
  <c r="V122" i="21" s="1"/>
  <c r="R31" i="21"/>
  <c r="K31" i="21"/>
  <c r="T31" i="21" s="1"/>
  <c r="Q31" i="21"/>
  <c r="J31" i="21"/>
  <c r="S31" i="21" s="1"/>
  <c r="R40" i="21"/>
  <c r="K40" i="21"/>
  <c r="T40" i="21" s="1"/>
  <c r="J40" i="21"/>
  <c r="S40" i="21" s="1"/>
  <c r="Q40" i="21"/>
  <c r="M40" i="21"/>
  <c r="V40" i="21" s="1"/>
  <c r="L103" i="21"/>
  <c r="U103" i="21" s="1"/>
  <c r="K103" i="21"/>
  <c r="T103" i="21" s="1"/>
  <c r="Q103" i="21"/>
  <c r="J103" i="21"/>
  <c r="S103" i="21" s="1"/>
  <c r="R103" i="21"/>
  <c r="M103" i="21"/>
  <c r="V103" i="21" s="1"/>
  <c r="J28" i="21"/>
  <c r="S28" i="21" s="1"/>
  <c r="Q47" i="21"/>
  <c r="J47" i="21"/>
  <c r="S47" i="21" s="1"/>
  <c r="K47" i="21"/>
  <c r="T47" i="21" s="1"/>
  <c r="R47" i="21"/>
  <c r="M47" i="21"/>
  <c r="V47" i="21" s="1"/>
  <c r="K49" i="21"/>
  <c r="T49" i="21" s="1"/>
  <c r="L56" i="21"/>
  <c r="U56" i="21" s="1"/>
  <c r="M19" i="21"/>
  <c r="V19" i="21" s="1"/>
  <c r="L24" i="21"/>
  <c r="U24" i="21" s="1"/>
  <c r="K24" i="21"/>
  <c r="T24" i="21" s="1"/>
  <c r="R24" i="21"/>
  <c r="R27" i="21"/>
  <c r="K27" i="21"/>
  <c r="T27" i="21" s="1"/>
  <c r="Q27" i="21"/>
  <c r="J27" i="21"/>
  <c r="S27" i="21" s="1"/>
  <c r="Q28" i="21"/>
  <c r="M32" i="21"/>
  <c r="V32" i="21" s="1"/>
  <c r="M35" i="21"/>
  <c r="V35" i="21" s="1"/>
  <c r="Q43" i="21"/>
  <c r="J43" i="21"/>
  <c r="S43" i="21" s="1"/>
  <c r="M43" i="21"/>
  <c r="V43" i="21" s="1"/>
  <c r="L43" i="21"/>
  <c r="U43" i="21" s="1"/>
  <c r="K43" i="21"/>
  <c r="T43" i="21" s="1"/>
  <c r="L45" i="21"/>
  <c r="U45" i="21" s="1"/>
  <c r="M45" i="21"/>
  <c r="V45" i="21" s="1"/>
  <c r="K45" i="21"/>
  <c r="T45" i="21" s="1"/>
  <c r="J45" i="21"/>
  <c r="S45" i="21" s="1"/>
  <c r="M22" i="21"/>
  <c r="V22" i="21" s="1"/>
  <c r="M26" i="21"/>
  <c r="V26" i="21" s="1"/>
  <c r="M30" i="21"/>
  <c r="V30" i="21" s="1"/>
  <c r="Q38" i="21"/>
  <c r="L57" i="21"/>
  <c r="U57" i="21" s="1"/>
  <c r="M57" i="21"/>
  <c r="V57" i="21" s="1"/>
  <c r="R57" i="21"/>
  <c r="J57" i="21"/>
  <c r="S57" i="21" s="1"/>
  <c r="R60" i="21"/>
  <c r="K60" i="21"/>
  <c r="T60" i="21" s="1"/>
  <c r="J60" i="21"/>
  <c r="S60" i="21" s="1"/>
  <c r="M60" i="21"/>
  <c r="V60" i="21" s="1"/>
  <c r="L61" i="21"/>
  <c r="U61" i="21" s="1"/>
  <c r="R61" i="21"/>
  <c r="J61" i="21"/>
  <c r="S61" i="21" s="1"/>
  <c r="M61" i="21"/>
  <c r="V61" i="21" s="1"/>
  <c r="Q63" i="21"/>
  <c r="J63" i="21"/>
  <c r="S63" i="21" s="1"/>
  <c r="M63" i="21"/>
  <c r="V63" i="21" s="1"/>
  <c r="K63" i="21"/>
  <c r="T63" i="21" s="1"/>
  <c r="R64" i="21"/>
  <c r="K64" i="21"/>
  <c r="T64" i="21" s="1"/>
  <c r="M64" i="21"/>
  <c r="V64" i="21" s="1"/>
  <c r="J64" i="21"/>
  <c r="S64" i="21" s="1"/>
  <c r="L65" i="21"/>
  <c r="U65" i="21" s="1"/>
  <c r="M65" i="21"/>
  <c r="V65" i="21" s="1"/>
  <c r="R65" i="21"/>
  <c r="J65" i="21"/>
  <c r="S65" i="21" s="1"/>
  <c r="Q67" i="21"/>
  <c r="J67" i="21"/>
  <c r="S67" i="21" s="1"/>
  <c r="K67" i="21"/>
  <c r="T67" i="21" s="1"/>
  <c r="M67" i="21"/>
  <c r="V67" i="21" s="1"/>
  <c r="R68" i="21"/>
  <c r="K68" i="21"/>
  <c r="T68" i="21" s="1"/>
  <c r="J68" i="21"/>
  <c r="S68" i="21" s="1"/>
  <c r="M68" i="21"/>
  <c r="V68" i="21" s="1"/>
  <c r="L69" i="21"/>
  <c r="U69" i="21" s="1"/>
  <c r="R69" i="21"/>
  <c r="J69" i="21"/>
  <c r="S69" i="21" s="1"/>
  <c r="M69" i="21"/>
  <c r="V69" i="21" s="1"/>
  <c r="Q71" i="21"/>
  <c r="J71" i="21"/>
  <c r="S71" i="21" s="1"/>
  <c r="M71" i="21"/>
  <c r="V71" i="21" s="1"/>
  <c r="K71" i="21"/>
  <c r="T71" i="21" s="1"/>
  <c r="R72" i="21"/>
  <c r="K72" i="21"/>
  <c r="T72" i="21" s="1"/>
  <c r="M72" i="21"/>
  <c r="V72" i="21" s="1"/>
  <c r="J72" i="21"/>
  <c r="S72" i="21" s="1"/>
  <c r="L73" i="21"/>
  <c r="U73" i="21" s="1"/>
  <c r="M73" i="21"/>
  <c r="V73" i="21" s="1"/>
  <c r="R73" i="21"/>
  <c r="J73" i="21"/>
  <c r="S73" i="21" s="1"/>
  <c r="Q75" i="21"/>
  <c r="J75" i="21"/>
  <c r="S75" i="21" s="1"/>
  <c r="K75" i="21"/>
  <c r="T75" i="21" s="1"/>
  <c r="M75" i="21"/>
  <c r="V75" i="21" s="1"/>
  <c r="R76" i="21"/>
  <c r="K76" i="21"/>
  <c r="T76" i="21" s="1"/>
  <c r="J76" i="21"/>
  <c r="S76" i="21" s="1"/>
  <c r="M76" i="21"/>
  <c r="V76" i="21" s="1"/>
  <c r="L77" i="21"/>
  <c r="U77" i="21" s="1"/>
  <c r="R77" i="21"/>
  <c r="J77" i="21"/>
  <c r="S77" i="21" s="1"/>
  <c r="M77" i="21"/>
  <c r="V77" i="21" s="1"/>
  <c r="Q79" i="21"/>
  <c r="J79" i="21"/>
  <c r="S79" i="21" s="1"/>
  <c r="M79" i="21"/>
  <c r="V79" i="21" s="1"/>
  <c r="K79" i="21"/>
  <c r="T79" i="21" s="1"/>
  <c r="R80" i="21"/>
  <c r="K80" i="21"/>
  <c r="T80" i="21" s="1"/>
  <c r="M80" i="21"/>
  <c r="V80" i="21" s="1"/>
  <c r="J80" i="21"/>
  <c r="S80" i="21" s="1"/>
  <c r="L81" i="21"/>
  <c r="U81" i="21" s="1"/>
  <c r="M81" i="21"/>
  <c r="V81" i="21" s="1"/>
  <c r="R81" i="21"/>
  <c r="J81" i="21"/>
  <c r="S81" i="21" s="1"/>
  <c r="Q83" i="21"/>
  <c r="J83" i="21"/>
  <c r="S83" i="21" s="1"/>
  <c r="K83" i="21"/>
  <c r="T83" i="21" s="1"/>
  <c r="M83" i="21"/>
  <c r="V83" i="21" s="1"/>
  <c r="R84" i="21"/>
  <c r="K84" i="21"/>
  <c r="T84" i="21" s="1"/>
  <c r="J84" i="21"/>
  <c r="S84" i="21" s="1"/>
  <c r="M84" i="21"/>
  <c r="V84" i="21" s="1"/>
  <c r="L85" i="21"/>
  <c r="U85" i="21" s="1"/>
  <c r="R85" i="21"/>
  <c r="J85" i="21"/>
  <c r="S85" i="21" s="1"/>
  <c r="M85" i="21"/>
  <c r="V85" i="21" s="1"/>
  <c r="Q87" i="21"/>
  <c r="J87" i="21"/>
  <c r="S87" i="21" s="1"/>
  <c r="M87" i="21"/>
  <c r="V87" i="21" s="1"/>
  <c r="K87" i="21"/>
  <c r="T87" i="21" s="1"/>
  <c r="R88" i="21"/>
  <c r="K88" i="21"/>
  <c r="T88" i="21" s="1"/>
  <c r="M88" i="21"/>
  <c r="V88" i="21" s="1"/>
  <c r="J88" i="21"/>
  <c r="S88" i="21" s="1"/>
  <c r="L89" i="21"/>
  <c r="U89" i="21" s="1"/>
  <c r="M89" i="21"/>
  <c r="V89" i="21" s="1"/>
  <c r="R89" i="21"/>
  <c r="J89" i="21"/>
  <c r="S89" i="21" s="1"/>
  <c r="Q91" i="21"/>
  <c r="J91" i="21"/>
  <c r="S91" i="21" s="1"/>
  <c r="K91" i="21"/>
  <c r="T91" i="21" s="1"/>
  <c r="M91" i="21"/>
  <c r="V91" i="21" s="1"/>
  <c r="R92" i="21"/>
  <c r="K92" i="21"/>
  <c r="T92" i="21" s="1"/>
  <c r="J92" i="21"/>
  <c r="S92" i="21" s="1"/>
  <c r="M92" i="21"/>
  <c r="V92" i="21" s="1"/>
  <c r="L93" i="21"/>
  <c r="U93" i="21" s="1"/>
  <c r="R93" i="21"/>
  <c r="J93" i="21"/>
  <c r="S93" i="21" s="1"/>
  <c r="M93" i="21"/>
  <c r="V93" i="21" s="1"/>
  <c r="R102" i="21"/>
  <c r="K102" i="21"/>
  <c r="T102" i="21" s="1"/>
  <c r="L102" i="21"/>
  <c r="U102" i="21" s="1"/>
  <c r="J102" i="21"/>
  <c r="S102" i="21" s="1"/>
  <c r="Q102" i="21"/>
  <c r="L127" i="21"/>
  <c r="U123" i="21" s="1"/>
  <c r="K127" i="21"/>
  <c r="T123" i="21" s="1"/>
  <c r="R123" i="21"/>
  <c r="M127" i="21"/>
  <c r="V123" i="21" s="1"/>
  <c r="J127" i="21"/>
  <c r="S123" i="21" s="1"/>
  <c r="K130" i="21"/>
  <c r="T126" i="21" s="1"/>
  <c r="R126" i="21"/>
  <c r="J130" i="21"/>
  <c r="S126" i="21" s="1"/>
  <c r="Q126" i="21"/>
  <c r="L130" i="21"/>
  <c r="U126" i="21" s="1"/>
  <c r="M130" i="21"/>
  <c r="V126" i="21" s="1"/>
  <c r="M18" i="21"/>
  <c r="V18" i="21" s="1"/>
  <c r="M34" i="21"/>
  <c r="V34" i="21" s="1"/>
  <c r="L41" i="21"/>
  <c r="U41" i="21" s="1"/>
  <c r="R41" i="21"/>
  <c r="J41" i="21"/>
  <c r="S41" i="21" s="1"/>
  <c r="R48" i="21"/>
  <c r="K48" i="21"/>
  <c r="T48" i="21" s="1"/>
  <c r="J48" i="21"/>
  <c r="S48" i="21" s="1"/>
  <c r="Q55" i="21"/>
  <c r="J55" i="21"/>
  <c r="S55" i="21" s="1"/>
  <c r="K55" i="21"/>
  <c r="T55" i="21" s="1"/>
  <c r="Q59" i="21"/>
  <c r="J59" i="21"/>
  <c r="S59" i="21" s="1"/>
  <c r="K59" i="21"/>
  <c r="T59" i="21" s="1"/>
  <c r="M59" i="21"/>
  <c r="V59" i="21" s="1"/>
  <c r="J18" i="21"/>
  <c r="S18" i="21" s="1"/>
  <c r="J22" i="21"/>
  <c r="S22" i="21" s="1"/>
  <c r="J26" i="21"/>
  <c r="S26" i="21" s="1"/>
  <c r="J30" i="21"/>
  <c r="S30" i="21" s="1"/>
  <c r="J34" i="21"/>
  <c r="S34" i="21" s="1"/>
  <c r="J38" i="21"/>
  <c r="S38" i="21" s="1"/>
  <c r="R38" i="21"/>
  <c r="K41" i="21"/>
  <c r="T41" i="21" s="1"/>
  <c r="R44" i="21"/>
  <c r="K44" i="21"/>
  <c r="T44" i="21" s="1"/>
  <c r="M44" i="21"/>
  <c r="V44" i="21" s="1"/>
  <c r="L48" i="21"/>
  <c r="U48" i="21" s="1"/>
  <c r="Q51" i="21"/>
  <c r="J51" i="21"/>
  <c r="S51" i="21" s="1"/>
  <c r="M51" i="21"/>
  <c r="V51" i="21" s="1"/>
  <c r="L53" i="21"/>
  <c r="U53" i="21" s="1"/>
  <c r="M53" i="21"/>
  <c r="V53" i="21" s="1"/>
  <c r="R53" i="21"/>
  <c r="L55" i="21"/>
  <c r="U55" i="21" s="1"/>
  <c r="K57" i="21"/>
  <c r="T57" i="21" s="1"/>
  <c r="L59" i="21"/>
  <c r="U59" i="21" s="1"/>
  <c r="L60" i="21"/>
  <c r="U60" i="21" s="1"/>
  <c r="K61" i="21"/>
  <c r="T61" i="21" s="1"/>
  <c r="L63" i="21"/>
  <c r="U63" i="21" s="1"/>
  <c r="L64" i="21"/>
  <c r="U64" i="21" s="1"/>
  <c r="K65" i="21"/>
  <c r="T65" i="21" s="1"/>
  <c r="L67" i="21"/>
  <c r="U67" i="21" s="1"/>
  <c r="L68" i="21"/>
  <c r="U68" i="21" s="1"/>
  <c r="K69" i="21"/>
  <c r="T69" i="21" s="1"/>
  <c r="L71" i="21"/>
  <c r="U71" i="21" s="1"/>
  <c r="L72" i="21"/>
  <c r="U72" i="21" s="1"/>
  <c r="K73" i="21"/>
  <c r="T73" i="21" s="1"/>
  <c r="L75" i="21"/>
  <c r="U75" i="21" s="1"/>
  <c r="L76" i="21"/>
  <c r="U76" i="21" s="1"/>
  <c r="K77" i="21"/>
  <c r="T77" i="21" s="1"/>
  <c r="L79" i="21"/>
  <c r="U79" i="21" s="1"/>
  <c r="L80" i="21"/>
  <c r="U80" i="21" s="1"/>
  <c r="K81" i="21"/>
  <c r="T81" i="21" s="1"/>
  <c r="L83" i="21"/>
  <c r="U83" i="21" s="1"/>
  <c r="L84" i="21"/>
  <c r="U84" i="21" s="1"/>
  <c r="K85" i="21"/>
  <c r="T85" i="21" s="1"/>
  <c r="L87" i="21"/>
  <c r="U87" i="21" s="1"/>
  <c r="L88" i="21"/>
  <c r="U88" i="21" s="1"/>
  <c r="K89" i="21"/>
  <c r="T89" i="21" s="1"/>
  <c r="L91" i="21"/>
  <c r="U91" i="21" s="1"/>
  <c r="L92" i="21"/>
  <c r="U92" i="21" s="1"/>
  <c r="K93" i="21"/>
  <c r="T93" i="21" s="1"/>
  <c r="Q101" i="21"/>
  <c r="J101" i="21"/>
  <c r="S101" i="21" s="1"/>
  <c r="L101" i="21"/>
  <c r="U101" i="21" s="1"/>
  <c r="R101" i="21"/>
  <c r="K101" i="21"/>
  <c r="T101" i="21" s="1"/>
  <c r="M102" i="21"/>
  <c r="V102" i="21" s="1"/>
  <c r="R106" i="21"/>
  <c r="K106" i="21"/>
  <c r="T106" i="21" s="1"/>
  <c r="Q106" i="21"/>
  <c r="J106" i="21"/>
  <c r="S106" i="21" s="1"/>
  <c r="M106" i="21"/>
  <c r="V106" i="21" s="1"/>
  <c r="L107" i="21"/>
  <c r="U107" i="21" s="1"/>
  <c r="R107" i="21"/>
  <c r="K107" i="21"/>
  <c r="T107" i="21" s="1"/>
  <c r="J107" i="21"/>
  <c r="S107" i="21" s="1"/>
  <c r="K122" i="21"/>
  <c r="T118" i="21" s="1"/>
  <c r="J122" i="21"/>
  <c r="S118" i="21" s="1"/>
  <c r="L122" i="21"/>
  <c r="U118" i="21" s="1"/>
  <c r="L95" i="21"/>
  <c r="U95" i="21" s="1"/>
  <c r="K95" i="21"/>
  <c r="T95" i="21" s="1"/>
  <c r="R95" i="21"/>
  <c r="L131" i="21"/>
  <c r="U127" i="21" s="1"/>
  <c r="K131" i="21"/>
  <c r="T127" i="21" s="1"/>
  <c r="R127" i="21"/>
  <c r="J131" i="21"/>
  <c r="S127" i="21" s="1"/>
  <c r="Q97" i="21"/>
  <c r="J97" i="21"/>
  <c r="S97" i="21" s="1"/>
  <c r="R97" i="21"/>
  <c r="R98" i="21"/>
  <c r="K98" i="21"/>
  <c r="T98" i="21" s="1"/>
  <c r="Q98" i="21"/>
  <c r="Q99" i="21"/>
  <c r="L111" i="21"/>
  <c r="U111" i="21" s="1"/>
  <c r="R111" i="21"/>
  <c r="K111" i="21"/>
  <c r="T111" i="21" s="1"/>
  <c r="L123" i="21"/>
  <c r="U119" i="21" s="1"/>
  <c r="R119" i="21"/>
  <c r="K123" i="21"/>
  <c r="T119" i="21" s="1"/>
  <c r="Q119" i="21"/>
  <c r="M105" i="21"/>
  <c r="V105" i="21" s="1"/>
  <c r="M109" i="21"/>
  <c r="V109" i="21" s="1"/>
  <c r="L112" i="21"/>
  <c r="U112" i="21" s="1"/>
  <c r="L124" i="21"/>
  <c r="U120" i="21" s="1"/>
  <c r="L128" i="21"/>
  <c r="U124" i="21" s="1"/>
  <c r="L132" i="21"/>
  <c r="U128" i="21" s="1"/>
  <c r="L133" i="21"/>
  <c r="U129" i="21" s="1"/>
  <c r="J105" i="21"/>
  <c r="S105" i="21" s="1"/>
  <c r="J109" i="21"/>
  <c r="S109" i="21" s="1"/>
  <c r="AC510" i="1"/>
  <c r="AC475" i="1"/>
  <c r="AC172" i="1"/>
  <c r="AC476" i="1"/>
  <c r="AC252" i="1"/>
  <c r="AC313" i="1"/>
  <c r="AC304" i="1"/>
  <c r="AC121" i="1"/>
  <c r="AC461" i="1"/>
  <c r="AC119" i="1"/>
  <c r="AC385" i="1"/>
  <c r="AC358" i="1"/>
  <c r="AC484" i="1"/>
  <c r="AC192" i="1"/>
  <c r="AC297" i="1"/>
  <c r="AC166" i="1"/>
  <c r="AC41" i="1"/>
  <c r="AC430" i="1"/>
  <c r="P3" i="19"/>
  <c r="Q3" i="19" s="1"/>
  <c r="Q2" i="19"/>
  <c r="Q1" i="19"/>
  <c r="C343" i="1"/>
  <c r="Z343" i="1"/>
  <c r="AA343" i="1" s="1"/>
  <c r="AB343" i="1" s="1"/>
  <c r="C342" i="1"/>
  <c r="Z342" i="1"/>
  <c r="AA342" i="1" s="1"/>
  <c r="AB342" i="1" s="1"/>
  <c r="C332" i="1"/>
  <c r="Z332" i="1"/>
  <c r="AA332" i="1" s="1"/>
  <c r="AB332" i="1" s="1"/>
  <c r="C331" i="1"/>
  <c r="Z331" i="1"/>
  <c r="AA331" i="1" s="1"/>
  <c r="AB331" i="1" s="1"/>
  <c r="AC331" i="1" s="1"/>
  <c r="C330" i="1"/>
  <c r="Z330" i="1"/>
  <c r="AA330" i="1" s="1"/>
  <c r="AB330" i="1" s="1"/>
  <c r="C287" i="1"/>
  <c r="Z287" i="1"/>
  <c r="AA287" i="1" s="1"/>
  <c r="AB287" i="1" s="1"/>
  <c r="C286" i="1"/>
  <c r="Z286" i="1"/>
  <c r="AA286" i="1" s="1"/>
  <c r="AB286" i="1" s="1"/>
  <c r="AC286" i="1" s="1"/>
  <c r="C333" i="1"/>
  <c r="Z333" i="1"/>
  <c r="AA333" i="1" s="1"/>
  <c r="AB333" i="1" s="1"/>
  <c r="C214" i="1"/>
  <c r="Z214" i="1"/>
  <c r="AA214" i="1" s="1"/>
  <c r="AB214" i="1" s="1"/>
  <c r="S9" i="21" l="1"/>
  <c r="T9" i="21"/>
  <c r="T13" i="21"/>
  <c r="V12" i="21"/>
  <c r="S13" i="21"/>
  <c r="V10" i="21"/>
  <c r="U13" i="21"/>
  <c r="V11" i="21"/>
  <c r="S12" i="21"/>
  <c r="T11" i="21"/>
  <c r="T10" i="21"/>
  <c r="S10" i="21"/>
  <c r="T12" i="21"/>
  <c r="S11" i="21"/>
  <c r="U9" i="21"/>
  <c r="Q4" i="19"/>
  <c r="R4" i="19" s="1"/>
  <c r="AC343" i="1"/>
  <c r="AC342" i="1"/>
  <c r="AC332" i="1"/>
  <c r="AC330" i="1"/>
  <c r="AC287" i="1"/>
  <c r="AC333" i="1"/>
  <c r="AC214" i="1"/>
  <c r="BB371" i="1" l="1"/>
  <c r="BB88" i="1"/>
  <c r="BB465" i="1"/>
  <c r="BB157" i="1"/>
  <c r="BB173" i="1"/>
  <c r="BB464" i="1"/>
  <c r="BB472" i="1"/>
  <c r="BB391" i="1"/>
  <c r="BB246" i="1"/>
  <c r="BB473" i="1"/>
  <c r="BB518" i="1"/>
  <c r="BB165" i="1"/>
  <c r="BB462" i="1"/>
  <c r="BB85" i="1"/>
  <c r="BB519" i="1"/>
  <c r="BB123" i="1"/>
  <c r="BB86" i="1"/>
  <c r="BB87" i="1"/>
  <c r="BB392" i="1"/>
  <c r="BB140" i="1"/>
  <c r="BB517" i="1"/>
  <c r="BB309" i="1"/>
  <c r="BB370" i="1"/>
  <c r="BB373" i="1"/>
  <c r="BB341" i="1"/>
  <c r="BB354" i="1"/>
  <c r="BB98" i="1"/>
  <c r="BB116" i="1"/>
  <c r="BB431" i="1"/>
  <c r="BB432" i="1"/>
  <c r="BB355" i="1"/>
  <c r="BB115" i="1"/>
  <c r="BB178" i="1"/>
  <c r="BB130" i="1"/>
  <c r="BB21" i="1"/>
  <c r="BB516" i="1"/>
  <c r="BB372" i="1"/>
  <c r="BB30" i="1"/>
  <c r="BB414" i="1"/>
  <c r="BB177" i="1"/>
  <c r="BB77" i="1"/>
  <c r="BB81" i="1"/>
  <c r="BB131" i="1"/>
  <c r="BB299" i="1"/>
  <c r="BB412" i="1"/>
  <c r="BB413" i="1"/>
  <c r="BB200" i="1"/>
  <c r="BB300" i="1"/>
  <c r="BB339" i="1"/>
  <c r="BB222" i="1"/>
  <c r="BB147" i="1"/>
  <c r="BB338" i="1"/>
  <c r="BB223" i="1"/>
  <c r="BB512" i="1"/>
  <c r="BB92" i="1"/>
  <c r="BB202" i="1"/>
  <c r="BB511" i="1"/>
  <c r="BB416" i="1"/>
  <c r="BB417" i="1"/>
  <c r="BB114" i="1"/>
  <c r="BB42" i="1"/>
  <c r="BB20" i="1"/>
  <c r="BB369" i="1"/>
  <c r="BB428" i="1"/>
  <c r="BB349" i="1"/>
  <c r="BB485" i="1"/>
  <c r="BB429" i="1"/>
  <c r="BB44" i="1"/>
  <c r="BB45" i="1"/>
  <c r="BB441" i="1"/>
  <c r="BB395" i="1"/>
  <c r="BB386" i="1"/>
  <c r="BB110" i="1"/>
  <c r="BB396" i="1"/>
  <c r="BB203" i="1"/>
  <c r="BB64" i="1"/>
  <c r="BB239" i="1"/>
  <c r="BB201" i="1"/>
  <c r="BB237" i="1"/>
  <c r="BB238" i="1"/>
  <c r="BB304" i="1"/>
  <c r="BB492" i="1"/>
  <c r="BB198" i="1"/>
  <c r="BB491" i="1"/>
  <c r="BB104" i="1"/>
  <c r="BB362" i="1"/>
  <c r="BB232" i="1"/>
  <c r="BB57" i="1"/>
  <c r="BB387" i="1"/>
  <c r="BB142" i="1"/>
  <c r="BB515" i="1"/>
  <c r="BB435" i="1"/>
  <c r="BB457" i="1"/>
  <c r="BB199" i="1"/>
  <c r="BB343" i="1"/>
  <c r="BB356" i="1"/>
  <c r="BB265" i="1"/>
  <c r="BB293" i="1"/>
  <c r="BB383" i="1"/>
  <c r="BB269" i="1"/>
  <c r="BB74" i="1"/>
  <c r="BB209" i="1"/>
  <c r="BB345" i="1"/>
  <c r="BB213" i="1"/>
  <c r="BB424" i="1"/>
  <c r="BB446" i="1"/>
  <c r="BB247" i="1"/>
  <c r="BB256" i="1"/>
  <c r="BB352" i="1"/>
  <c r="BB117" i="1"/>
  <c r="BB366" i="1"/>
  <c r="BB196" i="1"/>
  <c r="BB48" i="1"/>
  <c r="BB402" i="1"/>
  <c r="BB8" i="1"/>
  <c r="BB141" i="1"/>
  <c r="BB513" i="1"/>
  <c r="BB249" i="1"/>
  <c r="BB289" i="1"/>
  <c r="BB12" i="1"/>
  <c r="BB320" i="1"/>
  <c r="BB158" i="1"/>
  <c r="BB252" i="1"/>
  <c r="BB230" i="1"/>
  <c r="BB160" i="1"/>
  <c r="BB283" i="1"/>
  <c r="BB438" i="1"/>
  <c r="BB480" i="1"/>
  <c r="BB360" i="1"/>
  <c r="BB353" i="1"/>
  <c r="BB161" i="1"/>
  <c r="BB288" i="1"/>
  <c r="BB188" i="1"/>
  <c r="BB19" i="1"/>
  <c r="BB325" i="1"/>
  <c r="BB278" i="1"/>
  <c r="BB308" i="1"/>
  <c r="BB316" i="1"/>
  <c r="BB282" i="1"/>
  <c r="BB219" i="1"/>
  <c r="BB333" i="1"/>
  <c r="BB73" i="1"/>
  <c r="BB10" i="1"/>
  <c r="BB317" i="1"/>
  <c r="BB403" i="1"/>
  <c r="BB475" i="1"/>
  <c r="BB255" i="1"/>
  <c r="BB443" i="1"/>
  <c r="BB415" i="1"/>
  <c r="BB9" i="1"/>
  <c r="BB70" i="1"/>
  <c r="BB400" i="1"/>
  <c r="BB3" i="1"/>
  <c r="BB459" i="1"/>
  <c r="BB197" i="1"/>
  <c r="BB181" i="1"/>
  <c r="BB180" i="1"/>
  <c r="BB454" i="1"/>
  <c r="BB120" i="1"/>
  <c r="BB350" i="1"/>
  <c r="BB286" i="1"/>
  <c r="BB389" i="1"/>
  <c r="BB174" i="1"/>
  <c r="BB137" i="1"/>
  <c r="BB340" i="1"/>
  <c r="BB510" i="1"/>
  <c r="BB179" i="1"/>
  <c r="BB227" i="1"/>
  <c r="BB49" i="1"/>
  <c r="BB91" i="1"/>
  <c r="BB445" i="1"/>
  <c r="BB154" i="1"/>
  <c r="BB483" i="1"/>
  <c r="BB146" i="1"/>
  <c r="BB194" i="1"/>
  <c r="BB336" i="1"/>
  <c r="BB23" i="1"/>
  <c r="BB322" i="1"/>
  <c r="BB367" i="1"/>
  <c r="BB119" i="1"/>
  <c r="BB63" i="1"/>
  <c r="BB235" i="1"/>
  <c r="BB312" i="1"/>
  <c r="BB493" i="1"/>
  <c r="BB241" i="1"/>
  <c r="BB108" i="1"/>
  <c r="BB478" i="1"/>
  <c r="BB226" i="1"/>
  <c r="BB273" i="1"/>
  <c r="BB15" i="1"/>
  <c r="BB167" i="1"/>
  <c r="BB280" i="1"/>
  <c r="BB484" i="1"/>
  <c r="BB32" i="1"/>
  <c r="BB279" i="1"/>
  <c r="BB35" i="1"/>
  <c r="BB162" i="1"/>
  <c r="BB212" i="1"/>
  <c r="BB18" i="1"/>
  <c r="BB440" i="1"/>
  <c r="BB53" i="1"/>
  <c r="BB54" i="1"/>
  <c r="BB368" i="1"/>
  <c r="BB502" i="1"/>
  <c r="BB127" i="1"/>
  <c r="BB118" i="1"/>
  <c r="BB166" i="1"/>
  <c r="BB327" i="1"/>
  <c r="BB14" i="1"/>
  <c r="BB93" i="1"/>
  <c r="BB191" i="1"/>
  <c r="BB33" i="1"/>
  <c r="BB335" i="1"/>
  <c r="BB128" i="1"/>
  <c r="BB407" i="1"/>
  <c r="BB193" i="1"/>
  <c r="BB99" i="1"/>
  <c r="BB358" i="1"/>
  <c r="BB34" i="1"/>
  <c r="BB456" i="1"/>
  <c r="BB65" i="1"/>
  <c r="BB281" i="1"/>
  <c r="BB509" i="1"/>
  <c r="BB498" i="1"/>
  <c r="BB254" i="1"/>
  <c r="BB129" i="1"/>
  <c r="BB190" i="1"/>
  <c r="BB444" i="1"/>
  <c r="BB514" i="1"/>
  <c r="BB233" i="1"/>
  <c r="BB423" i="1"/>
  <c r="BB43" i="1"/>
  <c r="BB297" i="1"/>
  <c r="BB225" i="1"/>
  <c r="BB90" i="1"/>
  <c r="BB508" i="1"/>
  <c r="BB495" i="1"/>
  <c r="BB466" i="1"/>
  <c r="BB437" i="1"/>
  <c r="BB145" i="1"/>
  <c r="BB56" i="1"/>
  <c r="BB121" i="1"/>
  <c r="BB185" i="1"/>
  <c r="BB159" i="1"/>
  <c r="BB411" i="1"/>
  <c r="BB37" i="1"/>
  <c r="BB321" i="1"/>
  <c r="BB295" i="1"/>
  <c r="BB2" i="1"/>
  <c r="BB506" i="1"/>
  <c r="BB489" i="1"/>
  <c r="BB111" i="1"/>
  <c r="BB426" i="1"/>
  <c r="BB285" i="1"/>
  <c r="BB376" i="1"/>
  <c r="BB318" i="1"/>
  <c r="BB62" i="1"/>
  <c r="BB184" i="1"/>
  <c r="BB106" i="1"/>
  <c r="BB187" i="1"/>
  <c r="BB311" i="1"/>
  <c r="BB257" i="1"/>
  <c r="BB156" i="1"/>
  <c r="BB183" i="1"/>
  <c r="BB452" i="1"/>
  <c r="BB105" i="1"/>
  <c r="BB149" i="1"/>
  <c r="BB72" i="1"/>
  <c r="BB344" i="1"/>
  <c r="BB310" i="1"/>
  <c r="BB80" i="1"/>
  <c r="BB307" i="1"/>
  <c r="BB83" i="1"/>
  <c r="BB334" i="1"/>
  <c r="BB136" i="1"/>
  <c r="BB95" i="1"/>
  <c r="BB301" i="1"/>
  <c r="BB406" i="1"/>
  <c r="BB394" i="1"/>
  <c r="BB152" i="1"/>
  <c r="BB276" i="1"/>
  <c r="BB264" i="1"/>
  <c r="BB331" i="1"/>
  <c r="BB176" i="1"/>
  <c r="BB319" i="1"/>
  <c r="BB364" i="1"/>
  <c r="BB218" i="1"/>
  <c r="BB268" i="1"/>
  <c r="BB25" i="1"/>
  <c r="BB381" i="1"/>
  <c r="BB242" i="1"/>
  <c r="BB125" i="1"/>
  <c r="BB397" i="1"/>
  <c r="BB404" i="1"/>
  <c r="BB259" i="1"/>
  <c r="BB66" i="1"/>
  <c r="BB427" i="1"/>
  <c r="BB40" i="1"/>
  <c r="BB449" i="1"/>
  <c r="BB458" i="1"/>
  <c r="BB112" i="1"/>
  <c r="BB244" i="1"/>
  <c r="BB302" i="1"/>
  <c r="BB100" i="1"/>
  <c r="BB305" i="1"/>
  <c r="BB50" i="1"/>
  <c r="BB270" i="1"/>
  <c r="BB75" i="1"/>
  <c r="BB5" i="1"/>
  <c r="BB210" i="1"/>
  <c r="BB388" i="1"/>
  <c r="BB346" i="1"/>
  <c r="BB277" i="1"/>
  <c r="BB408" i="1"/>
  <c r="BB418" i="1"/>
  <c r="BB234" i="1"/>
  <c r="BB240" i="1"/>
  <c r="BB124" i="1"/>
  <c r="BB6" i="1"/>
  <c r="BB248" i="1"/>
  <c r="BB206" i="1"/>
  <c r="BB470" i="1"/>
  <c r="BB250" i="1"/>
  <c r="BB59" i="1"/>
  <c r="BB262" i="1"/>
  <c r="BB274" i="1"/>
  <c r="BB150" i="1"/>
  <c r="BB208" i="1"/>
  <c r="BB135" i="1"/>
  <c r="BB421" i="1"/>
  <c r="BB292" i="1"/>
  <c r="BB61" i="1"/>
  <c r="BB143" i="1"/>
  <c r="BB215" i="1"/>
  <c r="BB496" i="1"/>
  <c r="BB175" i="1"/>
  <c r="BB363" i="1"/>
  <c r="BB267" i="1"/>
  <c r="BB97" i="1"/>
  <c r="BB390" i="1"/>
  <c r="BB204" i="1"/>
  <c r="BB419" i="1"/>
  <c r="BB39" i="1"/>
  <c r="BB287" i="1"/>
  <c r="BB298" i="1"/>
  <c r="BB479" i="1"/>
  <c r="BB494" i="1"/>
  <c r="BB504" i="1"/>
  <c r="BB231" i="1"/>
  <c r="BB296" i="1"/>
  <c r="BB58" i="1"/>
  <c r="BB442" i="1"/>
  <c r="BB11" i="1"/>
  <c r="BB171" i="1"/>
  <c r="BB315" i="1"/>
  <c r="BB189" i="1"/>
  <c r="BB78" i="1"/>
  <c r="BB399" i="1"/>
  <c r="BB434" i="1"/>
  <c r="BB69" i="1"/>
  <c r="BB490" i="1"/>
  <c r="BB221" i="1"/>
  <c r="BB41" i="1"/>
  <c r="BB36" i="1"/>
  <c r="BB486" i="1"/>
  <c r="BB82" i="1"/>
  <c r="BB132" i="1"/>
  <c r="BB306" i="1"/>
  <c r="BB260" i="1"/>
  <c r="BB79" i="1"/>
  <c r="BB46" i="1"/>
  <c r="BB380" i="1"/>
  <c r="BB29" i="1"/>
  <c r="BB337" i="1"/>
  <c r="BB291" i="1"/>
  <c r="BB71" i="1"/>
  <c r="BB133" i="1"/>
  <c r="BB148" i="1"/>
  <c r="BB324" i="1"/>
  <c r="BB55" i="1"/>
  <c r="BB101" i="1"/>
  <c r="BB451" i="1"/>
  <c r="BB96" i="1"/>
  <c r="BB463" i="1"/>
  <c r="BB467" i="1"/>
  <c r="BB138" i="1"/>
  <c r="BB332" i="1"/>
  <c r="BB228" i="1"/>
  <c r="BB357" i="1"/>
  <c r="BB170" i="1"/>
  <c r="BB271" i="1"/>
  <c r="BB314" i="1"/>
  <c r="BB377" i="1"/>
  <c r="BB382" i="1"/>
  <c r="BB243" i="1"/>
  <c r="BB126" i="1"/>
  <c r="BB398" i="1"/>
  <c r="BB405" i="1"/>
  <c r="BB410" i="1"/>
  <c r="BB67" i="1"/>
  <c r="BB433" i="1"/>
  <c r="BB205" i="1"/>
  <c r="BB214" i="1"/>
  <c r="BB38" i="1"/>
  <c r="BB329" i="1"/>
  <c r="BB245" i="1"/>
  <c r="BB303" i="1"/>
  <c r="BB113" i="1"/>
  <c r="BB51" i="1"/>
  <c r="BB216" i="1"/>
  <c r="BB375" i="1"/>
  <c r="BB211" i="1"/>
  <c r="BB284" i="1"/>
  <c r="BB409" i="1"/>
  <c r="BB425" i="1"/>
  <c r="BB447" i="1"/>
  <c r="BB253" i="1"/>
  <c r="BB471" i="1"/>
  <c r="BB488" i="1"/>
  <c r="BB499" i="1"/>
  <c r="BB60" i="1"/>
  <c r="BB263" i="1"/>
  <c r="BB275" i="1"/>
  <c r="BB151" i="1"/>
  <c r="BB393" i="1"/>
  <c r="BB251" i="1"/>
  <c r="BB26" i="1"/>
  <c r="BB328" i="1"/>
  <c r="BB52" i="1"/>
  <c r="BB469" i="1"/>
  <c r="BB163" i="1"/>
  <c r="BB497" i="1"/>
  <c r="BB102" i="1"/>
  <c r="BB24" i="1"/>
  <c r="BB482" i="1"/>
  <c r="BB461" i="1"/>
  <c r="BB487" i="1"/>
  <c r="BB168" i="1"/>
  <c r="BB266" i="1"/>
  <c r="BB294" i="1"/>
  <c r="BB384" i="1"/>
  <c r="BB379" i="1"/>
  <c r="BB144" i="1"/>
  <c r="BB436" i="1"/>
  <c r="BB109" i="1"/>
  <c r="BB224" i="1"/>
  <c r="BB507" i="1"/>
  <c r="BB89" i="1"/>
  <c r="BB172" i="1"/>
  <c r="BB103" i="1"/>
  <c r="BB182" i="1"/>
  <c r="BB22" i="1"/>
  <c r="BB342" i="1"/>
  <c r="BB290" i="1"/>
  <c r="BB169" i="1"/>
  <c r="BB68" i="1"/>
  <c r="BB505" i="1"/>
  <c r="BB164" i="1"/>
  <c r="BB347" i="1"/>
  <c r="BB422" i="1"/>
  <c r="BB220" i="1"/>
  <c r="BB229" i="1"/>
  <c r="BB153" i="1"/>
  <c r="BB4" i="1"/>
  <c r="BB348" i="1"/>
  <c r="BB122" i="1"/>
  <c r="BB313" i="1"/>
  <c r="BB439" i="1"/>
  <c r="BB385" i="1"/>
  <c r="BB17" i="1"/>
  <c r="BB503" i="1"/>
  <c r="BB481" i="1"/>
  <c r="BB107" i="1"/>
  <c r="BB323" i="1"/>
  <c r="BB16" i="1"/>
  <c r="BB361" i="1"/>
  <c r="BB192" i="1"/>
  <c r="BB501" i="1"/>
  <c r="BB450" i="1"/>
  <c r="BB7" i="1"/>
  <c r="BB378" i="1"/>
  <c r="BB359" i="1"/>
  <c r="BB476" i="1"/>
  <c r="BB430" i="1"/>
  <c r="BB500" i="1"/>
  <c r="BB474" i="1"/>
  <c r="BB448" i="1"/>
  <c r="BB258" i="1"/>
  <c r="BB155" i="1"/>
  <c r="BB217" i="1"/>
  <c r="BB330" i="1"/>
  <c r="BB326" i="1"/>
  <c r="BB453" i="1"/>
  <c r="BB13" i="1"/>
  <c r="BB186" i="1"/>
  <c r="BB365" i="1"/>
  <c r="BB84" i="1"/>
  <c r="BB468" i="1"/>
  <c r="BB460" i="1"/>
  <c r="BB139" i="1"/>
  <c r="BB420" i="1"/>
  <c r="BB134" i="1"/>
  <c r="BB207" i="1"/>
  <c r="BB28" i="1"/>
  <c r="BB374" i="1"/>
  <c r="BB261" i="1"/>
  <c r="BB76" i="1"/>
  <c r="BB477" i="1"/>
  <c r="BB27" i="1"/>
  <c r="BB455" i="1"/>
  <c r="BB236" i="1"/>
  <c r="BB272" i="1"/>
  <c r="BB401" i="1"/>
  <c r="BB47" i="1"/>
  <c r="BB195" i="1"/>
  <c r="BB94" i="1"/>
  <c r="BB31" i="1"/>
  <c r="BB351" i="1"/>
  <c r="C513" i="1"/>
  <c r="Z513" i="1"/>
  <c r="AA513" i="1" s="1"/>
  <c r="AB513" i="1"/>
  <c r="AC513" i="1" s="1"/>
  <c r="C33" i="1"/>
  <c r="Z33" i="1"/>
  <c r="AA33" i="1" s="1"/>
  <c r="AB33" i="1" s="1"/>
  <c r="C268" i="1"/>
  <c r="Z268" i="1"/>
  <c r="AA268" i="1" s="1"/>
  <c r="AB268" i="1" s="1"/>
  <c r="AC268" i="1" s="1"/>
  <c r="C267" i="1"/>
  <c r="Z267" i="1"/>
  <c r="AA267" i="1" s="1"/>
  <c r="AB267" i="1" s="1"/>
  <c r="C104" i="1"/>
  <c r="Z104" i="1"/>
  <c r="AA104" i="1" s="1"/>
  <c r="AB104" i="1" s="1"/>
  <c r="C103" i="1"/>
  <c r="Z103" i="1"/>
  <c r="AA103" i="1" s="1"/>
  <c r="AB103" i="1" s="1"/>
  <c r="AC103" i="1" s="1"/>
  <c r="C498" i="1"/>
  <c r="Z498" i="1"/>
  <c r="AA498" i="1" s="1"/>
  <c r="AB498" i="1" s="1"/>
  <c r="C497" i="1"/>
  <c r="Z497" i="1"/>
  <c r="AA497" i="1" s="1"/>
  <c r="AB497" i="1" s="1"/>
  <c r="C496" i="1"/>
  <c r="Z496" i="1"/>
  <c r="AA496" i="1" s="1"/>
  <c r="AB496" i="1" s="1"/>
  <c r="C495" i="1"/>
  <c r="Z495" i="1"/>
  <c r="AA495" i="1" s="1"/>
  <c r="AB495" i="1" s="1"/>
  <c r="AC495" i="1" s="1"/>
  <c r="C477" i="1"/>
  <c r="Z477" i="1"/>
  <c r="AA477" i="1" s="1"/>
  <c r="AB477" i="1"/>
  <c r="AC477" i="1" s="1"/>
  <c r="C514" i="1"/>
  <c r="Z514" i="1"/>
  <c r="AA514" i="1" s="1"/>
  <c r="AB514" i="1"/>
  <c r="AC514" i="1" s="1"/>
  <c r="C317" i="1"/>
  <c r="Z317" i="1"/>
  <c r="AA317" i="1" s="1"/>
  <c r="AB317" i="1" s="1"/>
  <c r="C316" i="1"/>
  <c r="Z316" i="1"/>
  <c r="AA316" i="1" s="1"/>
  <c r="AB316" i="1" s="1"/>
  <c r="C388" i="1"/>
  <c r="Z388" i="1"/>
  <c r="AA388" i="1" s="1"/>
  <c r="AB388" i="1"/>
  <c r="AC388" i="1" s="1"/>
  <c r="C387" i="1"/>
  <c r="Z387" i="1"/>
  <c r="AA387" i="1" s="1"/>
  <c r="AB387" i="1" s="1"/>
  <c r="AC387" i="1" s="1"/>
  <c r="C398" i="1"/>
  <c r="Z398" i="1"/>
  <c r="AA398" i="1" s="1"/>
  <c r="AB398" i="1" s="1"/>
  <c r="C397" i="1"/>
  <c r="Z397" i="1"/>
  <c r="AA397" i="1" s="1"/>
  <c r="AB397" i="1" s="1"/>
  <c r="C220" i="1"/>
  <c r="Z220" i="1"/>
  <c r="AA220" i="1" s="1"/>
  <c r="AB220" i="1" s="1"/>
  <c r="C219" i="1"/>
  <c r="Z219" i="1"/>
  <c r="AA219" i="1" s="1"/>
  <c r="AB219" i="1" s="1"/>
  <c r="AC219" i="1" s="1"/>
  <c r="C127" i="1"/>
  <c r="Z127" i="1"/>
  <c r="AA127" i="1" s="1"/>
  <c r="AB127" i="1" s="1"/>
  <c r="AC127" i="1" s="1"/>
  <c r="C126" i="1"/>
  <c r="Z126" i="1"/>
  <c r="AA126" i="1" s="1"/>
  <c r="AB126" i="1" s="1"/>
  <c r="C125" i="1"/>
  <c r="Z125" i="1"/>
  <c r="AA125" i="1" s="1"/>
  <c r="AB125" i="1" s="1"/>
  <c r="C390" i="1"/>
  <c r="Z390" i="1"/>
  <c r="AA390" i="1" s="1"/>
  <c r="AB390" i="1"/>
  <c r="AC390" i="1" s="1"/>
  <c r="C389" i="1"/>
  <c r="Z389" i="1"/>
  <c r="AA389" i="1" s="1"/>
  <c r="AB389" i="1" s="1"/>
  <c r="AC389" i="1" s="1"/>
  <c r="C421" i="1"/>
  <c r="Z421" i="1"/>
  <c r="AA421" i="1" s="1"/>
  <c r="AB421" i="1"/>
  <c r="AC421" i="1" s="1"/>
  <c r="C420" i="1"/>
  <c r="Z420" i="1"/>
  <c r="AA420" i="1" s="1"/>
  <c r="AB420" i="1" s="1"/>
  <c r="C457" i="1"/>
  <c r="Z457" i="1"/>
  <c r="AA457" i="1" s="1"/>
  <c r="AB457" i="1"/>
  <c r="AC457" i="1" s="1"/>
  <c r="C456" i="1"/>
  <c r="Z456" i="1"/>
  <c r="AA456" i="1" s="1"/>
  <c r="AB456" i="1" s="1"/>
  <c r="C407" i="1"/>
  <c r="Z407" i="1"/>
  <c r="AA407" i="1" s="1"/>
  <c r="AB407" i="1" s="1"/>
  <c r="C406" i="1"/>
  <c r="Z406" i="1"/>
  <c r="AA406" i="1" s="1"/>
  <c r="AB406" i="1" s="1"/>
  <c r="AC406" i="1" s="1"/>
  <c r="C503" i="1"/>
  <c r="Z503" i="1"/>
  <c r="AA503" i="1" s="1"/>
  <c r="AB503" i="1"/>
  <c r="AC503" i="1" s="1"/>
  <c r="C502" i="1"/>
  <c r="Z502" i="1"/>
  <c r="AA502" i="1" s="1"/>
  <c r="AB502" i="1" s="1"/>
  <c r="AC502" i="1" s="1"/>
  <c r="AC33" i="1" l="1"/>
  <c r="AC267" i="1"/>
  <c r="AC104" i="1"/>
  <c r="AC498" i="1"/>
  <c r="AC497" i="1"/>
  <c r="AC496" i="1"/>
  <c r="AC317" i="1"/>
  <c r="AC316" i="1"/>
  <c r="AC398" i="1"/>
  <c r="AC397" i="1"/>
  <c r="AC220" i="1"/>
  <c r="AC126" i="1"/>
  <c r="AC125" i="1"/>
  <c r="AC420" i="1"/>
  <c r="AC456" i="1"/>
  <c r="AC407" i="1"/>
  <c r="J2" i="19"/>
  <c r="E4" i="20" l="1"/>
  <c r="F4" i="20"/>
  <c r="G4" i="20" s="1"/>
  <c r="H4" i="20" s="1"/>
  <c r="I4" i="20" s="1"/>
  <c r="E3" i="20"/>
  <c r="F3" i="20"/>
  <c r="G3" i="20" s="1"/>
  <c r="H3" i="20" s="1"/>
  <c r="I3" i="20" s="1"/>
  <c r="F2" i="20"/>
  <c r="G2" i="20" s="1"/>
  <c r="H2" i="20" s="1"/>
  <c r="I2" i="20" s="1"/>
  <c r="E2" i="20"/>
  <c r="B3" i="19"/>
  <c r="C2" i="19"/>
  <c r="D2" i="19" s="1"/>
  <c r="B4" i="19" l="1"/>
  <c r="B5" i="19" s="1"/>
  <c r="J3" i="19"/>
  <c r="E2" i="19"/>
  <c r="F2" i="19" s="1"/>
  <c r="C294" i="1"/>
  <c r="Z294" i="1"/>
  <c r="AA294" i="1" s="1"/>
  <c r="AB294" i="1" s="1"/>
  <c r="AC294" i="1" s="1"/>
  <c r="C293" i="1"/>
  <c r="Z293" i="1"/>
  <c r="AA293" i="1" s="1"/>
  <c r="AB293" i="1" s="1"/>
  <c r="C26" i="1"/>
  <c r="Z26" i="1"/>
  <c r="AA26" i="1" s="1"/>
  <c r="AB26" i="1" s="1"/>
  <c r="C424" i="1"/>
  <c r="Z424" i="1"/>
  <c r="AA424" i="1" s="1"/>
  <c r="AB424" i="1" s="1"/>
  <c r="C24" i="1"/>
  <c r="Z24" i="1"/>
  <c r="AA24" i="1" s="1"/>
  <c r="AB24" i="1" s="1"/>
  <c r="AC24" i="1" s="1"/>
  <c r="C23" i="1"/>
  <c r="Z23" i="1"/>
  <c r="AA23" i="1" s="1"/>
  <c r="AB23" i="1" s="1"/>
  <c r="C22" i="1"/>
  <c r="Z22" i="1"/>
  <c r="AA22" i="1" s="1"/>
  <c r="AB22" i="1" s="1"/>
  <c r="C124" i="1"/>
  <c r="Z124" i="1"/>
  <c r="AA124" i="1" s="1"/>
  <c r="AB124" i="1" s="1"/>
  <c r="AC124" i="1" s="1"/>
  <c r="C31" i="1"/>
  <c r="Z31" i="1"/>
  <c r="AA31" i="1" s="1"/>
  <c r="AB31" i="1" s="1"/>
  <c r="C19" i="1"/>
  <c r="Z19" i="1"/>
  <c r="AA19" i="1" s="1"/>
  <c r="AB19" i="1" s="1"/>
  <c r="AC19" i="1" s="1"/>
  <c r="C18" i="1"/>
  <c r="Z18" i="1"/>
  <c r="AA18" i="1" s="1"/>
  <c r="AB18" i="1" s="1"/>
  <c r="C17" i="1"/>
  <c r="Z17" i="1"/>
  <c r="AA17" i="1" s="1"/>
  <c r="AB17" i="1" s="1"/>
  <c r="C221" i="1"/>
  <c r="Z221" i="1"/>
  <c r="AA221" i="1" s="1"/>
  <c r="AB221" i="1" s="1"/>
  <c r="C257" i="1"/>
  <c r="Z257" i="1"/>
  <c r="AA257" i="1" s="1"/>
  <c r="AB257" i="1" s="1"/>
  <c r="AC257" i="1" s="1"/>
  <c r="C478" i="1"/>
  <c r="Z478" i="1"/>
  <c r="AA478" i="1" s="1"/>
  <c r="AB478" i="1"/>
  <c r="AC478" i="1" s="1"/>
  <c r="C351" i="1"/>
  <c r="C352" i="1"/>
  <c r="C353" i="1"/>
  <c r="Z351" i="1"/>
  <c r="AA351" i="1" s="1"/>
  <c r="AB351" i="1" s="1"/>
  <c r="Z352" i="1"/>
  <c r="AA352" i="1" s="1"/>
  <c r="AB352" i="1" s="1"/>
  <c r="Z353" i="1"/>
  <c r="AA353" i="1" s="1"/>
  <c r="AB353" i="1"/>
  <c r="C16" i="1"/>
  <c r="Z16" i="1"/>
  <c r="AA16" i="1" s="1"/>
  <c r="AB16" i="1" s="1"/>
  <c r="AC16" i="1" s="1"/>
  <c r="H2" i="19" l="1"/>
  <c r="B6" i="19"/>
  <c r="J5" i="19"/>
  <c r="J4" i="19"/>
  <c r="G2" i="19"/>
  <c r="C3" i="19"/>
  <c r="D3" i="19" s="1"/>
  <c r="E3" i="19" s="1"/>
  <c r="F3" i="19" s="1"/>
  <c r="G3" i="19" s="1"/>
  <c r="AC293" i="1"/>
  <c r="AC26" i="1"/>
  <c r="AC424" i="1"/>
  <c r="AC23" i="1"/>
  <c r="AC22" i="1"/>
  <c r="AC31" i="1"/>
  <c r="AC18" i="1"/>
  <c r="AC17" i="1"/>
  <c r="AC221" i="1"/>
  <c r="AC351" i="1"/>
  <c r="AC352" i="1"/>
  <c r="AC353" i="1"/>
  <c r="C249" i="1"/>
  <c r="Z249" i="1"/>
  <c r="AA249" i="1" s="1"/>
  <c r="AB249" i="1" s="1"/>
  <c r="AC249" i="1" s="1"/>
  <c r="C143" i="1"/>
  <c r="Z143" i="1"/>
  <c r="AA143" i="1" s="1"/>
  <c r="AB143" i="1" s="1"/>
  <c r="AC143" i="1" s="1"/>
  <c r="C509" i="1"/>
  <c r="Z509" i="1"/>
  <c r="AA509" i="1" s="1"/>
  <c r="AB509" i="1" s="1"/>
  <c r="C365" i="1"/>
  <c r="Z365" i="1"/>
  <c r="AA365" i="1" s="1"/>
  <c r="AB365" i="1" s="1"/>
  <c r="C95" i="1"/>
  <c r="Z95" i="1"/>
  <c r="AA95" i="1" s="1"/>
  <c r="AB95" i="1" s="1"/>
  <c r="C280" i="1"/>
  <c r="Z280" i="1"/>
  <c r="AA280" i="1" s="1"/>
  <c r="AB280" i="1" s="1"/>
  <c r="AC280" i="1" s="1"/>
  <c r="C279" i="1"/>
  <c r="Z279" i="1"/>
  <c r="AA279" i="1" s="1"/>
  <c r="AB279" i="1" s="1"/>
  <c r="C427" i="1"/>
  <c r="Z427" i="1"/>
  <c r="AA427" i="1" s="1"/>
  <c r="AB427" i="1"/>
  <c r="AC427" i="1" s="1"/>
  <c r="C426" i="1"/>
  <c r="Z426" i="1"/>
  <c r="AA426" i="1" s="1"/>
  <c r="AB426" i="1" s="1"/>
  <c r="C425" i="1"/>
  <c r="Z425" i="1"/>
  <c r="AA425" i="1" s="1"/>
  <c r="AB425" i="1" s="1"/>
  <c r="AC425" i="1" s="1"/>
  <c r="M172" i="18"/>
  <c r="V156" i="18" s="1"/>
  <c r="L172" i="18"/>
  <c r="U156" i="18" s="1"/>
  <c r="K172" i="18"/>
  <c r="T156" i="18" s="1"/>
  <c r="J172" i="18"/>
  <c r="S156" i="18" s="1"/>
  <c r="M171" i="18"/>
  <c r="V155" i="18" s="1"/>
  <c r="L171" i="18"/>
  <c r="U155" i="18" s="1"/>
  <c r="K171" i="18"/>
  <c r="T155" i="18" s="1"/>
  <c r="J171" i="18"/>
  <c r="S155" i="18" s="1"/>
  <c r="M170" i="18"/>
  <c r="L170" i="18"/>
  <c r="U154" i="18" s="1"/>
  <c r="K170" i="18"/>
  <c r="T154" i="18" s="1"/>
  <c r="J170" i="18"/>
  <c r="S154" i="18" s="1"/>
  <c r="M169" i="18"/>
  <c r="V153" i="18" s="1"/>
  <c r="L169" i="18"/>
  <c r="U153" i="18" s="1"/>
  <c r="K169" i="18"/>
  <c r="T153" i="18" s="1"/>
  <c r="J169" i="18"/>
  <c r="S153" i="18" s="1"/>
  <c r="M168" i="18"/>
  <c r="V152" i="18" s="1"/>
  <c r="L168" i="18"/>
  <c r="U152" i="18" s="1"/>
  <c r="K168" i="18"/>
  <c r="T152" i="18" s="1"/>
  <c r="J168" i="18"/>
  <c r="S152" i="18" s="1"/>
  <c r="M167" i="18"/>
  <c r="V151" i="18" s="1"/>
  <c r="L167" i="18"/>
  <c r="U151" i="18" s="1"/>
  <c r="K167" i="18"/>
  <c r="T151" i="18" s="1"/>
  <c r="J167" i="18"/>
  <c r="S151" i="18" s="1"/>
  <c r="M166" i="18"/>
  <c r="V150" i="18" s="1"/>
  <c r="L166" i="18"/>
  <c r="U150" i="18" s="1"/>
  <c r="K166" i="18"/>
  <c r="T150" i="18" s="1"/>
  <c r="J166" i="18"/>
  <c r="S150" i="18" s="1"/>
  <c r="M165" i="18"/>
  <c r="V149" i="18" s="1"/>
  <c r="L165" i="18"/>
  <c r="U149" i="18" s="1"/>
  <c r="K165" i="18"/>
  <c r="T149" i="18" s="1"/>
  <c r="J165" i="18"/>
  <c r="S149" i="18" s="1"/>
  <c r="M164" i="18"/>
  <c r="V148" i="18" s="1"/>
  <c r="L164" i="18"/>
  <c r="U148" i="18" s="1"/>
  <c r="K164" i="18"/>
  <c r="T148" i="18" s="1"/>
  <c r="J164" i="18"/>
  <c r="S148" i="18" s="1"/>
  <c r="M163" i="18"/>
  <c r="V147" i="18" s="1"/>
  <c r="L163" i="18"/>
  <c r="U147" i="18" s="1"/>
  <c r="K163" i="18"/>
  <c r="T147" i="18" s="1"/>
  <c r="J163" i="18"/>
  <c r="S147" i="18" s="1"/>
  <c r="M162" i="18"/>
  <c r="V146" i="18" s="1"/>
  <c r="L162" i="18"/>
  <c r="U146" i="18" s="1"/>
  <c r="K162" i="18"/>
  <c r="T146" i="18" s="1"/>
  <c r="J162" i="18"/>
  <c r="S146" i="18" s="1"/>
  <c r="M161" i="18"/>
  <c r="V145" i="18" s="1"/>
  <c r="L161" i="18"/>
  <c r="U145" i="18" s="1"/>
  <c r="K161" i="18"/>
  <c r="T145" i="18" s="1"/>
  <c r="J161" i="18"/>
  <c r="S145" i="18" s="1"/>
  <c r="M160" i="18"/>
  <c r="V144" i="18" s="1"/>
  <c r="L160" i="18"/>
  <c r="U144" i="18" s="1"/>
  <c r="K160" i="18"/>
  <c r="T144" i="18" s="1"/>
  <c r="J160" i="18"/>
  <c r="S144" i="18" s="1"/>
  <c r="M159" i="18"/>
  <c r="V143" i="18" s="1"/>
  <c r="L159" i="18"/>
  <c r="U143" i="18" s="1"/>
  <c r="K159" i="18"/>
  <c r="T143" i="18" s="1"/>
  <c r="J159" i="18"/>
  <c r="S143" i="18" s="1"/>
  <c r="V158" i="18"/>
  <c r="U158" i="18"/>
  <c r="T158" i="18"/>
  <c r="S158" i="18"/>
  <c r="R158" i="18"/>
  <c r="Q158" i="18"/>
  <c r="P158" i="18"/>
  <c r="M158" i="18"/>
  <c r="V142" i="18" s="1"/>
  <c r="L158" i="18"/>
  <c r="U142" i="18" s="1"/>
  <c r="K158" i="18"/>
  <c r="T142" i="18" s="1"/>
  <c r="J158" i="18"/>
  <c r="S142" i="18" s="1"/>
  <c r="V157" i="18"/>
  <c r="U157" i="18"/>
  <c r="T157" i="18"/>
  <c r="S157" i="18"/>
  <c r="R157" i="18"/>
  <c r="Q157" i="18"/>
  <c r="P157" i="18"/>
  <c r="M157" i="18"/>
  <c r="V141" i="18" s="1"/>
  <c r="L157" i="18"/>
  <c r="U141" i="18" s="1"/>
  <c r="K157" i="18"/>
  <c r="T141" i="18" s="1"/>
  <c r="J157" i="18"/>
  <c r="S141" i="18" s="1"/>
  <c r="R156" i="18"/>
  <c r="Q156" i="18"/>
  <c r="P156" i="18"/>
  <c r="M156" i="18"/>
  <c r="V140" i="18" s="1"/>
  <c r="L156" i="18"/>
  <c r="U140" i="18" s="1"/>
  <c r="K156" i="18"/>
  <c r="T140" i="18" s="1"/>
  <c r="J156" i="18"/>
  <c r="S140" i="18" s="1"/>
  <c r="R155" i="18"/>
  <c r="Q155" i="18"/>
  <c r="P155" i="18"/>
  <c r="M155" i="18"/>
  <c r="V139" i="18" s="1"/>
  <c r="L155" i="18"/>
  <c r="U139" i="18" s="1"/>
  <c r="K155" i="18"/>
  <c r="T139" i="18" s="1"/>
  <c r="J155" i="18"/>
  <c r="S139" i="18" s="1"/>
  <c r="V154" i="18"/>
  <c r="R154" i="18"/>
  <c r="Q154" i="18"/>
  <c r="P154" i="18"/>
  <c r="M154" i="18"/>
  <c r="V138" i="18" s="1"/>
  <c r="L154" i="18"/>
  <c r="U138" i="18" s="1"/>
  <c r="K154" i="18"/>
  <c r="T138" i="18" s="1"/>
  <c r="J154" i="18"/>
  <c r="S138" i="18" s="1"/>
  <c r="R153" i="18"/>
  <c r="Q153" i="18"/>
  <c r="P153" i="18"/>
  <c r="M153" i="18"/>
  <c r="V137" i="18" s="1"/>
  <c r="L153" i="18"/>
  <c r="U137" i="18" s="1"/>
  <c r="K153" i="18"/>
  <c r="T137" i="18" s="1"/>
  <c r="J153" i="18"/>
  <c r="S137" i="18" s="1"/>
  <c r="R152" i="18"/>
  <c r="Q152" i="18"/>
  <c r="P152" i="18"/>
  <c r="M152" i="18"/>
  <c r="V136" i="18" s="1"/>
  <c r="L152" i="18"/>
  <c r="U136" i="18" s="1"/>
  <c r="K152" i="18"/>
  <c r="T136" i="18" s="1"/>
  <c r="J152" i="18"/>
  <c r="S136" i="18" s="1"/>
  <c r="R151" i="18"/>
  <c r="Q151" i="18"/>
  <c r="P151" i="18"/>
  <c r="M151" i="18"/>
  <c r="V135" i="18" s="1"/>
  <c r="L151" i="18"/>
  <c r="U135" i="18" s="1"/>
  <c r="K151" i="18"/>
  <c r="T135" i="18" s="1"/>
  <c r="J151" i="18"/>
  <c r="S135" i="18" s="1"/>
  <c r="R150" i="18"/>
  <c r="Q150" i="18"/>
  <c r="P150" i="18"/>
  <c r="M150" i="18"/>
  <c r="V134" i="18" s="1"/>
  <c r="L150" i="18"/>
  <c r="U134" i="18" s="1"/>
  <c r="K150" i="18"/>
  <c r="T134" i="18" s="1"/>
  <c r="J150" i="18"/>
  <c r="S134" i="18" s="1"/>
  <c r="R149" i="18"/>
  <c r="Q149" i="18"/>
  <c r="P149" i="18"/>
  <c r="M149" i="18"/>
  <c r="V133" i="18" s="1"/>
  <c r="L149" i="18"/>
  <c r="U133" i="18" s="1"/>
  <c r="K149" i="18"/>
  <c r="T133" i="18" s="1"/>
  <c r="J149" i="18"/>
  <c r="S133" i="18" s="1"/>
  <c r="R148" i="18"/>
  <c r="Q148" i="18"/>
  <c r="P148" i="18"/>
  <c r="M148" i="18"/>
  <c r="V132" i="18" s="1"/>
  <c r="L148" i="18"/>
  <c r="U132" i="18" s="1"/>
  <c r="K148" i="18"/>
  <c r="T132" i="18" s="1"/>
  <c r="J148" i="18"/>
  <c r="S132" i="18" s="1"/>
  <c r="R147" i="18"/>
  <c r="Q147" i="18"/>
  <c r="P147" i="18"/>
  <c r="M147" i="18"/>
  <c r="L147" i="18"/>
  <c r="K147" i="18"/>
  <c r="J147" i="18"/>
  <c r="R146" i="18"/>
  <c r="Q146" i="18"/>
  <c r="P146" i="18"/>
  <c r="M146" i="18"/>
  <c r="L146" i="18"/>
  <c r="K146" i="18"/>
  <c r="J146" i="18"/>
  <c r="R145" i="18"/>
  <c r="Q145" i="18"/>
  <c r="P145" i="18"/>
  <c r="M145" i="18"/>
  <c r="L145" i="18"/>
  <c r="K145" i="18"/>
  <c r="J145" i="18"/>
  <c r="R144" i="18"/>
  <c r="Q144" i="18"/>
  <c r="P144" i="18"/>
  <c r="M144" i="18"/>
  <c r="L144" i="18"/>
  <c r="K144" i="18"/>
  <c r="J144" i="18"/>
  <c r="R143" i="18"/>
  <c r="Q143" i="18"/>
  <c r="P143" i="18"/>
  <c r="M143" i="18"/>
  <c r="L143" i="18"/>
  <c r="K143" i="18"/>
  <c r="J143" i="18"/>
  <c r="R142" i="18"/>
  <c r="Q142" i="18"/>
  <c r="P142" i="18"/>
  <c r="M142" i="18"/>
  <c r="L142" i="18"/>
  <c r="K142" i="18"/>
  <c r="J142" i="18"/>
  <c r="R141" i="18"/>
  <c r="Q141" i="18"/>
  <c r="P141" i="18"/>
  <c r="M141" i="18"/>
  <c r="L141" i="18"/>
  <c r="K141" i="18"/>
  <c r="J141" i="18"/>
  <c r="R140" i="18"/>
  <c r="Q140" i="18"/>
  <c r="P140" i="18"/>
  <c r="M140" i="18"/>
  <c r="L140" i="18"/>
  <c r="K140" i="18"/>
  <c r="J140" i="18"/>
  <c r="R139" i="18"/>
  <c r="Q139" i="18"/>
  <c r="P139" i="18"/>
  <c r="M139" i="18"/>
  <c r="L139" i="18"/>
  <c r="K139" i="18"/>
  <c r="J139" i="18"/>
  <c r="R138" i="18"/>
  <c r="Q138" i="18"/>
  <c r="P138" i="18"/>
  <c r="M138" i="18"/>
  <c r="L138" i="18"/>
  <c r="K138" i="18"/>
  <c r="J138" i="18"/>
  <c r="R137" i="18"/>
  <c r="Q137" i="18"/>
  <c r="P137" i="18"/>
  <c r="M137" i="18"/>
  <c r="L137" i="18"/>
  <c r="K137" i="18"/>
  <c r="J137" i="18"/>
  <c r="R136" i="18"/>
  <c r="Q136" i="18"/>
  <c r="P136" i="18"/>
  <c r="M136" i="18"/>
  <c r="L136" i="18"/>
  <c r="K136" i="18"/>
  <c r="J136" i="18"/>
  <c r="R135" i="18"/>
  <c r="Q135" i="18"/>
  <c r="P135" i="18"/>
  <c r="M135" i="18"/>
  <c r="V131" i="18" s="1"/>
  <c r="L135" i="18"/>
  <c r="U131" i="18" s="1"/>
  <c r="K135" i="18"/>
  <c r="T131" i="18" s="1"/>
  <c r="J135" i="18"/>
  <c r="S131" i="18" s="1"/>
  <c r="R134" i="18"/>
  <c r="Q134" i="18"/>
  <c r="P134" i="18"/>
  <c r="M134" i="18"/>
  <c r="V130" i="18" s="1"/>
  <c r="L134" i="18"/>
  <c r="U130" i="18" s="1"/>
  <c r="K134" i="18"/>
  <c r="T130" i="18" s="1"/>
  <c r="J134" i="18"/>
  <c r="S130" i="18" s="1"/>
  <c r="R133" i="18"/>
  <c r="Q133" i="18"/>
  <c r="P133" i="18"/>
  <c r="A133" i="18"/>
  <c r="Q129" i="18" s="1"/>
  <c r="R132" i="18"/>
  <c r="Q132" i="18"/>
  <c r="P132" i="18"/>
  <c r="A132" i="18"/>
  <c r="R131" i="18"/>
  <c r="Q131" i="18"/>
  <c r="A131" i="18"/>
  <c r="J131" i="18" s="1"/>
  <c r="S127" i="18" s="1"/>
  <c r="R130" i="18"/>
  <c r="Q130" i="18"/>
  <c r="A130" i="18"/>
  <c r="M130" i="18" s="1"/>
  <c r="V126" i="18" s="1"/>
  <c r="A129" i="18"/>
  <c r="J129" i="18" s="1"/>
  <c r="S125" i="18" s="1"/>
  <c r="A128" i="18"/>
  <c r="A127" i="18"/>
  <c r="J127" i="18" s="1"/>
  <c r="S123" i="18" s="1"/>
  <c r="A126" i="18"/>
  <c r="M126" i="18" s="1"/>
  <c r="V122" i="18" s="1"/>
  <c r="A125" i="18"/>
  <c r="A124" i="18"/>
  <c r="M124" i="18" s="1"/>
  <c r="V120" i="18" s="1"/>
  <c r="A123" i="18"/>
  <c r="J123" i="18" s="1"/>
  <c r="S119" i="18" s="1"/>
  <c r="A122" i="18"/>
  <c r="M122" i="18" s="1"/>
  <c r="V118" i="18" s="1"/>
  <c r="A121" i="18"/>
  <c r="J121" i="18" s="1"/>
  <c r="S117" i="18" s="1"/>
  <c r="M120" i="18"/>
  <c r="V116" i="18" s="1"/>
  <c r="L120" i="18"/>
  <c r="U116" i="18" s="1"/>
  <c r="K120" i="18"/>
  <c r="T116" i="18" s="1"/>
  <c r="J120" i="18"/>
  <c r="S116" i="18" s="1"/>
  <c r="M119" i="18"/>
  <c r="V115" i="18" s="1"/>
  <c r="L119" i="18"/>
  <c r="U115" i="18" s="1"/>
  <c r="K119" i="18"/>
  <c r="T115" i="18" s="1"/>
  <c r="J119" i="18"/>
  <c r="S115" i="18" s="1"/>
  <c r="M118" i="18"/>
  <c r="V114" i="18" s="1"/>
  <c r="L118" i="18"/>
  <c r="U114" i="18" s="1"/>
  <c r="K118" i="18"/>
  <c r="T114" i="18" s="1"/>
  <c r="J118" i="18"/>
  <c r="S114" i="18" s="1"/>
  <c r="M117" i="18"/>
  <c r="V113" i="18" s="1"/>
  <c r="L117" i="18"/>
  <c r="U113" i="18" s="1"/>
  <c r="K117" i="18"/>
  <c r="T113" i="18" s="1"/>
  <c r="J117" i="18"/>
  <c r="S113" i="18" s="1"/>
  <c r="R116" i="18"/>
  <c r="Q116" i="18"/>
  <c r="M116" i="18"/>
  <c r="L116" i="18"/>
  <c r="K116" i="18"/>
  <c r="J116" i="18"/>
  <c r="R115" i="18"/>
  <c r="Q115" i="18"/>
  <c r="M115" i="18"/>
  <c r="L115" i="18"/>
  <c r="K115" i="18"/>
  <c r="J115" i="18"/>
  <c r="R114" i="18"/>
  <c r="Q114" i="18"/>
  <c r="M114" i="18"/>
  <c r="L114" i="18"/>
  <c r="K114" i="18"/>
  <c r="J114" i="18"/>
  <c r="R113" i="18"/>
  <c r="Q113" i="18"/>
  <c r="M113" i="18"/>
  <c r="L113" i="18"/>
  <c r="K113" i="18"/>
  <c r="J113" i="18"/>
  <c r="A112" i="18"/>
  <c r="M112" i="18" s="1"/>
  <c r="V112" i="18" s="1"/>
  <c r="A111" i="18"/>
  <c r="A110" i="18"/>
  <c r="A109" i="18"/>
  <c r="M109" i="18" s="1"/>
  <c r="A108" i="18"/>
  <c r="M108" i="18" s="1"/>
  <c r="A107" i="18"/>
  <c r="K107" i="18" s="1"/>
  <c r="A106" i="18"/>
  <c r="A105" i="18"/>
  <c r="A104" i="18"/>
  <c r="L104" i="18" s="1"/>
  <c r="A103" i="18"/>
  <c r="A102" i="18"/>
  <c r="A101" i="18"/>
  <c r="A100" i="18"/>
  <c r="J100" i="18" s="1"/>
  <c r="A99" i="18"/>
  <c r="K99" i="18" s="1"/>
  <c r="A98" i="18"/>
  <c r="M98" i="18" s="1"/>
  <c r="A97" i="18"/>
  <c r="K97" i="18" s="1"/>
  <c r="A96" i="18"/>
  <c r="M96" i="18" s="1"/>
  <c r="A95" i="18"/>
  <c r="M95" i="18" s="1"/>
  <c r="A94" i="18"/>
  <c r="A93" i="18"/>
  <c r="M93" i="18" s="1"/>
  <c r="A92" i="18"/>
  <c r="M92" i="18" s="1"/>
  <c r="A91" i="18"/>
  <c r="K91" i="18" s="1"/>
  <c r="A90" i="18"/>
  <c r="M90" i="18" s="1"/>
  <c r="A89" i="18"/>
  <c r="L89" i="18" s="1"/>
  <c r="A88" i="18"/>
  <c r="A87" i="18"/>
  <c r="A86" i="18"/>
  <c r="A85" i="18"/>
  <c r="A84" i="18"/>
  <c r="M84" i="18" s="1"/>
  <c r="A83" i="18"/>
  <c r="A82" i="18"/>
  <c r="M82" i="18" s="1"/>
  <c r="A81" i="18"/>
  <c r="L81" i="18" s="1"/>
  <c r="A80" i="18"/>
  <c r="A79" i="18"/>
  <c r="A78" i="18"/>
  <c r="A77" i="18"/>
  <c r="A76" i="18"/>
  <c r="M76" i="18" s="1"/>
  <c r="A75" i="18"/>
  <c r="M75" i="18" s="1"/>
  <c r="A74" i="18"/>
  <c r="L74" i="18" s="1"/>
  <c r="A73" i="18"/>
  <c r="A72" i="18"/>
  <c r="K72" i="18" s="1"/>
  <c r="A71" i="18"/>
  <c r="L71" i="18" s="1"/>
  <c r="A70" i="18"/>
  <c r="M70" i="18" s="1"/>
  <c r="A69" i="18"/>
  <c r="L69" i="18" s="1"/>
  <c r="A68" i="18"/>
  <c r="A67" i="18"/>
  <c r="K67" i="18" s="1"/>
  <c r="A66" i="18"/>
  <c r="L66" i="18" s="1"/>
  <c r="A65" i="18"/>
  <c r="L65" i="18" s="1"/>
  <c r="A64" i="18"/>
  <c r="A63" i="18"/>
  <c r="L63" i="18" s="1"/>
  <c r="A62" i="18"/>
  <c r="L62" i="18" s="1"/>
  <c r="A61" i="18"/>
  <c r="L61" i="18" s="1"/>
  <c r="A60" i="18"/>
  <c r="M60" i="18" s="1"/>
  <c r="A59" i="18"/>
  <c r="L59" i="18" s="1"/>
  <c r="A58" i="18"/>
  <c r="L58" i="18" s="1"/>
  <c r="A57" i="18"/>
  <c r="M57" i="18" s="1"/>
  <c r="A56" i="18"/>
  <c r="M56" i="18" s="1"/>
  <c r="A55" i="18"/>
  <c r="A54" i="18"/>
  <c r="M54" i="18" s="1"/>
  <c r="A53" i="18"/>
  <c r="A52" i="18"/>
  <c r="A51" i="18"/>
  <c r="M51" i="18" s="1"/>
  <c r="A50" i="18"/>
  <c r="A49" i="18"/>
  <c r="K49" i="18" s="1"/>
  <c r="A48" i="18"/>
  <c r="M48" i="18" s="1"/>
  <c r="A47" i="18"/>
  <c r="A46" i="18"/>
  <c r="A45" i="18"/>
  <c r="A44" i="18"/>
  <c r="A43" i="18"/>
  <c r="K43" i="18" s="1"/>
  <c r="A42" i="18"/>
  <c r="A41" i="18"/>
  <c r="M41" i="18" s="1"/>
  <c r="A40" i="18"/>
  <c r="M40" i="18" s="1"/>
  <c r="A39" i="18"/>
  <c r="M39" i="18" s="1"/>
  <c r="A38" i="18"/>
  <c r="M38" i="18" s="1"/>
  <c r="A37" i="18"/>
  <c r="M37" i="18" s="1"/>
  <c r="A36" i="18"/>
  <c r="Q100" i="18" s="1"/>
  <c r="A35" i="18"/>
  <c r="M35" i="18" s="1"/>
  <c r="A34" i="18"/>
  <c r="A33" i="18"/>
  <c r="K33" i="18" s="1"/>
  <c r="A32" i="18"/>
  <c r="R56" i="18" s="1"/>
  <c r="A31" i="18"/>
  <c r="A30" i="18"/>
  <c r="A29" i="18"/>
  <c r="A28" i="18"/>
  <c r="A27" i="18"/>
  <c r="K27" i="18" s="1"/>
  <c r="A26" i="18"/>
  <c r="L26" i="18" s="1"/>
  <c r="A25" i="18"/>
  <c r="A24" i="18"/>
  <c r="M24" i="18" s="1"/>
  <c r="A23" i="18"/>
  <c r="M23" i="18" s="1"/>
  <c r="A22" i="18"/>
  <c r="A21" i="18"/>
  <c r="M21" i="18" s="1"/>
  <c r="A20" i="18"/>
  <c r="M20" i="18" s="1"/>
  <c r="A19" i="18"/>
  <c r="M19" i="18" s="1"/>
  <c r="A18" i="18"/>
  <c r="M18" i="18" s="1"/>
  <c r="A17" i="18"/>
  <c r="L17" i="18" s="1"/>
  <c r="A16" i="18"/>
  <c r="M16" i="18" s="1"/>
  <c r="A15" i="18"/>
  <c r="L15" i="18" s="1"/>
  <c r="A14" i="18"/>
  <c r="A13" i="18"/>
  <c r="A12" i="18"/>
  <c r="M12" i="18" s="1"/>
  <c r="A11" i="18"/>
  <c r="A10" i="18"/>
  <c r="L10" i="18" s="1"/>
  <c r="A9" i="18"/>
  <c r="L9" i="18" s="1"/>
  <c r="A8" i="18"/>
  <c r="M8" i="18" s="1"/>
  <c r="A7" i="18"/>
  <c r="L7" i="18" s="1"/>
  <c r="C356" i="1"/>
  <c r="Z356" i="1"/>
  <c r="AA356" i="1" s="1"/>
  <c r="AB356" i="1" s="1"/>
  <c r="C451" i="1"/>
  <c r="Z451" i="1"/>
  <c r="AA451" i="1" s="1"/>
  <c r="AB451" i="1" s="1"/>
  <c r="C12" i="1"/>
  <c r="Z12" i="1"/>
  <c r="AA12" i="1" s="1"/>
  <c r="AB12" i="1" s="1"/>
  <c r="C11" i="1"/>
  <c r="Z11" i="1"/>
  <c r="AA11" i="1" s="1"/>
  <c r="AB11" i="1" s="1"/>
  <c r="C450" i="1"/>
  <c r="Z450" i="1"/>
  <c r="AA450" i="1" s="1"/>
  <c r="AB450" i="1" s="1"/>
  <c r="C382" i="1"/>
  <c r="Z382" i="1"/>
  <c r="AA382" i="1" s="1"/>
  <c r="AB382" i="1"/>
  <c r="AC382" i="1" s="1"/>
  <c r="C381" i="1"/>
  <c r="Z381" i="1"/>
  <c r="AA381" i="1" s="1"/>
  <c r="AB381" i="1"/>
  <c r="AC381" i="1" s="1"/>
  <c r="C185" i="1"/>
  <c r="Z185" i="1"/>
  <c r="AA185" i="1" s="1"/>
  <c r="AB185" i="1" s="1"/>
  <c r="C113" i="1"/>
  <c r="Z113" i="1"/>
  <c r="AA113" i="1" s="1"/>
  <c r="AB113" i="1" s="1"/>
  <c r="C137" i="1"/>
  <c r="Z137" i="1"/>
  <c r="AA137" i="1" s="1"/>
  <c r="AB137" i="1" s="1"/>
  <c r="C136" i="1"/>
  <c r="Z136" i="1"/>
  <c r="AA136" i="1" s="1"/>
  <c r="AB136" i="1" s="1"/>
  <c r="C253" i="1"/>
  <c r="Z253" i="1"/>
  <c r="AA253" i="1" s="1"/>
  <c r="AB253" i="1" s="1"/>
  <c r="C70" i="1"/>
  <c r="Z70" i="1"/>
  <c r="AA70" i="1" s="1"/>
  <c r="AB70" i="1" s="1"/>
  <c r="AC70" i="1" s="1"/>
  <c r="C69" i="1"/>
  <c r="Z69" i="1"/>
  <c r="AA69" i="1" s="1"/>
  <c r="AB69" i="1" s="1"/>
  <c r="C308" i="1"/>
  <c r="Z308" i="1"/>
  <c r="AA308" i="1" s="1"/>
  <c r="AB308" i="1" s="1"/>
  <c r="C298" i="1"/>
  <c r="Z298" i="1"/>
  <c r="AA298" i="1" s="1"/>
  <c r="AB298" i="1" s="1"/>
  <c r="AC298" i="1" s="1"/>
  <c r="C301" i="1"/>
  <c r="Z301" i="1"/>
  <c r="AA301" i="1" s="1"/>
  <c r="AB301" i="1" s="1"/>
  <c r="C366" i="1"/>
  <c r="Z366" i="1"/>
  <c r="AA366" i="1" s="1"/>
  <c r="AB366" i="1"/>
  <c r="AC366" i="1" s="1"/>
  <c r="C40" i="1"/>
  <c r="Z40" i="1"/>
  <c r="AA40" i="1" s="1"/>
  <c r="AB40" i="1" s="1"/>
  <c r="C39" i="1"/>
  <c r="Z39" i="1"/>
  <c r="AA39" i="1" s="1"/>
  <c r="AB39" i="1" s="1"/>
  <c r="C7" i="1"/>
  <c r="Z7" i="1"/>
  <c r="AA7" i="1" s="1"/>
  <c r="AB7" i="1" s="1"/>
  <c r="AC7" i="1" s="1"/>
  <c r="C362" i="1"/>
  <c r="Z362" i="1"/>
  <c r="AA362" i="1" s="1"/>
  <c r="AB362" i="1" s="1"/>
  <c r="AC362" i="1" s="1"/>
  <c r="C361" i="1"/>
  <c r="Z361" i="1"/>
  <c r="AA361" i="1" s="1"/>
  <c r="AB361" i="1" s="1"/>
  <c r="C6" i="1"/>
  <c r="Z6" i="1"/>
  <c r="AA6" i="1" s="1"/>
  <c r="AB6" i="1" s="1"/>
  <c r="AC6" i="1" s="1"/>
  <c r="R108" i="18" l="1"/>
  <c r="R36" i="18"/>
  <c r="Q16" i="18"/>
  <c r="R110" i="18"/>
  <c r="V90" i="18"/>
  <c r="U74" i="18"/>
  <c r="U59" i="18"/>
  <c r="U81" i="18"/>
  <c r="Q15" i="18"/>
  <c r="V39" i="18"/>
  <c r="T49" i="18"/>
  <c r="Q105" i="18"/>
  <c r="V12" i="18"/>
  <c r="V109" i="18"/>
  <c r="Q69" i="18"/>
  <c r="R33" i="18"/>
  <c r="V37" i="18"/>
  <c r="Q44" i="18"/>
  <c r="V60" i="18"/>
  <c r="V40" i="18"/>
  <c r="V84" i="18"/>
  <c r="R31" i="18"/>
  <c r="V23" i="18"/>
  <c r="U63" i="18"/>
  <c r="Q107" i="18"/>
  <c r="Q35" i="18"/>
  <c r="V75" i="18"/>
  <c r="V93" i="18"/>
  <c r="V48" i="18"/>
  <c r="Q82" i="18"/>
  <c r="H3" i="19"/>
  <c r="B7" i="19"/>
  <c r="J7" i="19" s="1"/>
  <c r="I2" i="19"/>
  <c r="R20" i="18"/>
  <c r="R43" i="18"/>
  <c r="R15" i="18"/>
  <c r="Q127" i="18"/>
  <c r="J56" i="18"/>
  <c r="R8" i="18"/>
  <c r="J82" i="18"/>
  <c r="M100" i="18"/>
  <c r="L131" i="18"/>
  <c r="U127" i="18" s="1"/>
  <c r="R87" i="18"/>
  <c r="M27" i="18"/>
  <c r="V20" i="18" s="1"/>
  <c r="R41" i="18"/>
  <c r="M89" i="18"/>
  <c r="V92" i="18" s="1"/>
  <c r="L96" i="18"/>
  <c r="K131" i="18"/>
  <c r="T127" i="18" s="1"/>
  <c r="R54" i="18"/>
  <c r="L82" i="18"/>
  <c r="R40" i="18"/>
  <c r="M43" i="18"/>
  <c r="V54" i="18" s="1"/>
  <c r="M49" i="18"/>
  <c r="V41" i="18" s="1"/>
  <c r="K51" i="18"/>
  <c r="T43" i="18" s="1"/>
  <c r="K56" i="18"/>
  <c r="M71" i="18"/>
  <c r="V8" i="18" s="1"/>
  <c r="J87" i="18"/>
  <c r="K89" i="18"/>
  <c r="J30" i="18"/>
  <c r="L76" i="18"/>
  <c r="K95" i="18"/>
  <c r="M107" i="18"/>
  <c r="Q117" i="18"/>
  <c r="Q123" i="18"/>
  <c r="L124" i="18"/>
  <c r="U120" i="18" s="1"/>
  <c r="J126" i="18"/>
  <c r="S122" i="18" s="1"/>
  <c r="J130" i="18"/>
  <c r="S126" i="18" s="1"/>
  <c r="J75" i="18"/>
  <c r="L90" i="18"/>
  <c r="R39" i="18"/>
  <c r="K106" i="18"/>
  <c r="Q118" i="18"/>
  <c r="Q122" i="18"/>
  <c r="R123" i="18"/>
  <c r="K126" i="18"/>
  <c r="T122" i="18" s="1"/>
  <c r="K127" i="18"/>
  <c r="T123" i="18" s="1"/>
  <c r="K130" i="18"/>
  <c r="T126" i="18" s="1"/>
  <c r="Q89" i="18"/>
  <c r="Q93" i="18"/>
  <c r="R119" i="18"/>
  <c r="R122" i="18"/>
  <c r="R126" i="18"/>
  <c r="L127" i="18"/>
  <c r="U123" i="18" s="1"/>
  <c r="K17" i="18"/>
  <c r="Q32" i="18"/>
  <c r="J79" i="18"/>
  <c r="J92" i="18"/>
  <c r="J98" i="18"/>
  <c r="J104" i="18"/>
  <c r="J108" i="18"/>
  <c r="J122" i="18"/>
  <c r="S118" i="18" s="1"/>
  <c r="R12" i="18"/>
  <c r="Q45" i="18"/>
  <c r="L40" i="18"/>
  <c r="J71" i="18"/>
  <c r="K76" i="18"/>
  <c r="L84" i="18"/>
  <c r="U65" i="18" s="1"/>
  <c r="J90" i="18"/>
  <c r="R22" i="18"/>
  <c r="J96" i="18"/>
  <c r="L100" i="18"/>
  <c r="Q119" i="18"/>
  <c r="M121" i="18"/>
  <c r="V117" i="18" s="1"/>
  <c r="L123" i="18"/>
  <c r="U119" i="18" s="1"/>
  <c r="R65" i="18"/>
  <c r="J62" i="18"/>
  <c r="R60" i="18"/>
  <c r="K81" i="18"/>
  <c r="J84" i="18"/>
  <c r="K111" i="18"/>
  <c r="R118" i="18"/>
  <c r="M17" i="18"/>
  <c r="V38" i="18" s="1"/>
  <c r="J20" i="18"/>
  <c r="L38" i="18"/>
  <c r="U38" i="18" s="1"/>
  <c r="K40" i="18"/>
  <c r="T72" i="18" s="1"/>
  <c r="R37" i="18"/>
  <c r="R97" i="18"/>
  <c r="J76" i="18"/>
  <c r="R16" i="18"/>
  <c r="M81" i="18"/>
  <c r="K84" i="18"/>
  <c r="L92" i="18"/>
  <c r="U92" i="18" s="1"/>
  <c r="Q48" i="18"/>
  <c r="R105" i="18"/>
  <c r="R117" i="18"/>
  <c r="K122" i="18"/>
  <c r="T118" i="18" s="1"/>
  <c r="K123" i="18"/>
  <c r="T119" i="18" s="1"/>
  <c r="Q126" i="18"/>
  <c r="R127" i="18"/>
  <c r="L130" i="18"/>
  <c r="U126" i="18" s="1"/>
  <c r="M133" i="18"/>
  <c r="V129" i="18" s="1"/>
  <c r="K69" i="18"/>
  <c r="R70" i="18"/>
  <c r="K65" i="18"/>
  <c r="M65" i="18"/>
  <c r="V24" i="18" s="1"/>
  <c r="J63" i="18"/>
  <c r="R13" i="18"/>
  <c r="K61" i="18"/>
  <c r="J60" i="18"/>
  <c r="L60" i="18"/>
  <c r="M59" i="18"/>
  <c r="V96" i="18" s="1"/>
  <c r="J59" i="18"/>
  <c r="K59" i="18"/>
  <c r="K57" i="18"/>
  <c r="R111" i="18"/>
  <c r="L56" i="18"/>
  <c r="R78" i="18"/>
  <c r="L54" i="18"/>
  <c r="J54" i="18"/>
  <c r="K52" i="18"/>
  <c r="J48" i="18"/>
  <c r="L48" i="18"/>
  <c r="J46" i="18"/>
  <c r="J40" i="18"/>
  <c r="R72" i="18"/>
  <c r="J38" i="18"/>
  <c r="J6" i="19"/>
  <c r="I3" i="19"/>
  <c r="C4" i="19"/>
  <c r="D4" i="19" s="1"/>
  <c r="E4" i="19" s="1"/>
  <c r="F4" i="19" s="1"/>
  <c r="M33" i="18"/>
  <c r="R55" i="18"/>
  <c r="J28" i="18"/>
  <c r="K28" i="18"/>
  <c r="Q19" i="18"/>
  <c r="M25" i="18"/>
  <c r="K25" i="18"/>
  <c r="K20" i="18"/>
  <c r="Q10" i="18"/>
  <c r="K19" i="18"/>
  <c r="R11" i="18"/>
  <c r="J16" i="18"/>
  <c r="K16" i="18"/>
  <c r="M15" i="18"/>
  <c r="AC509" i="1"/>
  <c r="AC365" i="1"/>
  <c r="L12" i="18"/>
  <c r="AC95" i="1"/>
  <c r="AC279" i="1"/>
  <c r="AC426" i="1"/>
  <c r="K9" i="18"/>
  <c r="M9" i="18"/>
  <c r="V59" i="18" s="1"/>
  <c r="J8" i="18"/>
  <c r="K8" i="18"/>
  <c r="R58" i="18"/>
  <c r="M7" i="18"/>
  <c r="V57" i="18" s="1"/>
  <c r="L11" i="18"/>
  <c r="R64" i="18"/>
  <c r="M11" i="18"/>
  <c r="V11" i="18" s="1"/>
  <c r="J11" i="18"/>
  <c r="M22" i="18"/>
  <c r="V18" i="18" s="1"/>
  <c r="Q18" i="18"/>
  <c r="L22" i="18"/>
  <c r="J22" i="18"/>
  <c r="M13" i="18"/>
  <c r="V21" i="18" s="1"/>
  <c r="L13" i="18"/>
  <c r="K13" i="18"/>
  <c r="M14" i="18"/>
  <c r="L14" i="18"/>
  <c r="U104" i="18" s="1"/>
  <c r="J14" i="18"/>
  <c r="M29" i="18"/>
  <c r="K29" i="18"/>
  <c r="M42" i="18"/>
  <c r="J42" i="18"/>
  <c r="M55" i="18"/>
  <c r="K55" i="18"/>
  <c r="M64" i="18"/>
  <c r="L64" i="18"/>
  <c r="R14" i="18"/>
  <c r="J64" i="18"/>
  <c r="M88" i="18"/>
  <c r="L88" i="18"/>
  <c r="R91" i="18"/>
  <c r="J88" i="18"/>
  <c r="M102" i="18"/>
  <c r="L102" i="18"/>
  <c r="U61" i="18" s="1"/>
  <c r="R61" i="18"/>
  <c r="J102" i="18"/>
  <c r="R81" i="18"/>
  <c r="R109" i="18"/>
  <c r="Q109" i="18"/>
  <c r="M32" i="18"/>
  <c r="K32" i="18"/>
  <c r="M44" i="18"/>
  <c r="L44" i="18"/>
  <c r="Q67" i="18"/>
  <c r="J78" i="18"/>
  <c r="M94" i="18"/>
  <c r="J94" i="18"/>
  <c r="Q30" i="18"/>
  <c r="L103" i="18"/>
  <c r="U71" i="18" s="1"/>
  <c r="K103" i="18"/>
  <c r="L105" i="18"/>
  <c r="J105" i="18"/>
  <c r="M105" i="18"/>
  <c r="M110" i="18"/>
  <c r="L110" i="18"/>
  <c r="R102" i="18"/>
  <c r="J110" i="18"/>
  <c r="R57" i="18"/>
  <c r="Q90" i="18"/>
  <c r="J24" i="18"/>
  <c r="R106" i="18"/>
  <c r="J32" i="18"/>
  <c r="M34" i="18"/>
  <c r="Q26" i="18"/>
  <c r="M36" i="18"/>
  <c r="R100" i="18"/>
  <c r="J36" i="18"/>
  <c r="S100" i="18" s="1"/>
  <c r="K39" i="18"/>
  <c r="K41" i="18"/>
  <c r="L42" i="18"/>
  <c r="J44" i="18"/>
  <c r="M45" i="18"/>
  <c r="K45" i="18"/>
  <c r="M50" i="18"/>
  <c r="J50" i="18"/>
  <c r="Q42" i="18"/>
  <c r="R77" i="18"/>
  <c r="K64" i="18"/>
  <c r="M68" i="18"/>
  <c r="V95" i="18" s="1"/>
  <c r="L68" i="18"/>
  <c r="R95" i="18"/>
  <c r="J68" i="18"/>
  <c r="K73" i="18"/>
  <c r="M73" i="18"/>
  <c r="M80" i="18"/>
  <c r="L80" i="18"/>
  <c r="R28" i="18"/>
  <c r="J80" i="18"/>
  <c r="L83" i="18"/>
  <c r="J83" i="18"/>
  <c r="M83" i="18"/>
  <c r="V51" i="18" s="1"/>
  <c r="K88" i="18"/>
  <c r="T91" i="18" s="1"/>
  <c r="L94" i="18"/>
  <c r="L101" i="18"/>
  <c r="U62" i="18" s="1"/>
  <c r="J101" i="18"/>
  <c r="M101" i="18"/>
  <c r="K102" i="18"/>
  <c r="T61" i="18" s="1"/>
  <c r="M103" i="18"/>
  <c r="K105" i="18"/>
  <c r="K110" i="18"/>
  <c r="J7" i="18"/>
  <c r="L8" i="18"/>
  <c r="J10" i="18"/>
  <c r="S63" i="18" s="1"/>
  <c r="J12" i="18"/>
  <c r="R90" i="18"/>
  <c r="J15" i="18"/>
  <c r="L16" i="18"/>
  <c r="J18" i="18"/>
  <c r="L20" i="18"/>
  <c r="K21" i="18"/>
  <c r="K23" i="18"/>
  <c r="K24" i="18"/>
  <c r="M30" i="18"/>
  <c r="V107" i="18" s="1"/>
  <c r="L30" i="18"/>
  <c r="M31" i="18"/>
  <c r="V108" i="18" s="1"/>
  <c r="K31" i="18"/>
  <c r="L32" i="18"/>
  <c r="U56" i="18" s="1"/>
  <c r="J34" i="18"/>
  <c r="K35" i="18"/>
  <c r="T27" i="18" s="1"/>
  <c r="K36" i="18"/>
  <c r="K37" i="18"/>
  <c r="R46" i="18"/>
  <c r="R73" i="18"/>
  <c r="Q53" i="18"/>
  <c r="K44" i="18"/>
  <c r="T33" i="18" s="1"/>
  <c r="R34" i="18"/>
  <c r="L50" i="18"/>
  <c r="M53" i="18"/>
  <c r="K53" i="18"/>
  <c r="M58" i="18"/>
  <c r="Q85" i="18"/>
  <c r="J58" i="18"/>
  <c r="Q14" i="18"/>
  <c r="L67" i="18"/>
  <c r="J67" i="18"/>
  <c r="M67" i="18"/>
  <c r="V70" i="18" s="1"/>
  <c r="K68" i="18"/>
  <c r="L73" i="18"/>
  <c r="U7" i="18" s="1"/>
  <c r="K80" i="18"/>
  <c r="K83" i="18"/>
  <c r="R66" i="18"/>
  <c r="K85" i="18"/>
  <c r="Q91" i="18"/>
  <c r="K93" i="18"/>
  <c r="R23" i="18"/>
  <c r="K101" i="18"/>
  <c r="Q61" i="18"/>
  <c r="R79" i="18"/>
  <c r="Q102" i="18"/>
  <c r="M72" i="18"/>
  <c r="R9" i="18"/>
  <c r="J72" i="18"/>
  <c r="L72" i="18"/>
  <c r="U9" i="18" s="1"/>
  <c r="K7" i="18"/>
  <c r="Q58" i="18"/>
  <c r="M10" i="18"/>
  <c r="K12" i="18"/>
  <c r="K15" i="18"/>
  <c r="Q87" i="18"/>
  <c r="L18" i="18"/>
  <c r="U10" i="18" s="1"/>
  <c r="Q12" i="18"/>
  <c r="R86" i="18"/>
  <c r="R103" i="18"/>
  <c r="L24" i="18"/>
  <c r="M26" i="18"/>
  <c r="V19" i="18" s="1"/>
  <c r="J26" i="18"/>
  <c r="M28" i="18"/>
  <c r="L28" i="18"/>
  <c r="U69" i="18" s="1"/>
  <c r="R69" i="18"/>
  <c r="Q56" i="18"/>
  <c r="L34" i="18"/>
  <c r="U26" i="18" s="1"/>
  <c r="R27" i="18"/>
  <c r="L36" i="18"/>
  <c r="R101" i="18"/>
  <c r="Q33" i="18"/>
  <c r="M46" i="18"/>
  <c r="L46" i="18"/>
  <c r="M47" i="18"/>
  <c r="K47" i="18"/>
  <c r="T47" i="18" s="1"/>
  <c r="M52" i="18"/>
  <c r="L52" i="18"/>
  <c r="R44" i="18"/>
  <c r="J52" i="18"/>
  <c r="S44" i="18" s="1"/>
  <c r="M66" i="18"/>
  <c r="V25" i="18" s="1"/>
  <c r="J66" i="18"/>
  <c r="Q95" i="18"/>
  <c r="L70" i="18"/>
  <c r="J70" i="18"/>
  <c r="Q9" i="18"/>
  <c r="J74" i="18"/>
  <c r="M74" i="18"/>
  <c r="R80" i="18"/>
  <c r="K77" i="18"/>
  <c r="Q28" i="18"/>
  <c r="R51" i="18"/>
  <c r="Q68" i="18"/>
  <c r="J86" i="18"/>
  <c r="R62" i="18"/>
  <c r="M106" i="18"/>
  <c r="V82" i="18" s="1"/>
  <c r="L106" i="18"/>
  <c r="R82" i="18"/>
  <c r="J106" i="18"/>
  <c r="Q72" i="18"/>
  <c r="K48" i="18"/>
  <c r="Q78" i="18"/>
  <c r="R96" i="18"/>
  <c r="K60" i="18"/>
  <c r="T97" i="18" s="1"/>
  <c r="M61" i="18"/>
  <c r="V98" i="18" s="1"/>
  <c r="M62" i="18"/>
  <c r="M63" i="18"/>
  <c r="M69" i="18"/>
  <c r="V74" i="18" s="1"/>
  <c r="K75" i="18"/>
  <c r="Q60" i="18"/>
  <c r="Q65" i="18"/>
  <c r="K92" i="18"/>
  <c r="K96" i="18"/>
  <c r="L98" i="18"/>
  <c r="M104" i="18"/>
  <c r="V76" i="18" s="1"/>
  <c r="L111" i="18"/>
  <c r="U105" i="18" s="1"/>
  <c r="Q37" i="18"/>
  <c r="Q97" i="18"/>
  <c r="R89" i="18"/>
  <c r="Q22" i="18"/>
  <c r="Q40" i="18"/>
  <c r="Q57" i="18"/>
  <c r="K11" i="18"/>
  <c r="T64" i="18" s="1"/>
  <c r="Q21" i="18"/>
  <c r="J13" i="18"/>
  <c r="R21" i="18"/>
  <c r="R104" i="18"/>
  <c r="K14" i="18"/>
  <c r="Q104" i="18"/>
  <c r="Q81" i="18"/>
  <c r="Q11" i="18"/>
  <c r="J19" i="18"/>
  <c r="L19" i="18"/>
  <c r="L25" i="18"/>
  <c r="Q110" i="18"/>
  <c r="J25" i="18"/>
  <c r="Q20" i="18"/>
  <c r="J27" i="18"/>
  <c r="L27" i="18"/>
  <c r="L33" i="18"/>
  <c r="Q55" i="18"/>
  <c r="J33" i="18"/>
  <c r="Q27" i="18"/>
  <c r="J35" i="18"/>
  <c r="L35" i="18"/>
  <c r="L41" i="18"/>
  <c r="Q73" i="18"/>
  <c r="J41" i="18"/>
  <c r="Q54" i="18"/>
  <c r="J43" i="18"/>
  <c r="L43" i="18"/>
  <c r="L49" i="18"/>
  <c r="Q41" i="18"/>
  <c r="J49" i="18"/>
  <c r="Q43" i="18"/>
  <c r="J51" i="18"/>
  <c r="L51" i="18"/>
  <c r="L57" i="18"/>
  <c r="Q111" i="18"/>
  <c r="J57" i="18"/>
  <c r="Q59" i="18"/>
  <c r="J9" i="18"/>
  <c r="S59" i="18" s="1"/>
  <c r="R59" i="18"/>
  <c r="R63" i="18"/>
  <c r="K10" i="18"/>
  <c r="Q63" i="18"/>
  <c r="Q64" i="18"/>
  <c r="Q38" i="18"/>
  <c r="J17" i="18"/>
  <c r="R38" i="18"/>
  <c r="L21" i="18"/>
  <c r="Q86" i="18"/>
  <c r="J21" i="18"/>
  <c r="Q103" i="18"/>
  <c r="J23" i="18"/>
  <c r="L23" i="18"/>
  <c r="L29" i="18"/>
  <c r="Q106" i="18"/>
  <c r="J29" i="18"/>
  <c r="S106" i="18" s="1"/>
  <c r="Q108" i="18"/>
  <c r="J31" i="18"/>
  <c r="L31" i="18"/>
  <c r="L37" i="18"/>
  <c r="U101" i="18" s="1"/>
  <c r="Q101" i="18"/>
  <c r="J37" i="18"/>
  <c r="Q46" i="18"/>
  <c r="J39" i="18"/>
  <c r="L39" i="18"/>
  <c r="L45" i="18"/>
  <c r="Q34" i="18"/>
  <c r="J45" i="18"/>
  <c r="S34" i="18" s="1"/>
  <c r="Q36" i="18"/>
  <c r="J47" i="18"/>
  <c r="L47" i="18"/>
  <c r="U36" i="18" s="1"/>
  <c r="L53" i="18"/>
  <c r="Q31" i="18"/>
  <c r="J53" i="18"/>
  <c r="S31" i="18" s="1"/>
  <c r="Q77" i="18"/>
  <c r="J55" i="18"/>
  <c r="L55" i="18"/>
  <c r="K132" i="18"/>
  <c r="T128" i="18" s="1"/>
  <c r="R128" i="18"/>
  <c r="J132" i="18"/>
  <c r="S128" i="18" s="1"/>
  <c r="Q128" i="18"/>
  <c r="L132" i="18"/>
  <c r="U128" i="18" s="1"/>
  <c r="M132" i="18"/>
  <c r="V128" i="18" s="1"/>
  <c r="K18" i="18"/>
  <c r="R10" i="18"/>
  <c r="K22" i="18"/>
  <c r="R18" i="18"/>
  <c r="K26" i="18"/>
  <c r="R19" i="18"/>
  <c r="K30" i="18"/>
  <c r="T107" i="18" s="1"/>
  <c r="R107" i="18"/>
  <c r="K34" i="18"/>
  <c r="R26" i="18"/>
  <c r="K38" i="18"/>
  <c r="R45" i="18"/>
  <c r="K42" i="18"/>
  <c r="R53" i="18"/>
  <c r="K46" i="18"/>
  <c r="R35" i="18"/>
  <c r="K50" i="18"/>
  <c r="R42" i="18"/>
  <c r="K54" i="18"/>
  <c r="R32" i="18"/>
  <c r="K58" i="18"/>
  <c r="T85" i="18" s="1"/>
  <c r="R85" i="18"/>
  <c r="Q96" i="18"/>
  <c r="K63" i="18"/>
  <c r="Q24" i="18"/>
  <c r="J65" i="18"/>
  <c r="R24" i="18"/>
  <c r="R25" i="18"/>
  <c r="K66" i="18"/>
  <c r="Q25" i="18"/>
  <c r="Q70" i="18"/>
  <c r="K71" i="18"/>
  <c r="Q7" i="18"/>
  <c r="J73" i="18"/>
  <c r="R7" i="18"/>
  <c r="R88" i="18"/>
  <c r="K74" i="18"/>
  <c r="Q88" i="18"/>
  <c r="L125" i="18"/>
  <c r="U121" i="18" s="1"/>
  <c r="K125" i="18"/>
  <c r="T121" i="18" s="1"/>
  <c r="R121" i="18"/>
  <c r="J125" i="18"/>
  <c r="S121" i="18" s="1"/>
  <c r="M125" i="18"/>
  <c r="V121" i="18" s="1"/>
  <c r="Q121" i="18"/>
  <c r="Q98" i="18"/>
  <c r="J61" i="18"/>
  <c r="S98" i="18" s="1"/>
  <c r="R98" i="18"/>
  <c r="R99" i="18"/>
  <c r="K62" i="18"/>
  <c r="T99" i="18" s="1"/>
  <c r="Q99" i="18"/>
  <c r="Q13" i="18"/>
  <c r="Q74" i="18"/>
  <c r="J69" i="18"/>
  <c r="S74" i="18" s="1"/>
  <c r="R74" i="18"/>
  <c r="R75" i="18"/>
  <c r="K70" i="18"/>
  <c r="T70" i="18" s="1"/>
  <c r="Q75" i="18"/>
  <c r="Q8" i="18"/>
  <c r="Q80" i="18"/>
  <c r="J77" i="18"/>
  <c r="M77" i="18"/>
  <c r="L77" i="18"/>
  <c r="R67" i="18"/>
  <c r="K78" i="18"/>
  <c r="T67" i="18" s="1"/>
  <c r="M78" i="18"/>
  <c r="L78" i="18"/>
  <c r="L79" i="18"/>
  <c r="M79" i="18"/>
  <c r="V16" i="18" s="1"/>
  <c r="K79" i="18"/>
  <c r="Q66" i="18"/>
  <c r="J85" i="18"/>
  <c r="M85" i="18"/>
  <c r="L85" i="18"/>
  <c r="R68" i="18"/>
  <c r="K86" i="18"/>
  <c r="M86" i="18"/>
  <c r="L86" i="18"/>
  <c r="L87" i="18"/>
  <c r="U15" i="18" s="1"/>
  <c r="M87" i="18"/>
  <c r="K87" i="18"/>
  <c r="Q17" i="18"/>
  <c r="J91" i="18"/>
  <c r="L91" i="18"/>
  <c r="U17" i="18" s="1"/>
  <c r="R17" i="18"/>
  <c r="M91" i="18"/>
  <c r="L97" i="18"/>
  <c r="Q47" i="18"/>
  <c r="J97" i="18"/>
  <c r="R47" i="18"/>
  <c r="M97" i="18"/>
  <c r="V97" i="18" s="1"/>
  <c r="Q49" i="18"/>
  <c r="J99" i="18"/>
  <c r="S49" i="18" s="1"/>
  <c r="L99" i="18"/>
  <c r="R49" i="18"/>
  <c r="M99" i="18"/>
  <c r="V49" i="18" s="1"/>
  <c r="K128" i="18"/>
  <c r="T124" i="18" s="1"/>
  <c r="R124" i="18"/>
  <c r="J128" i="18"/>
  <c r="S124" i="18" s="1"/>
  <c r="Q124" i="18"/>
  <c r="L128" i="18"/>
  <c r="U124" i="18" s="1"/>
  <c r="M128" i="18"/>
  <c r="V124" i="18" s="1"/>
  <c r="L75" i="18"/>
  <c r="U89" i="18" s="1"/>
  <c r="Q29" i="18"/>
  <c r="J81" i="18"/>
  <c r="R29" i="18"/>
  <c r="R50" i="18"/>
  <c r="K82" i="18"/>
  <c r="Q50" i="18"/>
  <c r="Q51" i="18"/>
  <c r="Q92" i="18"/>
  <c r="J89" i="18"/>
  <c r="R92" i="18"/>
  <c r="L93" i="18"/>
  <c r="Q23" i="18"/>
  <c r="J93" i="18"/>
  <c r="Q39" i="18"/>
  <c r="J95" i="18"/>
  <c r="L95" i="18"/>
  <c r="R112" i="18"/>
  <c r="K112" i="18"/>
  <c r="T112" i="18" s="1"/>
  <c r="Q112" i="18"/>
  <c r="J112" i="18"/>
  <c r="S112" i="18" s="1"/>
  <c r="L112" i="18"/>
  <c r="U112" i="18" s="1"/>
  <c r="L109" i="18"/>
  <c r="U94" i="18" s="1"/>
  <c r="R94" i="18"/>
  <c r="K109" i="18"/>
  <c r="Q94" i="18"/>
  <c r="J109" i="18"/>
  <c r="K133" i="18"/>
  <c r="T129" i="18" s="1"/>
  <c r="J133" i="18"/>
  <c r="S129" i="18" s="1"/>
  <c r="R129" i="18"/>
  <c r="L133" i="18"/>
  <c r="U129" i="18" s="1"/>
  <c r="K90" i="18"/>
  <c r="R93" i="18"/>
  <c r="K94" i="18"/>
  <c r="T30" i="18" s="1"/>
  <c r="R30" i="18"/>
  <c r="K98" i="18"/>
  <c r="R48" i="18"/>
  <c r="R52" i="18"/>
  <c r="K100" i="18"/>
  <c r="T52" i="18" s="1"/>
  <c r="Q52" i="18"/>
  <c r="Q62" i="18"/>
  <c r="Q83" i="18"/>
  <c r="J107" i="18"/>
  <c r="R83" i="18"/>
  <c r="R84" i="18"/>
  <c r="K108" i="18"/>
  <c r="T84" i="18" s="1"/>
  <c r="Q84" i="18"/>
  <c r="L129" i="18"/>
  <c r="U125" i="18" s="1"/>
  <c r="K129" i="18"/>
  <c r="T125" i="18" s="1"/>
  <c r="R125" i="18"/>
  <c r="Q71" i="18"/>
  <c r="J103" i="18"/>
  <c r="S71" i="18" s="1"/>
  <c r="R71" i="18"/>
  <c r="R76" i="18"/>
  <c r="K104" i="18"/>
  <c r="Q76" i="18"/>
  <c r="Q79" i="18"/>
  <c r="L107" i="18"/>
  <c r="L108" i="18"/>
  <c r="L121" i="18"/>
  <c r="U117" i="18" s="1"/>
  <c r="K121" i="18"/>
  <c r="T117" i="18" s="1"/>
  <c r="K124" i="18"/>
  <c r="T120" i="18" s="1"/>
  <c r="R120" i="18"/>
  <c r="J124" i="18"/>
  <c r="S120" i="18" s="1"/>
  <c r="Q120" i="18"/>
  <c r="Q125" i="18"/>
  <c r="M129" i="18"/>
  <c r="V125" i="18" s="1"/>
  <c r="M111" i="18"/>
  <c r="L122" i="18"/>
  <c r="U118" i="18" s="1"/>
  <c r="M123" i="18"/>
  <c r="V119" i="18" s="1"/>
  <c r="L126" i="18"/>
  <c r="U122" i="18" s="1"/>
  <c r="M127" i="18"/>
  <c r="V123" i="18" s="1"/>
  <c r="M131" i="18"/>
  <c r="V127" i="18" s="1"/>
  <c r="J111" i="18"/>
  <c r="S105" i="18" s="1"/>
  <c r="AC356" i="1"/>
  <c r="AC451" i="1"/>
  <c r="AC12" i="1"/>
  <c r="AC11" i="1"/>
  <c r="AC450" i="1"/>
  <c r="AC185" i="1"/>
  <c r="AC113" i="1"/>
  <c r="AC137" i="1"/>
  <c r="AC136" i="1"/>
  <c r="AC253" i="1"/>
  <c r="AC69" i="1"/>
  <c r="AC308" i="1"/>
  <c r="AC301" i="1"/>
  <c r="AC40" i="1"/>
  <c r="AC39" i="1"/>
  <c r="AC361" i="1"/>
  <c r="R11" i="15"/>
  <c r="B3" i="15"/>
  <c r="C3" i="15"/>
  <c r="D3" i="15"/>
  <c r="L3" i="15"/>
  <c r="M3" i="15"/>
  <c r="N3" i="15" s="1"/>
  <c r="C357" i="1"/>
  <c r="Z357" i="1"/>
  <c r="AA357" i="1" s="1"/>
  <c r="AB357" i="1" s="1"/>
  <c r="C155" i="1"/>
  <c r="Z155" i="1"/>
  <c r="AA155" i="1" s="1"/>
  <c r="AB155" i="1" s="1"/>
  <c r="C325" i="1"/>
  <c r="Z325" i="1"/>
  <c r="AA325" i="1" s="1"/>
  <c r="AB325" i="1" s="1"/>
  <c r="C38" i="1"/>
  <c r="Z38" i="1"/>
  <c r="AA38" i="1" s="1"/>
  <c r="AB38" i="1" s="1"/>
  <c r="C283" i="1"/>
  <c r="Z283" i="1"/>
  <c r="AA283" i="1" s="1"/>
  <c r="AB283" i="1" s="1"/>
  <c r="C291" i="1"/>
  <c r="Z291" i="1"/>
  <c r="AA291" i="1" s="1"/>
  <c r="AB291" i="1" s="1"/>
  <c r="C224" i="1"/>
  <c r="Z224" i="1"/>
  <c r="AA224" i="1" s="1"/>
  <c r="AB224" i="1" s="1"/>
  <c r="C227" i="1"/>
  <c r="Z227" i="1"/>
  <c r="AA227" i="1" s="1"/>
  <c r="AB227" i="1" s="1"/>
  <c r="C419" i="1"/>
  <c r="Z419" i="1"/>
  <c r="AA419" i="1" s="1"/>
  <c r="AB419" i="1" s="1"/>
  <c r="C384" i="1"/>
  <c r="Z384" i="1"/>
  <c r="AA384" i="1" s="1"/>
  <c r="AB384" i="1" s="1"/>
  <c r="C383" i="1"/>
  <c r="Z383" i="1"/>
  <c r="AA383" i="1" s="1"/>
  <c r="AB383" i="1" s="1"/>
  <c r="C350" i="1"/>
  <c r="Z350" i="1"/>
  <c r="AA350" i="1" s="1"/>
  <c r="AB350" i="1" s="1"/>
  <c r="C236" i="1"/>
  <c r="Z236" i="1"/>
  <c r="AA236" i="1" s="1"/>
  <c r="AB236" i="1" s="1"/>
  <c r="AC236" i="1" s="1"/>
  <c r="C235" i="1"/>
  <c r="Z235" i="1"/>
  <c r="AA235" i="1" s="1"/>
  <c r="AB235" i="1" s="1"/>
  <c r="AC235" i="1" s="1"/>
  <c r="C394" i="1"/>
  <c r="Z394" i="1"/>
  <c r="AA394" i="1" s="1"/>
  <c r="AB394" i="1"/>
  <c r="AC394" i="1" s="1"/>
  <c r="C393" i="1"/>
  <c r="Z393" i="1"/>
  <c r="AA393" i="1" s="1"/>
  <c r="AB393" i="1"/>
  <c r="AC393" i="1" s="1"/>
  <c r="C323" i="1"/>
  <c r="Z323" i="1"/>
  <c r="AA323" i="1" s="1"/>
  <c r="AB323" i="1" s="1"/>
  <c r="AC323" i="1" s="1"/>
  <c r="C322" i="1"/>
  <c r="Z322" i="1"/>
  <c r="AA322" i="1" s="1"/>
  <c r="AB322" i="1" s="1"/>
  <c r="AC322" i="1" s="1"/>
  <c r="C368" i="1"/>
  <c r="Z368" i="1"/>
  <c r="AA368" i="1" s="1"/>
  <c r="AB368" i="1"/>
  <c r="AC368" i="1" s="1"/>
  <c r="C367" i="1"/>
  <c r="Z367" i="1"/>
  <c r="AA367" i="1" s="1"/>
  <c r="AB367" i="1"/>
  <c r="AC367" i="1" s="1"/>
  <c r="C164" i="1"/>
  <c r="Z164" i="1"/>
  <c r="AA164" i="1" s="1"/>
  <c r="AB164" i="1" s="1"/>
  <c r="AC164" i="1" s="1"/>
  <c r="C163" i="1"/>
  <c r="Z163" i="1"/>
  <c r="AA163" i="1" s="1"/>
  <c r="AB163" i="1" s="1"/>
  <c r="AC163" i="1" s="1"/>
  <c r="C348" i="1"/>
  <c r="Z348" i="1"/>
  <c r="AA348" i="1" s="1"/>
  <c r="AB348" i="1" s="1"/>
  <c r="AC348" i="1" s="1"/>
  <c r="C347" i="1"/>
  <c r="Z347" i="1"/>
  <c r="AA347" i="1" s="1"/>
  <c r="AB347" i="1" s="1"/>
  <c r="AC347" i="1" s="1"/>
  <c r="C455" i="1"/>
  <c r="Z455" i="1"/>
  <c r="AA455" i="1" s="1"/>
  <c r="AB455" i="1"/>
  <c r="AC455" i="1" s="1"/>
  <c r="C454" i="1"/>
  <c r="Z454" i="1"/>
  <c r="AA454" i="1" s="1"/>
  <c r="AB454" i="1"/>
  <c r="AC454" i="1" s="1"/>
  <c r="C198" i="1"/>
  <c r="Z198" i="1"/>
  <c r="AA198" i="1" s="1"/>
  <c r="AB198" i="1" s="1"/>
  <c r="AC198" i="1" s="1"/>
  <c r="C212" i="1"/>
  <c r="Z212" i="1"/>
  <c r="AA212" i="1" s="1"/>
  <c r="AB212" i="1" s="1"/>
  <c r="AC212" i="1" s="1"/>
  <c r="C488" i="1"/>
  <c r="Z488" i="1"/>
  <c r="AA488" i="1" s="1"/>
  <c r="AB488" i="1"/>
  <c r="AC488" i="1" s="1"/>
  <c r="C435" i="1"/>
  <c r="Z435" i="1"/>
  <c r="AA435" i="1" s="1"/>
  <c r="AB435" i="1" s="1"/>
  <c r="AC435" i="1" s="1"/>
  <c r="C411" i="1"/>
  <c r="Z411" i="1"/>
  <c r="AA411" i="1" s="1"/>
  <c r="AB411" i="1"/>
  <c r="AC411" i="1" s="1"/>
  <c r="C453" i="1"/>
  <c r="Z453" i="1"/>
  <c r="AA453" i="1" s="1"/>
  <c r="AB453" i="1"/>
  <c r="AC453" i="1" s="1"/>
  <c r="C452" i="1"/>
  <c r="Z452" i="1"/>
  <c r="AA452" i="1" s="1"/>
  <c r="AB452" i="1"/>
  <c r="AC452" i="1" s="1"/>
  <c r="C481" i="1"/>
  <c r="Z481" i="1"/>
  <c r="AA481" i="1" s="1"/>
  <c r="AB481" i="1"/>
  <c r="AC481" i="1" s="1"/>
  <c r="C480" i="1"/>
  <c r="Z480" i="1"/>
  <c r="AA480" i="1" s="1"/>
  <c r="AB480" i="1"/>
  <c r="AC480" i="1" s="1"/>
  <c r="C479" i="1"/>
  <c r="Z479" i="1"/>
  <c r="AA479" i="1" s="1"/>
  <c r="AB479" i="1"/>
  <c r="AC479" i="1" s="1"/>
  <c r="C449" i="1"/>
  <c r="Z449" i="1"/>
  <c r="AA449" i="1" s="1"/>
  <c r="AB449" i="1"/>
  <c r="AC449" i="1" s="1"/>
  <c r="C161" i="1"/>
  <c r="Z161" i="1"/>
  <c r="AA161" i="1" s="1"/>
  <c r="AB161" i="1" s="1"/>
  <c r="AC161" i="1" s="1"/>
  <c r="C374" i="1"/>
  <c r="Z374" i="1"/>
  <c r="AA374" i="1" s="1"/>
  <c r="AB374" i="1"/>
  <c r="AC374" i="1" s="1"/>
  <c r="C458" i="1"/>
  <c r="Z458" i="1"/>
  <c r="AA458" i="1" s="1"/>
  <c r="AB458" i="1"/>
  <c r="AC458" i="1" s="1"/>
  <c r="C410" i="1"/>
  <c r="Z410" i="1"/>
  <c r="AA410" i="1" s="1"/>
  <c r="AB410" i="1"/>
  <c r="AC410" i="1" s="1"/>
  <c r="C468" i="1"/>
  <c r="Z468" i="1"/>
  <c r="AA468" i="1" s="1"/>
  <c r="AB468" i="1"/>
  <c r="AC468" i="1" s="1"/>
  <c r="C418" i="1"/>
  <c r="Z418" i="1"/>
  <c r="AA418" i="1" s="1"/>
  <c r="AB418" i="1"/>
  <c r="AC418" i="1" s="1"/>
  <c r="C501" i="1"/>
  <c r="Z501" i="1"/>
  <c r="AA501" i="1" s="1"/>
  <c r="AB501" i="1"/>
  <c r="AC501" i="1" s="1"/>
  <c r="C500" i="1"/>
  <c r="Z500" i="1"/>
  <c r="AA500" i="1" s="1"/>
  <c r="AB500" i="1"/>
  <c r="AC500" i="1" s="1"/>
  <c r="C499" i="1"/>
  <c r="Z499" i="1"/>
  <c r="AA499" i="1" s="1"/>
  <c r="AB499" i="1"/>
  <c r="AC499" i="1" s="1"/>
  <c r="C329" i="1"/>
  <c r="Z329" i="1"/>
  <c r="AA329" i="1" s="1"/>
  <c r="AB329" i="1" s="1"/>
  <c r="AC329" i="1" s="1"/>
  <c r="C179" i="1"/>
  <c r="Z179" i="1"/>
  <c r="AA179" i="1" s="1"/>
  <c r="AB179" i="1" s="1"/>
  <c r="AC179" i="1" s="1"/>
  <c r="C346" i="1"/>
  <c r="Z346" i="1"/>
  <c r="AA346" i="1" s="1"/>
  <c r="AB346" i="1" s="1"/>
  <c r="AC346" i="1" s="1"/>
  <c r="C345" i="1"/>
  <c r="Z345" i="1"/>
  <c r="AA345" i="1" s="1"/>
  <c r="AB345" i="1" s="1"/>
  <c r="AC345" i="1" s="1"/>
  <c r="C446" i="1"/>
  <c r="Z446" i="1"/>
  <c r="AA446" i="1" s="1"/>
  <c r="AB446" i="1"/>
  <c r="AC446" i="1" s="1"/>
  <c r="C445" i="1"/>
  <c r="Z445" i="1"/>
  <c r="AA445" i="1" s="1"/>
  <c r="AB445" i="1"/>
  <c r="AC445" i="1" s="1"/>
  <c r="C408" i="1"/>
  <c r="C409" i="1"/>
  <c r="Z408" i="1"/>
  <c r="AA408" i="1" s="1"/>
  <c r="Z409" i="1"/>
  <c r="AA409" i="1" s="1"/>
  <c r="AB408" i="1"/>
  <c r="AC408" i="1" s="1"/>
  <c r="AB409" i="1"/>
  <c r="AC409" i="1" s="1"/>
  <c r="C290" i="1"/>
  <c r="Z290" i="1"/>
  <c r="AA290" i="1" s="1"/>
  <c r="AB290" i="1" s="1"/>
  <c r="AC290" i="1" s="1"/>
  <c r="C289" i="1"/>
  <c r="Z289" i="1"/>
  <c r="AA289" i="1" s="1"/>
  <c r="AB289" i="1" s="1"/>
  <c r="AC289" i="1" s="1"/>
  <c r="C273" i="1"/>
  <c r="Z273" i="1"/>
  <c r="AA273" i="1" s="1"/>
  <c r="AB273" i="1" s="1"/>
  <c r="AC273" i="1" s="1"/>
  <c r="C272" i="1"/>
  <c r="Z272" i="1"/>
  <c r="AA272" i="1" s="1"/>
  <c r="AB272" i="1" s="1"/>
  <c r="AC272" i="1" s="1"/>
  <c r="C508" i="1"/>
  <c r="Z508" i="1"/>
  <c r="AA508" i="1" s="1"/>
  <c r="AB508" i="1"/>
  <c r="AC508" i="1" s="1"/>
  <c r="C507" i="1"/>
  <c r="Z507" i="1"/>
  <c r="AA507" i="1" s="1"/>
  <c r="AB507" i="1"/>
  <c r="AC507" i="1" s="1"/>
  <c r="C506" i="1"/>
  <c r="Z506" i="1"/>
  <c r="AA506" i="1" s="1"/>
  <c r="AB506" i="1"/>
  <c r="AC506" i="1" s="1"/>
  <c r="C120" i="1"/>
  <c r="Z120" i="1"/>
  <c r="AA120" i="1" s="1"/>
  <c r="AB120" i="1" s="1"/>
  <c r="AC120" i="1" s="1"/>
  <c r="C460" i="1"/>
  <c r="Z460" i="1"/>
  <c r="AA460" i="1" s="1"/>
  <c r="AB460" i="1"/>
  <c r="AC460" i="1" s="1"/>
  <c r="C471" i="1"/>
  <c r="Z471" i="1"/>
  <c r="AA471" i="1" s="1"/>
  <c r="AB471" i="1"/>
  <c r="AC471" i="1" s="1"/>
  <c r="C470" i="1"/>
  <c r="Z470" i="1"/>
  <c r="AA470" i="1" s="1"/>
  <c r="AB470" i="1"/>
  <c r="AC470" i="1" s="1"/>
  <c r="C459" i="1"/>
  <c r="Z459" i="1"/>
  <c r="AA459" i="1" s="1"/>
  <c r="AB459" i="1"/>
  <c r="AC459" i="1" s="1"/>
  <c r="C463" i="1"/>
  <c r="Z463" i="1"/>
  <c r="AA463" i="1" s="1"/>
  <c r="AB463" i="1"/>
  <c r="AC463" i="1" s="1"/>
  <c r="C434" i="1"/>
  <c r="Z434" i="1"/>
  <c r="AA434" i="1" s="1"/>
  <c r="AB434" i="1"/>
  <c r="AC434" i="1" s="1"/>
  <c r="C193" i="1"/>
  <c r="Z193" i="1"/>
  <c r="AA193" i="1" s="1"/>
  <c r="AB193" i="1" s="1"/>
  <c r="AC193" i="1" s="1"/>
  <c r="C34" i="1"/>
  <c r="Z34" i="1"/>
  <c r="AA34" i="1" s="1"/>
  <c r="AB34" i="1" s="1"/>
  <c r="AC34" i="1" s="1"/>
  <c r="C191" i="1"/>
  <c r="Z191" i="1"/>
  <c r="AA191" i="1" s="1"/>
  <c r="AB191" i="1" s="1"/>
  <c r="AC191" i="1" s="1"/>
  <c r="C494" i="1"/>
  <c r="Z494" i="1"/>
  <c r="AA494" i="1" s="1"/>
  <c r="AB494" i="1"/>
  <c r="AC494" i="1" s="1"/>
  <c r="C493" i="1"/>
  <c r="Z493" i="1"/>
  <c r="AA493" i="1" s="1"/>
  <c r="AB493" i="1"/>
  <c r="AC493" i="1" s="1"/>
  <c r="C139" i="1"/>
  <c r="Z139" i="1"/>
  <c r="AA139" i="1" s="1"/>
  <c r="AB139" i="1" s="1"/>
  <c r="AC139" i="1" s="1"/>
  <c r="C340" i="1"/>
  <c r="Z340" i="1"/>
  <c r="AA340" i="1" s="1"/>
  <c r="AB340" i="1" s="1"/>
  <c r="AC340" i="1" s="1"/>
  <c r="C183" i="1"/>
  <c r="Z183" i="1"/>
  <c r="AA183" i="1" s="1"/>
  <c r="AB183" i="1" s="1"/>
  <c r="AC183" i="1" s="1"/>
  <c r="C326" i="1"/>
  <c r="Z326" i="1"/>
  <c r="AA326" i="1" s="1"/>
  <c r="AB326" i="1" s="1"/>
  <c r="AC326" i="1" s="1"/>
  <c r="C303" i="1"/>
  <c r="Z303" i="1"/>
  <c r="AA303" i="1" s="1"/>
  <c r="AB303" i="1" s="1"/>
  <c r="AC303" i="1" s="1"/>
  <c r="C302" i="1"/>
  <c r="Z302" i="1"/>
  <c r="AA302" i="1" s="1"/>
  <c r="AB302" i="1" s="1"/>
  <c r="AC302" i="1" s="1"/>
  <c r="C474" i="1"/>
  <c r="Z474" i="1"/>
  <c r="AA474" i="1" s="1"/>
  <c r="AB474" i="1" s="1"/>
  <c r="AC474" i="1" s="1"/>
  <c r="C364" i="1"/>
  <c r="Z364" i="1"/>
  <c r="AA364" i="1" s="1"/>
  <c r="AB364" i="1"/>
  <c r="AC364" i="1" s="1"/>
  <c r="C363" i="1"/>
  <c r="Z363" i="1"/>
  <c r="AA363" i="1" s="1"/>
  <c r="AB363" i="1"/>
  <c r="AC363" i="1" s="1"/>
  <c r="C360" i="1"/>
  <c r="Z360" i="1"/>
  <c r="AA360" i="1" s="1"/>
  <c r="AB360" i="1"/>
  <c r="AC360" i="1" s="1"/>
  <c r="C359" i="1"/>
  <c r="Z359" i="1"/>
  <c r="AA359" i="1" s="1"/>
  <c r="AB359" i="1"/>
  <c r="AC359" i="1" s="1"/>
  <c r="C423" i="1"/>
  <c r="Z423" i="1"/>
  <c r="AA423" i="1" s="1"/>
  <c r="AB423" i="1"/>
  <c r="AC423" i="1" s="1"/>
  <c r="C422" i="1"/>
  <c r="Z422" i="1"/>
  <c r="AA422" i="1" s="1"/>
  <c r="AB422" i="1"/>
  <c r="AC422" i="1" s="1"/>
  <c r="C207" i="1"/>
  <c r="Z207" i="1"/>
  <c r="AA207" i="1" s="1"/>
  <c r="AB207" i="1" s="1"/>
  <c r="AC207" i="1" s="1"/>
  <c r="M172" i="17"/>
  <c r="V156" i="17" s="1"/>
  <c r="L172" i="17"/>
  <c r="U156" i="17" s="1"/>
  <c r="K172" i="17"/>
  <c r="T156" i="17" s="1"/>
  <c r="J172" i="17"/>
  <c r="S156" i="17" s="1"/>
  <c r="M171" i="17"/>
  <c r="V155" i="17" s="1"/>
  <c r="L171" i="17"/>
  <c r="U155" i="17" s="1"/>
  <c r="K171" i="17"/>
  <c r="T155" i="17" s="1"/>
  <c r="J171" i="17"/>
  <c r="S155" i="17" s="1"/>
  <c r="M170" i="17"/>
  <c r="V154" i="17" s="1"/>
  <c r="L170" i="17"/>
  <c r="U154" i="17" s="1"/>
  <c r="K170" i="17"/>
  <c r="T154" i="17" s="1"/>
  <c r="J170" i="17"/>
  <c r="S154" i="17" s="1"/>
  <c r="M169" i="17"/>
  <c r="V153" i="17" s="1"/>
  <c r="L169" i="17"/>
  <c r="U153" i="17" s="1"/>
  <c r="K169" i="17"/>
  <c r="T153" i="17" s="1"/>
  <c r="J169" i="17"/>
  <c r="S153" i="17" s="1"/>
  <c r="M168" i="17"/>
  <c r="V152" i="17" s="1"/>
  <c r="L168" i="17"/>
  <c r="U152" i="17" s="1"/>
  <c r="K168" i="17"/>
  <c r="T152" i="17" s="1"/>
  <c r="J168" i="17"/>
  <c r="S152" i="17" s="1"/>
  <c r="M167" i="17"/>
  <c r="V151" i="17" s="1"/>
  <c r="L167" i="17"/>
  <c r="U151" i="17" s="1"/>
  <c r="K167" i="17"/>
  <c r="T151" i="17" s="1"/>
  <c r="J167" i="17"/>
  <c r="S151" i="17" s="1"/>
  <c r="M166" i="17"/>
  <c r="V150" i="17" s="1"/>
  <c r="L166" i="17"/>
  <c r="U150" i="17" s="1"/>
  <c r="K166" i="17"/>
  <c r="T150" i="17" s="1"/>
  <c r="J166" i="17"/>
  <c r="S150" i="17" s="1"/>
  <c r="M165" i="17"/>
  <c r="V149" i="17" s="1"/>
  <c r="L165" i="17"/>
  <c r="U149" i="17" s="1"/>
  <c r="K165" i="17"/>
  <c r="T149" i="17" s="1"/>
  <c r="J165" i="17"/>
  <c r="S149" i="17" s="1"/>
  <c r="M164" i="17"/>
  <c r="V148" i="17" s="1"/>
  <c r="L164" i="17"/>
  <c r="U148" i="17" s="1"/>
  <c r="K164" i="17"/>
  <c r="T148" i="17" s="1"/>
  <c r="J164" i="17"/>
  <c r="S148" i="17" s="1"/>
  <c r="M163" i="17"/>
  <c r="V147" i="17" s="1"/>
  <c r="L163" i="17"/>
  <c r="U147" i="17" s="1"/>
  <c r="K163" i="17"/>
  <c r="T147" i="17" s="1"/>
  <c r="J163" i="17"/>
  <c r="S147" i="17" s="1"/>
  <c r="M162" i="17"/>
  <c r="V146" i="17" s="1"/>
  <c r="L162" i="17"/>
  <c r="U146" i="17" s="1"/>
  <c r="K162" i="17"/>
  <c r="T146" i="17" s="1"/>
  <c r="J162" i="17"/>
  <c r="S146" i="17" s="1"/>
  <c r="M161" i="17"/>
  <c r="V145" i="17" s="1"/>
  <c r="L161" i="17"/>
  <c r="U145" i="17" s="1"/>
  <c r="K161" i="17"/>
  <c r="T145" i="17" s="1"/>
  <c r="J161" i="17"/>
  <c r="S145" i="17" s="1"/>
  <c r="M160" i="17"/>
  <c r="V144" i="17" s="1"/>
  <c r="L160" i="17"/>
  <c r="U144" i="17" s="1"/>
  <c r="K160" i="17"/>
  <c r="T144" i="17" s="1"/>
  <c r="J160" i="17"/>
  <c r="S144" i="17" s="1"/>
  <c r="M159" i="17"/>
  <c r="V143" i="17" s="1"/>
  <c r="L159" i="17"/>
  <c r="U143" i="17" s="1"/>
  <c r="K159" i="17"/>
  <c r="T143" i="17" s="1"/>
  <c r="J159" i="17"/>
  <c r="S143" i="17" s="1"/>
  <c r="V158" i="17"/>
  <c r="U158" i="17"/>
  <c r="T158" i="17"/>
  <c r="S158" i="17"/>
  <c r="R158" i="17"/>
  <c r="Q158" i="17"/>
  <c r="P158" i="17"/>
  <c r="M158" i="17"/>
  <c r="V142" i="17" s="1"/>
  <c r="L158" i="17"/>
  <c r="U142" i="17" s="1"/>
  <c r="K158" i="17"/>
  <c r="T142" i="17" s="1"/>
  <c r="J158" i="17"/>
  <c r="S142" i="17" s="1"/>
  <c r="V157" i="17"/>
  <c r="U157" i="17"/>
  <c r="T157" i="17"/>
  <c r="S157" i="17"/>
  <c r="R157" i="17"/>
  <c r="Q157" i="17"/>
  <c r="P157" i="17"/>
  <c r="M157" i="17"/>
  <c r="V141" i="17" s="1"/>
  <c r="L157" i="17"/>
  <c r="U141" i="17" s="1"/>
  <c r="K157" i="17"/>
  <c r="T141" i="17" s="1"/>
  <c r="J157" i="17"/>
  <c r="S141" i="17" s="1"/>
  <c r="R156" i="17"/>
  <c r="Q156" i="17"/>
  <c r="P156" i="17"/>
  <c r="M156" i="17"/>
  <c r="V140" i="17" s="1"/>
  <c r="L156" i="17"/>
  <c r="U140" i="17" s="1"/>
  <c r="K156" i="17"/>
  <c r="T140" i="17" s="1"/>
  <c r="J156" i="17"/>
  <c r="S140" i="17" s="1"/>
  <c r="R155" i="17"/>
  <c r="Q155" i="17"/>
  <c r="P155" i="17"/>
  <c r="M155" i="17"/>
  <c r="V139" i="17" s="1"/>
  <c r="L155" i="17"/>
  <c r="U139" i="17" s="1"/>
  <c r="K155" i="17"/>
  <c r="T139" i="17" s="1"/>
  <c r="J155" i="17"/>
  <c r="S139" i="17" s="1"/>
  <c r="R154" i="17"/>
  <c r="Q154" i="17"/>
  <c r="P154" i="17"/>
  <c r="M154" i="17"/>
  <c r="V138" i="17" s="1"/>
  <c r="L154" i="17"/>
  <c r="U138" i="17" s="1"/>
  <c r="K154" i="17"/>
  <c r="T138" i="17" s="1"/>
  <c r="J154" i="17"/>
  <c r="S138" i="17" s="1"/>
  <c r="R153" i="17"/>
  <c r="Q153" i="17"/>
  <c r="P153" i="17"/>
  <c r="M153" i="17"/>
  <c r="V137" i="17" s="1"/>
  <c r="L153" i="17"/>
  <c r="U137" i="17" s="1"/>
  <c r="K153" i="17"/>
  <c r="T137" i="17" s="1"/>
  <c r="J153" i="17"/>
  <c r="S137" i="17" s="1"/>
  <c r="R152" i="17"/>
  <c r="Q152" i="17"/>
  <c r="P152" i="17"/>
  <c r="M152" i="17"/>
  <c r="V136" i="17" s="1"/>
  <c r="L152" i="17"/>
  <c r="U136" i="17" s="1"/>
  <c r="K152" i="17"/>
  <c r="T136" i="17" s="1"/>
  <c r="J152" i="17"/>
  <c r="S136" i="17" s="1"/>
  <c r="R151" i="17"/>
  <c r="Q151" i="17"/>
  <c r="P151" i="17"/>
  <c r="M151" i="17"/>
  <c r="V135" i="17" s="1"/>
  <c r="L151" i="17"/>
  <c r="U135" i="17" s="1"/>
  <c r="K151" i="17"/>
  <c r="T135" i="17" s="1"/>
  <c r="J151" i="17"/>
  <c r="S135" i="17" s="1"/>
  <c r="R150" i="17"/>
  <c r="Q150" i="17"/>
  <c r="P150" i="17"/>
  <c r="M150" i="17"/>
  <c r="V134" i="17" s="1"/>
  <c r="L150" i="17"/>
  <c r="U134" i="17" s="1"/>
  <c r="K150" i="17"/>
  <c r="T134" i="17" s="1"/>
  <c r="J150" i="17"/>
  <c r="S134" i="17" s="1"/>
  <c r="R149" i="17"/>
  <c r="Q149" i="17"/>
  <c r="P149" i="17"/>
  <c r="M149" i="17"/>
  <c r="V133" i="17" s="1"/>
  <c r="L149" i="17"/>
  <c r="U133" i="17" s="1"/>
  <c r="K149" i="17"/>
  <c r="T133" i="17" s="1"/>
  <c r="J149" i="17"/>
  <c r="S133" i="17" s="1"/>
  <c r="R148" i="17"/>
  <c r="Q148" i="17"/>
  <c r="P148" i="17"/>
  <c r="M148" i="17"/>
  <c r="V132" i="17" s="1"/>
  <c r="L148" i="17"/>
  <c r="U132" i="17" s="1"/>
  <c r="K148" i="17"/>
  <c r="T132" i="17" s="1"/>
  <c r="J148" i="17"/>
  <c r="S132" i="17" s="1"/>
  <c r="R147" i="17"/>
  <c r="Q147" i="17"/>
  <c r="P147" i="17"/>
  <c r="M147" i="17"/>
  <c r="L147" i="17"/>
  <c r="K147" i="17"/>
  <c r="J147" i="17"/>
  <c r="R146" i="17"/>
  <c r="Q146" i="17"/>
  <c r="P146" i="17"/>
  <c r="M146" i="17"/>
  <c r="L146" i="17"/>
  <c r="K146" i="17"/>
  <c r="J146" i="17"/>
  <c r="R145" i="17"/>
  <c r="Q145" i="17"/>
  <c r="P145" i="17"/>
  <c r="M145" i="17"/>
  <c r="L145" i="17"/>
  <c r="K145" i="17"/>
  <c r="J145" i="17"/>
  <c r="R144" i="17"/>
  <c r="Q144" i="17"/>
  <c r="P144" i="17"/>
  <c r="M144" i="17"/>
  <c r="L144" i="17"/>
  <c r="K144" i="17"/>
  <c r="J144" i="17"/>
  <c r="R143" i="17"/>
  <c r="Q143" i="17"/>
  <c r="P143" i="17"/>
  <c r="M143" i="17"/>
  <c r="L143" i="17"/>
  <c r="K143" i="17"/>
  <c r="J143" i="17"/>
  <c r="R142" i="17"/>
  <c r="Q142" i="17"/>
  <c r="P142" i="17"/>
  <c r="M142" i="17"/>
  <c r="L142" i="17"/>
  <c r="K142" i="17"/>
  <c r="J142" i="17"/>
  <c r="R141" i="17"/>
  <c r="Q141" i="17"/>
  <c r="P141" i="17"/>
  <c r="M141" i="17"/>
  <c r="L141" i="17"/>
  <c r="K141" i="17"/>
  <c r="J141" i="17"/>
  <c r="R140" i="17"/>
  <c r="Q140" i="17"/>
  <c r="P140" i="17"/>
  <c r="M140" i="17"/>
  <c r="L140" i="17"/>
  <c r="K140" i="17"/>
  <c r="J140" i="17"/>
  <c r="R139" i="17"/>
  <c r="Q139" i="17"/>
  <c r="P139" i="17"/>
  <c r="M139" i="17"/>
  <c r="L139" i="17"/>
  <c r="K139" i="17"/>
  <c r="J139" i="17"/>
  <c r="R138" i="17"/>
  <c r="Q138" i="17"/>
  <c r="P138" i="17"/>
  <c r="M138" i="17"/>
  <c r="L138" i="17"/>
  <c r="K138" i="17"/>
  <c r="J138" i="17"/>
  <c r="R137" i="17"/>
  <c r="Q137" i="17"/>
  <c r="P137" i="17"/>
  <c r="M137" i="17"/>
  <c r="L137" i="17"/>
  <c r="K137" i="17"/>
  <c r="J137" i="17"/>
  <c r="R136" i="17"/>
  <c r="Q136" i="17"/>
  <c r="P136" i="17"/>
  <c r="M136" i="17"/>
  <c r="L136" i="17"/>
  <c r="K136" i="17"/>
  <c r="J136" i="17"/>
  <c r="R135" i="17"/>
  <c r="Q135" i="17"/>
  <c r="P135" i="17"/>
  <c r="M135" i="17"/>
  <c r="V131" i="17" s="1"/>
  <c r="L135" i="17"/>
  <c r="U131" i="17" s="1"/>
  <c r="K135" i="17"/>
  <c r="T131" i="17" s="1"/>
  <c r="J135" i="17"/>
  <c r="S131" i="17" s="1"/>
  <c r="R134" i="17"/>
  <c r="Q134" i="17"/>
  <c r="P134" i="17"/>
  <c r="M134" i="17"/>
  <c r="V130" i="17" s="1"/>
  <c r="L134" i="17"/>
  <c r="U130" i="17" s="1"/>
  <c r="K134" i="17"/>
  <c r="T130" i="17" s="1"/>
  <c r="J134" i="17"/>
  <c r="S130" i="17" s="1"/>
  <c r="R133" i="17"/>
  <c r="Q133" i="17"/>
  <c r="P133" i="17"/>
  <c r="A133" i="17"/>
  <c r="Q129" i="17" s="1"/>
  <c r="R132" i="17"/>
  <c r="Q132" i="17"/>
  <c r="P132" i="17"/>
  <c r="A132" i="17"/>
  <c r="R131" i="17"/>
  <c r="Q131" i="17"/>
  <c r="A131" i="17"/>
  <c r="M131" i="17" s="1"/>
  <c r="V127" i="17" s="1"/>
  <c r="R130" i="17"/>
  <c r="Q130" i="17"/>
  <c r="A130" i="17"/>
  <c r="M130" i="17" s="1"/>
  <c r="V126" i="17" s="1"/>
  <c r="A129" i="17"/>
  <c r="Q125" i="17" s="1"/>
  <c r="A128" i="17"/>
  <c r="A127" i="17"/>
  <c r="M127" i="17" s="1"/>
  <c r="V123" i="17" s="1"/>
  <c r="A126" i="17"/>
  <c r="M126" i="17" s="1"/>
  <c r="V122" i="17" s="1"/>
  <c r="A125" i="17"/>
  <c r="Q121" i="17" s="1"/>
  <c r="A124" i="17"/>
  <c r="A123" i="17"/>
  <c r="M123" i="17" s="1"/>
  <c r="V119" i="17" s="1"/>
  <c r="A122" i="17"/>
  <c r="M122" i="17" s="1"/>
  <c r="V118" i="17" s="1"/>
  <c r="A121" i="17"/>
  <c r="M121" i="17" s="1"/>
  <c r="V117" i="17" s="1"/>
  <c r="M120" i="17"/>
  <c r="V116" i="17" s="1"/>
  <c r="L120" i="17"/>
  <c r="U116" i="17" s="1"/>
  <c r="K120" i="17"/>
  <c r="T116" i="17" s="1"/>
  <c r="J120" i="17"/>
  <c r="S116" i="17" s="1"/>
  <c r="M119" i="17"/>
  <c r="V115" i="17" s="1"/>
  <c r="L119" i="17"/>
  <c r="U115" i="17" s="1"/>
  <c r="K119" i="17"/>
  <c r="T115" i="17" s="1"/>
  <c r="J119" i="17"/>
  <c r="S115" i="17" s="1"/>
  <c r="M118" i="17"/>
  <c r="V114" i="17" s="1"/>
  <c r="L118" i="17"/>
  <c r="U114" i="17" s="1"/>
  <c r="K118" i="17"/>
  <c r="T114" i="17" s="1"/>
  <c r="J118" i="17"/>
  <c r="S114" i="17" s="1"/>
  <c r="M117" i="17"/>
  <c r="V113" i="17" s="1"/>
  <c r="L117" i="17"/>
  <c r="U113" i="17" s="1"/>
  <c r="K117" i="17"/>
  <c r="T113" i="17" s="1"/>
  <c r="J117" i="17"/>
  <c r="S113" i="17" s="1"/>
  <c r="R116" i="17"/>
  <c r="Q116" i="17"/>
  <c r="M116" i="17"/>
  <c r="L116" i="17"/>
  <c r="K116" i="17"/>
  <c r="J116" i="17"/>
  <c r="R115" i="17"/>
  <c r="Q115" i="17"/>
  <c r="M115" i="17"/>
  <c r="L115" i="17"/>
  <c r="K115" i="17"/>
  <c r="J115" i="17"/>
  <c r="R114" i="17"/>
  <c r="Q114" i="17"/>
  <c r="M114" i="17"/>
  <c r="L114" i="17"/>
  <c r="K114" i="17"/>
  <c r="J114" i="17"/>
  <c r="R113" i="17"/>
  <c r="Q113" i="17"/>
  <c r="M113" i="17"/>
  <c r="L113" i="17"/>
  <c r="K113" i="17"/>
  <c r="J113" i="17"/>
  <c r="A112" i="17"/>
  <c r="R112" i="17" s="1"/>
  <c r="A111" i="17"/>
  <c r="R111" i="17" s="1"/>
  <c r="A110" i="17"/>
  <c r="R110" i="17" s="1"/>
  <c r="A109" i="17"/>
  <c r="R109" i="17" s="1"/>
  <c r="A108" i="17"/>
  <c r="R108" i="17" s="1"/>
  <c r="A107" i="17"/>
  <c r="R107" i="17" s="1"/>
  <c r="A106" i="17"/>
  <c r="R106" i="17" s="1"/>
  <c r="A105" i="17"/>
  <c r="R105" i="17" s="1"/>
  <c r="A104" i="17"/>
  <c r="R104" i="17" s="1"/>
  <c r="A103" i="17"/>
  <c r="R103" i="17" s="1"/>
  <c r="A102" i="17"/>
  <c r="R102" i="17" s="1"/>
  <c r="A101" i="17"/>
  <c r="R101" i="17" s="1"/>
  <c r="A100" i="17"/>
  <c r="R100" i="17" s="1"/>
  <c r="A99" i="17"/>
  <c r="R99" i="17" s="1"/>
  <c r="A98" i="17"/>
  <c r="R98" i="17" s="1"/>
  <c r="A97" i="17"/>
  <c r="R97" i="17" s="1"/>
  <c r="A96" i="17"/>
  <c r="R96" i="17" s="1"/>
  <c r="A95" i="17"/>
  <c r="R95" i="17" s="1"/>
  <c r="A94" i="17"/>
  <c r="R94" i="17" s="1"/>
  <c r="A93" i="17"/>
  <c r="R93" i="17" s="1"/>
  <c r="A92" i="17"/>
  <c r="R92" i="17" s="1"/>
  <c r="A91" i="17"/>
  <c r="R91" i="17" s="1"/>
  <c r="A90" i="17"/>
  <c r="R90" i="17" s="1"/>
  <c r="A89" i="17"/>
  <c r="R89" i="17" s="1"/>
  <c r="A88" i="17"/>
  <c r="R88" i="17" s="1"/>
  <c r="A87" i="17"/>
  <c r="R87" i="17" s="1"/>
  <c r="A86" i="17"/>
  <c r="R86" i="17" s="1"/>
  <c r="A85" i="17"/>
  <c r="R85" i="17" s="1"/>
  <c r="A84" i="17"/>
  <c r="R84" i="17" s="1"/>
  <c r="A83" i="17"/>
  <c r="R83" i="17" s="1"/>
  <c r="A82" i="17"/>
  <c r="R82" i="17" s="1"/>
  <c r="A81" i="17"/>
  <c r="R81" i="17" s="1"/>
  <c r="A80" i="17"/>
  <c r="R80" i="17" s="1"/>
  <c r="A79" i="17"/>
  <c r="R79" i="17" s="1"/>
  <c r="A78" i="17"/>
  <c r="R78" i="17" s="1"/>
  <c r="A77" i="17"/>
  <c r="R77" i="17" s="1"/>
  <c r="A76" i="17"/>
  <c r="R76" i="17" s="1"/>
  <c r="A75" i="17"/>
  <c r="R75" i="17" s="1"/>
  <c r="A74" i="17"/>
  <c r="R74" i="17" s="1"/>
  <c r="A73" i="17"/>
  <c r="R73" i="17" s="1"/>
  <c r="A72" i="17"/>
  <c r="R72" i="17" s="1"/>
  <c r="A71" i="17"/>
  <c r="R71" i="17" s="1"/>
  <c r="A70" i="17"/>
  <c r="R70" i="17" s="1"/>
  <c r="A69" i="17"/>
  <c r="R69" i="17" s="1"/>
  <c r="A68" i="17"/>
  <c r="R68" i="17" s="1"/>
  <c r="A67" i="17"/>
  <c r="R67" i="17" s="1"/>
  <c r="A66" i="17"/>
  <c r="R66" i="17" s="1"/>
  <c r="A65" i="17"/>
  <c r="R65" i="17" s="1"/>
  <c r="A64" i="17"/>
  <c r="R64" i="17" s="1"/>
  <c r="A63" i="17"/>
  <c r="R63" i="17" s="1"/>
  <c r="A62" i="17"/>
  <c r="R62" i="17" s="1"/>
  <c r="A61" i="17"/>
  <c r="R61" i="17" s="1"/>
  <c r="A60" i="17"/>
  <c r="R60" i="17" s="1"/>
  <c r="A59" i="17"/>
  <c r="R59" i="17" s="1"/>
  <c r="A58" i="17"/>
  <c r="R58" i="17" s="1"/>
  <c r="A57" i="17"/>
  <c r="R57" i="17" s="1"/>
  <c r="A56" i="17"/>
  <c r="R56" i="17" s="1"/>
  <c r="A55" i="17"/>
  <c r="R55" i="17" s="1"/>
  <c r="A54" i="17"/>
  <c r="R54" i="17" s="1"/>
  <c r="A53" i="17"/>
  <c r="R53" i="17" s="1"/>
  <c r="A52" i="17"/>
  <c r="R52" i="17" s="1"/>
  <c r="A51" i="17"/>
  <c r="R51" i="17" s="1"/>
  <c r="A50" i="17"/>
  <c r="R50" i="17" s="1"/>
  <c r="A49" i="17"/>
  <c r="R49" i="17" s="1"/>
  <c r="A48" i="17"/>
  <c r="R48" i="17" s="1"/>
  <c r="A47" i="17"/>
  <c r="R47" i="17" s="1"/>
  <c r="A46" i="17"/>
  <c r="R46" i="17" s="1"/>
  <c r="A45" i="17"/>
  <c r="R45" i="17" s="1"/>
  <c r="A44" i="17"/>
  <c r="R44" i="17" s="1"/>
  <c r="A43" i="17"/>
  <c r="R43" i="17" s="1"/>
  <c r="A42" i="17"/>
  <c r="R42" i="17" s="1"/>
  <c r="A41" i="17"/>
  <c r="R41" i="17" s="1"/>
  <c r="A40" i="17"/>
  <c r="R40" i="17" s="1"/>
  <c r="A39" i="17"/>
  <c r="R39" i="17" s="1"/>
  <c r="A38" i="17"/>
  <c r="R38" i="17" s="1"/>
  <c r="A37" i="17"/>
  <c r="R37" i="17" s="1"/>
  <c r="A36" i="17"/>
  <c r="R36" i="17" s="1"/>
  <c r="A35" i="17"/>
  <c r="R35" i="17" s="1"/>
  <c r="A34" i="17"/>
  <c r="R34" i="17" s="1"/>
  <c r="A33" i="17"/>
  <c r="R33" i="17" s="1"/>
  <c r="A32" i="17"/>
  <c r="R32" i="17" s="1"/>
  <c r="A31" i="17"/>
  <c r="R31" i="17" s="1"/>
  <c r="A30" i="17"/>
  <c r="R30" i="17" s="1"/>
  <c r="A29" i="17"/>
  <c r="R29" i="17" s="1"/>
  <c r="A28" i="17"/>
  <c r="R28" i="17" s="1"/>
  <c r="A27" i="17"/>
  <c r="R27" i="17" s="1"/>
  <c r="A26" i="17"/>
  <c r="R26" i="17" s="1"/>
  <c r="A25" i="17"/>
  <c r="R25" i="17" s="1"/>
  <c r="A24" i="17"/>
  <c r="R24" i="17" s="1"/>
  <c r="A23" i="17"/>
  <c r="R23" i="17" s="1"/>
  <c r="A22" i="17"/>
  <c r="R22" i="17" s="1"/>
  <c r="A21" i="17"/>
  <c r="R21" i="17" s="1"/>
  <c r="A20" i="17"/>
  <c r="R20" i="17" s="1"/>
  <c r="A19" i="17"/>
  <c r="R19" i="17" s="1"/>
  <c r="A18" i="17"/>
  <c r="R18" i="17" s="1"/>
  <c r="A17" i="17"/>
  <c r="R17" i="17" s="1"/>
  <c r="A16" i="17"/>
  <c r="R16" i="17" s="1"/>
  <c r="A15" i="17"/>
  <c r="R15" i="17" s="1"/>
  <c r="A14" i="17"/>
  <c r="R14" i="17" s="1"/>
  <c r="A13" i="17"/>
  <c r="R13" i="17" s="1"/>
  <c r="A12" i="17"/>
  <c r="R12" i="17" s="1"/>
  <c r="A11" i="17"/>
  <c r="R11" i="17" s="1"/>
  <c r="A10" i="17"/>
  <c r="R10" i="17" s="1"/>
  <c r="A9" i="17"/>
  <c r="R9" i="17" s="1"/>
  <c r="A8" i="17"/>
  <c r="R8" i="17" s="1"/>
  <c r="A7" i="17"/>
  <c r="R7" i="17" s="1"/>
  <c r="C436" i="1"/>
  <c r="C437" i="1"/>
  <c r="Z436" i="1"/>
  <c r="AA436" i="1" s="1"/>
  <c r="Z437" i="1"/>
  <c r="AA437" i="1" s="1"/>
  <c r="AB436" i="1"/>
  <c r="AC436" i="1" s="1"/>
  <c r="AB437" i="1"/>
  <c r="AC437" i="1" s="1"/>
  <c r="C448" i="1"/>
  <c r="Z448" i="1"/>
  <c r="AA448" i="1" s="1"/>
  <c r="AB448" i="1"/>
  <c r="AC448" i="1" s="1"/>
  <c r="C447" i="1"/>
  <c r="Z447" i="1"/>
  <c r="AA447" i="1" s="1"/>
  <c r="AB447" i="1"/>
  <c r="AC447" i="1" s="1"/>
  <c r="C284" i="1"/>
  <c r="Z284" i="1"/>
  <c r="AA284" i="1" s="1"/>
  <c r="AB284" i="1" s="1"/>
  <c r="AC284" i="1" s="1"/>
  <c r="C433" i="1"/>
  <c r="Z433" i="1"/>
  <c r="AA433" i="1" s="1"/>
  <c r="AB433" i="1"/>
  <c r="AC433" i="1" s="1"/>
  <c r="C25" i="1"/>
  <c r="Z25" i="1"/>
  <c r="AA25" i="1" s="1"/>
  <c r="AB25" i="1" s="1"/>
  <c r="AC25" i="1" s="1"/>
  <c r="C57" i="1"/>
  <c r="Z57" i="1"/>
  <c r="AA57" i="1" s="1"/>
  <c r="AB57" i="1" s="1"/>
  <c r="AC57" i="1" s="1"/>
  <c r="C56" i="1"/>
  <c r="Z56" i="1"/>
  <c r="AA56" i="1" s="1"/>
  <c r="AB56" i="1" s="1"/>
  <c r="AC56" i="1" s="1"/>
  <c r="C315" i="1"/>
  <c r="Z315" i="1"/>
  <c r="AA315" i="1" s="1"/>
  <c r="AB315" i="1" s="1"/>
  <c r="AC315" i="1" s="1"/>
  <c r="C63" i="1"/>
  <c r="Z63" i="1"/>
  <c r="AA63" i="1" s="1"/>
  <c r="AB63" i="1" s="1"/>
  <c r="AC63" i="1" s="1"/>
  <c r="C62" i="1"/>
  <c r="Z62" i="1"/>
  <c r="AA62" i="1" s="1"/>
  <c r="AB62" i="1" s="1"/>
  <c r="AC62" i="1" s="1"/>
  <c r="C335" i="1"/>
  <c r="Z335" i="1"/>
  <c r="AA335" i="1" s="1"/>
  <c r="AB335" i="1" s="1"/>
  <c r="AC335" i="1" s="1"/>
  <c r="C469" i="1"/>
  <c r="C334" i="1"/>
  <c r="Z469" i="1"/>
  <c r="AA469" i="1" s="1"/>
  <c r="AB469" i="1" s="1"/>
  <c r="AC469" i="1" s="1"/>
  <c r="Z334" i="1"/>
  <c r="AA334" i="1" s="1"/>
  <c r="AB334" i="1" s="1"/>
  <c r="AC334" i="1" s="1"/>
  <c r="C467" i="1"/>
  <c r="Z467" i="1"/>
  <c r="AA467" i="1" s="1"/>
  <c r="AB467" i="1"/>
  <c r="AC467" i="1" s="1"/>
  <c r="C466" i="1"/>
  <c r="Z466" i="1"/>
  <c r="AA466" i="1" s="1"/>
  <c r="AB466" i="1"/>
  <c r="AC466" i="1" s="1"/>
  <c r="C404" i="1"/>
  <c r="Z404" i="1"/>
  <c r="AA404" i="1" s="1"/>
  <c r="AB404" i="1"/>
  <c r="AC404" i="1" s="1"/>
  <c r="C277" i="1"/>
  <c r="Z277" i="1"/>
  <c r="AA277" i="1" s="1"/>
  <c r="AB277" i="1" s="1"/>
  <c r="AC277" i="1" s="1"/>
  <c r="C72" i="1"/>
  <c r="Z72" i="1"/>
  <c r="AA72" i="1" s="1"/>
  <c r="AB72" i="1" s="1"/>
  <c r="AC72" i="1" s="1"/>
  <c r="C71" i="1"/>
  <c r="Z71" i="1"/>
  <c r="AA71" i="1" s="1"/>
  <c r="AB71" i="1" s="1"/>
  <c r="AC71" i="1" s="1"/>
  <c r="C376" i="1"/>
  <c r="Z376" i="1"/>
  <c r="AA376" i="1" s="1"/>
  <c r="AB376" i="1"/>
  <c r="AC376" i="1" s="1"/>
  <c r="C375" i="1"/>
  <c r="Z375" i="1"/>
  <c r="AA375" i="1" s="1"/>
  <c r="AB375" i="1"/>
  <c r="AC375" i="1" s="1"/>
  <c r="C135" i="1"/>
  <c r="Z135" i="1"/>
  <c r="AA135" i="1" s="1"/>
  <c r="AB135" i="1" s="1"/>
  <c r="AC135" i="1" s="1"/>
  <c r="C134" i="1"/>
  <c r="Z134" i="1"/>
  <c r="AA134" i="1" s="1"/>
  <c r="AB134" i="1" s="1"/>
  <c r="AC134" i="1" s="1"/>
  <c r="C152" i="1"/>
  <c r="Z152" i="1"/>
  <c r="AA152" i="1" s="1"/>
  <c r="AB152" i="1" s="1"/>
  <c r="AC152" i="1" s="1"/>
  <c r="C310" i="1"/>
  <c r="Z310" i="1"/>
  <c r="AA310" i="1" s="1"/>
  <c r="AB310" i="1" s="1"/>
  <c r="AC310" i="1" s="1"/>
  <c r="C75" i="1"/>
  <c r="Z75" i="1"/>
  <c r="AA75" i="1" s="1"/>
  <c r="AB75" i="1" s="1"/>
  <c r="AC75" i="1" s="1"/>
  <c r="C515" i="1"/>
  <c r="Z515" i="1"/>
  <c r="AA515" i="1" s="1"/>
  <c r="AB515" i="1" s="1"/>
  <c r="AC515" i="1" s="1"/>
  <c r="C380" i="1"/>
  <c r="Z380" i="1"/>
  <c r="AA380" i="1" s="1"/>
  <c r="AB380" i="1"/>
  <c r="AC380" i="1" s="1"/>
  <c r="C379" i="1"/>
  <c r="Z379" i="1"/>
  <c r="AA379" i="1" s="1"/>
  <c r="AB379" i="1"/>
  <c r="AC379" i="1" s="1"/>
  <c r="C378" i="1"/>
  <c r="Z378" i="1"/>
  <c r="AA378" i="1" s="1"/>
  <c r="AB378" i="1"/>
  <c r="AC378" i="1" s="1"/>
  <c r="C377" i="1"/>
  <c r="Z377" i="1"/>
  <c r="AA377" i="1" s="1"/>
  <c r="AB377" i="1"/>
  <c r="AC377" i="1" s="1"/>
  <c r="C189" i="1"/>
  <c r="Z189" i="1"/>
  <c r="AA189" i="1" s="1"/>
  <c r="AB189" i="1" s="1"/>
  <c r="AC189" i="1" s="1"/>
  <c r="C402" i="1"/>
  <c r="Z402" i="1"/>
  <c r="AA402" i="1" s="1"/>
  <c r="AB402" i="1"/>
  <c r="AC402" i="1" s="1"/>
  <c r="C35" i="1"/>
  <c r="Z35" i="1"/>
  <c r="AA35" i="1" s="1"/>
  <c r="AB35" i="1" s="1"/>
  <c r="AC35" i="1" s="1"/>
  <c r="C176" i="1"/>
  <c r="Z176" i="1"/>
  <c r="AA176" i="1" s="1"/>
  <c r="AB176" i="1" s="1"/>
  <c r="AC176" i="1" s="1"/>
  <c r="C175" i="1"/>
  <c r="Z175" i="1"/>
  <c r="AA175" i="1" s="1"/>
  <c r="AB175" i="1" s="1"/>
  <c r="AC175" i="1" s="1"/>
  <c r="C174" i="1"/>
  <c r="Z174" i="1"/>
  <c r="AA174" i="1" s="1"/>
  <c r="AB174" i="1" s="1"/>
  <c r="AC174" i="1" s="1"/>
  <c r="C37" i="1"/>
  <c r="Z37" i="1"/>
  <c r="AA37" i="1" s="1"/>
  <c r="AB37" i="1" s="1"/>
  <c r="AC37" i="1" s="1"/>
  <c r="C84" i="1"/>
  <c r="Z84" i="1"/>
  <c r="AA84" i="1" s="1"/>
  <c r="AB84" i="1" s="1"/>
  <c r="AC84" i="1" s="1"/>
  <c r="C83" i="1"/>
  <c r="Z83" i="1"/>
  <c r="AA83" i="1" s="1"/>
  <c r="AB83" i="1" s="1"/>
  <c r="AC83" i="1" s="1"/>
  <c r="C82" i="1"/>
  <c r="Z82" i="1"/>
  <c r="AA82" i="1" s="1"/>
  <c r="AB82" i="1" s="1"/>
  <c r="AC82" i="1" s="1"/>
  <c r="C99" i="1"/>
  <c r="Z99" i="1"/>
  <c r="AA99" i="1" s="1"/>
  <c r="AB99" i="1" s="1"/>
  <c r="C8" i="1"/>
  <c r="Z8" i="1"/>
  <c r="AA8" i="1" s="1"/>
  <c r="AB8" i="1" s="1"/>
  <c r="U39" i="18" l="1"/>
  <c r="S39" i="18"/>
  <c r="T42" i="18"/>
  <c r="T26" i="18"/>
  <c r="U16" i="18"/>
  <c r="T35" i="18"/>
  <c r="S36" i="18"/>
  <c r="U34" i="18"/>
  <c r="S101" i="18"/>
  <c r="S38" i="18"/>
  <c r="S75" i="18"/>
  <c r="T23" i="18"/>
  <c r="V31" i="18"/>
  <c r="T109" i="18"/>
  <c r="S10" i="18"/>
  <c r="U95" i="18"/>
  <c r="S61" i="18"/>
  <c r="S91" i="18"/>
  <c r="V81" i="18"/>
  <c r="S35" i="18"/>
  <c r="S65" i="18"/>
  <c r="V80" i="18"/>
  <c r="T25" i="18"/>
  <c r="T53" i="18"/>
  <c r="U20" i="18"/>
  <c r="V13" i="18"/>
  <c r="V36" i="18"/>
  <c r="S56" i="18"/>
  <c r="U23" i="18"/>
  <c r="V17" i="18"/>
  <c r="T16" i="18"/>
  <c r="S77" i="18"/>
  <c r="U31" i="18"/>
  <c r="U54" i="18"/>
  <c r="S82" i="18"/>
  <c r="S19" i="18"/>
  <c r="T81" i="18"/>
  <c r="T57" i="18"/>
  <c r="U70" i="18"/>
  <c r="S81" i="18"/>
  <c r="S51" i="18"/>
  <c r="T14" i="18"/>
  <c r="V102" i="18"/>
  <c r="T71" i="18"/>
  <c r="V33" i="18"/>
  <c r="U14" i="18"/>
  <c r="T12" i="18"/>
  <c r="T69" i="18"/>
  <c r="S97" i="18"/>
  <c r="S8" i="18"/>
  <c r="S107" i="18"/>
  <c r="T78" i="18"/>
  <c r="U40" i="18"/>
  <c r="T76" i="18"/>
  <c r="S94" i="18"/>
  <c r="V68" i="18"/>
  <c r="T13" i="18"/>
  <c r="U111" i="18"/>
  <c r="S41" i="18"/>
  <c r="U110" i="18"/>
  <c r="U48" i="18"/>
  <c r="T80" i="18"/>
  <c r="U44" i="18"/>
  <c r="U12" i="18"/>
  <c r="S96" i="18"/>
  <c r="T93" i="18"/>
  <c r="S46" i="18"/>
  <c r="S104" i="18"/>
  <c r="T48" i="18"/>
  <c r="U68" i="18"/>
  <c r="T88" i="18"/>
  <c r="T19" i="18"/>
  <c r="S88" i="18"/>
  <c r="S87" i="18"/>
  <c r="T10" i="18"/>
  <c r="U107" i="18"/>
  <c r="T86" i="18"/>
  <c r="U28" i="18"/>
  <c r="S53" i="18"/>
  <c r="S25" i="18"/>
  <c r="T73" i="18"/>
  <c r="V43" i="18"/>
  <c r="T41" i="18"/>
  <c r="V86" i="18"/>
  <c r="V22" i="18"/>
  <c r="U83" i="18"/>
  <c r="S92" i="18"/>
  <c r="T68" i="18"/>
  <c r="S66" i="18"/>
  <c r="T45" i="18"/>
  <c r="S108" i="18"/>
  <c r="S86" i="18"/>
  <c r="T63" i="18"/>
  <c r="T40" i="18"/>
  <c r="T89" i="18"/>
  <c r="T37" i="18"/>
  <c r="U82" i="18"/>
  <c r="S9" i="18"/>
  <c r="T100" i="18"/>
  <c r="S90" i="18"/>
  <c r="T102" i="18"/>
  <c r="S28" i="18"/>
  <c r="S109" i="18"/>
  <c r="S79" i="18"/>
  <c r="T106" i="18"/>
  <c r="T65" i="18"/>
  <c r="U52" i="18"/>
  <c r="S76" i="18"/>
  <c r="U47" i="18"/>
  <c r="S7" i="18"/>
  <c r="U46" i="18"/>
  <c r="U103" i="18"/>
  <c r="S110" i="18"/>
  <c r="V88" i="18"/>
  <c r="S62" i="18"/>
  <c r="S52" i="18"/>
  <c r="U66" i="18"/>
  <c r="U85" i="18"/>
  <c r="V67" i="18"/>
  <c r="V78" i="18"/>
  <c r="S103" i="18"/>
  <c r="T62" i="18"/>
  <c r="V85" i="18"/>
  <c r="V58" i="18"/>
  <c r="V71" i="18"/>
  <c r="V103" i="18"/>
  <c r="S95" i="18"/>
  <c r="U53" i="18"/>
  <c r="V30" i="18"/>
  <c r="V94" i="18"/>
  <c r="T32" i="18"/>
  <c r="T54" i="18"/>
  <c r="T18" i="18"/>
  <c r="S21" i="18"/>
  <c r="V44" i="18"/>
  <c r="V7" i="18"/>
  <c r="V73" i="18"/>
  <c r="T46" i="18"/>
  <c r="V56" i="18"/>
  <c r="V32" i="18"/>
  <c r="S14" i="18"/>
  <c r="T77" i="18"/>
  <c r="T55" i="18"/>
  <c r="V104" i="18"/>
  <c r="S18" i="18"/>
  <c r="S64" i="18"/>
  <c r="T11" i="18"/>
  <c r="V110" i="18"/>
  <c r="V105" i="18"/>
  <c r="V111" i="18"/>
  <c r="U49" i="18"/>
  <c r="U99" i="18"/>
  <c r="U86" i="18"/>
  <c r="V9" i="18"/>
  <c r="V72" i="18"/>
  <c r="T66" i="18"/>
  <c r="S26" i="18"/>
  <c r="U58" i="18"/>
  <c r="U8" i="18"/>
  <c r="V42" i="18"/>
  <c r="V50" i="18"/>
  <c r="U91" i="18"/>
  <c r="U88" i="18"/>
  <c r="U21" i="18"/>
  <c r="U13" i="18"/>
  <c r="S23" i="18"/>
  <c r="T50" i="18"/>
  <c r="V15" i="18"/>
  <c r="V87" i="18"/>
  <c r="U106" i="18"/>
  <c r="U29" i="18"/>
  <c r="U43" i="18"/>
  <c r="U27" i="18"/>
  <c r="U11" i="18"/>
  <c r="U19" i="18"/>
  <c r="V35" i="18"/>
  <c r="V46" i="18"/>
  <c r="U109" i="18"/>
  <c r="U24" i="18"/>
  <c r="V63" i="18"/>
  <c r="V10" i="18"/>
  <c r="T51" i="18"/>
  <c r="T83" i="18"/>
  <c r="S85" i="18"/>
  <c r="T108" i="18"/>
  <c r="V62" i="18"/>
  <c r="V101" i="18"/>
  <c r="V34" i="18"/>
  <c r="V45" i="18"/>
  <c r="S32" i="18"/>
  <c r="S12" i="18"/>
  <c r="U93" i="18"/>
  <c r="T39" i="18"/>
  <c r="S15" i="18"/>
  <c r="V52" i="18"/>
  <c r="T20" i="18"/>
  <c r="T94" i="18"/>
  <c r="V47" i="18"/>
  <c r="S17" i="18"/>
  <c r="U67" i="18"/>
  <c r="U80" i="18"/>
  <c r="S24" i="18"/>
  <c r="U77" i="18"/>
  <c r="S111" i="18"/>
  <c r="S43" i="18"/>
  <c r="U41" i="18"/>
  <c r="S73" i="18"/>
  <c r="S27" i="18"/>
  <c r="U55" i="18"/>
  <c r="S11" i="18"/>
  <c r="T104" i="18"/>
  <c r="T22" i="18"/>
  <c r="U75" i="18"/>
  <c r="T36" i="18"/>
  <c r="V69" i="18"/>
  <c r="T28" i="18"/>
  <c r="S70" i="18"/>
  <c r="U42" i="18"/>
  <c r="T103" i="18"/>
  <c r="U87" i="18"/>
  <c r="T79" i="18"/>
  <c r="T7" i="18"/>
  <c r="S42" i="18"/>
  <c r="S33" i="18"/>
  <c r="V26" i="18"/>
  <c r="U102" i="18"/>
  <c r="U79" i="18"/>
  <c r="S30" i="18"/>
  <c r="U33" i="18"/>
  <c r="V77" i="18"/>
  <c r="V106" i="18"/>
  <c r="T21" i="18"/>
  <c r="U18" i="18"/>
  <c r="V64" i="18"/>
  <c r="T59" i="18"/>
  <c r="U90" i="18"/>
  <c r="T87" i="18"/>
  <c r="V55" i="18"/>
  <c r="S45" i="18"/>
  <c r="U37" i="18"/>
  <c r="U32" i="18"/>
  <c r="T111" i="18"/>
  <c r="U97" i="18"/>
  <c r="S13" i="18"/>
  <c r="T74" i="18"/>
  <c r="V29" i="18"/>
  <c r="T29" i="18"/>
  <c r="S40" i="18"/>
  <c r="T60" i="18"/>
  <c r="S48" i="18"/>
  <c r="T38" i="18"/>
  <c r="S89" i="18"/>
  <c r="U60" i="18"/>
  <c r="S50" i="18"/>
  <c r="U25" i="18"/>
  <c r="U98" i="18"/>
  <c r="T9" i="18"/>
  <c r="T17" i="18"/>
  <c r="T58" i="18"/>
  <c r="S37" i="18"/>
  <c r="T96" i="18"/>
  <c r="S22" i="18"/>
  <c r="T82" i="18"/>
  <c r="U84" i="18"/>
  <c r="S83" i="18"/>
  <c r="S29" i="18"/>
  <c r="S47" i="18"/>
  <c r="T15" i="18"/>
  <c r="V66" i="18"/>
  <c r="S80" i="18"/>
  <c r="T75" i="18"/>
  <c r="T8" i="18"/>
  <c r="U108" i="18"/>
  <c r="S54" i="18"/>
  <c r="U73" i="18"/>
  <c r="S55" i="18"/>
  <c r="S20" i="18"/>
  <c r="V99" i="18"/>
  <c r="S68" i="18"/>
  <c r="U35" i="18"/>
  <c r="U100" i="18"/>
  <c r="T90" i="18"/>
  <c r="T95" i="18"/>
  <c r="T31" i="18"/>
  <c r="T101" i="18"/>
  <c r="S57" i="18"/>
  <c r="U30" i="18"/>
  <c r="U51" i="18"/>
  <c r="V28" i="18"/>
  <c r="T34" i="18"/>
  <c r="V100" i="18"/>
  <c r="S102" i="18"/>
  <c r="V79" i="18"/>
  <c r="S67" i="18"/>
  <c r="T56" i="18"/>
  <c r="V61" i="18"/>
  <c r="V91" i="18"/>
  <c r="V14" i="18"/>
  <c r="V53" i="18"/>
  <c r="U64" i="18"/>
  <c r="S58" i="18"/>
  <c r="T110" i="18"/>
  <c r="S69" i="18"/>
  <c r="S72" i="18"/>
  <c r="T44" i="18"/>
  <c r="U78" i="18"/>
  <c r="T98" i="18"/>
  <c r="T24" i="18"/>
  <c r="U22" i="18"/>
  <c r="S60" i="18"/>
  <c r="U45" i="18"/>
  <c r="T105" i="18"/>
  <c r="S99" i="18"/>
  <c r="S93" i="18"/>
  <c r="U72" i="18"/>
  <c r="S84" i="18"/>
  <c r="S16" i="18"/>
  <c r="V83" i="18"/>
  <c r="T92" i="18"/>
  <c r="U50" i="18"/>
  <c r="S78" i="18"/>
  <c r="U76" i="18"/>
  <c r="V65" i="18"/>
  <c r="V89" i="18"/>
  <c r="U96" i="18"/>
  <c r="V27" i="18"/>
  <c r="U57" i="18"/>
  <c r="H4" i="19"/>
  <c r="B8" i="19"/>
  <c r="B9" i="19" s="1"/>
  <c r="B10" i="19" s="1"/>
  <c r="B11" i="19" s="1"/>
  <c r="B12" i="19" s="1"/>
  <c r="B13" i="19" s="1"/>
  <c r="B14" i="19" s="1"/>
  <c r="B15" i="19" s="1"/>
  <c r="B16" i="19" s="1"/>
  <c r="B17" i="19" s="1"/>
  <c r="B18" i="19" s="1"/>
  <c r="B19" i="19" s="1"/>
  <c r="B20" i="19" s="1"/>
  <c r="B21" i="19" s="1"/>
  <c r="B22" i="19" s="1"/>
  <c r="B23" i="19" s="1"/>
  <c r="B24" i="19" s="1"/>
  <c r="B25" i="19" s="1"/>
  <c r="G4" i="19"/>
  <c r="I4" i="19" s="1"/>
  <c r="R119" i="17"/>
  <c r="R118" i="17"/>
  <c r="Q123" i="17"/>
  <c r="R117" i="17"/>
  <c r="R123" i="17"/>
  <c r="Q122" i="17"/>
  <c r="Q126" i="17"/>
  <c r="Q127" i="17"/>
  <c r="R126" i="17"/>
  <c r="C5" i="19"/>
  <c r="D5" i="19" s="1"/>
  <c r="E5" i="19" s="1"/>
  <c r="C6" i="19" s="1"/>
  <c r="D6" i="19" s="1"/>
  <c r="E6" i="19" s="1"/>
  <c r="R122" i="17"/>
  <c r="R127" i="17"/>
  <c r="Q119" i="17"/>
  <c r="AC357" i="1"/>
  <c r="AC155" i="1"/>
  <c r="AC325" i="1"/>
  <c r="AC38" i="1"/>
  <c r="AC283" i="1"/>
  <c r="AC291" i="1"/>
  <c r="AC224" i="1"/>
  <c r="AC227" i="1"/>
  <c r="AC419" i="1"/>
  <c r="AC384" i="1"/>
  <c r="AC383" i="1"/>
  <c r="AC350" i="1"/>
  <c r="M124" i="17"/>
  <c r="V120" i="17" s="1"/>
  <c r="Q120" i="17"/>
  <c r="R120" i="17"/>
  <c r="M132" i="17"/>
  <c r="V128" i="17" s="1"/>
  <c r="Q128" i="17"/>
  <c r="R128" i="17"/>
  <c r="M129" i="17"/>
  <c r="V125" i="17" s="1"/>
  <c r="R125" i="17"/>
  <c r="M133" i="17"/>
  <c r="V129" i="17" s="1"/>
  <c r="R129" i="17"/>
  <c r="M125" i="17"/>
  <c r="V121" i="17" s="1"/>
  <c r="R121" i="17"/>
  <c r="M128" i="17"/>
  <c r="V124" i="17" s="1"/>
  <c r="Q124" i="17"/>
  <c r="R124" i="17"/>
  <c r="Q117" i="17"/>
  <c r="Q118" i="17"/>
  <c r="AC8" i="1"/>
  <c r="AC99" i="1"/>
  <c r="J7" i="17"/>
  <c r="S7" i="17" s="1"/>
  <c r="K7" i="17"/>
  <c r="T7" i="17" s="1"/>
  <c r="L7" i="17"/>
  <c r="U7" i="17" s="1"/>
  <c r="M7" i="17"/>
  <c r="V7" i="17" s="1"/>
  <c r="Q7" i="17"/>
  <c r="J8" i="17"/>
  <c r="S8" i="17" s="1"/>
  <c r="K8" i="17"/>
  <c r="T8" i="17" s="1"/>
  <c r="L8" i="17"/>
  <c r="U8" i="17" s="1"/>
  <c r="M8" i="17"/>
  <c r="V8" i="17" s="1"/>
  <c r="Q8" i="17"/>
  <c r="J9" i="17"/>
  <c r="S9" i="17" s="1"/>
  <c r="K9" i="17"/>
  <c r="T9" i="17" s="1"/>
  <c r="L9" i="17"/>
  <c r="U9" i="17" s="1"/>
  <c r="M9" i="17"/>
  <c r="V9" i="17" s="1"/>
  <c r="Q9" i="17"/>
  <c r="J10" i="17"/>
  <c r="S10" i="17" s="1"/>
  <c r="K10" i="17"/>
  <c r="T10" i="17" s="1"/>
  <c r="L10" i="17"/>
  <c r="U10" i="17" s="1"/>
  <c r="M10" i="17"/>
  <c r="V10" i="17" s="1"/>
  <c r="Q10" i="17"/>
  <c r="J11" i="17"/>
  <c r="S11" i="17" s="1"/>
  <c r="K11" i="17"/>
  <c r="T11" i="17" s="1"/>
  <c r="L11" i="17"/>
  <c r="U11" i="17" s="1"/>
  <c r="M11" i="17"/>
  <c r="V11" i="17" s="1"/>
  <c r="Q11" i="17"/>
  <c r="J12" i="17"/>
  <c r="S12" i="17" s="1"/>
  <c r="K12" i="17"/>
  <c r="T12" i="17" s="1"/>
  <c r="L12" i="17"/>
  <c r="U12" i="17" s="1"/>
  <c r="M12" i="17"/>
  <c r="V12" i="17" s="1"/>
  <c r="Q12" i="17"/>
  <c r="J13" i="17"/>
  <c r="S13" i="17" s="1"/>
  <c r="K13" i="17"/>
  <c r="T13" i="17" s="1"/>
  <c r="L13" i="17"/>
  <c r="U13" i="17" s="1"/>
  <c r="M13" i="17"/>
  <c r="V13" i="17" s="1"/>
  <c r="Q13" i="17"/>
  <c r="J14" i="17"/>
  <c r="S14" i="17" s="1"/>
  <c r="K14" i="17"/>
  <c r="T14" i="17" s="1"/>
  <c r="L14" i="17"/>
  <c r="U14" i="17" s="1"/>
  <c r="M14" i="17"/>
  <c r="V14" i="17" s="1"/>
  <c r="Q14" i="17"/>
  <c r="J15" i="17"/>
  <c r="S15" i="17" s="1"/>
  <c r="K15" i="17"/>
  <c r="T15" i="17" s="1"/>
  <c r="L15" i="17"/>
  <c r="U15" i="17" s="1"/>
  <c r="M15" i="17"/>
  <c r="V15" i="17" s="1"/>
  <c r="Q15" i="17"/>
  <c r="J16" i="17"/>
  <c r="S16" i="17" s="1"/>
  <c r="K16" i="17"/>
  <c r="T16" i="17" s="1"/>
  <c r="L16" i="17"/>
  <c r="U16" i="17" s="1"/>
  <c r="M16" i="17"/>
  <c r="V16" i="17" s="1"/>
  <c r="Q16" i="17"/>
  <c r="J17" i="17"/>
  <c r="S17" i="17" s="1"/>
  <c r="K17" i="17"/>
  <c r="T17" i="17" s="1"/>
  <c r="L17" i="17"/>
  <c r="U17" i="17" s="1"/>
  <c r="M17" i="17"/>
  <c r="V17" i="17" s="1"/>
  <c r="Q17" i="17"/>
  <c r="J18" i="17"/>
  <c r="S18" i="17" s="1"/>
  <c r="K18" i="17"/>
  <c r="T18" i="17" s="1"/>
  <c r="L18" i="17"/>
  <c r="U18" i="17" s="1"/>
  <c r="M18" i="17"/>
  <c r="V18" i="17" s="1"/>
  <c r="Q18" i="17"/>
  <c r="J19" i="17"/>
  <c r="S19" i="17" s="1"/>
  <c r="K19" i="17"/>
  <c r="T19" i="17" s="1"/>
  <c r="L19" i="17"/>
  <c r="U19" i="17" s="1"/>
  <c r="M19" i="17"/>
  <c r="V19" i="17" s="1"/>
  <c r="Q19" i="17"/>
  <c r="J20" i="17"/>
  <c r="S20" i="17" s="1"/>
  <c r="K20" i="17"/>
  <c r="T20" i="17" s="1"/>
  <c r="L20" i="17"/>
  <c r="U20" i="17" s="1"/>
  <c r="M20" i="17"/>
  <c r="V20" i="17" s="1"/>
  <c r="Q20" i="17"/>
  <c r="J21" i="17"/>
  <c r="S21" i="17" s="1"/>
  <c r="K21" i="17"/>
  <c r="T21" i="17" s="1"/>
  <c r="L21" i="17"/>
  <c r="U21" i="17" s="1"/>
  <c r="M21" i="17"/>
  <c r="V21" i="17" s="1"/>
  <c r="Q21" i="17"/>
  <c r="J22" i="17"/>
  <c r="S22" i="17" s="1"/>
  <c r="K22" i="17"/>
  <c r="T22" i="17" s="1"/>
  <c r="L22" i="17"/>
  <c r="U22" i="17" s="1"/>
  <c r="M22" i="17"/>
  <c r="V22" i="17" s="1"/>
  <c r="Q22" i="17"/>
  <c r="J23" i="17"/>
  <c r="S23" i="17" s="1"/>
  <c r="K23" i="17"/>
  <c r="T23" i="17" s="1"/>
  <c r="L23" i="17"/>
  <c r="U23" i="17" s="1"/>
  <c r="M23" i="17"/>
  <c r="V23" i="17" s="1"/>
  <c r="Q23" i="17"/>
  <c r="J24" i="17"/>
  <c r="S24" i="17" s="1"/>
  <c r="K24" i="17"/>
  <c r="T24" i="17" s="1"/>
  <c r="L24" i="17"/>
  <c r="U24" i="17" s="1"/>
  <c r="M24" i="17"/>
  <c r="V24" i="17" s="1"/>
  <c r="Q24" i="17"/>
  <c r="J25" i="17"/>
  <c r="S25" i="17" s="1"/>
  <c r="K25" i="17"/>
  <c r="T25" i="17" s="1"/>
  <c r="L25" i="17"/>
  <c r="U25" i="17" s="1"/>
  <c r="M25" i="17"/>
  <c r="V25" i="17" s="1"/>
  <c r="Q25" i="17"/>
  <c r="J26" i="17"/>
  <c r="S26" i="17" s="1"/>
  <c r="K26" i="17"/>
  <c r="T26" i="17" s="1"/>
  <c r="L26" i="17"/>
  <c r="U26" i="17" s="1"/>
  <c r="M26" i="17"/>
  <c r="V26" i="17" s="1"/>
  <c r="Q26" i="17"/>
  <c r="J27" i="17"/>
  <c r="S27" i="17" s="1"/>
  <c r="K27" i="17"/>
  <c r="T27" i="17" s="1"/>
  <c r="L27" i="17"/>
  <c r="U27" i="17" s="1"/>
  <c r="M27" i="17"/>
  <c r="V27" i="17" s="1"/>
  <c r="Q27" i="17"/>
  <c r="J28" i="17"/>
  <c r="S28" i="17" s="1"/>
  <c r="K28" i="17"/>
  <c r="T28" i="17" s="1"/>
  <c r="L28" i="17"/>
  <c r="U28" i="17" s="1"/>
  <c r="M28" i="17"/>
  <c r="V28" i="17" s="1"/>
  <c r="Q28" i="17"/>
  <c r="J29" i="17"/>
  <c r="S29" i="17" s="1"/>
  <c r="K29" i="17"/>
  <c r="T29" i="17" s="1"/>
  <c r="L29" i="17"/>
  <c r="U29" i="17" s="1"/>
  <c r="M29" i="17"/>
  <c r="V29" i="17" s="1"/>
  <c r="Q29" i="17"/>
  <c r="J30" i="17"/>
  <c r="S30" i="17" s="1"/>
  <c r="K30" i="17"/>
  <c r="T30" i="17" s="1"/>
  <c r="L30" i="17"/>
  <c r="U30" i="17" s="1"/>
  <c r="M30" i="17"/>
  <c r="V30" i="17" s="1"/>
  <c r="Q30" i="17"/>
  <c r="J31" i="17"/>
  <c r="S31" i="17" s="1"/>
  <c r="K31" i="17"/>
  <c r="T31" i="17" s="1"/>
  <c r="L31" i="17"/>
  <c r="U31" i="17" s="1"/>
  <c r="M31" i="17"/>
  <c r="V31" i="17" s="1"/>
  <c r="Q31" i="17"/>
  <c r="J32" i="17"/>
  <c r="S32" i="17" s="1"/>
  <c r="K32" i="17"/>
  <c r="T32" i="17" s="1"/>
  <c r="L32" i="17"/>
  <c r="U32" i="17" s="1"/>
  <c r="M32" i="17"/>
  <c r="V32" i="17" s="1"/>
  <c r="Q32" i="17"/>
  <c r="J33" i="17"/>
  <c r="S33" i="17" s="1"/>
  <c r="K33" i="17"/>
  <c r="T33" i="17" s="1"/>
  <c r="L33" i="17"/>
  <c r="U33" i="17" s="1"/>
  <c r="M33" i="17"/>
  <c r="V33" i="17" s="1"/>
  <c r="Q33" i="17"/>
  <c r="J34" i="17"/>
  <c r="S34" i="17" s="1"/>
  <c r="K34" i="17"/>
  <c r="T34" i="17" s="1"/>
  <c r="L34" i="17"/>
  <c r="U34" i="17" s="1"/>
  <c r="M34" i="17"/>
  <c r="V34" i="17" s="1"/>
  <c r="Q34" i="17"/>
  <c r="J35" i="17"/>
  <c r="S35" i="17" s="1"/>
  <c r="K35" i="17"/>
  <c r="T35" i="17" s="1"/>
  <c r="L35" i="17"/>
  <c r="U35" i="17" s="1"/>
  <c r="M35" i="17"/>
  <c r="V35" i="17" s="1"/>
  <c r="Q35" i="17"/>
  <c r="J36" i="17"/>
  <c r="S36" i="17" s="1"/>
  <c r="K36" i="17"/>
  <c r="T36" i="17" s="1"/>
  <c r="L36" i="17"/>
  <c r="U36" i="17" s="1"/>
  <c r="M36" i="17"/>
  <c r="V36" i="17" s="1"/>
  <c r="Q36" i="17"/>
  <c r="J37" i="17"/>
  <c r="S37" i="17" s="1"/>
  <c r="K37" i="17"/>
  <c r="T37" i="17" s="1"/>
  <c r="L37" i="17"/>
  <c r="U37" i="17" s="1"/>
  <c r="M37" i="17"/>
  <c r="V37" i="17" s="1"/>
  <c r="Q37" i="17"/>
  <c r="J38" i="17"/>
  <c r="S38" i="17" s="1"/>
  <c r="K38" i="17"/>
  <c r="T38" i="17" s="1"/>
  <c r="L38" i="17"/>
  <c r="U38" i="17" s="1"/>
  <c r="M38" i="17"/>
  <c r="V38" i="17" s="1"/>
  <c r="Q38" i="17"/>
  <c r="J39" i="17"/>
  <c r="S39" i="17" s="1"/>
  <c r="K39" i="17"/>
  <c r="T39" i="17" s="1"/>
  <c r="L39" i="17"/>
  <c r="U39" i="17" s="1"/>
  <c r="M39" i="17"/>
  <c r="V39" i="17" s="1"/>
  <c r="Q39" i="17"/>
  <c r="J40" i="17"/>
  <c r="S40" i="17" s="1"/>
  <c r="K40" i="17"/>
  <c r="T40" i="17" s="1"/>
  <c r="L40" i="17"/>
  <c r="U40" i="17" s="1"/>
  <c r="M40" i="17"/>
  <c r="V40" i="17" s="1"/>
  <c r="Q40" i="17"/>
  <c r="J41" i="17"/>
  <c r="S41" i="17" s="1"/>
  <c r="K41" i="17"/>
  <c r="T41" i="17" s="1"/>
  <c r="L41" i="17"/>
  <c r="U41" i="17" s="1"/>
  <c r="M41" i="17"/>
  <c r="V41" i="17" s="1"/>
  <c r="Q41" i="17"/>
  <c r="J42" i="17"/>
  <c r="S42" i="17" s="1"/>
  <c r="K42" i="17"/>
  <c r="T42" i="17" s="1"/>
  <c r="L42" i="17"/>
  <c r="U42" i="17" s="1"/>
  <c r="M42" i="17"/>
  <c r="V42" i="17" s="1"/>
  <c r="Q42" i="17"/>
  <c r="J43" i="17"/>
  <c r="S43" i="17" s="1"/>
  <c r="K43" i="17"/>
  <c r="T43" i="17" s="1"/>
  <c r="L43" i="17"/>
  <c r="U43" i="17" s="1"/>
  <c r="M43" i="17"/>
  <c r="V43" i="17" s="1"/>
  <c r="Q43" i="17"/>
  <c r="J44" i="17"/>
  <c r="S44" i="17" s="1"/>
  <c r="K44" i="17"/>
  <c r="T44" i="17" s="1"/>
  <c r="L44" i="17"/>
  <c r="U44" i="17" s="1"/>
  <c r="M44" i="17"/>
  <c r="V44" i="17" s="1"/>
  <c r="Q44" i="17"/>
  <c r="J45" i="17"/>
  <c r="S45" i="17" s="1"/>
  <c r="K45" i="17"/>
  <c r="T45" i="17" s="1"/>
  <c r="L45" i="17"/>
  <c r="U45" i="17" s="1"/>
  <c r="M45" i="17"/>
  <c r="V45" i="17" s="1"/>
  <c r="Q45" i="17"/>
  <c r="J46" i="17"/>
  <c r="S46" i="17" s="1"/>
  <c r="K46" i="17"/>
  <c r="T46" i="17" s="1"/>
  <c r="L46" i="17"/>
  <c r="U46" i="17" s="1"/>
  <c r="M46" i="17"/>
  <c r="V46" i="17" s="1"/>
  <c r="Q46" i="17"/>
  <c r="J47" i="17"/>
  <c r="S47" i="17" s="1"/>
  <c r="K47" i="17"/>
  <c r="T47" i="17" s="1"/>
  <c r="L47" i="17"/>
  <c r="U47" i="17" s="1"/>
  <c r="M47" i="17"/>
  <c r="V47" i="17" s="1"/>
  <c r="Q47" i="17"/>
  <c r="J48" i="17"/>
  <c r="S48" i="17" s="1"/>
  <c r="K48" i="17"/>
  <c r="T48" i="17" s="1"/>
  <c r="L48" i="17"/>
  <c r="U48" i="17" s="1"/>
  <c r="M48" i="17"/>
  <c r="V48" i="17" s="1"/>
  <c r="Q48" i="17"/>
  <c r="J49" i="17"/>
  <c r="S49" i="17" s="1"/>
  <c r="K49" i="17"/>
  <c r="T49" i="17" s="1"/>
  <c r="L49" i="17"/>
  <c r="U49" i="17" s="1"/>
  <c r="M49" i="17"/>
  <c r="V49" i="17" s="1"/>
  <c r="Q49" i="17"/>
  <c r="J50" i="17"/>
  <c r="S50" i="17" s="1"/>
  <c r="K50" i="17"/>
  <c r="T50" i="17" s="1"/>
  <c r="L50" i="17"/>
  <c r="U50" i="17" s="1"/>
  <c r="M50" i="17"/>
  <c r="V50" i="17" s="1"/>
  <c r="Q50" i="17"/>
  <c r="J51" i="17"/>
  <c r="S51" i="17" s="1"/>
  <c r="K51" i="17"/>
  <c r="T51" i="17" s="1"/>
  <c r="L51" i="17"/>
  <c r="U51" i="17" s="1"/>
  <c r="M51" i="17"/>
  <c r="V51" i="17" s="1"/>
  <c r="Q51" i="17"/>
  <c r="J52" i="17"/>
  <c r="S52" i="17" s="1"/>
  <c r="K52" i="17"/>
  <c r="T52" i="17" s="1"/>
  <c r="L52" i="17"/>
  <c r="U52" i="17" s="1"/>
  <c r="M52" i="17"/>
  <c r="V52" i="17" s="1"/>
  <c r="Q52" i="17"/>
  <c r="J53" i="17"/>
  <c r="S53" i="17" s="1"/>
  <c r="K53" i="17"/>
  <c r="T53" i="17" s="1"/>
  <c r="L53" i="17"/>
  <c r="U53" i="17" s="1"/>
  <c r="M53" i="17"/>
  <c r="V53" i="17" s="1"/>
  <c r="Q53" i="17"/>
  <c r="J54" i="17"/>
  <c r="S54" i="17" s="1"/>
  <c r="K54" i="17"/>
  <c r="T54" i="17" s="1"/>
  <c r="L54" i="17"/>
  <c r="U54" i="17" s="1"/>
  <c r="M54" i="17"/>
  <c r="V54" i="17" s="1"/>
  <c r="Q54" i="17"/>
  <c r="J55" i="17"/>
  <c r="S55" i="17" s="1"/>
  <c r="K55" i="17"/>
  <c r="T55" i="17" s="1"/>
  <c r="L55" i="17"/>
  <c r="U55" i="17" s="1"/>
  <c r="M55" i="17"/>
  <c r="V55" i="17" s="1"/>
  <c r="Q55" i="17"/>
  <c r="J56" i="17"/>
  <c r="S56" i="17" s="1"/>
  <c r="K56" i="17"/>
  <c r="T56" i="17" s="1"/>
  <c r="L56" i="17"/>
  <c r="U56" i="17" s="1"/>
  <c r="M56" i="17"/>
  <c r="V56" i="17" s="1"/>
  <c r="Q56" i="17"/>
  <c r="J57" i="17"/>
  <c r="S57" i="17" s="1"/>
  <c r="K57" i="17"/>
  <c r="T57" i="17" s="1"/>
  <c r="L57" i="17"/>
  <c r="U57" i="17" s="1"/>
  <c r="M57" i="17"/>
  <c r="V57" i="17" s="1"/>
  <c r="Q57" i="17"/>
  <c r="J58" i="17"/>
  <c r="S58" i="17" s="1"/>
  <c r="K58" i="17"/>
  <c r="T58" i="17" s="1"/>
  <c r="L58" i="17"/>
  <c r="U58" i="17" s="1"/>
  <c r="M58" i="17"/>
  <c r="V58" i="17" s="1"/>
  <c r="Q58" i="17"/>
  <c r="J59" i="17"/>
  <c r="S59" i="17" s="1"/>
  <c r="K59" i="17"/>
  <c r="T59" i="17" s="1"/>
  <c r="L59" i="17"/>
  <c r="U59" i="17" s="1"/>
  <c r="M59" i="17"/>
  <c r="V59" i="17" s="1"/>
  <c r="Q59" i="17"/>
  <c r="J60" i="17"/>
  <c r="S60" i="17" s="1"/>
  <c r="K60" i="17"/>
  <c r="T60" i="17" s="1"/>
  <c r="L60" i="17"/>
  <c r="U60" i="17" s="1"/>
  <c r="M60" i="17"/>
  <c r="V60" i="17" s="1"/>
  <c r="Q60" i="17"/>
  <c r="J61" i="17"/>
  <c r="S61" i="17" s="1"/>
  <c r="K61" i="17"/>
  <c r="T61" i="17" s="1"/>
  <c r="L61" i="17"/>
  <c r="U61" i="17" s="1"/>
  <c r="M61" i="17"/>
  <c r="V61" i="17" s="1"/>
  <c r="Q61" i="17"/>
  <c r="J62" i="17"/>
  <c r="S62" i="17" s="1"/>
  <c r="K62" i="17"/>
  <c r="T62" i="17" s="1"/>
  <c r="L62" i="17"/>
  <c r="U62" i="17" s="1"/>
  <c r="M62" i="17"/>
  <c r="V62" i="17" s="1"/>
  <c r="Q62" i="17"/>
  <c r="J63" i="17"/>
  <c r="S63" i="17" s="1"/>
  <c r="K63" i="17"/>
  <c r="T63" i="17" s="1"/>
  <c r="L63" i="17"/>
  <c r="U63" i="17" s="1"/>
  <c r="M63" i="17"/>
  <c r="V63" i="17" s="1"/>
  <c r="Q63" i="17"/>
  <c r="J64" i="17"/>
  <c r="S64" i="17" s="1"/>
  <c r="K64" i="17"/>
  <c r="T64" i="17" s="1"/>
  <c r="L64" i="17"/>
  <c r="U64" i="17" s="1"/>
  <c r="M64" i="17"/>
  <c r="V64" i="17" s="1"/>
  <c r="Q64" i="17"/>
  <c r="J65" i="17"/>
  <c r="S65" i="17" s="1"/>
  <c r="K65" i="17"/>
  <c r="T65" i="17" s="1"/>
  <c r="L65" i="17"/>
  <c r="U65" i="17" s="1"/>
  <c r="M65" i="17"/>
  <c r="V65" i="17" s="1"/>
  <c r="Q65" i="17"/>
  <c r="J66" i="17"/>
  <c r="S66" i="17" s="1"/>
  <c r="K66" i="17"/>
  <c r="T66" i="17" s="1"/>
  <c r="L66" i="17"/>
  <c r="U66" i="17" s="1"/>
  <c r="M66" i="17"/>
  <c r="V66" i="17" s="1"/>
  <c r="Q66" i="17"/>
  <c r="J67" i="17"/>
  <c r="S67" i="17" s="1"/>
  <c r="K67" i="17"/>
  <c r="T67" i="17" s="1"/>
  <c r="L67" i="17"/>
  <c r="U67" i="17" s="1"/>
  <c r="M67" i="17"/>
  <c r="V67" i="17" s="1"/>
  <c r="Q67" i="17"/>
  <c r="J68" i="17"/>
  <c r="S68" i="17" s="1"/>
  <c r="K68" i="17"/>
  <c r="T68" i="17" s="1"/>
  <c r="L68" i="17"/>
  <c r="U68" i="17" s="1"/>
  <c r="M68" i="17"/>
  <c r="V68" i="17" s="1"/>
  <c r="Q68" i="17"/>
  <c r="J69" i="17"/>
  <c r="S69" i="17" s="1"/>
  <c r="K69" i="17"/>
  <c r="T69" i="17" s="1"/>
  <c r="L69" i="17"/>
  <c r="U69" i="17" s="1"/>
  <c r="M69" i="17"/>
  <c r="V69" i="17" s="1"/>
  <c r="Q69" i="17"/>
  <c r="J70" i="17"/>
  <c r="S70" i="17" s="1"/>
  <c r="K70" i="17"/>
  <c r="T70" i="17" s="1"/>
  <c r="L70" i="17"/>
  <c r="U70" i="17" s="1"/>
  <c r="M70" i="17"/>
  <c r="V70" i="17" s="1"/>
  <c r="Q70" i="17"/>
  <c r="J71" i="17"/>
  <c r="S71" i="17" s="1"/>
  <c r="K71" i="17"/>
  <c r="T71" i="17" s="1"/>
  <c r="L71" i="17"/>
  <c r="U71" i="17" s="1"/>
  <c r="M71" i="17"/>
  <c r="V71" i="17" s="1"/>
  <c r="Q71" i="17"/>
  <c r="J72" i="17"/>
  <c r="S72" i="17" s="1"/>
  <c r="K72" i="17"/>
  <c r="T72" i="17" s="1"/>
  <c r="L72" i="17"/>
  <c r="U72" i="17" s="1"/>
  <c r="M72" i="17"/>
  <c r="V72" i="17" s="1"/>
  <c r="Q72" i="17"/>
  <c r="J73" i="17"/>
  <c r="S73" i="17" s="1"/>
  <c r="K73" i="17"/>
  <c r="T73" i="17" s="1"/>
  <c r="L73" i="17"/>
  <c r="U73" i="17" s="1"/>
  <c r="M73" i="17"/>
  <c r="V73" i="17" s="1"/>
  <c r="Q73" i="17"/>
  <c r="J74" i="17"/>
  <c r="S74" i="17" s="1"/>
  <c r="K74" i="17"/>
  <c r="T74" i="17" s="1"/>
  <c r="L74" i="17"/>
  <c r="U74" i="17" s="1"/>
  <c r="M74" i="17"/>
  <c r="V74" i="17" s="1"/>
  <c r="Q74" i="17"/>
  <c r="J75" i="17"/>
  <c r="S75" i="17" s="1"/>
  <c r="K75" i="17"/>
  <c r="T75" i="17" s="1"/>
  <c r="L75" i="17"/>
  <c r="U75" i="17" s="1"/>
  <c r="M75" i="17"/>
  <c r="V75" i="17" s="1"/>
  <c r="Q75" i="17"/>
  <c r="J76" i="17"/>
  <c r="S76" i="17" s="1"/>
  <c r="K76" i="17"/>
  <c r="T76" i="17" s="1"/>
  <c r="L76" i="17"/>
  <c r="U76" i="17" s="1"/>
  <c r="M76" i="17"/>
  <c r="V76" i="17" s="1"/>
  <c r="Q76" i="17"/>
  <c r="J77" i="17"/>
  <c r="S77" i="17" s="1"/>
  <c r="K77" i="17"/>
  <c r="T77" i="17" s="1"/>
  <c r="L77" i="17"/>
  <c r="U77" i="17" s="1"/>
  <c r="M77" i="17"/>
  <c r="V77" i="17" s="1"/>
  <c r="Q77" i="17"/>
  <c r="J78" i="17"/>
  <c r="S78" i="17" s="1"/>
  <c r="K78" i="17"/>
  <c r="T78" i="17" s="1"/>
  <c r="L78" i="17"/>
  <c r="U78" i="17" s="1"/>
  <c r="M78" i="17"/>
  <c r="V78" i="17" s="1"/>
  <c r="Q78" i="17"/>
  <c r="J79" i="17"/>
  <c r="S79" i="17" s="1"/>
  <c r="K79" i="17"/>
  <c r="T79" i="17" s="1"/>
  <c r="L79" i="17"/>
  <c r="U79" i="17" s="1"/>
  <c r="M79" i="17"/>
  <c r="V79" i="17" s="1"/>
  <c r="Q79" i="17"/>
  <c r="J80" i="17"/>
  <c r="S80" i="17" s="1"/>
  <c r="K80" i="17"/>
  <c r="T80" i="17" s="1"/>
  <c r="L80" i="17"/>
  <c r="U80" i="17" s="1"/>
  <c r="M80" i="17"/>
  <c r="V80" i="17" s="1"/>
  <c r="Q80" i="17"/>
  <c r="J81" i="17"/>
  <c r="S81" i="17" s="1"/>
  <c r="K81" i="17"/>
  <c r="T81" i="17" s="1"/>
  <c r="L81" i="17"/>
  <c r="U81" i="17" s="1"/>
  <c r="M81" i="17"/>
  <c r="V81" i="17" s="1"/>
  <c r="Q81" i="17"/>
  <c r="J82" i="17"/>
  <c r="S82" i="17" s="1"/>
  <c r="K82" i="17"/>
  <c r="T82" i="17" s="1"/>
  <c r="L82" i="17"/>
  <c r="U82" i="17" s="1"/>
  <c r="M82" i="17"/>
  <c r="V82" i="17" s="1"/>
  <c r="Q82" i="17"/>
  <c r="J83" i="17"/>
  <c r="S83" i="17" s="1"/>
  <c r="K83" i="17"/>
  <c r="T83" i="17" s="1"/>
  <c r="L83" i="17"/>
  <c r="U83" i="17" s="1"/>
  <c r="M83" i="17"/>
  <c r="V83" i="17" s="1"/>
  <c r="Q83" i="17"/>
  <c r="J84" i="17"/>
  <c r="S84" i="17" s="1"/>
  <c r="K84" i="17"/>
  <c r="T84" i="17" s="1"/>
  <c r="L84" i="17"/>
  <c r="U84" i="17" s="1"/>
  <c r="M84" i="17"/>
  <c r="V84" i="17" s="1"/>
  <c r="Q84" i="17"/>
  <c r="J85" i="17"/>
  <c r="S85" i="17" s="1"/>
  <c r="K85" i="17"/>
  <c r="T85" i="17" s="1"/>
  <c r="L85" i="17"/>
  <c r="U85" i="17" s="1"/>
  <c r="M85" i="17"/>
  <c r="V85" i="17" s="1"/>
  <c r="Q85" i="17"/>
  <c r="J86" i="17"/>
  <c r="S86" i="17" s="1"/>
  <c r="K86" i="17"/>
  <c r="T86" i="17" s="1"/>
  <c r="L86" i="17"/>
  <c r="U86" i="17" s="1"/>
  <c r="M86" i="17"/>
  <c r="V86" i="17" s="1"/>
  <c r="Q86" i="17"/>
  <c r="J87" i="17"/>
  <c r="S87" i="17" s="1"/>
  <c r="K87" i="17"/>
  <c r="T87" i="17" s="1"/>
  <c r="L87" i="17"/>
  <c r="U87" i="17" s="1"/>
  <c r="M87" i="17"/>
  <c r="V87" i="17" s="1"/>
  <c r="Q87" i="17"/>
  <c r="J88" i="17"/>
  <c r="S88" i="17" s="1"/>
  <c r="K88" i="17"/>
  <c r="T88" i="17" s="1"/>
  <c r="L88" i="17"/>
  <c r="U88" i="17" s="1"/>
  <c r="M88" i="17"/>
  <c r="V88" i="17" s="1"/>
  <c r="Q88" i="17"/>
  <c r="J89" i="17"/>
  <c r="S89" i="17" s="1"/>
  <c r="K89" i="17"/>
  <c r="T89" i="17" s="1"/>
  <c r="L89" i="17"/>
  <c r="U89" i="17" s="1"/>
  <c r="M89" i="17"/>
  <c r="V89" i="17" s="1"/>
  <c r="Q89" i="17"/>
  <c r="J90" i="17"/>
  <c r="S90" i="17" s="1"/>
  <c r="K90" i="17"/>
  <c r="T90" i="17" s="1"/>
  <c r="L90" i="17"/>
  <c r="U90" i="17" s="1"/>
  <c r="M90" i="17"/>
  <c r="V90" i="17" s="1"/>
  <c r="Q90" i="17"/>
  <c r="J91" i="17"/>
  <c r="S91" i="17" s="1"/>
  <c r="K91" i="17"/>
  <c r="T91" i="17" s="1"/>
  <c r="L91" i="17"/>
  <c r="U91" i="17" s="1"/>
  <c r="M91" i="17"/>
  <c r="V91" i="17" s="1"/>
  <c r="Q91" i="17"/>
  <c r="J92" i="17"/>
  <c r="S92" i="17" s="1"/>
  <c r="K92" i="17"/>
  <c r="T92" i="17" s="1"/>
  <c r="L92" i="17"/>
  <c r="U92" i="17" s="1"/>
  <c r="M92" i="17"/>
  <c r="V92" i="17" s="1"/>
  <c r="Q92" i="17"/>
  <c r="J93" i="17"/>
  <c r="S93" i="17" s="1"/>
  <c r="K93" i="17"/>
  <c r="T93" i="17" s="1"/>
  <c r="L93" i="17"/>
  <c r="U93" i="17" s="1"/>
  <c r="M93" i="17"/>
  <c r="V93" i="17" s="1"/>
  <c r="Q93" i="17"/>
  <c r="J94" i="17"/>
  <c r="S94" i="17" s="1"/>
  <c r="K94" i="17"/>
  <c r="T94" i="17" s="1"/>
  <c r="L94" i="17"/>
  <c r="U94" i="17" s="1"/>
  <c r="M94" i="17"/>
  <c r="V94" i="17" s="1"/>
  <c r="Q94" i="17"/>
  <c r="J95" i="17"/>
  <c r="S95" i="17" s="1"/>
  <c r="K95" i="17"/>
  <c r="T95" i="17" s="1"/>
  <c r="L95" i="17"/>
  <c r="U95" i="17" s="1"/>
  <c r="M95" i="17"/>
  <c r="V95" i="17" s="1"/>
  <c r="Q95" i="17"/>
  <c r="J96" i="17"/>
  <c r="S96" i="17" s="1"/>
  <c r="K96" i="17"/>
  <c r="T96" i="17" s="1"/>
  <c r="L96" i="17"/>
  <c r="U96" i="17" s="1"/>
  <c r="M96" i="17"/>
  <c r="V96" i="17" s="1"/>
  <c r="Q96" i="17"/>
  <c r="J97" i="17"/>
  <c r="S97" i="17" s="1"/>
  <c r="K97" i="17"/>
  <c r="T97" i="17" s="1"/>
  <c r="L97" i="17"/>
  <c r="U97" i="17" s="1"/>
  <c r="M97" i="17"/>
  <c r="V97" i="17" s="1"/>
  <c r="Q97" i="17"/>
  <c r="J98" i="17"/>
  <c r="S98" i="17" s="1"/>
  <c r="K98" i="17"/>
  <c r="T98" i="17" s="1"/>
  <c r="L98" i="17"/>
  <c r="U98" i="17" s="1"/>
  <c r="M98" i="17"/>
  <c r="V98" i="17" s="1"/>
  <c r="Q98" i="17"/>
  <c r="J99" i="17"/>
  <c r="S99" i="17" s="1"/>
  <c r="K99" i="17"/>
  <c r="T99" i="17" s="1"/>
  <c r="L99" i="17"/>
  <c r="U99" i="17" s="1"/>
  <c r="M99" i="17"/>
  <c r="V99" i="17" s="1"/>
  <c r="Q99" i="17"/>
  <c r="J100" i="17"/>
  <c r="S100" i="17" s="1"/>
  <c r="K100" i="17"/>
  <c r="T100" i="17" s="1"/>
  <c r="L100" i="17"/>
  <c r="U100" i="17" s="1"/>
  <c r="M100" i="17"/>
  <c r="V100" i="17" s="1"/>
  <c r="Q100" i="17"/>
  <c r="J101" i="17"/>
  <c r="S101" i="17" s="1"/>
  <c r="K101" i="17"/>
  <c r="T101" i="17" s="1"/>
  <c r="L101" i="17"/>
  <c r="U101" i="17" s="1"/>
  <c r="M101" i="17"/>
  <c r="V101" i="17" s="1"/>
  <c r="Q101" i="17"/>
  <c r="J102" i="17"/>
  <c r="S102" i="17" s="1"/>
  <c r="K102" i="17"/>
  <c r="T102" i="17" s="1"/>
  <c r="L102" i="17"/>
  <c r="U102" i="17" s="1"/>
  <c r="M102" i="17"/>
  <c r="V102" i="17" s="1"/>
  <c r="Q102" i="17"/>
  <c r="J103" i="17"/>
  <c r="S103" i="17" s="1"/>
  <c r="K103" i="17"/>
  <c r="T103" i="17" s="1"/>
  <c r="L103" i="17"/>
  <c r="U103" i="17" s="1"/>
  <c r="M103" i="17"/>
  <c r="V103" i="17" s="1"/>
  <c r="Q103" i="17"/>
  <c r="J104" i="17"/>
  <c r="S104" i="17" s="1"/>
  <c r="K104" i="17"/>
  <c r="T104" i="17" s="1"/>
  <c r="L104" i="17"/>
  <c r="U104" i="17" s="1"/>
  <c r="M104" i="17"/>
  <c r="V104" i="17" s="1"/>
  <c r="Q104" i="17"/>
  <c r="J105" i="17"/>
  <c r="S105" i="17" s="1"/>
  <c r="K105" i="17"/>
  <c r="T105" i="17" s="1"/>
  <c r="L105" i="17"/>
  <c r="U105" i="17" s="1"/>
  <c r="M105" i="17"/>
  <c r="V105" i="17" s="1"/>
  <c r="Q105" i="17"/>
  <c r="J106" i="17"/>
  <c r="S106" i="17" s="1"/>
  <c r="K106" i="17"/>
  <c r="T106" i="17" s="1"/>
  <c r="L106" i="17"/>
  <c r="U106" i="17" s="1"/>
  <c r="M106" i="17"/>
  <c r="V106" i="17" s="1"/>
  <c r="Q106" i="17"/>
  <c r="J107" i="17"/>
  <c r="S107" i="17" s="1"/>
  <c r="K107" i="17"/>
  <c r="T107" i="17" s="1"/>
  <c r="L107" i="17"/>
  <c r="U107" i="17" s="1"/>
  <c r="M107" i="17"/>
  <c r="V107" i="17" s="1"/>
  <c r="Q107" i="17"/>
  <c r="J108" i="17"/>
  <c r="S108" i="17" s="1"/>
  <c r="K108" i="17"/>
  <c r="T108" i="17" s="1"/>
  <c r="L108" i="17"/>
  <c r="U108" i="17" s="1"/>
  <c r="M108" i="17"/>
  <c r="V108" i="17" s="1"/>
  <c r="Q108" i="17"/>
  <c r="J109" i="17"/>
  <c r="S109" i="17" s="1"/>
  <c r="K109" i="17"/>
  <c r="T109" i="17" s="1"/>
  <c r="L109" i="17"/>
  <c r="U109" i="17" s="1"/>
  <c r="M109" i="17"/>
  <c r="V109" i="17" s="1"/>
  <c r="Q109" i="17"/>
  <c r="J110" i="17"/>
  <c r="S110" i="17" s="1"/>
  <c r="K110" i="17"/>
  <c r="T110" i="17" s="1"/>
  <c r="L110" i="17"/>
  <c r="U110" i="17" s="1"/>
  <c r="M110" i="17"/>
  <c r="V110" i="17" s="1"/>
  <c r="Q110" i="17"/>
  <c r="J111" i="17"/>
  <c r="S111" i="17" s="1"/>
  <c r="K111" i="17"/>
  <c r="T111" i="17" s="1"/>
  <c r="L111" i="17"/>
  <c r="U111" i="17" s="1"/>
  <c r="M111" i="17"/>
  <c r="V111" i="17" s="1"/>
  <c r="Q111" i="17"/>
  <c r="J112" i="17"/>
  <c r="S112" i="17" s="1"/>
  <c r="K112" i="17"/>
  <c r="T112" i="17" s="1"/>
  <c r="L112" i="17"/>
  <c r="U112" i="17" s="1"/>
  <c r="M112" i="17"/>
  <c r="V112" i="17" s="1"/>
  <c r="Q112" i="17"/>
  <c r="J121" i="17"/>
  <c r="S117" i="17" s="1"/>
  <c r="K121" i="17"/>
  <c r="T117" i="17" s="1"/>
  <c r="L121" i="17"/>
  <c r="U117" i="17" s="1"/>
  <c r="J122" i="17"/>
  <c r="S118" i="17" s="1"/>
  <c r="K122" i="17"/>
  <c r="T118" i="17" s="1"/>
  <c r="L122" i="17"/>
  <c r="U118" i="17" s="1"/>
  <c r="J123" i="17"/>
  <c r="S119" i="17" s="1"/>
  <c r="K123" i="17"/>
  <c r="T119" i="17" s="1"/>
  <c r="L123" i="17"/>
  <c r="U119" i="17" s="1"/>
  <c r="J124" i="17"/>
  <c r="S120" i="17" s="1"/>
  <c r="K124" i="17"/>
  <c r="T120" i="17" s="1"/>
  <c r="L124" i="17"/>
  <c r="U120" i="17" s="1"/>
  <c r="J125" i="17"/>
  <c r="S121" i="17" s="1"/>
  <c r="K125" i="17"/>
  <c r="T121" i="17" s="1"/>
  <c r="L125" i="17"/>
  <c r="U121" i="17" s="1"/>
  <c r="J126" i="17"/>
  <c r="S122" i="17" s="1"/>
  <c r="K126" i="17"/>
  <c r="T122" i="17" s="1"/>
  <c r="L126" i="17"/>
  <c r="U122" i="17" s="1"/>
  <c r="J127" i="17"/>
  <c r="S123" i="17" s="1"/>
  <c r="K127" i="17"/>
  <c r="T123" i="17" s="1"/>
  <c r="L127" i="17"/>
  <c r="U123" i="17" s="1"/>
  <c r="J128" i="17"/>
  <c r="S124" i="17" s="1"/>
  <c r="K128" i="17"/>
  <c r="T124" i="17" s="1"/>
  <c r="L128" i="17"/>
  <c r="U124" i="17" s="1"/>
  <c r="J129" i="17"/>
  <c r="S125" i="17" s="1"/>
  <c r="K129" i="17"/>
  <c r="T125" i="17" s="1"/>
  <c r="L129" i="17"/>
  <c r="U125" i="17" s="1"/>
  <c r="J130" i="17"/>
  <c r="S126" i="17" s="1"/>
  <c r="K130" i="17"/>
  <c r="T126" i="17" s="1"/>
  <c r="L130" i="17"/>
  <c r="U126" i="17" s="1"/>
  <c r="J131" i="17"/>
  <c r="S127" i="17" s="1"/>
  <c r="K131" i="17"/>
  <c r="T127" i="17" s="1"/>
  <c r="L131" i="17"/>
  <c r="U127" i="17" s="1"/>
  <c r="J132" i="17"/>
  <c r="S128" i="17" s="1"/>
  <c r="K132" i="17"/>
  <c r="T128" i="17" s="1"/>
  <c r="L132" i="17"/>
  <c r="U128" i="17" s="1"/>
  <c r="J133" i="17"/>
  <c r="S129" i="17" s="1"/>
  <c r="K133" i="17"/>
  <c r="T129" i="17" s="1"/>
  <c r="L133" i="17"/>
  <c r="U129" i="17" s="1"/>
  <c r="C162" i="1"/>
  <c r="Z162" i="1"/>
  <c r="AA162" i="1" s="1"/>
  <c r="AB162" i="1" s="1"/>
  <c r="BA71" i="1" l="1"/>
  <c r="BA95" i="1"/>
  <c r="BA448" i="1"/>
  <c r="BA422" i="1"/>
  <c r="BA129" i="1"/>
  <c r="BA160" i="1"/>
  <c r="BA331" i="1"/>
  <c r="BA90" i="1"/>
  <c r="BA420" i="1"/>
  <c r="BA489" i="1"/>
  <c r="BA173" i="1"/>
  <c r="BA391" i="1"/>
  <c r="BA87" i="1"/>
  <c r="BA85" i="1"/>
  <c r="BA518" i="1"/>
  <c r="BA370" i="1"/>
  <c r="BA115" i="1"/>
  <c r="BA431" i="1"/>
  <c r="BA465" i="1"/>
  <c r="BA473" i="1"/>
  <c r="BA355" i="1"/>
  <c r="BA140" i="1"/>
  <c r="BA123" i="1"/>
  <c r="BA246" i="1"/>
  <c r="BA341" i="1"/>
  <c r="BA88" i="1"/>
  <c r="BA392" i="1"/>
  <c r="BA472" i="1"/>
  <c r="BA86" i="1"/>
  <c r="BA519" i="1"/>
  <c r="BA371" i="1"/>
  <c r="BA116" i="1"/>
  <c r="BA354" i="1"/>
  <c r="BA432" i="1"/>
  <c r="BA165" i="1"/>
  <c r="BA464" i="1"/>
  <c r="BA98" i="1"/>
  <c r="BA157" i="1"/>
  <c r="BA462" i="1"/>
  <c r="BA309" i="1"/>
  <c r="BA326" i="1"/>
  <c r="BA73" i="1"/>
  <c r="BA39" i="1"/>
  <c r="BA285" i="1"/>
  <c r="BA495" i="1"/>
  <c r="BA426" i="1"/>
  <c r="BA291" i="1"/>
  <c r="BA269" i="1"/>
  <c r="AZ392" i="1"/>
  <c r="AZ472" i="1"/>
  <c r="AZ86" i="1"/>
  <c r="AZ519" i="1"/>
  <c r="AZ431" i="1"/>
  <c r="AZ165" i="1"/>
  <c r="AZ473" i="1"/>
  <c r="AZ464" i="1"/>
  <c r="AZ354" i="1"/>
  <c r="AZ432" i="1"/>
  <c r="AZ371" i="1"/>
  <c r="AZ309" i="1"/>
  <c r="AZ116" i="1"/>
  <c r="AZ341" i="1"/>
  <c r="AZ465" i="1"/>
  <c r="AZ88" i="1"/>
  <c r="AZ173" i="1"/>
  <c r="AZ157" i="1"/>
  <c r="AZ123" i="1"/>
  <c r="AZ462" i="1"/>
  <c r="AZ246" i="1"/>
  <c r="AZ355" i="1"/>
  <c r="AZ140" i="1"/>
  <c r="AZ391" i="1"/>
  <c r="AZ87" i="1"/>
  <c r="AZ85" i="1"/>
  <c r="AZ518" i="1"/>
  <c r="AZ370" i="1"/>
  <c r="AZ98" i="1"/>
  <c r="AZ115" i="1"/>
  <c r="BA112" i="1"/>
  <c r="BA151" i="1"/>
  <c r="BA508" i="1"/>
  <c r="BA515" i="1"/>
  <c r="BA229" i="1"/>
  <c r="BA245" i="1"/>
  <c r="BA275" i="1"/>
  <c r="BA278" i="1"/>
  <c r="BA62" i="1"/>
  <c r="BA145" i="1"/>
  <c r="BA76" i="1"/>
  <c r="BA247" i="1"/>
  <c r="BA29" i="1"/>
  <c r="BA353" i="1"/>
  <c r="BA220" i="1"/>
  <c r="BA3" i="1"/>
  <c r="BA12" i="1"/>
  <c r="BA437" i="1"/>
  <c r="BA35" i="1"/>
  <c r="BA481" i="1"/>
  <c r="BA403" i="1"/>
  <c r="BA83" i="1"/>
  <c r="BA328" i="1"/>
  <c r="BA37" i="1"/>
  <c r="BA376" i="1"/>
  <c r="BA467" i="1"/>
  <c r="BA120" i="1"/>
  <c r="BA382" i="1"/>
  <c r="BA241" i="1"/>
  <c r="BA232" i="1"/>
  <c r="BA124" i="1"/>
  <c r="BA81" i="1"/>
  <c r="BA372" i="1"/>
  <c r="BA516" i="1"/>
  <c r="BA21" i="1"/>
  <c r="BA77" i="1"/>
  <c r="BA178" i="1"/>
  <c r="BA300" i="1"/>
  <c r="BA414" i="1"/>
  <c r="BA413" i="1"/>
  <c r="BA130" i="1"/>
  <c r="BA373" i="1"/>
  <c r="BA517" i="1"/>
  <c r="BA30" i="1"/>
  <c r="BA131" i="1"/>
  <c r="BA412" i="1"/>
  <c r="BA177" i="1"/>
  <c r="BA299" i="1"/>
  <c r="BA102" i="1"/>
  <c r="BA13" i="1"/>
  <c r="BA118" i="1"/>
  <c r="BA27" i="1"/>
  <c r="BA210" i="1"/>
  <c r="BA361" i="1"/>
  <c r="BA411" i="1"/>
  <c r="BA233" i="1"/>
  <c r="BA174" i="1"/>
  <c r="BA454" i="1"/>
  <c r="BA380" i="1"/>
  <c r="BA504" i="1"/>
  <c r="BA283" i="1"/>
  <c r="BA306" i="1"/>
  <c r="BA304" i="1"/>
  <c r="AZ81" i="1"/>
  <c r="AZ373" i="1"/>
  <c r="AZ30" i="1"/>
  <c r="AZ178" i="1"/>
  <c r="AZ414" i="1"/>
  <c r="AZ147" i="1"/>
  <c r="AZ338" i="1"/>
  <c r="AZ512" i="1"/>
  <c r="AZ44" i="1"/>
  <c r="AZ428" i="1"/>
  <c r="AZ20" i="1"/>
  <c r="AZ369" i="1"/>
  <c r="AZ114" i="1"/>
  <c r="AZ201" i="1"/>
  <c r="AZ491" i="1"/>
  <c r="AZ439" i="1"/>
  <c r="AZ486" i="1"/>
  <c r="AZ172" i="1"/>
  <c r="AZ475" i="1"/>
  <c r="AZ510" i="1"/>
  <c r="AZ36" i="1"/>
  <c r="AZ385" i="1"/>
  <c r="AZ484" i="1"/>
  <c r="AZ297" i="1"/>
  <c r="AZ167" i="1"/>
  <c r="AZ430" i="1"/>
  <c r="AZ372" i="1"/>
  <c r="AZ21" i="1"/>
  <c r="AZ130" i="1"/>
  <c r="AZ222" i="1"/>
  <c r="AZ45" i="1"/>
  <c r="AZ429" i="1"/>
  <c r="AZ92" i="1"/>
  <c r="AZ386" i="1"/>
  <c r="AZ395" i="1"/>
  <c r="AZ64" i="1"/>
  <c r="AZ237" i="1"/>
  <c r="AZ492" i="1"/>
  <c r="AZ181" i="1"/>
  <c r="AZ442" i="1"/>
  <c r="AZ487" i="1"/>
  <c r="AZ461" i="1"/>
  <c r="AZ476" i="1"/>
  <c r="AZ415" i="1"/>
  <c r="AZ154" i="1"/>
  <c r="AZ358" i="1"/>
  <c r="AZ91" i="1"/>
  <c r="AZ89" i="1"/>
  <c r="AZ41" i="1"/>
  <c r="AZ517" i="1"/>
  <c r="AZ131" i="1"/>
  <c r="AZ299" i="1"/>
  <c r="AZ223" i="1"/>
  <c r="AZ339" i="1"/>
  <c r="AZ417" i="1"/>
  <c r="AZ416" i="1"/>
  <c r="AZ441" i="1"/>
  <c r="AZ349" i="1"/>
  <c r="AZ202" i="1"/>
  <c r="AZ396" i="1"/>
  <c r="AZ238" i="1"/>
  <c r="AZ182" i="1"/>
  <c r="AZ443" i="1"/>
  <c r="AZ225" i="1"/>
  <c r="AZ121" i="1"/>
  <c r="AZ58" i="1"/>
  <c r="AZ119" i="1"/>
  <c r="AZ2" i="1"/>
  <c r="AZ192" i="1"/>
  <c r="AZ90" i="1"/>
  <c r="AZ68" i="1"/>
  <c r="AZ440" i="1"/>
  <c r="AZ516" i="1"/>
  <c r="AZ77" i="1"/>
  <c r="AZ177" i="1"/>
  <c r="AZ413" i="1"/>
  <c r="AZ412" i="1"/>
  <c r="AZ300" i="1"/>
  <c r="AZ200" i="1"/>
  <c r="AZ511" i="1"/>
  <c r="AZ485" i="1"/>
  <c r="AZ42" i="1"/>
  <c r="AZ203" i="1"/>
  <c r="AZ110" i="1"/>
  <c r="AZ239" i="1"/>
  <c r="AZ438" i="1"/>
  <c r="AZ444" i="1"/>
  <c r="AZ304" i="1"/>
  <c r="AZ313" i="1"/>
  <c r="AZ252" i="1"/>
  <c r="AZ281" i="1"/>
  <c r="AZ153" i="1"/>
  <c r="AZ3" i="1"/>
  <c r="AZ483" i="1"/>
  <c r="AZ482" i="1"/>
  <c r="AZ296" i="1"/>
  <c r="AZ166" i="1"/>
  <c r="BA40" i="1"/>
  <c r="BA468" i="1"/>
  <c r="BA423" i="1"/>
  <c r="BA47" i="1"/>
  <c r="BA270" i="1"/>
  <c r="BA70" i="1"/>
  <c r="BA256" i="1"/>
  <c r="BA105" i="1"/>
  <c r="BA208" i="1"/>
  <c r="BA78" i="1"/>
  <c r="BA381" i="1"/>
  <c r="BA159" i="1"/>
  <c r="BA54" i="1"/>
  <c r="BA190" i="1"/>
  <c r="BA231" i="1"/>
  <c r="BA67" i="1"/>
  <c r="BA263" i="1"/>
  <c r="BA4" i="1"/>
  <c r="BA111" i="1"/>
  <c r="BA149" i="1"/>
  <c r="BA150" i="1"/>
  <c r="BA117" i="1"/>
  <c r="BA362" i="1"/>
  <c r="BA109" i="1"/>
  <c r="BA324" i="1"/>
  <c r="BA344" i="1"/>
  <c r="BA266" i="1"/>
  <c r="BA249" i="1"/>
  <c r="BA424" i="1"/>
  <c r="BA126" i="1"/>
  <c r="BA104" i="1"/>
  <c r="BA358" i="1"/>
  <c r="BA513" i="1"/>
  <c r="BA461" i="1"/>
  <c r="BA267" i="1"/>
  <c r="BA63" i="1"/>
  <c r="BA455" i="1"/>
  <c r="BA133" i="1"/>
  <c r="BA310" i="1"/>
  <c r="BA59" i="1"/>
  <c r="BA499" i="1"/>
  <c r="BA107" i="1"/>
  <c r="BA213" i="1"/>
  <c r="BA56" i="1"/>
  <c r="BA50" i="1"/>
  <c r="BA34" i="1"/>
  <c r="BA348" i="1"/>
  <c r="BA401" i="1"/>
  <c r="BA170" i="1"/>
  <c r="BA325" i="1"/>
  <c r="BA243" i="1"/>
  <c r="BA11" i="1"/>
  <c r="BA156" i="1"/>
  <c r="BA436" i="1"/>
  <c r="BA400" i="1"/>
  <c r="BA315" i="1"/>
  <c r="BA279" i="1"/>
  <c r="BA490" i="1"/>
  <c r="BA452" i="1"/>
  <c r="BA405" i="1"/>
  <c r="BA378" i="1"/>
  <c r="BA228" i="1"/>
  <c r="BA17" i="1"/>
  <c r="BA407" i="1"/>
  <c r="BA316" i="1"/>
  <c r="BA440" i="1"/>
  <c r="BA483" i="1"/>
  <c r="BA385" i="1"/>
  <c r="BA225" i="1"/>
  <c r="BA172" i="1"/>
  <c r="BA162" i="1"/>
  <c r="BA163" i="1"/>
  <c r="BA199" i="1"/>
  <c r="BA446" i="1"/>
  <c r="BA419" i="1"/>
  <c r="BA142" i="1"/>
  <c r="BA155" i="1"/>
  <c r="BA75" i="1"/>
  <c r="BA261" i="1"/>
  <c r="BA350" i="1"/>
  <c r="BA7" i="1"/>
  <c r="BA53" i="1"/>
  <c r="BA466" i="1"/>
  <c r="BA453" i="1"/>
  <c r="BA340" i="1"/>
  <c r="BA144" i="1"/>
  <c r="BA186" i="1"/>
  <c r="BA379" i="1"/>
  <c r="BA43" i="1"/>
  <c r="BA132" i="1"/>
  <c r="BA308" i="1"/>
  <c r="BA224" i="1"/>
  <c r="BA254" i="1"/>
  <c r="BA38" i="1"/>
  <c r="BA289" i="1"/>
  <c r="BA284" i="1"/>
  <c r="BA196" i="1"/>
  <c r="BA169" i="1"/>
  <c r="BA179" i="1"/>
  <c r="BA52" i="1"/>
  <c r="BA259" i="1"/>
  <c r="BA97" i="1"/>
  <c r="BA357" i="1"/>
  <c r="BA253" i="1"/>
  <c r="BA500" i="1"/>
  <c r="BA470" i="1"/>
  <c r="BA96" i="1"/>
  <c r="BA106" i="1"/>
  <c r="BA408" i="1"/>
  <c r="BA393" i="1"/>
  <c r="BA57" i="1"/>
  <c r="BA79" i="1"/>
  <c r="BA51" i="1"/>
  <c r="BA425" i="1"/>
  <c r="BA507" i="1"/>
  <c r="BA480" i="1"/>
  <c r="BA288" i="1"/>
  <c r="BA128" i="1"/>
  <c r="BA290" i="1"/>
  <c r="BA402" i="1"/>
  <c r="BA209" i="1"/>
  <c r="BA276" i="1"/>
  <c r="BA171" i="1"/>
  <c r="BA82" i="1"/>
  <c r="BA351" i="1"/>
  <c r="BA18" i="1"/>
  <c r="BA294" i="1"/>
  <c r="BA457" i="1"/>
  <c r="BA398" i="1"/>
  <c r="BA514" i="1"/>
  <c r="BA33" i="1"/>
  <c r="BA167" i="1"/>
  <c r="BA484" i="1"/>
  <c r="BA36" i="1"/>
  <c r="BA222" i="1"/>
  <c r="BA417" i="1"/>
  <c r="BA92" i="1"/>
  <c r="BA386" i="1"/>
  <c r="BA395" i="1"/>
  <c r="BA239" i="1"/>
  <c r="BA439" i="1"/>
  <c r="BA486" i="1"/>
  <c r="BA147" i="1"/>
  <c r="BA223" i="1"/>
  <c r="BA512" i="1"/>
  <c r="BA339" i="1"/>
  <c r="BA45" i="1"/>
  <c r="BA485" i="1"/>
  <c r="BA429" i="1"/>
  <c r="BA349" i="1"/>
  <c r="BA202" i="1"/>
  <c r="BA396" i="1"/>
  <c r="BA491" i="1"/>
  <c r="BA181" i="1"/>
  <c r="BA442" i="1"/>
  <c r="BA487" i="1"/>
  <c r="BA338" i="1"/>
  <c r="BA42" i="1"/>
  <c r="BA203" i="1"/>
  <c r="BA110" i="1"/>
  <c r="BA201" i="1"/>
  <c r="BA237" i="1"/>
  <c r="BA492" i="1"/>
  <c r="BA182" i="1"/>
  <c r="BA443" i="1"/>
  <c r="BA200" i="1"/>
  <c r="BA511" i="1"/>
  <c r="BA416" i="1"/>
  <c r="BA44" i="1"/>
  <c r="BA441" i="1"/>
  <c r="BA428" i="1"/>
  <c r="BA20" i="1"/>
  <c r="BA369" i="1"/>
  <c r="BA114" i="1"/>
  <c r="BA64" i="1"/>
  <c r="BA238" i="1"/>
  <c r="BA438" i="1"/>
  <c r="BA444" i="1"/>
  <c r="BA475" i="1"/>
  <c r="BA252" i="1"/>
  <c r="BA313" i="1"/>
  <c r="BA58" i="1"/>
  <c r="BA2" i="1"/>
  <c r="BA192" i="1"/>
  <c r="BA297" i="1"/>
  <c r="BA89" i="1"/>
  <c r="BA68" i="1"/>
  <c r="BA332" i="1"/>
  <c r="BA214" i="1"/>
  <c r="BA286" i="1"/>
  <c r="BA103" i="1"/>
  <c r="BA497" i="1"/>
  <c r="BA317" i="1"/>
  <c r="BA219" i="1"/>
  <c r="BA127" i="1"/>
  <c r="BA390" i="1"/>
  <c r="BA421" i="1"/>
  <c r="BA503" i="1"/>
  <c r="BA26" i="1"/>
  <c r="BA24" i="1"/>
  <c r="BA19" i="1"/>
  <c r="BA478" i="1"/>
  <c r="BA16" i="1"/>
  <c r="BA365" i="1"/>
  <c r="BA305" i="1"/>
  <c r="BA319" i="1"/>
  <c r="BA262" i="1"/>
  <c r="BA93" i="1"/>
  <c r="BA375" i="1"/>
  <c r="BA108" i="1"/>
  <c r="BA242" i="1"/>
  <c r="BA122" i="1"/>
  <c r="BA277" i="1"/>
  <c r="BA258" i="1"/>
  <c r="BA66" i="1"/>
  <c r="BA236" i="1"/>
  <c r="BA447" i="1"/>
  <c r="BA61" i="1"/>
  <c r="BA206" i="1"/>
  <c r="BA474" i="1"/>
  <c r="BA164" i="1"/>
  <c r="BA146" i="1"/>
  <c r="BA230" i="1"/>
  <c r="BA137" i="1"/>
  <c r="BA100" i="1"/>
  <c r="BA175" i="1"/>
  <c r="BA359" i="1"/>
  <c r="BA264" i="1"/>
  <c r="BA367" i="1"/>
  <c r="BA25" i="1"/>
  <c r="BA189" i="1"/>
  <c r="BA336" i="1"/>
  <c r="BA346" i="1"/>
  <c r="BA204" i="1"/>
  <c r="BA410" i="1"/>
  <c r="BA322" i="1"/>
  <c r="BA435" i="1"/>
  <c r="BA449" i="1"/>
  <c r="BA347" i="1"/>
  <c r="BA244" i="1"/>
  <c r="BA303" i="1"/>
  <c r="BA488" i="1"/>
  <c r="BA180" i="1"/>
  <c r="BA6" i="1"/>
  <c r="BA185" i="1"/>
  <c r="BA280" i="1"/>
  <c r="BA363" i="1"/>
  <c r="BA374" i="1"/>
  <c r="BA383" i="1"/>
  <c r="BA187" i="1"/>
  <c r="BA272" i="1"/>
  <c r="BA139" i="1"/>
  <c r="BA463" i="1"/>
  <c r="BA250" i="1"/>
  <c r="BA10" i="1"/>
  <c r="BA356" i="1"/>
  <c r="BA360" i="1"/>
  <c r="BA368" i="1"/>
  <c r="BA121" i="1"/>
  <c r="BA476" i="1"/>
  <c r="BA154" i="1"/>
  <c r="BA153" i="1"/>
  <c r="BA119" i="1"/>
  <c r="BA482" i="1"/>
  <c r="BA296" i="1"/>
  <c r="BA166" i="1"/>
  <c r="BA430" i="1"/>
  <c r="BA343" i="1"/>
  <c r="BA330" i="1"/>
  <c r="BA268" i="1"/>
  <c r="BA333" i="1"/>
  <c r="BA498" i="1"/>
  <c r="BA477" i="1"/>
  <c r="BA388" i="1"/>
  <c r="BA397" i="1"/>
  <c r="BA125" i="1"/>
  <c r="BA456" i="1"/>
  <c r="BA406" i="1"/>
  <c r="BA293" i="1"/>
  <c r="BA22" i="1"/>
  <c r="BA31" i="1"/>
  <c r="BA257" i="1"/>
  <c r="BA352" i="1"/>
  <c r="BA143" i="1"/>
  <c r="BA99" i="1"/>
  <c r="BA60" i="1"/>
  <c r="BA216" i="1"/>
  <c r="BA46" i="1"/>
  <c r="BA311" i="1"/>
  <c r="BA152" i="1"/>
  <c r="BA48" i="1"/>
  <c r="BA72" i="1"/>
  <c r="BA134" i="1"/>
  <c r="BA14" i="1"/>
  <c r="BA234" i="1"/>
  <c r="BA101" i="1"/>
  <c r="BA226" i="1"/>
  <c r="BA329" i="1"/>
  <c r="BA469" i="1"/>
  <c r="BA327" i="1"/>
  <c r="BA32" i="1"/>
  <c r="BA9" i="1"/>
  <c r="BA366" i="1"/>
  <c r="BA451" i="1"/>
  <c r="BA295" i="1"/>
  <c r="BA168" i="1"/>
  <c r="BA364" i="1"/>
  <c r="BA218" i="1"/>
  <c r="BA274" i="1"/>
  <c r="BA195" i="1"/>
  <c r="BA384" i="1"/>
  <c r="BA65" i="1"/>
  <c r="BA188" i="1"/>
  <c r="BA251" i="1"/>
  <c r="BA273" i="1"/>
  <c r="BA434" i="1"/>
  <c r="BA292" i="1"/>
  <c r="BA458" i="1"/>
  <c r="BA183" i="1"/>
  <c r="BA335" i="1"/>
  <c r="BA191" i="1"/>
  <c r="BA494" i="1"/>
  <c r="BA8" i="1"/>
  <c r="BA298" i="1"/>
  <c r="BA15" i="1"/>
  <c r="BA217" i="1"/>
  <c r="BA312" i="1"/>
  <c r="BA49" i="1"/>
  <c r="BA135" i="1"/>
  <c r="BA433" i="1"/>
  <c r="BA227" i="1"/>
  <c r="BA334" i="1"/>
  <c r="BA493" i="1"/>
  <c r="BA301" i="1"/>
  <c r="BA176" i="1"/>
  <c r="BA265" i="1"/>
  <c r="BA377" i="1"/>
  <c r="BA337" i="1"/>
  <c r="BA404" i="1"/>
  <c r="BA323" i="1"/>
  <c r="BA194" i="1"/>
  <c r="BA136" i="1"/>
  <c r="BA501" i="1"/>
  <c r="BA471" i="1"/>
  <c r="BA460" i="1"/>
  <c r="BA235" i="1"/>
  <c r="BA409" i="1"/>
  <c r="BA394" i="1"/>
  <c r="BA5" i="1"/>
  <c r="BA80" i="1"/>
  <c r="BA318" i="1"/>
  <c r="BA450" i="1"/>
  <c r="BA505" i="1"/>
  <c r="BA138" i="1"/>
  <c r="BA248" i="1"/>
  <c r="BA205" i="1"/>
  <c r="BA148" i="1"/>
  <c r="BA399" i="1"/>
  <c r="BA28" i="1"/>
  <c r="BA314" i="1"/>
  <c r="BA307" i="1"/>
  <c r="BA506" i="1"/>
  <c r="BA479" i="1"/>
  <c r="BA184" i="1"/>
  <c r="BA240" i="1"/>
  <c r="BA158" i="1"/>
  <c r="BA271" i="1"/>
  <c r="BA113" i="1"/>
  <c r="BA302" i="1"/>
  <c r="BA282" i="1"/>
  <c r="BA345" i="1"/>
  <c r="BA94" i="1"/>
  <c r="BA427" i="1"/>
  <c r="BA161" i="1"/>
  <c r="BA215" i="1"/>
  <c r="BA198" i="1"/>
  <c r="BA445" i="1"/>
  <c r="BA418" i="1"/>
  <c r="BA141" i="1"/>
  <c r="BA211" i="1"/>
  <c r="BA74" i="1"/>
  <c r="BA260" i="1"/>
  <c r="BA84" i="1"/>
  <c r="BA69" i="1"/>
  <c r="BA320" i="1"/>
  <c r="BA255" i="1"/>
  <c r="BA459" i="1"/>
  <c r="BA55" i="1"/>
  <c r="BA212" i="1"/>
  <c r="BA207" i="1"/>
  <c r="BA197" i="1"/>
  <c r="BA321" i="1"/>
  <c r="BA193" i="1"/>
  <c r="BA509" i="1"/>
  <c r="BA221" i="1"/>
  <c r="BA23" i="1"/>
  <c r="BA502" i="1"/>
  <c r="BA389" i="1"/>
  <c r="BA387" i="1"/>
  <c r="BA496" i="1"/>
  <c r="BA287" i="1"/>
  <c r="BA342" i="1"/>
  <c r="BA41" i="1"/>
  <c r="BA91" i="1"/>
  <c r="BA415" i="1"/>
  <c r="BA281" i="1"/>
  <c r="BA510" i="1"/>
  <c r="J17" i="19"/>
  <c r="J16" i="19"/>
  <c r="J9" i="19"/>
  <c r="J15" i="19"/>
  <c r="J18" i="19"/>
  <c r="J11" i="19"/>
  <c r="J10" i="19"/>
  <c r="J21" i="19"/>
  <c r="J20" i="19"/>
  <c r="J14" i="19"/>
  <c r="J19" i="19"/>
  <c r="J22" i="19"/>
  <c r="J12" i="19"/>
  <c r="J13" i="19"/>
  <c r="J8" i="19"/>
  <c r="J25" i="19"/>
  <c r="J23" i="19"/>
  <c r="J24" i="19"/>
  <c r="AZ343" i="1"/>
  <c r="AZ342" i="1"/>
  <c r="AZ332" i="1"/>
  <c r="AZ331" i="1"/>
  <c r="AZ330" i="1"/>
  <c r="AZ333" i="1"/>
  <c r="AZ287" i="1"/>
  <c r="AZ214" i="1"/>
  <c r="AZ286" i="1"/>
  <c r="AZ268" i="1"/>
  <c r="AZ103" i="1"/>
  <c r="AZ495" i="1"/>
  <c r="AZ514" i="1"/>
  <c r="AZ388" i="1"/>
  <c r="AZ220" i="1"/>
  <c r="AZ125" i="1"/>
  <c r="AZ457" i="1"/>
  <c r="AZ219" i="1"/>
  <c r="AZ503" i="1"/>
  <c r="AZ513" i="1"/>
  <c r="AZ497" i="1"/>
  <c r="AZ398" i="1"/>
  <c r="AZ502" i="1"/>
  <c r="AZ104" i="1"/>
  <c r="AZ397" i="1"/>
  <c r="AZ126" i="1"/>
  <c r="AZ389" i="1"/>
  <c r="AZ406" i="1"/>
  <c r="AZ498" i="1"/>
  <c r="AZ317" i="1"/>
  <c r="AZ387" i="1"/>
  <c r="AZ421" i="1"/>
  <c r="AZ456" i="1"/>
  <c r="AZ267" i="1"/>
  <c r="AZ477" i="1"/>
  <c r="AZ316" i="1"/>
  <c r="AZ127" i="1"/>
  <c r="AZ390" i="1"/>
  <c r="AZ420" i="1"/>
  <c r="AZ407" i="1"/>
  <c r="AZ33" i="1"/>
  <c r="AZ496" i="1"/>
  <c r="F5" i="19"/>
  <c r="C7" i="19"/>
  <c r="D7" i="19" s="1"/>
  <c r="E7" i="19" s="1"/>
  <c r="F6" i="19"/>
  <c r="G6" i="19" s="1"/>
  <c r="AZ424" i="1"/>
  <c r="AZ124" i="1"/>
  <c r="AZ17" i="1"/>
  <c r="AZ353" i="1"/>
  <c r="AZ293" i="1"/>
  <c r="AZ19" i="1"/>
  <c r="AZ478" i="1"/>
  <c r="AZ24" i="1"/>
  <c r="AZ221" i="1"/>
  <c r="AZ16" i="1"/>
  <c r="AZ26" i="1"/>
  <c r="AZ22" i="1"/>
  <c r="AZ18" i="1"/>
  <c r="AZ294" i="1"/>
  <c r="AZ23" i="1"/>
  <c r="AZ257" i="1"/>
  <c r="AZ351" i="1"/>
  <c r="AZ31" i="1"/>
  <c r="AZ352" i="1"/>
  <c r="AZ509" i="1"/>
  <c r="AZ279" i="1"/>
  <c r="AZ427" i="1"/>
  <c r="AZ95" i="1"/>
  <c r="AZ365" i="1"/>
  <c r="AZ143" i="1"/>
  <c r="AZ280" i="1"/>
  <c r="AZ249" i="1"/>
  <c r="AZ425" i="1"/>
  <c r="AZ426" i="1"/>
  <c r="AZ451" i="1"/>
  <c r="AZ356" i="1"/>
  <c r="AZ12" i="1"/>
  <c r="AZ11" i="1"/>
  <c r="AZ382" i="1"/>
  <c r="AZ450" i="1"/>
  <c r="AZ381" i="1"/>
  <c r="AZ185" i="1"/>
  <c r="AZ113" i="1"/>
  <c r="AZ136" i="1"/>
  <c r="AZ137" i="1"/>
  <c r="AZ70" i="1"/>
  <c r="AZ253" i="1"/>
  <c r="AZ69" i="1"/>
  <c r="AZ308" i="1"/>
  <c r="AZ298" i="1"/>
  <c r="AZ301" i="1"/>
  <c r="AZ366" i="1"/>
  <c r="AZ40" i="1"/>
  <c r="AZ39" i="1"/>
  <c r="AZ7" i="1"/>
  <c r="AZ361" i="1"/>
  <c r="AZ362" i="1"/>
  <c r="AZ6" i="1"/>
  <c r="AZ357" i="1"/>
  <c r="AZ155" i="1"/>
  <c r="AZ325" i="1"/>
  <c r="AZ38" i="1"/>
  <c r="AZ283" i="1"/>
  <c r="AZ291" i="1"/>
  <c r="AZ224" i="1"/>
  <c r="AZ227" i="1"/>
  <c r="AZ419" i="1"/>
  <c r="AZ350" i="1"/>
  <c r="AZ383" i="1"/>
  <c r="AZ384" i="1"/>
  <c r="AZ236" i="1"/>
  <c r="AZ235" i="1"/>
  <c r="AZ394" i="1"/>
  <c r="AZ393" i="1"/>
  <c r="AZ323" i="1"/>
  <c r="AZ322" i="1"/>
  <c r="AZ368" i="1"/>
  <c r="AZ367" i="1"/>
  <c r="AZ164" i="1"/>
  <c r="AZ163" i="1"/>
  <c r="AZ348" i="1"/>
  <c r="AZ347" i="1"/>
  <c r="AZ455" i="1"/>
  <c r="AZ454" i="1"/>
  <c r="AZ198" i="1"/>
  <c r="AZ212" i="1"/>
  <c r="AZ488" i="1"/>
  <c r="AZ435" i="1"/>
  <c r="AZ411" i="1"/>
  <c r="AZ453" i="1"/>
  <c r="AZ452" i="1"/>
  <c r="AZ481" i="1"/>
  <c r="AZ480" i="1"/>
  <c r="AZ479" i="1"/>
  <c r="AZ449" i="1"/>
  <c r="AZ161" i="1"/>
  <c r="AZ374" i="1"/>
  <c r="AZ458" i="1"/>
  <c r="AZ410" i="1"/>
  <c r="AZ468" i="1"/>
  <c r="AZ418" i="1"/>
  <c r="AZ501" i="1"/>
  <c r="AZ500" i="1"/>
  <c r="AZ499" i="1"/>
  <c r="AZ329" i="1"/>
  <c r="AZ179" i="1"/>
  <c r="AZ346" i="1"/>
  <c r="AZ345" i="1"/>
  <c r="AZ446" i="1"/>
  <c r="AZ445" i="1"/>
  <c r="AZ408" i="1"/>
  <c r="AZ409" i="1"/>
  <c r="AC162" i="1"/>
  <c r="AZ290" i="1"/>
  <c r="AZ289" i="1"/>
  <c r="AZ273" i="1"/>
  <c r="AZ272" i="1"/>
  <c r="AZ508" i="1"/>
  <c r="AZ507" i="1"/>
  <c r="AZ506" i="1"/>
  <c r="AZ120" i="1"/>
  <c r="AZ460" i="1"/>
  <c r="AZ471" i="1"/>
  <c r="AZ470" i="1"/>
  <c r="AZ459" i="1"/>
  <c r="AZ463" i="1"/>
  <c r="AZ434" i="1"/>
  <c r="AZ193" i="1"/>
  <c r="AZ34" i="1"/>
  <c r="AZ191" i="1"/>
  <c r="AZ494" i="1"/>
  <c r="AZ493" i="1"/>
  <c r="AZ139" i="1"/>
  <c r="AZ340" i="1"/>
  <c r="AZ183" i="1"/>
  <c r="AZ326" i="1"/>
  <c r="AZ303" i="1"/>
  <c r="AZ302" i="1"/>
  <c r="AZ474" i="1"/>
  <c r="AZ364" i="1"/>
  <c r="AZ363" i="1"/>
  <c r="AZ360" i="1"/>
  <c r="AZ359" i="1"/>
  <c r="AZ423" i="1"/>
  <c r="AZ422" i="1"/>
  <c r="AZ207" i="1"/>
  <c r="AZ99" i="1"/>
  <c r="AZ100" i="1"/>
  <c r="AZ295" i="1"/>
  <c r="AZ37" i="1"/>
  <c r="AZ82" i="1"/>
  <c r="AZ83" i="1"/>
  <c r="AZ84" i="1"/>
  <c r="AZ305" i="1"/>
  <c r="AZ174" i="1"/>
  <c r="AZ175" i="1"/>
  <c r="AZ176" i="1"/>
  <c r="AZ228" i="1"/>
  <c r="AZ132" i="1"/>
  <c r="AZ76" i="1"/>
  <c r="AZ59" i="1"/>
  <c r="AZ60" i="1"/>
  <c r="AZ15" i="1"/>
  <c r="AZ168" i="1"/>
  <c r="AZ169" i="1"/>
  <c r="AZ50" i="1"/>
  <c r="AZ51" i="1"/>
  <c r="AZ318" i="1"/>
  <c r="AZ319" i="1"/>
  <c r="AZ306" i="1"/>
  <c r="AZ307" i="1"/>
  <c r="AZ117" i="1"/>
  <c r="AZ118" i="1"/>
  <c r="AZ170" i="1"/>
  <c r="AZ171" i="1"/>
  <c r="AZ229" i="1"/>
  <c r="AZ260" i="1"/>
  <c r="AZ261" i="1"/>
  <c r="AZ262" i="1"/>
  <c r="AZ263" i="1"/>
  <c r="AZ264" i="1"/>
  <c r="AZ265" i="1"/>
  <c r="AZ266" i="1"/>
  <c r="AZ43" i="1"/>
  <c r="AZ269" i="1"/>
  <c r="AZ270" i="1"/>
  <c r="AZ216" i="1"/>
  <c r="AZ217" i="1"/>
  <c r="AZ218" i="1"/>
  <c r="AZ271" i="1"/>
  <c r="AZ321" i="1"/>
  <c r="AZ78" i="1"/>
  <c r="AZ79" i="1"/>
  <c r="AZ80" i="1"/>
  <c r="AZ93" i="1"/>
  <c r="AZ94" i="1"/>
  <c r="AZ232" i="1"/>
  <c r="AZ314" i="1"/>
  <c r="AZ315" i="1"/>
  <c r="AZ35" i="1"/>
  <c r="AZ46" i="1"/>
  <c r="AZ274" i="1"/>
  <c r="AZ275" i="1"/>
  <c r="AZ276" i="1"/>
  <c r="AZ73" i="1"/>
  <c r="AZ74" i="1"/>
  <c r="AZ75" i="1"/>
  <c r="AZ375" i="1"/>
  <c r="AZ376" i="1"/>
  <c r="AZ25" i="1"/>
  <c r="AZ377" i="1"/>
  <c r="AZ378" i="1"/>
  <c r="AZ379" i="1"/>
  <c r="AZ380" i="1"/>
  <c r="AZ310" i="1"/>
  <c r="AZ311" i="1"/>
  <c r="AZ312" i="1"/>
  <c r="AZ195" i="1"/>
  <c r="AZ196" i="1"/>
  <c r="AZ197" i="1"/>
  <c r="AZ56" i="1"/>
  <c r="AZ57" i="1"/>
  <c r="AZ5" i="1"/>
  <c r="AZ108" i="1"/>
  <c r="AZ97" i="1"/>
  <c r="AZ189" i="1"/>
  <c r="AZ190" i="1"/>
  <c r="AZ29" i="1"/>
  <c r="AZ28" i="1"/>
  <c r="AZ150" i="1"/>
  <c r="AZ151" i="1"/>
  <c r="AZ152" i="1"/>
  <c r="AZ158" i="1"/>
  <c r="AZ209" i="1"/>
  <c r="AZ210" i="1"/>
  <c r="AZ211" i="1"/>
  <c r="AZ242" i="1"/>
  <c r="AZ243" i="1"/>
  <c r="AZ336" i="1"/>
  <c r="AZ337" i="1"/>
  <c r="AZ344" i="1"/>
  <c r="AZ186" i="1"/>
  <c r="AZ47" i="1"/>
  <c r="AZ48" i="1"/>
  <c r="AZ49" i="1"/>
  <c r="AZ65" i="1"/>
  <c r="AZ208" i="1"/>
  <c r="AZ122" i="1"/>
  <c r="AZ284" i="1"/>
  <c r="AZ285" i="1"/>
  <c r="AZ399" i="1"/>
  <c r="AZ400" i="1"/>
  <c r="AZ71" i="1"/>
  <c r="AZ72" i="1"/>
  <c r="AZ187" i="1"/>
  <c r="AZ188" i="1"/>
  <c r="AZ401" i="1"/>
  <c r="AZ402" i="1"/>
  <c r="AZ403" i="1"/>
  <c r="AZ141" i="1"/>
  <c r="AZ142" i="1"/>
  <c r="AZ277" i="1"/>
  <c r="AZ278" i="1"/>
  <c r="AZ204" i="1"/>
  <c r="AZ404" i="1"/>
  <c r="AZ405" i="1"/>
  <c r="AZ144" i="1"/>
  <c r="AZ145" i="1"/>
  <c r="AZ133" i="1"/>
  <c r="AZ134" i="1"/>
  <c r="AZ135" i="1"/>
  <c r="AZ251" i="1"/>
  <c r="AZ213" i="1"/>
  <c r="AZ258" i="1"/>
  <c r="AZ259" i="1"/>
  <c r="AZ148" i="1"/>
  <c r="AZ149" i="1"/>
  <c r="AZ13" i="1"/>
  <c r="AZ14" i="1"/>
  <c r="AZ515" i="1"/>
  <c r="AZ66" i="1"/>
  <c r="AZ67" i="1"/>
  <c r="AZ324" i="1"/>
  <c r="AZ234" i="1"/>
  <c r="AZ54" i="1"/>
  <c r="AZ55" i="1"/>
  <c r="AZ105" i="1"/>
  <c r="AZ106" i="1"/>
  <c r="AZ282" i="1"/>
  <c r="AZ240" i="1"/>
  <c r="AZ241" i="1"/>
  <c r="AZ205" i="1"/>
  <c r="AZ101" i="1"/>
  <c r="AZ292" i="1"/>
  <c r="AZ328" i="1"/>
  <c r="AZ128" i="1"/>
  <c r="AZ129" i="1"/>
  <c r="AZ194" i="1"/>
  <c r="AZ226" i="1"/>
  <c r="AZ107" i="1"/>
  <c r="AZ96" i="1"/>
  <c r="AZ61" i="1"/>
  <c r="AZ52" i="1"/>
  <c r="AZ247" i="1"/>
  <c r="AZ248" i="1"/>
  <c r="AZ111" i="1"/>
  <c r="AZ112" i="1"/>
  <c r="AZ184" i="1"/>
  <c r="AZ288" i="1"/>
  <c r="AZ27" i="1"/>
  <c r="AZ199" i="1"/>
  <c r="AZ206" i="1"/>
  <c r="AZ244" i="1"/>
  <c r="AZ245" i="1"/>
  <c r="AZ109" i="1"/>
  <c r="AZ466" i="1"/>
  <c r="AZ467" i="1"/>
  <c r="AZ469" i="1"/>
  <c r="AZ334" i="1"/>
  <c r="AZ335" i="1"/>
  <c r="AZ254" i="1"/>
  <c r="AZ255" i="1"/>
  <c r="AZ256" i="1"/>
  <c r="AZ159" i="1"/>
  <c r="AZ160" i="1"/>
  <c r="AZ138" i="1"/>
  <c r="AZ156" i="1"/>
  <c r="AZ327" i="1"/>
  <c r="AZ250" i="1"/>
  <c r="AZ215" i="1"/>
  <c r="AZ233" i="1"/>
  <c r="AZ489" i="1"/>
  <c r="AZ490" i="1"/>
  <c r="AZ53" i="1"/>
  <c r="AZ62" i="1"/>
  <c r="AZ63" i="1"/>
  <c r="AZ32" i="1"/>
  <c r="AZ320" i="1"/>
  <c r="AZ433" i="1"/>
  <c r="AZ180" i="1"/>
  <c r="AZ504" i="1"/>
  <c r="AZ505" i="1"/>
  <c r="AZ4" i="1"/>
  <c r="AZ102" i="1"/>
  <c r="AZ9" i="1"/>
  <c r="AZ10" i="1"/>
  <c r="AZ8" i="1"/>
  <c r="AZ162" i="1"/>
  <c r="AZ230" i="1"/>
  <c r="AZ231" i="1"/>
  <c r="AZ146" i="1"/>
  <c r="AZ447" i="1"/>
  <c r="AZ448" i="1"/>
  <c r="AZ436" i="1"/>
  <c r="AZ437" i="1"/>
  <c r="H5" i="19" l="1"/>
  <c r="H6" i="19"/>
  <c r="C8" i="19"/>
  <c r="D8" i="19" s="1"/>
  <c r="E8" i="19" s="1"/>
  <c r="G5" i="19"/>
  <c r="F7" i="19"/>
  <c r="G7" i="19" s="1"/>
  <c r="C230" i="1"/>
  <c r="Z230" i="1"/>
  <c r="AA230" i="1" s="1"/>
  <c r="AB230" i="1" s="1"/>
  <c r="H7" i="19" l="1"/>
  <c r="C9" i="19"/>
  <c r="D9" i="19" s="1"/>
  <c r="E9" i="19" s="1"/>
  <c r="C10" i="19" s="1"/>
  <c r="D10" i="19" s="1"/>
  <c r="I6" i="19"/>
  <c r="I7" i="19"/>
  <c r="I5" i="19"/>
  <c r="F8" i="19"/>
  <c r="AC230" i="1"/>
  <c r="C231" i="1"/>
  <c r="Z231" i="1"/>
  <c r="AA231" i="1" s="1"/>
  <c r="AB231" i="1" s="1"/>
  <c r="G8" i="19" l="1"/>
  <c r="I8" i="19" s="1"/>
  <c r="H8" i="19"/>
  <c r="F9" i="19"/>
  <c r="E10" i="19"/>
  <c r="F10" i="19" s="1"/>
  <c r="AC231" i="1"/>
  <c r="C112" i="1"/>
  <c r="Z112" i="1"/>
  <c r="AA112" i="1" s="1"/>
  <c r="AB112" i="1" s="1"/>
  <c r="H10" i="19" l="1"/>
  <c r="G9" i="19"/>
  <c r="I9" i="19" s="1"/>
  <c r="H9" i="19"/>
  <c r="G10" i="19"/>
  <c r="C11" i="19"/>
  <c r="D11" i="19" s="1"/>
  <c r="AC112" i="1"/>
  <c r="C184" i="1"/>
  <c r="Z184" i="1"/>
  <c r="AA184" i="1" s="1"/>
  <c r="AB184" i="1" s="1"/>
  <c r="I10" i="19" l="1"/>
  <c r="E11" i="19"/>
  <c r="F11" i="19" s="1"/>
  <c r="H11" i="19" s="1"/>
  <c r="AC184" i="1"/>
  <c r="C288" i="1"/>
  <c r="Z288" i="1"/>
  <c r="AA288" i="1" s="1"/>
  <c r="AB288" i="1" s="1"/>
  <c r="G11" i="19" l="1"/>
  <c r="C12" i="19"/>
  <c r="D12" i="19" s="1"/>
  <c r="AC288" i="1"/>
  <c r="C27" i="1"/>
  <c r="Z27" i="1"/>
  <c r="AA27" i="1" s="1"/>
  <c r="AB27" i="1" s="1"/>
  <c r="I11" i="19" l="1"/>
  <c r="E12" i="19"/>
  <c r="AC27" i="1"/>
  <c r="C199" i="1"/>
  <c r="Z199" i="1"/>
  <c r="AA199" i="1" s="1"/>
  <c r="AB199" i="1" s="1"/>
  <c r="C13" i="19" l="1"/>
  <c r="D13" i="19" s="1"/>
  <c r="F12" i="19"/>
  <c r="AC199" i="1"/>
  <c r="C206" i="1"/>
  <c r="Z206" i="1"/>
  <c r="AA206" i="1" s="1"/>
  <c r="AB206" i="1" s="1"/>
  <c r="E13" i="19" l="1"/>
  <c r="F13" i="19" s="1"/>
  <c r="G12" i="19"/>
  <c r="AC206" i="1"/>
  <c r="C244" i="1"/>
  <c r="Z244" i="1"/>
  <c r="AA244" i="1" s="1"/>
  <c r="AB244" i="1" s="1"/>
  <c r="G13" i="19" l="1"/>
  <c r="I13" i="19" s="1"/>
  <c r="I12" i="19"/>
  <c r="C14" i="19"/>
  <c r="D14" i="19" s="1"/>
  <c r="AC244" i="1"/>
  <c r="C245" i="1"/>
  <c r="Z245" i="1"/>
  <c r="AA245" i="1" s="1"/>
  <c r="AB245" i="1" s="1"/>
  <c r="E14" i="19" l="1"/>
  <c r="AC245" i="1"/>
  <c r="C109" i="1"/>
  <c r="Z109" i="1"/>
  <c r="AA109" i="1" s="1"/>
  <c r="AB109" i="1" s="1"/>
  <c r="C15" i="19" l="1"/>
  <c r="D15" i="19" s="1"/>
  <c r="F14" i="19"/>
  <c r="AC109" i="1"/>
  <c r="C254" i="1"/>
  <c r="Z254" i="1"/>
  <c r="AA254" i="1" s="1"/>
  <c r="AB254" i="1" s="1"/>
  <c r="G14" i="19" l="1"/>
  <c r="E15" i="19"/>
  <c r="C16" i="19" s="1"/>
  <c r="D16" i="19" s="1"/>
  <c r="AC254" i="1"/>
  <c r="C255" i="1"/>
  <c r="Z255" i="1"/>
  <c r="AA255" i="1" s="1"/>
  <c r="AB255" i="1" s="1"/>
  <c r="F15" i="19" l="1"/>
  <c r="I14" i="19"/>
  <c r="E16" i="19"/>
  <c r="C17" i="19" s="1"/>
  <c r="D17" i="19" s="1"/>
  <c r="AC255" i="1"/>
  <c r="C256" i="1"/>
  <c r="Z256" i="1"/>
  <c r="AA256" i="1" s="1"/>
  <c r="AB256" i="1" s="1"/>
  <c r="G15" i="19" l="1"/>
  <c r="I15" i="19" s="1"/>
  <c r="F16" i="19"/>
  <c r="E17" i="19"/>
  <c r="C18" i="19" s="1"/>
  <c r="D18" i="19" s="1"/>
  <c r="AC256" i="1"/>
  <c r="C159" i="1"/>
  <c r="Z159" i="1"/>
  <c r="AA159" i="1" s="1"/>
  <c r="AB159" i="1" s="1"/>
  <c r="G16" i="19" l="1"/>
  <c r="I16" i="19" s="1"/>
  <c r="F17" i="19"/>
  <c r="E18" i="19"/>
  <c r="C19" i="19" s="1"/>
  <c r="D19" i="19" s="1"/>
  <c r="AC159" i="1"/>
  <c r="C160" i="1"/>
  <c r="Z160" i="1"/>
  <c r="AA160" i="1" s="1"/>
  <c r="AB160" i="1" s="1"/>
  <c r="F18" i="19" l="1"/>
  <c r="E19" i="19"/>
  <c r="C20" i="19" s="1"/>
  <c r="D20" i="19" s="1"/>
  <c r="G17" i="19"/>
  <c r="I17" i="19" s="1"/>
  <c r="AC160" i="1"/>
  <c r="C138" i="1"/>
  <c r="Z138" i="1"/>
  <c r="AA138" i="1" s="1"/>
  <c r="AB138" i="1" s="1"/>
  <c r="G18" i="19" l="1"/>
  <c r="I18" i="19" s="1"/>
  <c r="F19" i="19"/>
  <c r="E20" i="19"/>
  <c r="C21" i="19" s="1"/>
  <c r="D21" i="19" s="1"/>
  <c r="AC138" i="1"/>
  <c r="C156" i="1"/>
  <c r="Z156" i="1"/>
  <c r="AA156" i="1" s="1"/>
  <c r="AB156" i="1" s="1"/>
  <c r="G19" i="19" l="1"/>
  <c r="I19" i="19" s="1"/>
  <c r="F20" i="19"/>
  <c r="E21" i="19"/>
  <c r="C22" i="19" s="1"/>
  <c r="D22" i="19" s="1"/>
  <c r="AC156" i="1"/>
  <c r="C327" i="1"/>
  <c r="Z327" i="1"/>
  <c r="AA327" i="1" s="1"/>
  <c r="AB327" i="1" s="1"/>
  <c r="G20" i="19" l="1"/>
  <c r="I20" i="19" s="1"/>
  <c r="F21" i="19"/>
  <c r="E22" i="19"/>
  <c r="AC327" i="1"/>
  <c r="C250" i="1"/>
  <c r="Z250" i="1"/>
  <c r="AA250" i="1" s="1"/>
  <c r="AB250" i="1" s="1"/>
  <c r="F22" i="19" l="1"/>
  <c r="C23" i="19"/>
  <c r="D23" i="19" s="1"/>
  <c r="G21" i="19"/>
  <c r="I21" i="19" s="1"/>
  <c r="AC250" i="1"/>
  <c r="C215" i="1"/>
  <c r="Z215" i="1"/>
  <c r="AA215" i="1" s="1"/>
  <c r="AB215" i="1" s="1"/>
  <c r="G22" i="19" l="1"/>
  <c r="I22" i="19" s="1"/>
  <c r="E23" i="19"/>
  <c r="C24" i="19" s="1"/>
  <c r="D24" i="19" s="1"/>
  <c r="AC215" i="1"/>
  <c r="C233" i="1"/>
  <c r="Z233" i="1"/>
  <c r="AA233" i="1" s="1"/>
  <c r="AB233" i="1" s="1"/>
  <c r="E24" i="19" l="1"/>
  <c r="C25" i="19" s="1"/>
  <c r="D25" i="19" s="1"/>
  <c r="F23" i="19"/>
  <c r="AC233" i="1"/>
  <c r="C489" i="1"/>
  <c r="Z489" i="1"/>
  <c r="AA489" i="1" s="1"/>
  <c r="AB489" i="1"/>
  <c r="F24" i="19" l="1"/>
  <c r="G24" i="19" s="1"/>
  <c r="G23" i="19"/>
  <c r="I23" i="19" s="1"/>
  <c r="E25" i="19"/>
  <c r="F25" i="19" s="1"/>
  <c r="AC489" i="1"/>
  <c r="C490" i="1"/>
  <c r="Z490" i="1"/>
  <c r="AA490" i="1" s="1"/>
  <c r="AB490" i="1"/>
  <c r="I24" i="19" l="1"/>
  <c r="G25" i="19"/>
  <c r="I25" i="19" s="1"/>
  <c r="AC490" i="1"/>
  <c r="C53" i="1"/>
  <c r="Z53" i="1"/>
  <c r="AA53" i="1" s="1"/>
  <c r="AB53" i="1" s="1"/>
  <c r="AC53" i="1" l="1"/>
  <c r="C32" i="1"/>
  <c r="Z32" i="1"/>
  <c r="AA32" i="1" s="1"/>
  <c r="AB32" i="1" s="1"/>
  <c r="AC32" i="1" l="1"/>
  <c r="C320" i="1"/>
  <c r="Z320" i="1"/>
  <c r="AA320" i="1" s="1"/>
  <c r="AB320" i="1" s="1"/>
  <c r="AC320" i="1" l="1"/>
  <c r="C146" i="1"/>
  <c r="Z146" i="1"/>
  <c r="AA146" i="1" s="1"/>
  <c r="AB146" i="1" s="1"/>
  <c r="AC146" i="1" l="1"/>
  <c r="C180" i="1"/>
  <c r="Z180" i="1"/>
  <c r="AA180" i="1" s="1"/>
  <c r="AB180" i="1" s="1"/>
  <c r="AC180" i="1" l="1"/>
  <c r="C504" i="1"/>
  <c r="Z504" i="1"/>
  <c r="AA504" i="1" s="1"/>
  <c r="AB504" i="1"/>
  <c r="AC504" i="1" l="1"/>
  <c r="C505" i="1"/>
  <c r="Z505" i="1"/>
  <c r="AA505" i="1" s="1"/>
  <c r="AB505" i="1"/>
  <c r="AC505" i="1" l="1"/>
  <c r="C4" i="1"/>
  <c r="Z4" i="1"/>
  <c r="AA4" i="1" s="1"/>
  <c r="AB4" i="1" s="1"/>
  <c r="AC4" i="1" l="1"/>
  <c r="C102" i="1"/>
  <c r="Z102" i="1"/>
  <c r="AA102" i="1" s="1"/>
  <c r="AB102" i="1" s="1"/>
  <c r="AC102" i="1" l="1"/>
  <c r="C100" i="1"/>
  <c r="Z100" i="1"/>
  <c r="AA100" i="1" s="1"/>
  <c r="AB100" i="1" s="1"/>
  <c r="AC100" i="1" l="1"/>
  <c r="C295" i="1"/>
  <c r="Z295" i="1"/>
  <c r="AA295" i="1" s="1"/>
  <c r="AB295" i="1" s="1"/>
  <c r="AC295" i="1" l="1"/>
  <c r="C305" i="1"/>
  <c r="Z305" i="1"/>
  <c r="AA305" i="1" s="1"/>
  <c r="AB305" i="1" s="1"/>
  <c r="AC305" i="1" l="1"/>
  <c r="C228" i="1"/>
  <c r="Z228" i="1"/>
  <c r="AA228" i="1" s="1"/>
  <c r="AB228" i="1" s="1"/>
  <c r="AC228" i="1" l="1"/>
  <c r="C132" i="1"/>
  <c r="Z132" i="1"/>
  <c r="AA132" i="1" s="1"/>
  <c r="AB132" i="1" s="1"/>
  <c r="AC132" i="1" l="1"/>
  <c r="C76" i="1"/>
  <c r="Z76" i="1"/>
  <c r="AA76" i="1" s="1"/>
  <c r="AB76" i="1" s="1"/>
  <c r="AC76" i="1" l="1"/>
  <c r="C59" i="1"/>
  <c r="Z59" i="1"/>
  <c r="AA59" i="1" s="1"/>
  <c r="AB59" i="1" s="1"/>
  <c r="AC59" i="1" l="1"/>
  <c r="C60" i="1"/>
  <c r="Z60" i="1"/>
  <c r="AA60" i="1" s="1"/>
  <c r="AB60" i="1" s="1"/>
  <c r="AC60" i="1" l="1"/>
  <c r="C15" i="1"/>
  <c r="Z15" i="1"/>
  <c r="AA15" i="1" s="1"/>
  <c r="AB15" i="1" s="1"/>
  <c r="AC15" i="1" l="1"/>
  <c r="C168" i="1"/>
  <c r="Z168" i="1"/>
  <c r="AA168" i="1" s="1"/>
  <c r="AB168" i="1" s="1"/>
  <c r="AC168" i="1" l="1"/>
  <c r="C169" i="1"/>
  <c r="Z169" i="1"/>
  <c r="AA169" i="1" s="1"/>
  <c r="AB169" i="1" s="1"/>
  <c r="AC169" i="1" l="1"/>
  <c r="C50" i="1"/>
  <c r="Z50" i="1"/>
  <c r="AA50" i="1" s="1"/>
  <c r="AB50" i="1" s="1"/>
  <c r="AC50" i="1" l="1"/>
  <c r="C51" i="1"/>
  <c r="Z51" i="1"/>
  <c r="AA51" i="1" s="1"/>
  <c r="AB51" i="1" s="1"/>
  <c r="AC51" i="1" l="1"/>
  <c r="C318" i="1"/>
  <c r="Z318" i="1"/>
  <c r="AA318" i="1" s="1"/>
  <c r="AB318" i="1" s="1"/>
  <c r="AC318" i="1" l="1"/>
  <c r="C319" i="1"/>
  <c r="Z319" i="1"/>
  <c r="AA319" i="1" s="1"/>
  <c r="AB319" i="1" s="1"/>
  <c r="AC319" i="1" l="1"/>
  <c r="C306" i="1"/>
  <c r="Z306" i="1"/>
  <c r="AA306" i="1" s="1"/>
  <c r="AB306" i="1" s="1"/>
  <c r="AC306" i="1" l="1"/>
  <c r="C307" i="1"/>
  <c r="Z307" i="1"/>
  <c r="AA307" i="1" s="1"/>
  <c r="AB307" i="1" s="1"/>
  <c r="AC307" i="1" l="1"/>
  <c r="C117" i="1"/>
  <c r="Z117" i="1"/>
  <c r="AA117" i="1" s="1"/>
  <c r="AB117" i="1" s="1"/>
  <c r="AC117" i="1" l="1"/>
  <c r="C118" i="1"/>
  <c r="Z118" i="1"/>
  <c r="AA118" i="1" s="1"/>
  <c r="AB118" i="1" s="1"/>
  <c r="AC118" i="1" l="1"/>
  <c r="C170" i="1"/>
  <c r="Z170" i="1"/>
  <c r="AA170" i="1" s="1"/>
  <c r="AB170" i="1" s="1"/>
  <c r="AC170" i="1" l="1"/>
  <c r="C171" i="1"/>
  <c r="Z171" i="1"/>
  <c r="AA171" i="1" s="1"/>
  <c r="AB171" i="1" s="1"/>
  <c r="AC171" i="1" l="1"/>
  <c r="C229" i="1"/>
  <c r="Z229" i="1"/>
  <c r="AA229" i="1" s="1"/>
  <c r="AB229" i="1" s="1"/>
  <c r="AC229" i="1" l="1"/>
  <c r="C260" i="1"/>
  <c r="Z260" i="1"/>
  <c r="AA260" i="1" s="1"/>
  <c r="AB260" i="1" s="1"/>
  <c r="AC260" i="1" l="1"/>
  <c r="C261" i="1"/>
  <c r="Z261" i="1"/>
  <c r="AA261" i="1" s="1"/>
  <c r="AB261" i="1" s="1"/>
  <c r="AC261" i="1" l="1"/>
  <c r="C262" i="1"/>
  <c r="Z262" i="1"/>
  <c r="AA262" i="1" s="1"/>
  <c r="AB262" i="1" s="1"/>
  <c r="AC262" i="1" l="1"/>
  <c r="C263" i="1"/>
  <c r="Z263" i="1"/>
  <c r="AA263" i="1" s="1"/>
  <c r="AB263" i="1" s="1"/>
  <c r="AC263" i="1" l="1"/>
  <c r="C264" i="1"/>
  <c r="Z264" i="1"/>
  <c r="AA264" i="1" s="1"/>
  <c r="AB264" i="1" s="1"/>
  <c r="AC264" i="1" l="1"/>
  <c r="C265" i="1"/>
  <c r="Z265" i="1"/>
  <c r="AA265" i="1" s="1"/>
  <c r="AB265" i="1" s="1"/>
  <c r="AC265" i="1" l="1"/>
  <c r="C266" i="1"/>
  <c r="Z266" i="1"/>
  <c r="AA266" i="1" s="1"/>
  <c r="AB266" i="1" s="1"/>
  <c r="AC266" i="1" l="1"/>
  <c r="C43" i="1"/>
  <c r="Z43" i="1"/>
  <c r="AA43" i="1" s="1"/>
  <c r="AB43" i="1" s="1"/>
  <c r="AC43" i="1" l="1"/>
  <c r="C269" i="1"/>
  <c r="Z269" i="1"/>
  <c r="AA269" i="1" s="1"/>
  <c r="AB269" i="1" s="1"/>
  <c r="AC269" i="1" l="1"/>
  <c r="C270" i="1"/>
  <c r="Z270" i="1"/>
  <c r="AA270" i="1" s="1"/>
  <c r="AB270" i="1" s="1"/>
  <c r="AC270" i="1" l="1"/>
  <c r="C216" i="1"/>
  <c r="Z216" i="1"/>
  <c r="AA216" i="1" s="1"/>
  <c r="AB216" i="1" s="1"/>
  <c r="AC216" i="1" l="1"/>
  <c r="C217" i="1"/>
  <c r="Z217" i="1"/>
  <c r="AA217" i="1" s="1"/>
  <c r="AB217" i="1" s="1"/>
  <c r="AC217" i="1" l="1"/>
  <c r="C218" i="1"/>
  <c r="Z218" i="1"/>
  <c r="AA218" i="1" s="1"/>
  <c r="AB218" i="1" s="1"/>
  <c r="AC218" i="1" l="1"/>
  <c r="C271" i="1"/>
  <c r="Z271" i="1"/>
  <c r="AA271" i="1" s="1"/>
  <c r="AB271" i="1" s="1"/>
  <c r="AC271" i="1" l="1"/>
  <c r="C321" i="1"/>
  <c r="Z321" i="1"/>
  <c r="AA321" i="1" s="1"/>
  <c r="AB321" i="1" s="1"/>
  <c r="AC321" i="1" l="1"/>
  <c r="C78" i="1"/>
  <c r="Z78" i="1"/>
  <c r="AA78" i="1" s="1"/>
  <c r="AB78" i="1" s="1"/>
  <c r="AC78" i="1" l="1"/>
  <c r="C79" i="1"/>
  <c r="Z79" i="1"/>
  <c r="AA79" i="1" s="1"/>
  <c r="AB79" i="1" s="1"/>
  <c r="AC79" i="1" l="1"/>
  <c r="C80" i="1"/>
  <c r="Z80" i="1"/>
  <c r="AA80" i="1" s="1"/>
  <c r="AB80" i="1" s="1"/>
  <c r="AC80" i="1" l="1"/>
  <c r="C93" i="1"/>
  <c r="Z93" i="1"/>
  <c r="AA93" i="1" s="1"/>
  <c r="AB93" i="1" s="1"/>
  <c r="AC93" i="1" l="1"/>
  <c r="C94" i="1"/>
  <c r="Z94" i="1"/>
  <c r="AA94" i="1" s="1"/>
  <c r="AB94" i="1" s="1"/>
  <c r="AC94" i="1" l="1"/>
  <c r="C232" i="1"/>
  <c r="Z232" i="1"/>
  <c r="AA232" i="1" s="1"/>
  <c r="AB232" i="1" s="1"/>
  <c r="AC232" i="1" l="1"/>
  <c r="C314" i="1"/>
  <c r="Z314" i="1"/>
  <c r="AA314" i="1" s="1"/>
  <c r="AB314" i="1" s="1"/>
  <c r="AC314" i="1" l="1"/>
  <c r="C46" i="1"/>
  <c r="Z46" i="1"/>
  <c r="AA46" i="1" s="1"/>
  <c r="AB46" i="1" s="1"/>
  <c r="AC46" i="1" l="1"/>
  <c r="C274" i="1"/>
  <c r="Z274" i="1"/>
  <c r="AA274" i="1" s="1"/>
  <c r="AB274" i="1" s="1"/>
  <c r="AC274" i="1" l="1"/>
  <c r="C275" i="1"/>
  <c r="Z275" i="1"/>
  <c r="AA275" i="1" s="1"/>
  <c r="AB275" i="1" s="1"/>
  <c r="AC275" i="1" l="1"/>
  <c r="C276" i="1"/>
  <c r="Z276" i="1"/>
  <c r="AA276" i="1" s="1"/>
  <c r="AB276" i="1" s="1"/>
  <c r="AC276" i="1" l="1"/>
  <c r="C73" i="1"/>
  <c r="Z73" i="1"/>
  <c r="AA73" i="1" s="1"/>
  <c r="AB73" i="1" s="1"/>
  <c r="AC73" i="1" l="1"/>
  <c r="C74" i="1"/>
  <c r="Z74" i="1"/>
  <c r="AA74" i="1" s="1"/>
  <c r="AB74" i="1" s="1"/>
  <c r="AC74" i="1" l="1"/>
  <c r="C311" i="1"/>
  <c r="Z311" i="1"/>
  <c r="AA311" i="1" s="1"/>
  <c r="AB311" i="1" s="1"/>
  <c r="AC311" i="1" l="1"/>
  <c r="C312" i="1"/>
  <c r="Z312" i="1"/>
  <c r="AA312" i="1" s="1"/>
  <c r="AB312" i="1" s="1"/>
  <c r="AC312" i="1" l="1"/>
  <c r="C195" i="1"/>
  <c r="Z195" i="1"/>
  <c r="AA195" i="1" s="1"/>
  <c r="AB195" i="1" s="1"/>
  <c r="AC195" i="1" l="1"/>
  <c r="C196" i="1"/>
  <c r="Z196" i="1"/>
  <c r="AA196" i="1" s="1"/>
  <c r="AB196" i="1" s="1"/>
  <c r="AC196" i="1" l="1"/>
  <c r="C197" i="1"/>
  <c r="Z197" i="1"/>
  <c r="AA197" i="1" s="1"/>
  <c r="AB197" i="1" s="1"/>
  <c r="AC197" i="1" l="1"/>
  <c r="C5" i="1"/>
  <c r="Z5" i="1"/>
  <c r="AA5" i="1" s="1"/>
  <c r="AB5" i="1" s="1"/>
  <c r="AC5" i="1" l="1"/>
  <c r="C108" i="1"/>
  <c r="Z108" i="1"/>
  <c r="AA108" i="1" s="1"/>
  <c r="AB108" i="1" s="1"/>
  <c r="AC108" i="1" l="1"/>
  <c r="C97" i="1"/>
  <c r="Z97" i="1"/>
  <c r="AA97" i="1" s="1"/>
  <c r="AB97" i="1" s="1"/>
  <c r="AC97" i="1" l="1"/>
  <c r="C190" i="1"/>
  <c r="Z190" i="1"/>
  <c r="AA190" i="1" s="1"/>
  <c r="AB190" i="1" s="1"/>
  <c r="AC190" i="1" l="1"/>
  <c r="C29" i="1"/>
  <c r="Z29" i="1"/>
  <c r="AA29" i="1" s="1"/>
  <c r="AB29" i="1" s="1"/>
  <c r="AC29" i="1" l="1"/>
  <c r="C28" i="1"/>
  <c r="Z28" i="1"/>
  <c r="AA28" i="1" s="1"/>
  <c r="AB28" i="1" s="1"/>
  <c r="AC28" i="1" l="1"/>
  <c r="C150" i="1"/>
  <c r="Z150" i="1"/>
  <c r="AA150" i="1" s="1"/>
  <c r="AB150" i="1" s="1"/>
  <c r="AC150" i="1" l="1"/>
  <c r="C151" i="1"/>
  <c r="Z151" i="1"/>
  <c r="AA151" i="1" s="1"/>
  <c r="AB151" i="1" s="1"/>
  <c r="AC151" i="1" l="1"/>
  <c r="C158" i="1"/>
  <c r="Z158" i="1"/>
  <c r="AA158" i="1" s="1"/>
  <c r="AB158" i="1" s="1"/>
  <c r="AC158" i="1" l="1"/>
  <c r="C209" i="1"/>
  <c r="Z209" i="1"/>
  <c r="AA209" i="1" s="1"/>
  <c r="AB209" i="1" s="1"/>
  <c r="AC209" i="1" l="1"/>
  <c r="C210" i="1"/>
  <c r="Z210" i="1"/>
  <c r="AA210" i="1" s="1"/>
  <c r="AB210" i="1" s="1"/>
  <c r="AC210" i="1" l="1"/>
  <c r="C211" i="1"/>
  <c r="Z211" i="1"/>
  <c r="AA211" i="1" s="1"/>
  <c r="AB211" i="1" s="1"/>
  <c r="AC211" i="1" l="1"/>
  <c r="C242" i="1"/>
  <c r="Z242" i="1"/>
  <c r="AA242" i="1" s="1"/>
  <c r="AB242" i="1" s="1"/>
  <c r="AC242" i="1" l="1"/>
  <c r="C243" i="1"/>
  <c r="Z243" i="1"/>
  <c r="AA243" i="1" s="1"/>
  <c r="AB243" i="1" s="1"/>
  <c r="AC243" i="1" l="1"/>
  <c r="C336" i="1"/>
  <c r="Z336" i="1"/>
  <c r="AA336" i="1" s="1"/>
  <c r="AB336" i="1" s="1"/>
  <c r="AC336" i="1" l="1"/>
  <c r="C337" i="1"/>
  <c r="Z337" i="1"/>
  <c r="AA337" i="1" s="1"/>
  <c r="AB337" i="1" s="1"/>
  <c r="AC337" i="1" l="1"/>
  <c r="C344" i="1"/>
  <c r="Z344" i="1"/>
  <c r="AA344" i="1" s="1"/>
  <c r="AB344" i="1" s="1"/>
  <c r="AC344" i="1" l="1"/>
  <c r="C186" i="1"/>
  <c r="Z186" i="1"/>
  <c r="AA186" i="1" s="1"/>
  <c r="AB186" i="1" s="1"/>
  <c r="AC186" i="1" l="1"/>
  <c r="C47" i="1"/>
  <c r="Z47" i="1"/>
  <c r="AA47" i="1" s="1"/>
  <c r="AB47" i="1" s="1"/>
  <c r="AC47" i="1" l="1"/>
  <c r="C48" i="1"/>
  <c r="Z48" i="1"/>
  <c r="AA48" i="1" s="1"/>
  <c r="AB48" i="1" s="1"/>
  <c r="AC48" i="1" l="1"/>
  <c r="C49" i="1"/>
  <c r="Z49" i="1"/>
  <c r="AA49" i="1" s="1"/>
  <c r="AB49" i="1" s="1"/>
  <c r="AC49" i="1" l="1"/>
  <c r="C65" i="1"/>
  <c r="Z65" i="1"/>
  <c r="AA65" i="1" s="1"/>
  <c r="AB65" i="1" s="1"/>
  <c r="AC65" i="1" l="1"/>
  <c r="C208" i="1"/>
  <c r="Z208" i="1"/>
  <c r="AA208" i="1" s="1"/>
  <c r="AB208" i="1" s="1"/>
  <c r="AC208" i="1" l="1"/>
  <c r="C122" i="1"/>
  <c r="Z122" i="1"/>
  <c r="AA122" i="1" s="1"/>
  <c r="AB122" i="1" s="1"/>
  <c r="AC122" i="1" l="1"/>
  <c r="C285" i="1"/>
  <c r="Z285" i="1"/>
  <c r="AA285" i="1" s="1"/>
  <c r="AB285" i="1" s="1"/>
  <c r="AC285" i="1" l="1"/>
  <c r="C399" i="1"/>
  <c r="Z399" i="1"/>
  <c r="AA399" i="1" s="1"/>
  <c r="AB399" i="1"/>
  <c r="AC399" i="1" l="1"/>
  <c r="C400" i="1"/>
  <c r="Z400" i="1"/>
  <c r="AA400" i="1" s="1"/>
  <c r="AB400" i="1"/>
  <c r="AC400" i="1" l="1"/>
  <c r="C187" i="1"/>
  <c r="Z187" i="1"/>
  <c r="AA187" i="1" s="1"/>
  <c r="AB187" i="1" s="1"/>
  <c r="AC187" i="1" l="1"/>
  <c r="C188" i="1"/>
  <c r="Z188" i="1"/>
  <c r="AA188" i="1" s="1"/>
  <c r="AB188" i="1" s="1"/>
  <c r="AC188" i="1" l="1"/>
  <c r="C401" i="1"/>
  <c r="Z401" i="1"/>
  <c r="AA401" i="1" s="1"/>
  <c r="AB401" i="1"/>
  <c r="AC401" i="1" l="1"/>
  <c r="C403" i="1"/>
  <c r="Z403" i="1"/>
  <c r="AA403" i="1" s="1"/>
  <c r="AB403" i="1"/>
  <c r="AC403" i="1" l="1"/>
  <c r="C141" i="1"/>
  <c r="Z141" i="1"/>
  <c r="AA141" i="1" s="1"/>
  <c r="AB141" i="1" s="1"/>
  <c r="AC141" i="1" l="1"/>
  <c r="C142" i="1"/>
  <c r="Z142" i="1"/>
  <c r="AA142" i="1" s="1"/>
  <c r="AB142" i="1" s="1"/>
  <c r="AC142" i="1" l="1"/>
  <c r="C278" i="1"/>
  <c r="Z278" i="1"/>
  <c r="AA278" i="1" s="1"/>
  <c r="AB278" i="1" s="1"/>
  <c r="AC278" i="1" l="1"/>
  <c r="C204" i="1"/>
  <c r="Z204" i="1"/>
  <c r="AA204" i="1" s="1"/>
  <c r="AB204" i="1" s="1"/>
  <c r="AC204" i="1" l="1"/>
  <c r="C405" i="1"/>
  <c r="AB405" i="1"/>
  <c r="AC405" i="1" l="1"/>
  <c r="C144" i="1"/>
  <c r="Z144" i="1"/>
  <c r="AA144" i="1" s="1"/>
  <c r="AB144" i="1" s="1"/>
  <c r="AC144" i="1" l="1"/>
  <c r="C145" i="1"/>
  <c r="Z145" i="1"/>
  <c r="AA145" i="1" s="1"/>
  <c r="AB145" i="1" s="1"/>
  <c r="AC145" i="1" l="1"/>
  <c r="C133" i="1"/>
  <c r="Z133" i="1"/>
  <c r="AA133" i="1" s="1"/>
  <c r="AB133" i="1" s="1"/>
  <c r="AC133" i="1" l="1"/>
  <c r="C251" i="1"/>
  <c r="Z251" i="1"/>
  <c r="AA251" i="1" s="1"/>
  <c r="AB251" i="1" s="1"/>
  <c r="AC251" i="1" l="1"/>
  <c r="C81" i="1"/>
  <c r="Z81" i="1"/>
  <c r="AA81" i="1" s="1"/>
  <c r="AB81" i="1" s="1"/>
  <c r="AC81" i="1" l="1"/>
  <c r="C213" i="1"/>
  <c r="Z213" i="1"/>
  <c r="AA213" i="1" s="1"/>
  <c r="AB213" i="1" s="1"/>
  <c r="AC213" i="1" l="1"/>
  <c r="C258" i="1"/>
  <c r="Z258" i="1"/>
  <c r="AA258" i="1" s="1"/>
  <c r="AB258" i="1" s="1"/>
  <c r="AC258" i="1" l="1"/>
  <c r="C259" i="1"/>
  <c r="Z259" i="1"/>
  <c r="AA259" i="1" s="1"/>
  <c r="AB259" i="1" s="1"/>
  <c r="AC259" i="1" l="1"/>
  <c r="C148" i="1"/>
  <c r="Z148" i="1"/>
  <c r="AA148" i="1" s="1"/>
  <c r="AB148" i="1" s="1"/>
  <c r="AC148" i="1" l="1"/>
  <c r="C149" i="1"/>
  <c r="Z149" i="1"/>
  <c r="AA149" i="1" s="1"/>
  <c r="AB149" i="1" s="1"/>
  <c r="AC149" i="1" l="1"/>
  <c r="C13" i="1"/>
  <c r="Z13" i="1"/>
  <c r="AA13" i="1" s="1"/>
  <c r="AB13" i="1" s="1"/>
  <c r="AC13" i="1" l="1"/>
  <c r="C14" i="1"/>
  <c r="Z14" i="1"/>
  <c r="AA14" i="1" s="1"/>
  <c r="AB14" i="1" s="1"/>
  <c r="AC14" i="1" l="1"/>
  <c r="C66" i="1"/>
  <c r="Z66" i="1"/>
  <c r="AA66" i="1" s="1"/>
  <c r="AB66" i="1" s="1"/>
  <c r="AC66" i="1" l="1"/>
  <c r="C67" i="1"/>
  <c r="Z67" i="1"/>
  <c r="AA67" i="1" s="1"/>
  <c r="AB67" i="1" s="1"/>
  <c r="AC67" i="1" l="1"/>
  <c r="C324" i="1"/>
  <c r="Z324" i="1"/>
  <c r="AA324" i="1" s="1"/>
  <c r="AB324" i="1" s="1"/>
  <c r="AC324" i="1" l="1"/>
  <c r="C234" i="1"/>
  <c r="Z234" i="1"/>
  <c r="AA234" i="1" s="1"/>
  <c r="AB234" i="1" s="1"/>
  <c r="AC234" i="1" l="1"/>
  <c r="C54" i="1"/>
  <c r="Z54" i="1"/>
  <c r="AA54" i="1" s="1"/>
  <c r="AB54" i="1" s="1"/>
  <c r="AC54" i="1" l="1"/>
  <c r="C55" i="1"/>
  <c r="Z55" i="1"/>
  <c r="AA55" i="1" s="1"/>
  <c r="AB55" i="1" s="1"/>
  <c r="AC55" i="1" l="1"/>
  <c r="C105" i="1"/>
  <c r="Z105" i="1"/>
  <c r="AA105" i="1" s="1"/>
  <c r="AB105" i="1" s="1"/>
  <c r="AC105" i="1" l="1"/>
  <c r="C106" i="1"/>
  <c r="Z106" i="1"/>
  <c r="AA106" i="1" s="1"/>
  <c r="AB106" i="1" s="1"/>
  <c r="AC106" i="1" l="1"/>
  <c r="C282" i="1"/>
  <c r="Z282" i="1"/>
  <c r="AA282" i="1" s="1"/>
  <c r="AB282" i="1" s="1"/>
  <c r="AC282" i="1" l="1"/>
  <c r="C240" i="1"/>
  <c r="Z240" i="1"/>
  <c r="AA240" i="1" s="1"/>
  <c r="AB240" i="1" s="1"/>
  <c r="AC240" i="1" l="1"/>
  <c r="C241" i="1"/>
  <c r="Z241" i="1"/>
  <c r="AA241" i="1" s="1"/>
  <c r="AB241" i="1" s="1"/>
  <c r="AC241" i="1" l="1"/>
  <c r="C205" i="1"/>
  <c r="Z205" i="1"/>
  <c r="AA205" i="1" s="1"/>
  <c r="AB205" i="1" s="1"/>
  <c r="AC205" i="1" l="1"/>
  <c r="C101" i="1"/>
  <c r="Z101" i="1"/>
  <c r="AA101" i="1" s="1"/>
  <c r="AB101" i="1" s="1"/>
  <c r="AC101" i="1" l="1"/>
  <c r="C292" i="1"/>
  <c r="Z292" i="1"/>
  <c r="AA292" i="1" s="1"/>
  <c r="AB292" i="1" s="1"/>
  <c r="AC292" i="1" l="1"/>
  <c r="C328" i="1"/>
  <c r="Z328" i="1"/>
  <c r="AA328" i="1" s="1"/>
  <c r="AB328" i="1" s="1"/>
  <c r="AC328" i="1" l="1"/>
  <c r="C128" i="1"/>
  <c r="Z128" i="1"/>
  <c r="AA128" i="1" s="1"/>
  <c r="AB128" i="1" s="1"/>
  <c r="AC128" i="1" l="1"/>
  <c r="C129" i="1"/>
  <c r="Z129" i="1"/>
  <c r="AA129" i="1" s="1"/>
  <c r="AB129" i="1" s="1"/>
  <c r="AC129" i="1" l="1"/>
  <c r="C194" i="1"/>
  <c r="Z194" i="1"/>
  <c r="AA194" i="1" s="1"/>
  <c r="AB194" i="1" s="1"/>
  <c r="AC194" i="1" l="1"/>
  <c r="C226" i="1"/>
  <c r="Z226" i="1"/>
  <c r="AA226" i="1" s="1"/>
  <c r="AB226" i="1" s="1"/>
  <c r="AC226" i="1" l="1"/>
  <c r="C107" i="1"/>
  <c r="Z107" i="1"/>
  <c r="AA107" i="1" s="1"/>
  <c r="AB107" i="1" s="1"/>
  <c r="AC107" i="1" l="1"/>
  <c r="C96" i="1"/>
  <c r="Z96" i="1"/>
  <c r="AA96" i="1" s="1"/>
  <c r="AB96" i="1" s="1"/>
  <c r="AC96" i="1" l="1"/>
  <c r="C61" i="1"/>
  <c r="Z61" i="1"/>
  <c r="AA61" i="1" s="1"/>
  <c r="AB61" i="1" s="1"/>
  <c r="AC61" i="1" l="1"/>
  <c r="C52" i="1"/>
  <c r="Z52" i="1"/>
  <c r="AA52" i="1" s="1"/>
  <c r="AB52" i="1" s="1"/>
  <c r="AC52" i="1" l="1"/>
  <c r="C247" i="1"/>
  <c r="Z247" i="1"/>
  <c r="AA247" i="1" s="1"/>
  <c r="AB247" i="1" s="1"/>
  <c r="AC247" i="1" l="1"/>
  <c r="C248" i="1"/>
  <c r="Z248" i="1"/>
  <c r="AA248" i="1" s="1"/>
  <c r="AB248" i="1" s="1"/>
  <c r="AC248" i="1" l="1"/>
  <c r="C111" i="1"/>
  <c r="Z111" i="1"/>
  <c r="AA111" i="1" s="1"/>
  <c r="AB111" i="1" s="1"/>
  <c r="Z9" i="1"/>
  <c r="AA9" i="1" s="1"/>
  <c r="AB9" i="1" s="1"/>
  <c r="Z10" i="1"/>
  <c r="AA10" i="1" s="1"/>
  <c r="AB10" i="1" s="1"/>
  <c r="C10" i="1"/>
  <c r="C9" i="1"/>
  <c r="AD465" i="1" l="1"/>
  <c r="AD173" i="1"/>
  <c r="AG88" i="1"/>
  <c r="AG465" i="1"/>
  <c r="AG173" i="1"/>
  <c r="AD88" i="1"/>
  <c r="AD391" i="1"/>
  <c r="AG86" i="1"/>
  <c r="AD87" i="1"/>
  <c r="AG391" i="1"/>
  <c r="AD464" i="1"/>
  <c r="AG462" i="1"/>
  <c r="AD518" i="1"/>
  <c r="AG85" i="1"/>
  <c r="AD157" i="1"/>
  <c r="AD519" i="1"/>
  <c r="AD462" i="1"/>
  <c r="AG165" i="1"/>
  <c r="AD85" i="1"/>
  <c r="AG392" i="1"/>
  <c r="AG519" i="1"/>
  <c r="AD473" i="1"/>
  <c r="AD246" i="1"/>
  <c r="AG87" i="1"/>
  <c r="AD123" i="1"/>
  <c r="AD86" i="1"/>
  <c r="AG472" i="1"/>
  <c r="AG246" i="1"/>
  <c r="AG123" i="1"/>
  <c r="AD392" i="1"/>
  <c r="AD472" i="1"/>
  <c r="AG464" i="1"/>
  <c r="AG518" i="1"/>
  <c r="AG473" i="1"/>
  <c r="AG157" i="1"/>
  <c r="AD165" i="1"/>
  <c r="AD371" i="1"/>
  <c r="AG371" i="1"/>
  <c r="AD370" i="1"/>
  <c r="AD115" i="1"/>
  <c r="AD98" i="1"/>
  <c r="AD116" i="1"/>
  <c r="AG309" i="1"/>
  <c r="AG370" i="1"/>
  <c r="AD309" i="1"/>
  <c r="AG116" i="1"/>
  <c r="AG115" i="1"/>
  <c r="AG98" i="1"/>
  <c r="AD341" i="1"/>
  <c r="AD354" i="1"/>
  <c r="AG341" i="1"/>
  <c r="AG355" i="1"/>
  <c r="AD140" i="1"/>
  <c r="AG432" i="1"/>
  <c r="AD355" i="1"/>
  <c r="AD431" i="1"/>
  <c r="AD432" i="1"/>
  <c r="AG431" i="1"/>
  <c r="AG354" i="1"/>
  <c r="AG140" i="1"/>
  <c r="AD81" i="1"/>
  <c r="AG30" i="1"/>
  <c r="AD373" i="1"/>
  <c r="AG516" i="1"/>
  <c r="AG517" i="1"/>
  <c r="AG81" i="1"/>
  <c r="AD516" i="1"/>
  <c r="AD21" i="1"/>
  <c r="AD30" i="1"/>
  <c r="AG373" i="1"/>
  <c r="AG21" i="1"/>
  <c r="AG77" i="1"/>
  <c r="AD517" i="1"/>
  <c r="AG372" i="1"/>
  <c r="AD372" i="1"/>
  <c r="AD77" i="1"/>
  <c r="AD130" i="1"/>
  <c r="AD414" i="1"/>
  <c r="AG414" i="1"/>
  <c r="AD413" i="1"/>
  <c r="AG412" i="1"/>
  <c r="AG413" i="1"/>
  <c r="AG131" i="1"/>
  <c r="AD131" i="1"/>
  <c r="AG178" i="1"/>
  <c r="AD178" i="1"/>
  <c r="AG177" i="1"/>
  <c r="AD177" i="1"/>
  <c r="AD412" i="1"/>
  <c r="AG130" i="1"/>
  <c r="AD299" i="1"/>
  <c r="AG300" i="1"/>
  <c r="AD147" i="1"/>
  <c r="AG299" i="1"/>
  <c r="AG147" i="1"/>
  <c r="AD300" i="1"/>
  <c r="AD200" i="1"/>
  <c r="AG200" i="1"/>
  <c r="AD338" i="1"/>
  <c r="AD223" i="1"/>
  <c r="AG222" i="1"/>
  <c r="AD222" i="1"/>
  <c r="AG223" i="1"/>
  <c r="AG338" i="1"/>
  <c r="AD511" i="1"/>
  <c r="AG512" i="1"/>
  <c r="AD512" i="1"/>
  <c r="AG511" i="1"/>
  <c r="AD417" i="1"/>
  <c r="AG417" i="1"/>
  <c r="AD339" i="1"/>
  <c r="AG339" i="1"/>
  <c r="AD416" i="1"/>
  <c r="AG416" i="1"/>
  <c r="AD441" i="1"/>
  <c r="AD429" i="1"/>
  <c r="AG429" i="1"/>
  <c r="AD44" i="1"/>
  <c r="AG485" i="1"/>
  <c r="AG441" i="1"/>
  <c r="AD485" i="1"/>
  <c r="AG44" i="1"/>
  <c r="AG45" i="1"/>
  <c r="AD45" i="1"/>
  <c r="AD428" i="1"/>
  <c r="AG428" i="1"/>
  <c r="AD42" i="1"/>
  <c r="AD92" i="1"/>
  <c r="AG92" i="1"/>
  <c r="AD349" i="1"/>
  <c r="AG42" i="1"/>
  <c r="AG349" i="1"/>
  <c r="AG20" i="1"/>
  <c r="AD20" i="1"/>
  <c r="AD386" i="1"/>
  <c r="AD396" i="1"/>
  <c r="AD395" i="1"/>
  <c r="AG369" i="1"/>
  <c r="AG202" i="1"/>
  <c r="AD369" i="1"/>
  <c r="AD203" i="1"/>
  <c r="AG395" i="1"/>
  <c r="AG114" i="1"/>
  <c r="AG110" i="1"/>
  <c r="AG396" i="1"/>
  <c r="AD202" i="1"/>
  <c r="AG203" i="1"/>
  <c r="AG386" i="1"/>
  <c r="AD114" i="1"/>
  <c r="AD110" i="1"/>
  <c r="AD201" i="1"/>
  <c r="AG64" i="1"/>
  <c r="AG201" i="1"/>
  <c r="AD64" i="1"/>
  <c r="AD491" i="1"/>
  <c r="AD238" i="1"/>
  <c r="AG239" i="1"/>
  <c r="AG237" i="1"/>
  <c r="AG238" i="1"/>
  <c r="AD237" i="1"/>
  <c r="AD239" i="1"/>
  <c r="AG492" i="1"/>
  <c r="AG491" i="1"/>
  <c r="AD492" i="1"/>
  <c r="AD9" i="1"/>
  <c r="AM9" i="1" s="1"/>
  <c r="AD61" i="1"/>
  <c r="AD486" i="1"/>
  <c r="AD439" i="1"/>
  <c r="AD181" i="1"/>
  <c r="AG438" i="1"/>
  <c r="AG486" i="1"/>
  <c r="AG181" i="1"/>
  <c r="AD443" i="1"/>
  <c r="AG182" i="1"/>
  <c r="AG444" i="1"/>
  <c r="AG443" i="1"/>
  <c r="AG439" i="1"/>
  <c r="AD182" i="1"/>
  <c r="AG487" i="1"/>
  <c r="AG442" i="1"/>
  <c r="AD442" i="1"/>
  <c r="AD438" i="1"/>
  <c r="AD444" i="1"/>
  <c r="AD487" i="1"/>
  <c r="AD476" i="1"/>
  <c r="AD461" i="1"/>
  <c r="AD252" i="1"/>
  <c r="AG121" i="1"/>
  <c r="AG119" i="1"/>
  <c r="AG476" i="1"/>
  <c r="AD225" i="1"/>
  <c r="AG475" i="1"/>
  <c r="AG225" i="1"/>
  <c r="AG172" i="1"/>
  <c r="AG510" i="1"/>
  <c r="AG252" i="1"/>
  <c r="AD281" i="1"/>
  <c r="AG304" i="1"/>
  <c r="AD121" i="1"/>
  <c r="AG313" i="1"/>
  <c r="AG461" i="1"/>
  <c r="AD58" i="1"/>
  <c r="AD475" i="1"/>
  <c r="AG3" i="1"/>
  <c r="AD510" i="1"/>
  <c r="AD415" i="1"/>
  <c r="AG36" i="1"/>
  <c r="AD36" i="1"/>
  <c r="AD172" i="1"/>
  <c r="AG58" i="1"/>
  <c r="AG385" i="1"/>
  <c r="AD313" i="1"/>
  <c r="AD153" i="1"/>
  <c r="AD385" i="1"/>
  <c r="AG281" i="1"/>
  <c r="AG415" i="1"/>
  <c r="AG154" i="1"/>
  <c r="AD304" i="1"/>
  <c r="AD3" i="1"/>
  <c r="AD119" i="1"/>
  <c r="AD154" i="1"/>
  <c r="AG153" i="1"/>
  <c r="AD248" i="1"/>
  <c r="AI248" i="1" s="1"/>
  <c r="AD2" i="1"/>
  <c r="AG2" i="1"/>
  <c r="AD358" i="1"/>
  <c r="AG358" i="1"/>
  <c r="AD10" i="1"/>
  <c r="AI10" i="1" s="1"/>
  <c r="AD280" i="1"/>
  <c r="AD279" i="1"/>
  <c r="AD502" i="1"/>
  <c r="AD167" i="1"/>
  <c r="AD353" i="1"/>
  <c r="AI353" i="1" s="1"/>
  <c r="AD495" i="1"/>
  <c r="AD327" i="1"/>
  <c r="AD112" i="1"/>
  <c r="AD7" i="1"/>
  <c r="AD450" i="1"/>
  <c r="AD245" i="1"/>
  <c r="AD342" i="1"/>
  <c r="AE342" i="1" s="1"/>
  <c r="AD297" i="1"/>
  <c r="AD513" i="1"/>
  <c r="AD27" i="1"/>
  <c r="AD294" i="1"/>
  <c r="AD184" i="1"/>
  <c r="AD231" i="1"/>
  <c r="AD206" i="1"/>
  <c r="AD18" i="1"/>
  <c r="AD70" i="1"/>
  <c r="AD249" i="1"/>
  <c r="AD69" i="1"/>
  <c r="AD250" i="1"/>
  <c r="AD440" i="1"/>
  <c r="AD127" i="1"/>
  <c r="AD317" i="1"/>
  <c r="AI317" i="1" s="1"/>
  <c r="AD156" i="1"/>
  <c r="AD456" i="1"/>
  <c r="AD220" i="1"/>
  <c r="AD192" i="1"/>
  <c r="AD11" i="1"/>
  <c r="AD103" i="1"/>
  <c r="AD489" i="1"/>
  <c r="AD199" i="1"/>
  <c r="AD361" i="1"/>
  <c r="AD504" i="1"/>
  <c r="AD256" i="1"/>
  <c r="AD498" i="1"/>
  <c r="AI498" i="1" s="1"/>
  <c r="AD22" i="1"/>
  <c r="AD333" i="1"/>
  <c r="AD17" i="1"/>
  <c r="AD458" i="1"/>
  <c r="AD185" i="1"/>
  <c r="AF185" i="1" s="1"/>
  <c r="AD189" i="1"/>
  <c r="AD35" i="1"/>
  <c r="AD4" i="1"/>
  <c r="AD91" i="1"/>
  <c r="AD180" i="1"/>
  <c r="AD288" i="1"/>
  <c r="AD445" i="1"/>
  <c r="AD233" i="1"/>
  <c r="AD227" i="1"/>
  <c r="AD322" i="1"/>
  <c r="AD109" i="1"/>
  <c r="AD422" i="1"/>
  <c r="AD437" i="1"/>
  <c r="AD507" i="1"/>
  <c r="AD146" i="1"/>
  <c r="AD348" i="1"/>
  <c r="AD368" i="1"/>
  <c r="AD34" i="1"/>
  <c r="AD347" i="1"/>
  <c r="AD56" i="1"/>
  <c r="AD162" i="1"/>
  <c r="AI162" i="1" s="1"/>
  <c r="AD16" i="1"/>
  <c r="AD215" i="1"/>
  <c r="AD423" i="1"/>
  <c r="AD159" i="1"/>
  <c r="AD379" i="1"/>
  <c r="AI379" i="1" s="1"/>
  <c r="AD466" i="1"/>
  <c r="AD315" i="1"/>
  <c r="AD244" i="1"/>
  <c r="AD138" i="1"/>
  <c r="AD198" i="1"/>
  <c r="AD360" i="1"/>
  <c r="AI360" i="1" s="1"/>
  <c r="AD384" i="1"/>
  <c r="AI384" i="1" s="1"/>
  <c r="AD320" i="1"/>
  <c r="AD32" i="1"/>
  <c r="AD459" i="1"/>
  <c r="AD480" i="1"/>
  <c r="AD378" i="1"/>
  <c r="AI378" i="1" s="1"/>
  <c r="AD37" i="1"/>
  <c r="AD212" i="1"/>
  <c r="AD160" i="1"/>
  <c r="AD359" i="1"/>
  <c r="AD230" i="1"/>
  <c r="AD102" i="1"/>
  <c r="AD323" i="1"/>
  <c r="AD501" i="1"/>
  <c r="AD411" i="1"/>
  <c r="AD505" i="1"/>
  <c r="AI505" i="1" s="1"/>
  <c r="AD434" i="1"/>
  <c r="AD490" i="1"/>
  <c r="AD436" i="1"/>
  <c r="AD224" i="1"/>
  <c r="AD290" i="1"/>
  <c r="AD164" i="1"/>
  <c r="AD481" i="1"/>
  <c r="AI481" i="1" s="1"/>
  <c r="AD367" i="1"/>
  <c r="AD12" i="1"/>
  <c r="AD283" i="1"/>
  <c r="AD254" i="1"/>
  <c r="AD6" i="1"/>
  <c r="AD449" i="1"/>
  <c r="AD236" i="1"/>
  <c r="AD84" i="1"/>
  <c r="AD255" i="1"/>
  <c r="AI255" i="1" s="1"/>
  <c r="AD72" i="1"/>
  <c r="AD174" i="1"/>
  <c r="AD377" i="1"/>
  <c r="AD179" i="1"/>
  <c r="AD38" i="1"/>
  <c r="AD113" i="1"/>
  <c r="AD387" i="1"/>
  <c r="AD325" i="1"/>
  <c r="AD407" i="1"/>
  <c r="AI407" i="1" s="1"/>
  <c r="AD89" i="1"/>
  <c r="AD257" i="1"/>
  <c r="AF257" i="1" s="1"/>
  <c r="AD402" i="1"/>
  <c r="AI402" i="1" s="1"/>
  <c r="AD430" i="1"/>
  <c r="AD207" i="1"/>
  <c r="AD31" i="1"/>
  <c r="AD463" i="1"/>
  <c r="AD408" i="1"/>
  <c r="AD409" i="1"/>
  <c r="AI409" i="1" s="1"/>
  <c r="AD82" i="1"/>
  <c r="AD71" i="1"/>
  <c r="AD166" i="1"/>
  <c r="AD376" i="1"/>
  <c r="AI376" i="1" s="1"/>
  <c r="AD83" i="1"/>
  <c r="AI83" i="1" s="1"/>
  <c r="AD155" i="1"/>
  <c r="AD356" i="1"/>
  <c r="AD435" i="1"/>
  <c r="AD57" i="1"/>
  <c r="AI57" i="1" s="1"/>
  <c r="AD176" i="1"/>
  <c r="AD420" i="1"/>
  <c r="AD394" i="1"/>
  <c r="AD380" i="1"/>
  <c r="AI380" i="1" s="1"/>
  <c r="AD488" i="1"/>
  <c r="AD291" i="1"/>
  <c r="AD284" i="1"/>
  <c r="AD25" i="1"/>
  <c r="AD75" i="1"/>
  <c r="AD68" i="1"/>
  <c r="AD357" i="1"/>
  <c r="AD152" i="1"/>
  <c r="AI152" i="1" s="1"/>
  <c r="AD468" i="1"/>
  <c r="AD451" i="1"/>
  <c r="AD515" i="1"/>
  <c r="AD175" i="1"/>
  <c r="AD366" i="1"/>
  <c r="AD136" i="1"/>
  <c r="AD41" i="1"/>
  <c r="AD382" i="1"/>
  <c r="AD499" i="1"/>
  <c r="AD326" i="1"/>
  <c r="AD390" i="1"/>
  <c r="AD388" i="1"/>
  <c r="AD8" i="1"/>
  <c r="AI8" i="1" s="1"/>
  <c r="AD383" i="1"/>
  <c r="AD253" i="1"/>
  <c r="AD343" i="1"/>
  <c r="AD120" i="1"/>
  <c r="AD467" i="1"/>
  <c r="AD374" i="1"/>
  <c r="AD350" i="1"/>
  <c r="AD331" i="1"/>
  <c r="AD100" i="1"/>
  <c r="AD352" i="1"/>
  <c r="AI352" i="1" s="1"/>
  <c r="AD497" i="1"/>
  <c r="AI497" i="1" s="1"/>
  <c r="AD268" i="1"/>
  <c r="AD471" i="1"/>
  <c r="AI471" i="1" s="1"/>
  <c r="AD95" i="1"/>
  <c r="AD277" i="1"/>
  <c r="AD477" i="1"/>
  <c r="AD193" i="1"/>
  <c r="AD296" i="1"/>
  <c r="AD301" i="1"/>
  <c r="AD62" i="1"/>
  <c r="AD410" i="1"/>
  <c r="AD293" i="1"/>
  <c r="AD500" i="1"/>
  <c r="AI500" i="1" s="1"/>
  <c r="AD330" i="1"/>
  <c r="AD424" i="1"/>
  <c r="AD363" i="1"/>
  <c r="AD494" i="1"/>
  <c r="AI494" i="1" s="1"/>
  <c r="AD398" i="1"/>
  <c r="AD289" i="1"/>
  <c r="AD365" i="1"/>
  <c r="AM365" i="1" s="1"/>
  <c r="AD24" i="1"/>
  <c r="AD453" i="1"/>
  <c r="AD351" i="1"/>
  <c r="AD310" i="1"/>
  <c r="AD104" i="1"/>
  <c r="AD364" i="1"/>
  <c r="AD191" i="1"/>
  <c r="AD286" i="1"/>
  <c r="AD273" i="1"/>
  <c r="AD308" i="1"/>
  <c r="AD478" i="1"/>
  <c r="AD340" i="1"/>
  <c r="AD346" i="1"/>
  <c r="AD235" i="1"/>
  <c r="AD393" i="1"/>
  <c r="AD425" i="1"/>
  <c r="AD389" i="1"/>
  <c r="AD469" i="1"/>
  <c r="AD335" i="1"/>
  <c r="AD332" i="1"/>
  <c r="AD446" i="1"/>
  <c r="AD404" i="1"/>
  <c r="AD316" i="1"/>
  <c r="AD303" i="1"/>
  <c r="AD503" i="1"/>
  <c r="AD421" i="1"/>
  <c r="AI421" i="1" s="1"/>
  <c r="AD448" i="1"/>
  <c r="AD183" i="1"/>
  <c r="AD493" i="1"/>
  <c r="AD375" i="1"/>
  <c r="AD267" i="1"/>
  <c r="AD482" i="1"/>
  <c r="AD143" i="1"/>
  <c r="AD302" i="1"/>
  <c r="AD26" i="1"/>
  <c r="AD40" i="1"/>
  <c r="AD479" i="1"/>
  <c r="AD137" i="1"/>
  <c r="AD419" i="1"/>
  <c r="AD406" i="1"/>
  <c r="AD397" i="1"/>
  <c r="AD506" i="1"/>
  <c r="AD124" i="1"/>
  <c r="AD447" i="1"/>
  <c r="AD39" i="1"/>
  <c r="AD19" i="1"/>
  <c r="AD214" i="1"/>
  <c r="AD161" i="1"/>
  <c r="AD460" i="1"/>
  <c r="AD426" i="1"/>
  <c r="AI426" i="1" s="1"/>
  <c r="AD23" i="1"/>
  <c r="AD125" i="1"/>
  <c r="AD470" i="1"/>
  <c r="AI470" i="1" s="1"/>
  <c r="AD63" i="1"/>
  <c r="AD272" i="1"/>
  <c r="AD139" i="1"/>
  <c r="AD99" i="1"/>
  <c r="AD452" i="1"/>
  <c r="AD298" i="1"/>
  <c r="AD508" i="1"/>
  <c r="AD362" i="1"/>
  <c r="AD163" i="1"/>
  <c r="AD90" i="1"/>
  <c r="AD433" i="1"/>
  <c r="AD219" i="1"/>
  <c r="AD53" i="1"/>
  <c r="AD221" i="1"/>
  <c r="AD134" i="1"/>
  <c r="AI134" i="1" s="1"/>
  <c r="AD427" i="1"/>
  <c r="AI427" i="1" s="1"/>
  <c r="AD484" i="1"/>
  <c r="AD455" i="1"/>
  <c r="AD381" i="1"/>
  <c r="AD418" i="1"/>
  <c r="AD334" i="1"/>
  <c r="AD126" i="1"/>
  <c r="AD454" i="1"/>
  <c r="AD345" i="1"/>
  <c r="AD329" i="1"/>
  <c r="AD483" i="1"/>
  <c r="AD457" i="1"/>
  <c r="AI457" i="1" s="1"/>
  <c r="AD33" i="1"/>
  <c r="AD135" i="1"/>
  <c r="AI135" i="1" s="1"/>
  <c r="AD514" i="1"/>
  <c r="AD474" i="1"/>
  <c r="AD287" i="1"/>
  <c r="AD295" i="1"/>
  <c r="AD305" i="1"/>
  <c r="AD228" i="1"/>
  <c r="AD509" i="1"/>
  <c r="AD496" i="1"/>
  <c r="AI496" i="1" s="1"/>
  <c r="AD76" i="1"/>
  <c r="AD132" i="1"/>
  <c r="AD59" i="1"/>
  <c r="AD60" i="1"/>
  <c r="AD15" i="1"/>
  <c r="AD168" i="1"/>
  <c r="AD169" i="1"/>
  <c r="AD50" i="1"/>
  <c r="AD51" i="1"/>
  <c r="AD318" i="1"/>
  <c r="AD306" i="1"/>
  <c r="AD319" i="1"/>
  <c r="AD307" i="1"/>
  <c r="AI307" i="1" s="1"/>
  <c r="AD117" i="1"/>
  <c r="AD118" i="1"/>
  <c r="AD170" i="1"/>
  <c r="AD171" i="1"/>
  <c r="AD260" i="1"/>
  <c r="AI260" i="1" s="1"/>
  <c r="AD261" i="1"/>
  <c r="AD229" i="1"/>
  <c r="AD262" i="1"/>
  <c r="AD263" i="1"/>
  <c r="AI263" i="1" s="1"/>
  <c r="AD264" i="1"/>
  <c r="AI264" i="1" s="1"/>
  <c r="AD265" i="1"/>
  <c r="AI265" i="1" s="1"/>
  <c r="AD266" i="1"/>
  <c r="AI266" i="1" s="1"/>
  <c r="AD43" i="1"/>
  <c r="AF43" i="1" s="1"/>
  <c r="AD269" i="1"/>
  <c r="AD270" i="1"/>
  <c r="AI270" i="1" s="1"/>
  <c r="AD216" i="1"/>
  <c r="AD218" i="1"/>
  <c r="AI218" i="1" s="1"/>
  <c r="AD217" i="1"/>
  <c r="AI217" i="1" s="1"/>
  <c r="AD271" i="1"/>
  <c r="AD321" i="1"/>
  <c r="AD80" i="1"/>
  <c r="AD78" i="1"/>
  <c r="AD93" i="1"/>
  <c r="AD79" i="1"/>
  <c r="AD94" i="1"/>
  <c r="AD232" i="1"/>
  <c r="AD314" i="1"/>
  <c r="AD46" i="1"/>
  <c r="AD274" i="1"/>
  <c r="AD275" i="1"/>
  <c r="AI275" i="1" s="1"/>
  <c r="AD276" i="1"/>
  <c r="AD74" i="1"/>
  <c r="AI74" i="1" s="1"/>
  <c r="AD73" i="1"/>
  <c r="AD311" i="1"/>
  <c r="AD312" i="1"/>
  <c r="AD195" i="1"/>
  <c r="AD196" i="1"/>
  <c r="AI196" i="1" s="1"/>
  <c r="AD5" i="1"/>
  <c r="AD108" i="1"/>
  <c r="AD197" i="1"/>
  <c r="AD97" i="1"/>
  <c r="AD190" i="1"/>
  <c r="AD29" i="1"/>
  <c r="AI29" i="1" s="1"/>
  <c r="AD150" i="1"/>
  <c r="AD28" i="1"/>
  <c r="AI28" i="1" s="1"/>
  <c r="AD151" i="1"/>
  <c r="AI151" i="1" s="1"/>
  <c r="AD209" i="1"/>
  <c r="AD158" i="1"/>
  <c r="AD211" i="1"/>
  <c r="AD242" i="1"/>
  <c r="AD210" i="1"/>
  <c r="AI210" i="1" s="1"/>
  <c r="AD243" i="1"/>
  <c r="AI243" i="1" s="1"/>
  <c r="AD337" i="1"/>
  <c r="AD186" i="1"/>
  <c r="AD344" i="1"/>
  <c r="AD47" i="1"/>
  <c r="AD336" i="1"/>
  <c r="AD48" i="1"/>
  <c r="AD49" i="1"/>
  <c r="AD285" i="1"/>
  <c r="AI285" i="1" s="1"/>
  <c r="AD122" i="1"/>
  <c r="AD65" i="1"/>
  <c r="AD208" i="1"/>
  <c r="AD399" i="1"/>
  <c r="AD400" i="1"/>
  <c r="AD187" i="1"/>
  <c r="AD401" i="1"/>
  <c r="AD403" i="1"/>
  <c r="AI403" i="1" s="1"/>
  <c r="AD188" i="1"/>
  <c r="AD142" i="1"/>
  <c r="AD278" i="1"/>
  <c r="AD204" i="1"/>
  <c r="AD141" i="1"/>
  <c r="AD405" i="1"/>
  <c r="AD144" i="1"/>
  <c r="AD145" i="1"/>
  <c r="AD133" i="1"/>
  <c r="AD251" i="1"/>
  <c r="AD213" i="1"/>
  <c r="AD259" i="1"/>
  <c r="AD258" i="1"/>
  <c r="AD148" i="1"/>
  <c r="AD13" i="1"/>
  <c r="AD149" i="1"/>
  <c r="AI149" i="1" s="1"/>
  <c r="AD14" i="1"/>
  <c r="AD66" i="1"/>
  <c r="AD67" i="1"/>
  <c r="AD324" i="1"/>
  <c r="AD55" i="1"/>
  <c r="AI55" i="1" s="1"/>
  <c r="AD234" i="1"/>
  <c r="AD105" i="1"/>
  <c r="AD54" i="1"/>
  <c r="AD106" i="1"/>
  <c r="AI106" i="1" s="1"/>
  <c r="AD282" i="1"/>
  <c r="AD240" i="1"/>
  <c r="AD241" i="1"/>
  <c r="AD205" i="1"/>
  <c r="AD101" i="1"/>
  <c r="AD292" i="1"/>
  <c r="AD328" i="1"/>
  <c r="AD128" i="1"/>
  <c r="AD129" i="1"/>
  <c r="AI129" i="1" s="1"/>
  <c r="AD194" i="1"/>
  <c r="AD226" i="1"/>
  <c r="AD96" i="1"/>
  <c r="AI96" i="1" s="1"/>
  <c r="AD107" i="1"/>
  <c r="AD52" i="1"/>
  <c r="AI52" i="1" s="1"/>
  <c r="AD111" i="1"/>
  <c r="AE111" i="1" s="1"/>
  <c r="AD247" i="1"/>
  <c r="AG483" i="1"/>
  <c r="AG484" i="1"/>
  <c r="AG482" i="1"/>
  <c r="AG192" i="1"/>
  <c r="AG91" i="1"/>
  <c r="AG297" i="1"/>
  <c r="AG296" i="1"/>
  <c r="AG90" i="1"/>
  <c r="AG89" i="1"/>
  <c r="AG68" i="1"/>
  <c r="AG167" i="1"/>
  <c r="AG166" i="1"/>
  <c r="AG41" i="1"/>
  <c r="AG440" i="1"/>
  <c r="AG430" i="1"/>
  <c r="AG342" i="1"/>
  <c r="AG343" i="1"/>
  <c r="AG331" i="1"/>
  <c r="AG332" i="1"/>
  <c r="AG330" i="1"/>
  <c r="AG287" i="1"/>
  <c r="AG286" i="1"/>
  <c r="AG333" i="1"/>
  <c r="AG214" i="1"/>
  <c r="AG33" i="1"/>
  <c r="AG513" i="1"/>
  <c r="AG268" i="1"/>
  <c r="AG267" i="1"/>
  <c r="AG104" i="1"/>
  <c r="AG103" i="1"/>
  <c r="AG496" i="1"/>
  <c r="AG498" i="1"/>
  <c r="AG497" i="1"/>
  <c r="AG477" i="1"/>
  <c r="AG495" i="1"/>
  <c r="AG514" i="1"/>
  <c r="AG316" i="1"/>
  <c r="AG317" i="1"/>
  <c r="AG388" i="1"/>
  <c r="AG387" i="1"/>
  <c r="AG220" i="1"/>
  <c r="AG397" i="1"/>
  <c r="AG398" i="1"/>
  <c r="AG126" i="1"/>
  <c r="AG219" i="1"/>
  <c r="AG127" i="1"/>
  <c r="AG125" i="1"/>
  <c r="AG390" i="1"/>
  <c r="AG389" i="1"/>
  <c r="AG406" i="1"/>
  <c r="AG421" i="1"/>
  <c r="AG420" i="1"/>
  <c r="AG503" i="1"/>
  <c r="AG457" i="1"/>
  <c r="AG456" i="1"/>
  <c r="AG407" i="1"/>
  <c r="AG502" i="1"/>
  <c r="AG293" i="1"/>
  <c r="AG294" i="1"/>
  <c r="AG424" i="1"/>
  <c r="AG19" i="1"/>
  <c r="AG22" i="1"/>
  <c r="AG23" i="1"/>
  <c r="AG24" i="1"/>
  <c r="AG18" i="1"/>
  <c r="AG26" i="1"/>
  <c r="AG124" i="1"/>
  <c r="AG31" i="1"/>
  <c r="AG17" i="1"/>
  <c r="AG221" i="1"/>
  <c r="AG257" i="1"/>
  <c r="AG478" i="1"/>
  <c r="AG351" i="1"/>
  <c r="AG353" i="1"/>
  <c r="AG352" i="1"/>
  <c r="AG16" i="1"/>
  <c r="AG249" i="1"/>
  <c r="AG143" i="1"/>
  <c r="AG509" i="1"/>
  <c r="AG365" i="1"/>
  <c r="AG279" i="1"/>
  <c r="AG280" i="1"/>
  <c r="AG95" i="1"/>
  <c r="AG426" i="1"/>
  <c r="AG427" i="1"/>
  <c r="AG425" i="1"/>
  <c r="AG356" i="1"/>
  <c r="AG451" i="1"/>
  <c r="AG12" i="1"/>
  <c r="AG11" i="1"/>
  <c r="AG450" i="1"/>
  <c r="AG382" i="1"/>
  <c r="AG381" i="1"/>
  <c r="AG113" i="1"/>
  <c r="AG185" i="1"/>
  <c r="AG137" i="1"/>
  <c r="AG136" i="1"/>
  <c r="AG298" i="1"/>
  <c r="AG39" i="1"/>
  <c r="AG301" i="1"/>
  <c r="AG366" i="1"/>
  <c r="AG308" i="1"/>
  <c r="AG253" i="1"/>
  <c r="AG69" i="1"/>
  <c r="AG70" i="1"/>
  <c r="AG40" i="1"/>
  <c r="AG7" i="1"/>
  <c r="AG362" i="1"/>
  <c r="AG361" i="1"/>
  <c r="AG6" i="1"/>
  <c r="AG357" i="1"/>
  <c r="AG155" i="1"/>
  <c r="AG38" i="1"/>
  <c r="AG325" i="1"/>
  <c r="AG283" i="1"/>
  <c r="AG291" i="1"/>
  <c r="AG224" i="1"/>
  <c r="AG227" i="1"/>
  <c r="AG383" i="1"/>
  <c r="AG384" i="1"/>
  <c r="AG419" i="1"/>
  <c r="AG350" i="1"/>
  <c r="AG236" i="1"/>
  <c r="AG235" i="1"/>
  <c r="AG394" i="1"/>
  <c r="AG393" i="1"/>
  <c r="AG323" i="1"/>
  <c r="AG322" i="1"/>
  <c r="AG368" i="1"/>
  <c r="AG367" i="1"/>
  <c r="AG164" i="1"/>
  <c r="AG163" i="1"/>
  <c r="AG348" i="1"/>
  <c r="AG347" i="1"/>
  <c r="AG455" i="1"/>
  <c r="AG454" i="1"/>
  <c r="AG198" i="1"/>
  <c r="AG212" i="1"/>
  <c r="AG488" i="1"/>
  <c r="AG435" i="1"/>
  <c r="AG411" i="1"/>
  <c r="AG453" i="1"/>
  <c r="AG452" i="1"/>
  <c r="AG481" i="1"/>
  <c r="AG480" i="1"/>
  <c r="AG479" i="1"/>
  <c r="AG449" i="1"/>
  <c r="AG161" i="1"/>
  <c r="AG374" i="1"/>
  <c r="AG458" i="1"/>
  <c r="AG410" i="1"/>
  <c r="AG468" i="1"/>
  <c r="AG418" i="1"/>
  <c r="AG501" i="1"/>
  <c r="AG500" i="1"/>
  <c r="AG499" i="1"/>
  <c r="AG329" i="1"/>
  <c r="AG179" i="1"/>
  <c r="AG346" i="1"/>
  <c r="AG345" i="1"/>
  <c r="AG446" i="1"/>
  <c r="AG445" i="1"/>
  <c r="AG408" i="1"/>
  <c r="AG409" i="1"/>
  <c r="AG247" i="1"/>
  <c r="AG100" i="1"/>
  <c r="AG82" i="1"/>
  <c r="AG83" i="1"/>
  <c r="AG84" i="1"/>
  <c r="AG37" i="1"/>
  <c r="AG174" i="1"/>
  <c r="AG175" i="1"/>
  <c r="AG176" i="1"/>
  <c r="AG35" i="1"/>
  <c r="AG402" i="1"/>
  <c r="AG189" i="1"/>
  <c r="AG377" i="1"/>
  <c r="AG378" i="1"/>
  <c r="AG379" i="1"/>
  <c r="AG380" i="1"/>
  <c r="AG515" i="1"/>
  <c r="AG75" i="1"/>
  <c r="AG310" i="1"/>
  <c r="AG152" i="1"/>
  <c r="AG134" i="1"/>
  <c r="AG135" i="1"/>
  <c r="AG375" i="1"/>
  <c r="AG376" i="1"/>
  <c r="AG71" i="1"/>
  <c r="AG72" i="1"/>
  <c r="AG277" i="1"/>
  <c r="AG404" i="1"/>
  <c r="AG466" i="1"/>
  <c r="AG467" i="1"/>
  <c r="AG334" i="1"/>
  <c r="AG469" i="1"/>
  <c r="AG335" i="1"/>
  <c r="AG62" i="1"/>
  <c r="AG63" i="1"/>
  <c r="AG315" i="1"/>
  <c r="AG56" i="1"/>
  <c r="AG57" i="1"/>
  <c r="AG25" i="1"/>
  <c r="AG433" i="1"/>
  <c r="AG284" i="1"/>
  <c r="AG447" i="1"/>
  <c r="AG448" i="1"/>
  <c r="AG437" i="1"/>
  <c r="AG436" i="1"/>
  <c r="AG207" i="1"/>
  <c r="AG422" i="1"/>
  <c r="AG423" i="1"/>
  <c r="AG359" i="1"/>
  <c r="AG360" i="1"/>
  <c r="AG363" i="1"/>
  <c r="AG364" i="1"/>
  <c r="AG474" i="1"/>
  <c r="AG302" i="1"/>
  <c r="AG303" i="1"/>
  <c r="AG326" i="1"/>
  <c r="AG183" i="1"/>
  <c r="AG340" i="1"/>
  <c r="AG139" i="1"/>
  <c r="AG493" i="1"/>
  <c r="AG494" i="1"/>
  <c r="AG191" i="1"/>
  <c r="AG34" i="1"/>
  <c r="AG193" i="1"/>
  <c r="AG434" i="1"/>
  <c r="AG463" i="1"/>
  <c r="AG459" i="1"/>
  <c r="AG470" i="1"/>
  <c r="AG471" i="1"/>
  <c r="AG460" i="1"/>
  <c r="AG120" i="1"/>
  <c r="AG506" i="1"/>
  <c r="AG507" i="1"/>
  <c r="AG508" i="1"/>
  <c r="AG273" i="1"/>
  <c r="AG290" i="1"/>
  <c r="AG102" i="1"/>
  <c r="AG4" i="1"/>
  <c r="AG505" i="1"/>
  <c r="AG504" i="1"/>
  <c r="AG180" i="1"/>
  <c r="AG146" i="1"/>
  <c r="AG320" i="1"/>
  <c r="AG32" i="1"/>
  <c r="AG53" i="1"/>
  <c r="AG490" i="1"/>
  <c r="AG489" i="1"/>
  <c r="AG233" i="1"/>
  <c r="AG215" i="1"/>
  <c r="AG250" i="1"/>
  <c r="AG327" i="1"/>
  <c r="AG156" i="1"/>
  <c r="AG138" i="1"/>
  <c r="AG160" i="1"/>
  <c r="AG159" i="1"/>
  <c r="AG256" i="1"/>
  <c r="AG255" i="1"/>
  <c r="AG254" i="1"/>
  <c r="AG109" i="1"/>
  <c r="AG245" i="1"/>
  <c r="AG244" i="1"/>
  <c r="AG206" i="1"/>
  <c r="AG199" i="1"/>
  <c r="AG27" i="1"/>
  <c r="AG288" i="1"/>
  <c r="AG184" i="1"/>
  <c r="AG112" i="1"/>
  <c r="AG231" i="1"/>
  <c r="AG230" i="1"/>
  <c r="AG162" i="1"/>
  <c r="AG289" i="1"/>
  <c r="AG272" i="1"/>
  <c r="AG99" i="1"/>
  <c r="AG8" i="1"/>
  <c r="AG305" i="1"/>
  <c r="AG295" i="1"/>
  <c r="AG132" i="1"/>
  <c r="AG228" i="1"/>
  <c r="AG59" i="1"/>
  <c r="AG76" i="1"/>
  <c r="AG15" i="1"/>
  <c r="AG60" i="1"/>
  <c r="AG169" i="1"/>
  <c r="AG168" i="1"/>
  <c r="AG51" i="1"/>
  <c r="AG50" i="1"/>
  <c r="AG319" i="1"/>
  <c r="AG318" i="1"/>
  <c r="AG307" i="1"/>
  <c r="AG306" i="1"/>
  <c r="AG118" i="1"/>
  <c r="AG117" i="1"/>
  <c r="AG171" i="1"/>
  <c r="AG170" i="1"/>
  <c r="AG260" i="1"/>
  <c r="AG229" i="1"/>
  <c r="AG262" i="1"/>
  <c r="AG261" i="1"/>
  <c r="AG264" i="1"/>
  <c r="AG263" i="1"/>
  <c r="AG266" i="1"/>
  <c r="AG265" i="1"/>
  <c r="AG269" i="1"/>
  <c r="AG43" i="1"/>
  <c r="AG216" i="1"/>
  <c r="AG270" i="1"/>
  <c r="AG218" i="1"/>
  <c r="AG217" i="1"/>
  <c r="AG321" i="1"/>
  <c r="AG271" i="1"/>
  <c r="AG79" i="1"/>
  <c r="AG78" i="1"/>
  <c r="AG93" i="1"/>
  <c r="AG80" i="1"/>
  <c r="AG232" i="1"/>
  <c r="AG94" i="1"/>
  <c r="AG46" i="1"/>
  <c r="AG314" i="1"/>
  <c r="AG275" i="1"/>
  <c r="AG274" i="1"/>
  <c r="AG73" i="1"/>
  <c r="AG276" i="1"/>
  <c r="AG311" i="1"/>
  <c r="AG74" i="1"/>
  <c r="AG195" i="1"/>
  <c r="AG312" i="1"/>
  <c r="AG197" i="1"/>
  <c r="AG196" i="1"/>
  <c r="AG108" i="1"/>
  <c r="AG5" i="1"/>
  <c r="AG190" i="1"/>
  <c r="AG97" i="1"/>
  <c r="AG28" i="1"/>
  <c r="AG29" i="1"/>
  <c r="AG151" i="1"/>
  <c r="AG150" i="1"/>
  <c r="AG209" i="1"/>
  <c r="AG158" i="1"/>
  <c r="AG211" i="1"/>
  <c r="AG210" i="1"/>
  <c r="AG243" i="1"/>
  <c r="AG242" i="1"/>
  <c r="AG337" i="1"/>
  <c r="AG336" i="1"/>
  <c r="AG186" i="1"/>
  <c r="AG344" i="1"/>
  <c r="AG48" i="1"/>
  <c r="AG47" i="1"/>
  <c r="AG65" i="1"/>
  <c r="AG49" i="1"/>
  <c r="AG122" i="1"/>
  <c r="AG208" i="1"/>
  <c r="AG399" i="1"/>
  <c r="AG285" i="1"/>
  <c r="AG187" i="1"/>
  <c r="AG400" i="1"/>
  <c r="AG401" i="1"/>
  <c r="AG188" i="1"/>
  <c r="AG141" i="1"/>
  <c r="AG403" i="1"/>
  <c r="AG278" i="1"/>
  <c r="AG142" i="1"/>
  <c r="AG405" i="1"/>
  <c r="AG204" i="1"/>
  <c r="AG145" i="1"/>
  <c r="AG144" i="1"/>
  <c r="AG251" i="1"/>
  <c r="AG133" i="1"/>
  <c r="AG213" i="1"/>
  <c r="AG259" i="1"/>
  <c r="AG258" i="1"/>
  <c r="AG149" i="1"/>
  <c r="AG148" i="1"/>
  <c r="AG14" i="1"/>
  <c r="AG13" i="1"/>
  <c r="AG67" i="1"/>
  <c r="AG66" i="1"/>
  <c r="AG234" i="1"/>
  <c r="AG324" i="1"/>
  <c r="AG55" i="1"/>
  <c r="AG54" i="1"/>
  <c r="AG106" i="1"/>
  <c r="AG105" i="1"/>
  <c r="AG240" i="1"/>
  <c r="AG282" i="1"/>
  <c r="AG205" i="1"/>
  <c r="AG241" i="1"/>
  <c r="AG292" i="1"/>
  <c r="AG101" i="1"/>
  <c r="AG128" i="1"/>
  <c r="AG328" i="1"/>
  <c r="AG194" i="1"/>
  <c r="AG129" i="1"/>
  <c r="AG107" i="1"/>
  <c r="AG226" i="1"/>
  <c r="AG61" i="1"/>
  <c r="AC10" i="1"/>
  <c r="AG10" i="1" s="1"/>
  <c r="AC9" i="1"/>
  <c r="AC111" i="1"/>
  <c r="AG96" i="1"/>
  <c r="AG52" i="1"/>
  <c r="AG248" i="1"/>
  <c r="M2" i="15"/>
  <c r="N2" i="15" s="1"/>
  <c r="J4" i="15"/>
  <c r="D2" i="15"/>
  <c r="C2" i="15"/>
  <c r="B2" i="15"/>
  <c r="L2" i="15"/>
  <c r="AQ88" i="1" l="1"/>
  <c r="AF88" i="1"/>
  <c r="AM88" i="1"/>
  <c r="AE88" i="1"/>
  <c r="AM173" i="1"/>
  <c r="AE173" i="1"/>
  <c r="AF173" i="1"/>
  <c r="AQ173" i="1"/>
  <c r="AF465" i="1"/>
  <c r="AP465" i="1" s="1"/>
  <c r="AQ465" i="1"/>
  <c r="AE465" i="1"/>
  <c r="AM465" i="1"/>
  <c r="AI465" i="1"/>
  <c r="AH465" i="1"/>
  <c r="AH88" i="1"/>
  <c r="AI88" i="1"/>
  <c r="AI173" i="1"/>
  <c r="AH173" i="1"/>
  <c r="AE392" i="1"/>
  <c r="AM392" i="1"/>
  <c r="AF392" i="1"/>
  <c r="AP392" i="1" s="1"/>
  <c r="AQ392" i="1"/>
  <c r="AE86" i="1"/>
  <c r="AM86" i="1"/>
  <c r="AF86" i="1"/>
  <c r="AQ86" i="1"/>
  <c r="AF473" i="1"/>
  <c r="AP473" i="1" s="1"/>
  <c r="AE473" i="1"/>
  <c r="AM473" i="1"/>
  <c r="AQ473" i="1"/>
  <c r="AH464" i="1"/>
  <c r="AH472" i="1"/>
  <c r="AI165" i="1"/>
  <c r="AI519" i="1"/>
  <c r="AH165" i="1"/>
  <c r="AH519" i="1"/>
  <c r="AI464" i="1"/>
  <c r="AI472" i="1"/>
  <c r="AH123" i="1"/>
  <c r="AH86" i="1"/>
  <c r="AH473" i="1"/>
  <c r="AI392" i="1"/>
  <c r="AI87" i="1"/>
  <c r="AH518" i="1"/>
  <c r="AH462" i="1"/>
  <c r="AH85" i="1"/>
  <c r="AI123" i="1"/>
  <c r="AH87" i="1"/>
  <c r="AI462" i="1"/>
  <c r="AH392" i="1"/>
  <c r="AI157" i="1"/>
  <c r="AI518" i="1"/>
  <c r="AH391" i="1"/>
  <c r="AH157" i="1"/>
  <c r="AI246" i="1"/>
  <c r="AI391" i="1"/>
  <c r="AI473" i="1"/>
  <c r="AI85" i="1"/>
  <c r="AI86" i="1"/>
  <c r="AH246" i="1"/>
  <c r="AF123" i="1"/>
  <c r="AE123" i="1"/>
  <c r="AM123" i="1"/>
  <c r="AQ123" i="1"/>
  <c r="AF462" i="1"/>
  <c r="AP462" i="1" s="1"/>
  <c r="AE462" i="1"/>
  <c r="AM462" i="1"/>
  <c r="AQ462" i="1"/>
  <c r="AF518" i="1"/>
  <c r="AM518" i="1"/>
  <c r="AQ518" i="1"/>
  <c r="AE518" i="1"/>
  <c r="AM87" i="1"/>
  <c r="AF87" i="1"/>
  <c r="AE87" i="1"/>
  <c r="AQ87" i="1"/>
  <c r="AF165" i="1"/>
  <c r="AE165" i="1"/>
  <c r="AM165" i="1"/>
  <c r="AQ165" i="1"/>
  <c r="AE519" i="1"/>
  <c r="AM519" i="1"/>
  <c r="AF519" i="1"/>
  <c r="AQ519" i="1"/>
  <c r="AE472" i="1"/>
  <c r="AM472" i="1"/>
  <c r="AQ472" i="1"/>
  <c r="AF472" i="1"/>
  <c r="AP472" i="1" s="1"/>
  <c r="AF246" i="1"/>
  <c r="AM246" i="1"/>
  <c r="AE246" i="1"/>
  <c r="AQ246" i="1"/>
  <c r="AF85" i="1"/>
  <c r="AE85" i="1"/>
  <c r="AM85" i="1"/>
  <c r="AQ85" i="1"/>
  <c r="AF157" i="1"/>
  <c r="AE157" i="1"/>
  <c r="AM157" i="1"/>
  <c r="AQ157" i="1"/>
  <c r="AF464" i="1"/>
  <c r="AP464" i="1" s="1"/>
  <c r="AE464" i="1"/>
  <c r="AM464" i="1"/>
  <c r="AQ464" i="1"/>
  <c r="AF391" i="1"/>
  <c r="AP391" i="1" s="1"/>
  <c r="AE391" i="1"/>
  <c r="AM391" i="1"/>
  <c r="AQ391" i="1"/>
  <c r="AF371" i="1"/>
  <c r="AP371" i="1" s="1"/>
  <c r="AQ371" i="1"/>
  <c r="AM371" i="1"/>
  <c r="AE371" i="1"/>
  <c r="AI371" i="1"/>
  <c r="AH371" i="1"/>
  <c r="AE116" i="1"/>
  <c r="AF116" i="1"/>
  <c r="AQ116" i="1"/>
  <c r="AM116" i="1"/>
  <c r="AH370" i="1"/>
  <c r="AI370" i="1"/>
  <c r="AE309" i="1"/>
  <c r="AM309" i="1"/>
  <c r="AF309" i="1"/>
  <c r="AQ309" i="1"/>
  <c r="AQ98" i="1"/>
  <c r="AE98" i="1"/>
  <c r="AM98" i="1"/>
  <c r="AF98" i="1"/>
  <c r="AE115" i="1"/>
  <c r="AF115" i="1"/>
  <c r="AQ115" i="1"/>
  <c r="AM115" i="1"/>
  <c r="AE370" i="1"/>
  <c r="AM370" i="1"/>
  <c r="AF370" i="1"/>
  <c r="AP370" i="1" s="1"/>
  <c r="AQ370" i="1"/>
  <c r="AI309" i="1"/>
  <c r="AH309" i="1"/>
  <c r="AH98" i="1"/>
  <c r="AI98" i="1"/>
  <c r="AH116" i="1"/>
  <c r="AI116" i="1"/>
  <c r="AI115" i="1"/>
  <c r="AH115" i="1"/>
  <c r="AF355" i="1"/>
  <c r="AP355" i="1" s="1"/>
  <c r="AE355" i="1"/>
  <c r="AM355" i="1"/>
  <c r="AQ355" i="1"/>
  <c r="AF354" i="1"/>
  <c r="AP354" i="1" s="1"/>
  <c r="AE354" i="1"/>
  <c r="AM354" i="1"/>
  <c r="AQ354" i="1"/>
  <c r="AF432" i="1"/>
  <c r="AP432" i="1" s="1"/>
  <c r="AE432" i="1"/>
  <c r="AM432" i="1"/>
  <c r="AQ432" i="1"/>
  <c r="AF140" i="1"/>
  <c r="AE140" i="1"/>
  <c r="AM140" i="1"/>
  <c r="AQ140" i="1"/>
  <c r="AI140" i="1"/>
  <c r="AI354" i="1"/>
  <c r="AH431" i="1"/>
  <c r="AI432" i="1"/>
  <c r="AH354" i="1"/>
  <c r="AH432" i="1"/>
  <c r="AH355" i="1"/>
  <c r="AH341" i="1"/>
  <c r="AH140" i="1"/>
  <c r="AI355" i="1"/>
  <c r="AI431" i="1"/>
  <c r="AI341" i="1"/>
  <c r="AF431" i="1"/>
  <c r="AP431" i="1" s="1"/>
  <c r="AE431" i="1"/>
  <c r="AM431" i="1"/>
  <c r="AQ431" i="1"/>
  <c r="AE341" i="1"/>
  <c r="AM341" i="1"/>
  <c r="AF341" i="1"/>
  <c r="AQ341" i="1"/>
  <c r="AE77" i="1"/>
  <c r="AF77" i="1"/>
  <c r="AE21" i="1"/>
  <c r="AF21" i="1"/>
  <c r="AE372" i="1"/>
  <c r="AF372" i="1"/>
  <c r="AP372" i="1" s="1"/>
  <c r="AE516" i="1"/>
  <c r="AF516" i="1"/>
  <c r="AE373" i="1"/>
  <c r="AF373" i="1"/>
  <c r="AP373" i="1" s="1"/>
  <c r="AF517" i="1"/>
  <c r="AE517" i="1"/>
  <c r="AF30" i="1"/>
  <c r="AE30" i="1"/>
  <c r="AE81" i="1"/>
  <c r="AF81" i="1"/>
  <c r="AI372" i="1"/>
  <c r="AH372" i="1"/>
  <c r="AH373" i="1"/>
  <c r="AI30" i="1"/>
  <c r="AH77" i="1"/>
  <c r="AI373" i="1"/>
  <c r="AH516" i="1"/>
  <c r="AH21" i="1"/>
  <c r="AH30" i="1"/>
  <c r="AI517" i="1"/>
  <c r="AI21" i="1"/>
  <c r="AI516" i="1"/>
  <c r="AH517" i="1"/>
  <c r="AI77" i="1"/>
  <c r="AH81" i="1"/>
  <c r="AI81" i="1"/>
  <c r="AM77" i="1"/>
  <c r="AQ77" i="1"/>
  <c r="AM30" i="1"/>
  <c r="AQ30" i="1"/>
  <c r="AH130" i="1"/>
  <c r="AI130" i="1"/>
  <c r="AH131" i="1"/>
  <c r="AI131" i="1"/>
  <c r="AH177" i="1"/>
  <c r="AI177" i="1"/>
  <c r="AH178" i="1"/>
  <c r="AI178" i="1"/>
  <c r="AE177" i="1"/>
  <c r="AF177" i="1"/>
  <c r="AM177" i="1"/>
  <c r="AQ177" i="1"/>
  <c r="AE131" i="1"/>
  <c r="AF131" i="1"/>
  <c r="AM131" i="1"/>
  <c r="AQ131" i="1"/>
  <c r="AE413" i="1"/>
  <c r="AM413" i="1"/>
  <c r="AF413" i="1"/>
  <c r="AP413" i="1" s="1"/>
  <c r="AQ413" i="1"/>
  <c r="AE178" i="1"/>
  <c r="AF178" i="1"/>
  <c r="AM178" i="1"/>
  <c r="AQ178" i="1"/>
  <c r="AF414" i="1"/>
  <c r="AP414" i="1" s="1"/>
  <c r="AM414" i="1"/>
  <c r="AE414" i="1"/>
  <c r="AQ414" i="1"/>
  <c r="AQ412" i="1"/>
  <c r="AE412" i="1"/>
  <c r="AM412" i="1"/>
  <c r="AF412" i="1"/>
  <c r="AP412" i="1" s="1"/>
  <c r="AE130" i="1"/>
  <c r="AF130" i="1"/>
  <c r="AM130" i="1"/>
  <c r="AQ130" i="1"/>
  <c r="AI413" i="1"/>
  <c r="AH413" i="1"/>
  <c r="AH412" i="1"/>
  <c r="AI412" i="1"/>
  <c r="AH414" i="1"/>
  <c r="AI414" i="1"/>
  <c r="AE200" i="1"/>
  <c r="AM200" i="1"/>
  <c r="AF200" i="1"/>
  <c r="AQ200" i="1"/>
  <c r="AE147" i="1"/>
  <c r="AQ147" i="1"/>
  <c r="AF147" i="1"/>
  <c r="AM147" i="1"/>
  <c r="AI300" i="1"/>
  <c r="AH300" i="1"/>
  <c r="AI299" i="1"/>
  <c r="AH299" i="1"/>
  <c r="AF300" i="1"/>
  <c r="AE300" i="1"/>
  <c r="AM300" i="1"/>
  <c r="AQ300" i="1"/>
  <c r="AE299" i="1"/>
  <c r="AM299" i="1"/>
  <c r="AF299" i="1"/>
  <c r="AQ299" i="1"/>
  <c r="AI147" i="1"/>
  <c r="AH147" i="1"/>
  <c r="AI200" i="1"/>
  <c r="AH200" i="1"/>
  <c r="AE222" i="1"/>
  <c r="AM222" i="1"/>
  <c r="AQ222" i="1"/>
  <c r="AF222" i="1"/>
  <c r="AM223" i="1"/>
  <c r="AF223" i="1"/>
  <c r="AQ223" i="1"/>
  <c r="AE223" i="1"/>
  <c r="AE338" i="1"/>
  <c r="AF338" i="1"/>
  <c r="AQ338" i="1"/>
  <c r="AM338" i="1"/>
  <c r="AI223" i="1"/>
  <c r="AH223" i="1"/>
  <c r="AI222" i="1"/>
  <c r="AH222" i="1"/>
  <c r="AI338" i="1"/>
  <c r="AH338" i="1"/>
  <c r="AH512" i="1"/>
  <c r="AI512" i="1"/>
  <c r="AE339" i="1"/>
  <c r="AF339" i="1"/>
  <c r="AM339" i="1"/>
  <c r="AQ339" i="1"/>
  <c r="AE512" i="1"/>
  <c r="AQ512" i="1"/>
  <c r="AM512" i="1"/>
  <c r="AF512" i="1"/>
  <c r="AP512" i="1" s="1"/>
  <c r="AE417" i="1"/>
  <c r="AF417" i="1"/>
  <c r="AP417" i="1" s="1"/>
  <c r="AQ417" i="1"/>
  <c r="AM417" i="1"/>
  <c r="AE511" i="1"/>
  <c r="AM511" i="1"/>
  <c r="AQ511" i="1"/>
  <c r="AF511" i="1"/>
  <c r="AP511" i="1" s="1"/>
  <c r="AI511" i="1"/>
  <c r="AH511" i="1"/>
  <c r="AI339" i="1"/>
  <c r="AH339" i="1"/>
  <c r="AH417" i="1"/>
  <c r="AI417" i="1"/>
  <c r="AH416" i="1"/>
  <c r="AI416" i="1"/>
  <c r="AM441" i="1"/>
  <c r="AQ441" i="1"/>
  <c r="AF441" i="1"/>
  <c r="AP441" i="1" s="1"/>
  <c r="AE441" i="1"/>
  <c r="AE44" i="1"/>
  <c r="AF44" i="1"/>
  <c r="AQ44" i="1"/>
  <c r="AM44" i="1"/>
  <c r="AF45" i="1"/>
  <c r="AE45" i="1"/>
  <c r="AM45" i="1"/>
  <c r="AQ45" i="1"/>
  <c r="AQ429" i="1"/>
  <c r="AM429" i="1"/>
  <c r="AF429" i="1"/>
  <c r="AP429" i="1" s="1"/>
  <c r="AE429" i="1"/>
  <c r="AE428" i="1"/>
  <c r="AM428" i="1"/>
  <c r="AQ428" i="1"/>
  <c r="AF428" i="1"/>
  <c r="AP428" i="1" s="1"/>
  <c r="AQ485" i="1"/>
  <c r="AM485" i="1"/>
  <c r="AF485" i="1"/>
  <c r="AP485" i="1" s="1"/>
  <c r="AE485" i="1"/>
  <c r="AF416" i="1"/>
  <c r="AP416" i="1" s="1"/>
  <c r="AQ416" i="1"/>
  <c r="AE416" i="1"/>
  <c r="AM416" i="1"/>
  <c r="AH45" i="1"/>
  <c r="AI45" i="1"/>
  <c r="AI44" i="1"/>
  <c r="AH44" i="1"/>
  <c r="AH485" i="1"/>
  <c r="AI485" i="1"/>
  <c r="AI441" i="1"/>
  <c r="AH441" i="1"/>
  <c r="AH429" i="1"/>
  <c r="AI429" i="1"/>
  <c r="AI428" i="1"/>
  <c r="AH428" i="1"/>
  <c r="AE20" i="1"/>
  <c r="AF20" i="1"/>
  <c r="AM20" i="1"/>
  <c r="AQ20" i="1"/>
  <c r="AE349" i="1"/>
  <c r="AF349" i="1"/>
  <c r="AM349" i="1"/>
  <c r="AQ349" i="1"/>
  <c r="AH42" i="1"/>
  <c r="AI42" i="1"/>
  <c r="AH20" i="1"/>
  <c r="AI20" i="1"/>
  <c r="AH92" i="1"/>
  <c r="AI92" i="1"/>
  <c r="AH349" i="1"/>
  <c r="AI349" i="1"/>
  <c r="AE92" i="1"/>
  <c r="AF92" i="1"/>
  <c r="AM92" i="1"/>
  <c r="AQ92" i="1"/>
  <c r="AE42" i="1"/>
  <c r="AF42" i="1"/>
  <c r="AM42" i="1"/>
  <c r="AQ42" i="1"/>
  <c r="AE110" i="1"/>
  <c r="AF110" i="1"/>
  <c r="AM110" i="1"/>
  <c r="AQ110" i="1"/>
  <c r="AE202" i="1"/>
  <c r="AF202" i="1"/>
  <c r="AM202" i="1"/>
  <c r="AQ202" i="1"/>
  <c r="AE114" i="1"/>
  <c r="AF114" i="1"/>
  <c r="AM114" i="1"/>
  <c r="AQ114" i="1"/>
  <c r="AE203" i="1"/>
  <c r="AF203" i="1"/>
  <c r="AM203" i="1"/>
  <c r="AQ203" i="1"/>
  <c r="AE395" i="1"/>
  <c r="AF395" i="1"/>
  <c r="AP395" i="1" s="1"/>
  <c r="AM395" i="1"/>
  <c r="AQ395" i="1"/>
  <c r="AH386" i="1"/>
  <c r="AH395" i="1"/>
  <c r="AI386" i="1"/>
  <c r="AI395" i="1"/>
  <c r="AH202" i="1"/>
  <c r="AH396" i="1"/>
  <c r="AI202" i="1"/>
  <c r="AI396" i="1"/>
  <c r="AH203" i="1"/>
  <c r="AH110" i="1"/>
  <c r="AI203" i="1"/>
  <c r="AI110" i="1"/>
  <c r="AH369" i="1"/>
  <c r="AH114" i="1"/>
  <c r="AI369" i="1"/>
  <c r="AI114" i="1"/>
  <c r="AE369" i="1"/>
  <c r="AF369" i="1"/>
  <c r="AP369" i="1" s="1"/>
  <c r="AM369" i="1"/>
  <c r="AQ369" i="1"/>
  <c r="AE396" i="1"/>
  <c r="AF396" i="1"/>
  <c r="AP396" i="1" s="1"/>
  <c r="AM396" i="1"/>
  <c r="AQ396" i="1"/>
  <c r="AE386" i="1"/>
  <c r="AF386" i="1"/>
  <c r="AP386" i="1" s="1"/>
  <c r="AM386" i="1"/>
  <c r="AQ386" i="1"/>
  <c r="AM516" i="1"/>
  <c r="AQ516" i="1"/>
  <c r="AM21" i="1"/>
  <c r="AQ21" i="1"/>
  <c r="AM372" i="1"/>
  <c r="AQ372" i="1"/>
  <c r="AM373" i="1"/>
  <c r="AQ373" i="1"/>
  <c r="AQ517" i="1"/>
  <c r="AM517" i="1"/>
  <c r="AI201" i="1"/>
  <c r="AH201" i="1"/>
  <c r="AH64" i="1"/>
  <c r="AI64" i="1"/>
  <c r="AE64" i="1"/>
  <c r="AM64" i="1"/>
  <c r="AF64" i="1"/>
  <c r="AQ64" i="1"/>
  <c r="AE201" i="1"/>
  <c r="AM201" i="1"/>
  <c r="AF201" i="1"/>
  <c r="AQ201" i="1"/>
  <c r="AH237" i="1"/>
  <c r="AI237" i="1"/>
  <c r="AH492" i="1"/>
  <c r="AI492" i="1"/>
  <c r="AI239" i="1"/>
  <c r="AH238" i="1"/>
  <c r="AI238" i="1"/>
  <c r="AI491" i="1"/>
  <c r="AH239" i="1"/>
  <c r="AH491" i="1"/>
  <c r="AE239" i="1"/>
  <c r="AM239" i="1"/>
  <c r="AF239" i="1"/>
  <c r="AQ239" i="1"/>
  <c r="AM492" i="1"/>
  <c r="AQ492" i="1"/>
  <c r="AE492" i="1"/>
  <c r="AF492" i="1"/>
  <c r="AP492" i="1" s="1"/>
  <c r="AM237" i="1"/>
  <c r="AQ237" i="1"/>
  <c r="AE237" i="1"/>
  <c r="AF237" i="1"/>
  <c r="AF238" i="1"/>
  <c r="AM238" i="1"/>
  <c r="AE238" i="1"/>
  <c r="AQ238" i="1"/>
  <c r="AE491" i="1"/>
  <c r="AM491" i="1"/>
  <c r="AF491" i="1"/>
  <c r="AP491" i="1" s="1"/>
  <c r="AQ491" i="1"/>
  <c r="AH181" i="1"/>
  <c r="AI444" i="1"/>
  <c r="AI486" i="1"/>
  <c r="AH438" i="1"/>
  <c r="AH443" i="1"/>
  <c r="AH182" i="1"/>
  <c r="AI181" i="1"/>
  <c r="AH444" i="1"/>
  <c r="AI443" i="1"/>
  <c r="AH487" i="1"/>
  <c r="AI442" i="1"/>
  <c r="AI439" i="1"/>
  <c r="AI487" i="1"/>
  <c r="AH486" i="1"/>
  <c r="AI438" i="1"/>
  <c r="AH442" i="1"/>
  <c r="AH439" i="1"/>
  <c r="AI182" i="1"/>
  <c r="AE438" i="1"/>
  <c r="AM438" i="1"/>
  <c r="AF438" i="1"/>
  <c r="AP438" i="1" s="1"/>
  <c r="AQ438" i="1"/>
  <c r="AF182" i="1"/>
  <c r="AE182" i="1"/>
  <c r="AM182" i="1"/>
  <c r="AQ182" i="1"/>
  <c r="AE442" i="1"/>
  <c r="AM442" i="1"/>
  <c r="AF442" i="1"/>
  <c r="AP442" i="1" s="1"/>
  <c r="AQ442" i="1"/>
  <c r="AF443" i="1"/>
  <c r="AP443" i="1" s="1"/>
  <c r="AE443" i="1"/>
  <c r="AM443" i="1"/>
  <c r="AQ443" i="1"/>
  <c r="AE181" i="1"/>
  <c r="AM181" i="1"/>
  <c r="AF181" i="1"/>
  <c r="AQ181" i="1"/>
  <c r="AE487" i="1"/>
  <c r="AM487" i="1"/>
  <c r="AF487" i="1"/>
  <c r="AP487" i="1" s="1"/>
  <c r="AQ487" i="1"/>
  <c r="AE439" i="1"/>
  <c r="AM439" i="1"/>
  <c r="AF439" i="1"/>
  <c r="AP439" i="1" s="1"/>
  <c r="AQ439" i="1"/>
  <c r="AE444" i="1"/>
  <c r="AM444" i="1"/>
  <c r="AF444" i="1"/>
  <c r="AP444" i="1" s="1"/>
  <c r="AQ444" i="1"/>
  <c r="AE486" i="1"/>
  <c r="AM486" i="1"/>
  <c r="AF486" i="1"/>
  <c r="AP486" i="1" s="1"/>
  <c r="AQ486" i="1"/>
  <c r="AE119" i="1"/>
  <c r="AQ119" i="1"/>
  <c r="AM119" i="1"/>
  <c r="AF119" i="1"/>
  <c r="AE313" i="1"/>
  <c r="AM313" i="1"/>
  <c r="AF313" i="1"/>
  <c r="AQ313" i="1"/>
  <c r="AE36" i="1"/>
  <c r="AM36" i="1"/>
  <c r="AF36" i="1"/>
  <c r="AQ36" i="1"/>
  <c r="AE3" i="1"/>
  <c r="AQ3" i="1"/>
  <c r="AF3" i="1"/>
  <c r="AM3" i="1"/>
  <c r="AE475" i="1"/>
  <c r="AM475" i="1"/>
  <c r="AF475" i="1"/>
  <c r="AP475" i="1" s="1"/>
  <c r="AQ475" i="1"/>
  <c r="AF121" i="1"/>
  <c r="AE121" i="1"/>
  <c r="AM121" i="1"/>
  <c r="AQ121" i="1"/>
  <c r="AF225" i="1"/>
  <c r="AE225" i="1"/>
  <c r="AM225" i="1"/>
  <c r="AQ225" i="1"/>
  <c r="AE252" i="1"/>
  <c r="AM252" i="1"/>
  <c r="AF252" i="1"/>
  <c r="AQ252" i="1"/>
  <c r="AI225" i="1"/>
  <c r="AH225" i="1"/>
  <c r="AI313" i="1"/>
  <c r="AI475" i="1"/>
  <c r="AH304" i="1"/>
  <c r="AH461" i="1"/>
  <c r="AH172" i="1"/>
  <c r="AH476" i="1"/>
  <c r="AH121" i="1"/>
  <c r="AI304" i="1"/>
  <c r="AI121" i="1"/>
  <c r="AI172" i="1"/>
  <c r="AI510" i="1"/>
  <c r="AH313" i="1"/>
  <c r="AH475" i="1"/>
  <c r="AI252" i="1"/>
  <c r="AI461" i="1"/>
  <c r="AH510" i="1"/>
  <c r="AH252" i="1"/>
  <c r="AI476" i="1"/>
  <c r="AE304" i="1"/>
  <c r="AM304" i="1"/>
  <c r="AF304" i="1"/>
  <c r="AQ304" i="1"/>
  <c r="AE385" i="1"/>
  <c r="AM385" i="1"/>
  <c r="AF385" i="1"/>
  <c r="AP385" i="1" s="1"/>
  <c r="AQ385" i="1"/>
  <c r="AF415" i="1"/>
  <c r="AP415" i="1" s="1"/>
  <c r="AM415" i="1"/>
  <c r="AE415" i="1"/>
  <c r="AQ415" i="1"/>
  <c r="AQ58" i="1"/>
  <c r="AE58" i="1"/>
  <c r="AM58" i="1"/>
  <c r="AF58" i="1"/>
  <c r="AF461" i="1"/>
  <c r="AP461" i="1" s="1"/>
  <c r="AE461" i="1"/>
  <c r="AM461" i="1"/>
  <c r="AQ461" i="1"/>
  <c r="AQ154" i="1"/>
  <c r="AM154" i="1"/>
  <c r="AF154" i="1"/>
  <c r="AE154" i="1"/>
  <c r="AQ153" i="1"/>
  <c r="AE153" i="1"/>
  <c r="AM153" i="1"/>
  <c r="AF153" i="1"/>
  <c r="AE172" i="1"/>
  <c r="AM172" i="1"/>
  <c r="AF172" i="1"/>
  <c r="AQ172" i="1"/>
  <c r="AE510" i="1"/>
  <c r="AM510" i="1"/>
  <c r="AF510" i="1"/>
  <c r="AP510" i="1" s="1"/>
  <c r="AQ510" i="1"/>
  <c r="AM281" i="1"/>
  <c r="AQ281" i="1"/>
  <c r="AE281" i="1"/>
  <c r="AF281" i="1"/>
  <c r="AF476" i="1"/>
  <c r="AP476" i="1" s="1"/>
  <c r="AE476" i="1"/>
  <c r="AM476" i="1"/>
  <c r="AQ476" i="1"/>
  <c r="AH281" i="1"/>
  <c r="AI281" i="1"/>
  <c r="AH58" i="1"/>
  <c r="AI58" i="1"/>
  <c r="AH415" i="1"/>
  <c r="AI415" i="1"/>
  <c r="AI36" i="1"/>
  <c r="AH36" i="1"/>
  <c r="AH153" i="1"/>
  <c r="AI153" i="1"/>
  <c r="AH119" i="1"/>
  <c r="AI119" i="1"/>
  <c r="AH154" i="1"/>
  <c r="AI154" i="1"/>
  <c r="AH385" i="1"/>
  <c r="AI385" i="1"/>
  <c r="AI3" i="1"/>
  <c r="AH3" i="1"/>
  <c r="AE358" i="1"/>
  <c r="AM358" i="1"/>
  <c r="AF358" i="1"/>
  <c r="AP358" i="1" s="1"/>
  <c r="AQ358" i="1"/>
  <c r="AE2" i="1"/>
  <c r="AQ2" i="1"/>
  <c r="AM2" i="1"/>
  <c r="AF2" i="1"/>
  <c r="AI2" i="1"/>
  <c r="AH2" i="1"/>
  <c r="AH358" i="1"/>
  <c r="AI358" i="1"/>
  <c r="AF78" i="1"/>
  <c r="AE78" i="1"/>
  <c r="AM78" i="1"/>
  <c r="AQ78" i="1"/>
  <c r="AE400" i="1"/>
  <c r="AF400" i="1"/>
  <c r="AP400" i="1" s="1"/>
  <c r="AI400" i="1"/>
  <c r="AQ400" i="1"/>
  <c r="AM400" i="1"/>
  <c r="AF122" i="1"/>
  <c r="AE122" i="1"/>
  <c r="AQ122" i="1"/>
  <c r="AM122" i="1"/>
  <c r="AE80" i="1"/>
  <c r="AF80" i="1"/>
  <c r="AM80" i="1"/>
  <c r="AQ80" i="1"/>
  <c r="AE399" i="1"/>
  <c r="AF399" i="1"/>
  <c r="AP399" i="1" s="1"/>
  <c r="AQ399" i="1"/>
  <c r="AM399" i="1"/>
  <c r="AE79" i="1"/>
  <c r="AF79" i="1"/>
  <c r="AI79" i="1"/>
  <c r="AM79" i="1"/>
  <c r="AQ79" i="1"/>
  <c r="AE156" i="1"/>
  <c r="AF156" i="1"/>
  <c r="AM156" i="1"/>
  <c r="AQ156" i="1"/>
  <c r="AF484" i="1"/>
  <c r="AP484" i="1" s="1"/>
  <c r="AE484" i="1"/>
  <c r="AM484" i="1"/>
  <c r="AQ484" i="1"/>
  <c r="AM482" i="1"/>
  <c r="AQ482" i="1"/>
  <c r="AE482" i="1"/>
  <c r="AF482" i="1"/>
  <c r="AP482" i="1" s="1"/>
  <c r="AF483" i="1"/>
  <c r="AP483" i="1" s="1"/>
  <c r="AE483" i="1"/>
  <c r="AM483" i="1"/>
  <c r="AQ483" i="1"/>
  <c r="AH484" i="1"/>
  <c r="AI484" i="1"/>
  <c r="AI483" i="1"/>
  <c r="AH483" i="1"/>
  <c r="AH482" i="1"/>
  <c r="AI482" i="1"/>
  <c r="AE297" i="1"/>
  <c r="AQ297" i="1"/>
  <c r="AM297" i="1"/>
  <c r="AF297" i="1"/>
  <c r="AE296" i="1"/>
  <c r="AQ296" i="1"/>
  <c r="AF296" i="1"/>
  <c r="AM296" i="1"/>
  <c r="AE192" i="1"/>
  <c r="AQ192" i="1"/>
  <c r="AM192" i="1"/>
  <c r="AF192" i="1"/>
  <c r="AF91" i="1"/>
  <c r="AE91" i="1"/>
  <c r="AM91" i="1"/>
  <c r="AQ91" i="1"/>
  <c r="AI192" i="1"/>
  <c r="AH192" i="1"/>
  <c r="AI91" i="1"/>
  <c r="AH91" i="1"/>
  <c r="AI297" i="1"/>
  <c r="AH297" i="1"/>
  <c r="AH296" i="1"/>
  <c r="AM90" i="1"/>
  <c r="AE90" i="1"/>
  <c r="AF90" i="1"/>
  <c r="AQ90" i="1"/>
  <c r="AI296" i="1"/>
  <c r="AE89" i="1"/>
  <c r="AM89" i="1"/>
  <c r="AQ89" i="1"/>
  <c r="AF89" i="1"/>
  <c r="AH90" i="1"/>
  <c r="AI90" i="1"/>
  <c r="AI89" i="1"/>
  <c r="AH89" i="1"/>
  <c r="AF166" i="1"/>
  <c r="AQ166" i="1"/>
  <c r="AE166" i="1"/>
  <c r="AM166" i="1"/>
  <c r="AE167" i="1"/>
  <c r="AF167" i="1"/>
  <c r="AM167" i="1"/>
  <c r="AQ167" i="1"/>
  <c r="AI167" i="1"/>
  <c r="AH167" i="1"/>
  <c r="AF68" i="1"/>
  <c r="AE68" i="1"/>
  <c r="AM68" i="1"/>
  <c r="AQ68" i="1"/>
  <c r="AF440" i="1"/>
  <c r="AP440" i="1" s="1"/>
  <c r="AE440" i="1"/>
  <c r="AM440" i="1"/>
  <c r="AQ440" i="1"/>
  <c r="AI166" i="1"/>
  <c r="AH166" i="1"/>
  <c r="AI68" i="1"/>
  <c r="AH68" i="1"/>
  <c r="AH440" i="1"/>
  <c r="AE205" i="1"/>
  <c r="AF205" i="1"/>
  <c r="AM205" i="1"/>
  <c r="AQ205" i="1"/>
  <c r="AI440" i="1"/>
  <c r="AF41" i="1"/>
  <c r="AM41" i="1"/>
  <c r="AQ41" i="1"/>
  <c r="AE41" i="1"/>
  <c r="AE430" i="1"/>
  <c r="AM430" i="1"/>
  <c r="AF430" i="1"/>
  <c r="AP430" i="1" s="1"/>
  <c r="AQ430" i="1"/>
  <c r="AI41" i="1"/>
  <c r="AH41" i="1"/>
  <c r="AH430" i="1"/>
  <c r="AI430" i="1"/>
  <c r="AQ342" i="1"/>
  <c r="AF342" i="1"/>
  <c r="AM342" i="1"/>
  <c r="AM343" i="1"/>
  <c r="AE343" i="1"/>
  <c r="AF343" i="1"/>
  <c r="AQ343" i="1"/>
  <c r="AI343" i="1"/>
  <c r="AH343" i="1"/>
  <c r="AH342" i="1"/>
  <c r="AI342" i="1"/>
  <c r="AE332" i="1"/>
  <c r="AF332" i="1"/>
  <c r="AM332" i="1"/>
  <c r="AQ332" i="1"/>
  <c r="AM331" i="1"/>
  <c r="AE331" i="1"/>
  <c r="AF331" i="1"/>
  <c r="AQ331" i="1"/>
  <c r="AM330" i="1"/>
  <c r="AE330" i="1"/>
  <c r="AF330" i="1"/>
  <c r="AQ330" i="1"/>
  <c r="AH332" i="1"/>
  <c r="AI332" i="1"/>
  <c r="AI331" i="1"/>
  <c r="AH331" i="1"/>
  <c r="AH330" i="1"/>
  <c r="AI330" i="1"/>
  <c r="AI262" i="1"/>
  <c r="AI170" i="1"/>
  <c r="AI107" i="1"/>
  <c r="AI328" i="1"/>
  <c r="AI241" i="1"/>
  <c r="AI54" i="1"/>
  <c r="AI66" i="1"/>
  <c r="AI259" i="1"/>
  <c r="AI251" i="1"/>
  <c r="AI405" i="1"/>
  <c r="AI141" i="1"/>
  <c r="AI399" i="1"/>
  <c r="AI49" i="1"/>
  <c r="AI344" i="1"/>
  <c r="AI211" i="1"/>
  <c r="AI190" i="1"/>
  <c r="AI197" i="1"/>
  <c r="AI73" i="1"/>
  <c r="AI314" i="1"/>
  <c r="AI80" i="1"/>
  <c r="AI216" i="1"/>
  <c r="AI132" i="1"/>
  <c r="AI99" i="1"/>
  <c r="AI310" i="1"/>
  <c r="AI422" i="1"/>
  <c r="AI82" i="1"/>
  <c r="AI183" i="1"/>
  <c r="AI126" i="1"/>
  <c r="AI102" i="1"/>
  <c r="AI319" i="1"/>
  <c r="AI163" i="1"/>
  <c r="AI507" i="1"/>
  <c r="AI69" i="1"/>
  <c r="AI15" i="1"/>
  <c r="AI272" i="1"/>
  <c r="AI40" i="1"/>
  <c r="AI199" i="1"/>
  <c r="AI334" i="1"/>
  <c r="AI509" i="1"/>
  <c r="AI159" i="1"/>
  <c r="AI460" i="1"/>
  <c r="AI419" i="1"/>
  <c r="AI423" i="1"/>
  <c r="AI39" i="1"/>
  <c r="AI212" i="1"/>
  <c r="AI322" i="1"/>
  <c r="AI294" i="1"/>
  <c r="AI26" i="1"/>
  <c r="AI138" i="1"/>
  <c r="AI480" i="1"/>
  <c r="AI84" i="1"/>
  <c r="AI329" i="1"/>
  <c r="AI50" i="1"/>
  <c r="AI139" i="1"/>
  <c r="AI136" i="1"/>
  <c r="AI283" i="1"/>
  <c r="AI245" i="1"/>
  <c r="AI267" i="1"/>
  <c r="AI62" i="1"/>
  <c r="AI451" i="1"/>
  <c r="AI244" i="1"/>
  <c r="AI219" i="1"/>
  <c r="AI12" i="1"/>
  <c r="AI23" i="1"/>
  <c r="AI477" i="1"/>
  <c r="AI100" i="1"/>
  <c r="AI350" i="1"/>
  <c r="AI34" i="1"/>
  <c r="AI124" i="1"/>
  <c r="AI59" i="1"/>
  <c r="AI169" i="1"/>
  <c r="AI112" i="1"/>
  <c r="AI315" i="1"/>
  <c r="AI161" i="1"/>
  <c r="AI316" i="1"/>
  <c r="AI393" i="1"/>
  <c r="AI32" i="1"/>
  <c r="AI463" i="1"/>
  <c r="AI502" i="1"/>
  <c r="AI499" i="1"/>
  <c r="AI389" i="1"/>
  <c r="AI257" i="1"/>
  <c r="AI261" i="1"/>
  <c r="AI226" i="1"/>
  <c r="AI292" i="1"/>
  <c r="AI240" i="1"/>
  <c r="AI234" i="1"/>
  <c r="AI14" i="1"/>
  <c r="AI258" i="1"/>
  <c r="AI133" i="1"/>
  <c r="AI204" i="1"/>
  <c r="AI401" i="1"/>
  <c r="AI122" i="1"/>
  <c r="AI48" i="1"/>
  <c r="AI337" i="1"/>
  <c r="AI209" i="1"/>
  <c r="AI97" i="1"/>
  <c r="AI195" i="1"/>
  <c r="AI276" i="1"/>
  <c r="AI232" i="1"/>
  <c r="AI78" i="1"/>
  <c r="AI269" i="1"/>
  <c r="AI184" i="1"/>
  <c r="AI198" i="1"/>
  <c r="AI488" i="1"/>
  <c r="AI290" i="1"/>
  <c r="AI504" i="1"/>
  <c r="AI179" i="1"/>
  <c r="AI33" i="1"/>
  <c r="AI490" i="1"/>
  <c r="AI60" i="1"/>
  <c r="AI273" i="1"/>
  <c r="AI359" i="1"/>
  <c r="AI27" i="1"/>
  <c r="AI76" i="1"/>
  <c r="AI254" i="1"/>
  <c r="AI137" i="1"/>
  <c r="AI215" i="1"/>
  <c r="AI11" i="1"/>
  <c r="AI362" i="1"/>
  <c r="AI335" i="1"/>
  <c r="AI420" i="1"/>
  <c r="AI288" i="1"/>
  <c r="AI174" i="1"/>
  <c r="AI382" i="1"/>
  <c r="AI286" i="1"/>
  <c r="AI365" i="1"/>
  <c r="AI19" i="1"/>
  <c r="AI127" i="1"/>
  <c r="AI515" i="1"/>
  <c r="AI493" i="1"/>
  <c r="AI301" i="1"/>
  <c r="AI452" i="1"/>
  <c r="AI383" i="1"/>
  <c r="AI375" i="1"/>
  <c r="AI277" i="1"/>
  <c r="AI224" i="1"/>
  <c r="AI347" i="1"/>
  <c r="AI235" i="1"/>
  <c r="AI361" i="1"/>
  <c r="AI72" i="1"/>
  <c r="AI63" i="1"/>
  <c r="AI333" i="1"/>
  <c r="AI454" i="1"/>
  <c r="AI397" i="1"/>
  <c r="AI398" i="1"/>
  <c r="AI418" i="1"/>
  <c r="AI345" i="1"/>
  <c r="AI514" i="1"/>
  <c r="AI340" i="1"/>
  <c r="AI489" i="1"/>
  <c r="AI363" i="1"/>
  <c r="AI175" i="1"/>
  <c r="AI404" i="1"/>
  <c r="AI31" i="1"/>
  <c r="AI284" i="1"/>
  <c r="AI221" i="1"/>
  <c r="AI459" i="1"/>
  <c r="AI356" i="1"/>
  <c r="AI474" i="1"/>
  <c r="AI293" i="1"/>
  <c r="AI125" i="1"/>
  <c r="AI171" i="1"/>
  <c r="AI111" i="1"/>
  <c r="AI247" i="1"/>
  <c r="AI194" i="1"/>
  <c r="AI101" i="1"/>
  <c r="AI282" i="1"/>
  <c r="AI324" i="1"/>
  <c r="AI13" i="1"/>
  <c r="AI213" i="1"/>
  <c r="AI145" i="1"/>
  <c r="AI278" i="1"/>
  <c r="AI188" i="1"/>
  <c r="AI208" i="1"/>
  <c r="AI47" i="1"/>
  <c r="AI336" i="1"/>
  <c r="AI158" i="1"/>
  <c r="AI108" i="1"/>
  <c r="AI312" i="1"/>
  <c r="AI274" i="1"/>
  <c r="AI94" i="1"/>
  <c r="AI321" i="1"/>
  <c r="AI43" i="1"/>
  <c r="AI368" i="1"/>
  <c r="AI279" i="1"/>
  <c r="AI320" i="1"/>
  <c r="AI506" i="1"/>
  <c r="AI323" i="1"/>
  <c r="AI387" i="1"/>
  <c r="AI306" i="1"/>
  <c r="AI155" i="1"/>
  <c r="AI228" i="1"/>
  <c r="AI193" i="1"/>
  <c r="AI446" i="1"/>
  <c r="AI117" i="1"/>
  <c r="AI295" i="1"/>
  <c r="AI71" i="1"/>
  <c r="AI381" i="1"/>
  <c r="AI326" i="1"/>
  <c r="AI453" i="1"/>
  <c r="AI327" i="1"/>
  <c r="AI448" i="1"/>
  <c r="AI455" i="1"/>
  <c r="AI479" i="1"/>
  <c r="AI466" i="1"/>
  <c r="AI256" i="1"/>
  <c r="AI364" i="1"/>
  <c r="AI394" i="1"/>
  <c r="AI406" i="1"/>
  <c r="AI103" i="1"/>
  <c r="AI434" i="1"/>
  <c r="AI351" i="1"/>
  <c r="AI456" i="1"/>
  <c r="AI18" i="1"/>
  <c r="AI410" i="1"/>
  <c r="AI53" i="1"/>
  <c r="AI185" i="1"/>
  <c r="AI508" i="1"/>
  <c r="AI408" i="1"/>
  <c r="AI156" i="1"/>
  <c r="AI16" i="1"/>
  <c r="AI191" i="1"/>
  <c r="AI433" i="1"/>
  <c r="AI425" i="1"/>
  <c r="AI280" i="1"/>
  <c r="AI6" i="1"/>
  <c r="AI38" i="1"/>
  <c r="AI164" i="1"/>
  <c r="AI390" i="1"/>
  <c r="AI7" i="1"/>
  <c r="AI120" i="1"/>
  <c r="AI291" i="1"/>
  <c r="AI308" i="1"/>
  <c r="AI411" i="1"/>
  <c r="AI230" i="1"/>
  <c r="AI458" i="1"/>
  <c r="AI449" i="1"/>
  <c r="AI495" i="1"/>
  <c r="AI302" i="1"/>
  <c r="AI113" i="1"/>
  <c r="AI513" i="1"/>
  <c r="AI478" i="1"/>
  <c r="AI70" i="1"/>
  <c r="AI229" i="1"/>
  <c r="AI9" i="1"/>
  <c r="AI61" i="1"/>
  <c r="AI128" i="1"/>
  <c r="AI205" i="1"/>
  <c r="AI105" i="1"/>
  <c r="AI67" i="1"/>
  <c r="AI148" i="1"/>
  <c r="AI144" i="1"/>
  <c r="AI142" i="1"/>
  <c r="AI187" i="1"/>
  <c r="AI65" i="1"/>
  <c r="AI186" i="1"/>
  <c r="AI242" i="1"/>
  <c r="AI150" i="1"/>
  <c r="AI5" i="1"/>
  <c r="AI311" i="1"/>
  <c r="AI46" i="1"/>
  <c r="AI93" i="1"/>
  <c r="AI271" i="1"/>
  <c r="AI118" i="1"/>
  <c r="AI160" i="1"/>
  <c r="AI75" i="1"/>
  <c r="AI298" i="1"/>
  <c r="AI35" i="1"/>
  <c r="AI437" i="1"/>
  <c r="AI503" i="1"/>
  <c r="AI305" i="1"/>
  <c r="AI37" i="1"/>
  <c r="AI366" i="1"/>
  <c r="AI367" i="1"/>
  <c r="AI289" i="1"/>
  <c r="AI318" i="1"/>
  <c r="AI4" i="1"/>
  <c r="AI180" i="1"/>
  <c r="AI435" i="1"/>
  <c r="AI250" i="1"/>
  <c r="AI176" i="1"/>
  <c r="AI109" i="1"/>
  <c r="AI17" i="1"/>
  <c r="AI445" i="1"/>
  <c r="AI189" i="1"/>
  <c r="AI24" i="1"/>
  <c r="AI227" i="1"/>
  <c r="AI346" i="1"/>
  <c r="AI424" i="1"/>
  <c r="AI214" i="1"/>
  <c r="AI168" i="1"/>
  <c r="AI56" i="1"/>
  <c r="AI467" i="1"/>
  <c r="AI388" i="1"/>
  <c r="AI231" i="1"/>
  <c r="AI325" i="1"/>
  <c r="AI206" i="1"/>
  <c r="AI377" i="1"/>
  <c r="AI303" i="1"/>
  <c r="AI236" i="1"/>
  <c r="AI253" i="1"/>
  <c r="AI357" i="1"/>
  <c r="AI143" i="1"/>
  <c r="AI450" i="1"/>
  <c r="AI287" i="1"/>
  <c r="AI268" i="1"/>
  <c r="AI51" i="1"/>
  <c r="AI146" i="1"/>
  <c r="AI501" i="1"/>
  <c r="AI95" i="1"/>
  <c r="AI220" i="1"/>
  <c r="AI207" i="1"/>
  <c r="AI436" i="1"/>
  <c r="AI447" i="1"/>
  <c r="AI348" i="1"/>
  <c r="AI468" i="1"/>
  <c r="AI469" i="1"/>
  <c r="AI22" i="1"/>
  <c r="AI25" i="1"/>
  <c r="AI374" i="1"/>
  <c r="AI233" i="1"/>
  <c r="AI104" i="1"/>
  <c r="AI249" i="1"/>
  <c r="AG111" i="1"/>
  <c r="AF248" i="1"/>
  <c r="AG9" i="1"/>
  <c r="AF286" i="1"/>
  <c r="AE286" i="1"/>
  <c r="AM286" i="1"/>
  <c r="AQ286" i="1"/>
  <c r="AF287" i="1"/>
  <c r="AM287" i="1"/>
  <c r="AQ287" i="1"/>
  <c r="AE287" i="1"/>
  <c r="AH287" i="1"/>
  <c r="AH286" i="1"/>
  <c r="AE333" i="1"/>
  <c r="AM333" i="1"/>
  <c r="AQ333" i="1"/>
  <c r="AF333" i="1"/>
  <c r="AM214" i="1"/>
  <c r="AQ214" i="1"/>
  <c r="AF214" i="1"/>
  <c r="AE214" i="1"/>
  <c r="AH214" i="1"/>
  <c r="AH333" i="1"/>
  <c r="AE268" i="1"/>
  <c r="AF268" i="1"/>
  <c r="AM268" i="1"/>
  <c r="AQ268" i="1"/>
  <c r="AF33" i="1"/>
  <c r="AE33" i="1"/>
  <c r="AM33" i="1"/>
  <c r="AQ33" i="1"/>
  <c r="AE267" i="1"/>
  <c r="AM267" i="1"/>
  <c r="AF267" i="1"/>
  <c r="AQ267" i="1"/>
  <c r="AE513" i="1"/>
  <c r="AF513" i="1"/>
  <c r="AP513" i="1" s="1"/>
  <c r="AQ513" i="1"/>
  <c r="AM513" i="1"/>
  <c r="AH513" i="1"/>
  <c r="AH33" i="1"/>
  <c r="AH268" i="1"/>
  <c r="AH267" i="1"/>
  <c r="AF104" i="1"/>
  <c r="AE104" i="1"/>
  <c r="AM104" i="1"/>
  <c r="AQ104" i="1"/>
  <c r="AE103" i="1"/>
  <c r="AF103" i="1"/>
  <c r="AQ103" i="1"/>
  <c r="AM103" i="1"/>
  <c r="AH103" i="1"/>
  <c r="AH104" i="1"/>
  <c r="AM498" i="1"/>
  <c r="AQ498" i="1"/>
  <c r="AE498" i="1"/>
  <c r="AF498" i="1"/>
  <c r="AP498" i="1" s="1"/>
  <c r="AF496" i="1"/>
  <c r="AP496" i="1" s="1"/>
  <c r="AE496" i="1"/>
  <c r="AQ496" i="1"/>
  <c r="AM496" i="1"/>
  <c r="AF495" i="1"/>
  <c r="AP495" i="1" s="1"/>
  <c r="AM495" i="1"/>
  <c r="AE495" i="1"/>
  <c r="AQ495" i="1"/>
  <c r="AF497" i="1"/>
  <c r="AP497" i="1" s="1"/>
  <c r="AM497" i="1"/>
  <c r="AE497" i="1"/>
  <c r="AQ497" i="1"/>
  <c r="AH498" i="1"/>
  <c r="AH497" i="1"/>
  <c r="AH496" i="1"/>
  <c r="AE477" i="1"/>
  <c r="AF477" i="1"/>
  <c r="AP477" i="1" s="1"/>
  <c r="AM477" i="1"/>
  <c r="AQ477" i="1"/>
  <c r="AH495" i="1"/>
  <c r="AE514" i="1"/>
  <c r="AM514" i="1"/>
  <c r="AF514" i="1"/>
  <c r="AP514" i="1" s="1"/>
  <c r="AQ514" i="1"/>
  <c r="AH477" i="1"/>
  <c r="AH514" i="1"/>
  <c r="AE316" i="1"/>
  <c r="AM316" i="1"/>
  <c r="AQ316" i="1"/>
  <c r="AF316" i="1"/>
  <c r="AM387" i="1"/>
  <c r="AQ387" i="1"/>
  <c r="AE387" i="1"/>
  <c r="AF387" i="1"/>
  <c r="AP387" i="1" s="1"/>
  <c r="AM388" i="1"/>
  <c r="AF388" i="1"/>
  <c r="AP388" i="1" s="1"/>
  <c r="AQ388" i="1"/>
  <c r="AE388" i="1"/>
  <c r="AE317" i="1"/>
  <c r="AF317" i="1"/>
  <c r="AQ317" i="1"/>
  <c r="AM317" i="1"/>
  <c r="AH317" i="1"/>
  <c r="AH316" i="1"/>
  <c r="AH387" i="1"/>
  <c r="AH388" i="1"/>
  <c r="AE220" i="1"/>
  <c r="AM220" i="1"/>
  <c r="AQ220" i="1"/>
  <c r="AF220" i="1"/>
  <c r="AE397" i="1"/>
  <c r="AM397" i="1"/>
  <c r="AF397" i="1"/>
  <c r="AP397" i="1" s="1"/>
  <c r="AQ397" i="1"/>
  <c r="AE219" i="1"/>
  <c r="AM219" i="1"/>
  <c r="AF219" i="1"/>
  <c r="AQ219" i="1"/>
  <c r="AF398" i="1"/>
  <c r="AP398" i="1" s="1"/>
  <c r="AE398" i="1"/>
  <c r="AM398" i="1"/>
  <c r="AQ398" i="1"/>
  <c r="AH398" i="1"/>
  <c r="AH397" i="1"/>
  <c r="AH219" i="1"/>
  <c r="AH220" i="1"/>
  <c r="AF127" i="1"/>
  <c r="AE127" i="1"/>
  <c r="AQ127" i="1"/>
  <c r="AM127" i="1"/>
  <c r="AE125" i="1"/>
  <c r="AM125" i="1"/>
  <c r="AF125" i="1"/>
  <c r="AQ125" i="1"/>
  <c r="AM126" i="1"/>
  <c r="AF126" i="1"/>
  <c r="AQ126" i="1"/>
  <c r="AE126" i="1"/>
  <c r="AH127" i="1"/>
  <c r="AH126" i="1"/>
  <c r="AH125" i="1"/>
  <c r="AM390" i="1"/>
  <c r="AF390" i="1"/>
  <c r="AP390" i="1" s="1"/>
  <c r="AQ390" i="1"/>
  <c r="AE390" i="1"/>
  <c r="AE389" i="1"/>
  <c r="AQ389" i="1"/>
  <c r="AM389" i="1"/>
  <c r="AF389" i="1"/>
  <c r="AP389" i="1" s="1"/>
  <c r="AH390" i="1"/>
  <c r="AH389" i="1"/>
  <c r="AM456" i="1"/>
  <c r="AE456" i="1"/>
  <c r="AQ456" i="1"/>
  <c r="AF456" i="1"/>
  <c r="AP456" i="1" s="1"/>
  <c r="AM503" i="1"/>
  <c r="AF503" i="1"/>
  <c r="AP503" i="1" s="1"/>
  <c r="AQ503" i="1"/>
  <c r="AE503" i="1"/>
  <c r="AE406" i="1"/>
  <c r="AQ406" i="1"/>
  <c r="AM406" i="1"/>
  <c r="AF406" i="1"/>
  <c r="AP406" i="1" s="1"/>
  <c r="AE457" i="1"/>
  <c r="AM457" i="1"/>
  <c r="AF457" i="1"/>
  <c r="AP457" i="1" s="1"/>
  <c r="AQ457" i="1"/>
  <c r="AE502" i="1"/>
  <c r="AF502" i="1"/>
  <c r="AP502" i="1" s="1"/>
  <c r="AM502" i="1"/>
  <c r="AQ502" i="1"/>
  <c r="AF421" i="1"/>
  <c r="AP421" i="1" s="1"/>
  <c r="AE421" i="1"/>
  <c r="AQ421" i="1"/>
  <c r="AM421" i="1"/>
  <c r="AE420" i="1"/>
  <c r="AF420" i="1"/>
  <c r="AP420" i="1" s="1"/>
  <c r="AM420" i="1"/>
  <c r="AQ420" i="1"/>
  <c r="AE407" i="1"/>
  <c r="AM407" i="1"/>
  <c r="AF407" i="1"/>
  <c r="AP407" i="1" s="1"/>
  <c r="AQ407" i="1"/>
  <c r="AH421" i="1"/>
  <c r="AH420" i="1"/>
  <c r="AH457" i="1"/>
  <c r="AH456" i="1"/>
  <c r="AH407" i="1"/>
  <c r="AH406" i="1"/>
  <c r="AH503" i="1"/>
  <c r="AH502" i="1"/>
  <c r="AM26" i="1"/>
  <c r="AE26" i="1"/>
  <c r="AQ26" i="1"/>
  <c r="AF26" i="1"/>
  <c r="AM293" i="1"/>
  <c r="AE293" i="1"/>
  <c r="AQ293" i="1"/>
  <c r="AF293" i="1"/>
  <c r="AM294" i="1"/>
  <c r="AE294" i="1"/>
  <c r="AQ294" i="1"/>
  <c r="AF294" i="1"/>
  <c r="AH294" i="1"/>
  <c r="AH293" i="1"/>
  <c r="AE17" i="1"/>
  <c r="AM17" i="1"/>
  <c r="AF17" i="1"/>
  <c r="AQ17" i="1"/>
  <c r="AE23" i="1"/>
  <c r="AF23" i="1"/>
  <c r="AQ23" i="1"/>
  <c r="AM23" i="1"/>
  <c r="AF18" i="1"/>
  <c r="AE18" i="1"/>
  <c r="AQ18" i="1"/>
  <c r="AM18" i="1"/>
  <c r="AM19" i="1"/>
  <c r="AF19" i="1"/>
  <c r="AE19" i="1"/>
  <c r="AQ19" i="1"/>
  <c r="AF31" i="1"/>
  <c r="AE31" i="1"/>
  <c r="AQ31" i="1"/>
  <c r="AM31" i="1"/>
  <c r="AE24" i="1"/>
  <c r="AM24" i="1"/>
  <c r="AQ24" i="1"/>
  <c r="AF24" i="1"/>
  <c r="AE124" i="1"/>
  <c r="AM124" i="1"/>
  <c r="AQ124" i="1"/>
  <c r="AF124" i="1"/>
  <c r="AE22" i="1"/>
  <c r="AQ22" i="1"/>
  <c r="AM22" i="1"/>
  <c r="AF22" i="1"/>
  <c r="AE424" i="1"/>
  <c r="AF424" i="1"/>
  <c r="AP424" i="1" s="1"/>
  <c r="AM424" i="1"/>
  <c r="AQ424" i="1"/>
  <c r="AH26" i="1"/>
  <c r="AH424" i="1"/>
  <c r="AH24" i="1"/>
  <c r="AH23" i="1"/>
  <c r="AH22" i="1"/>
  <c r="AH124" i="1"/>
  <c r="AH31" i="1"/>
  <c r="AH19" i="1"/>
  <c r="AQ257" i="1"/>
  <c r="AM257" i="1"/>
  <c r="AH17" i="1"/>
  <c r="AH18" i="1"/>
  <c r="AE221" i="1"/>
  <c r="AQ221" i="1"/>
  <c r="AM221" i="1"/>
  <c r="AF221" i="1"/>
  <c r="AH221" i="1"/>
  <c r="AE257" i="1"/>
  <c r="AE478" i="1"/>
  <c r="AF478" i="1"/>
  <c r="AP478" i="1" s="1"/>
  <c r="AQ478" i="1"/>
  <c r="AM478" i="1"/>
  <c r="AH257" i="1"/>
  <c r="AH478" i="1"/>
  <c r="AE352" i="1"/>
  <c r="AQ352" i="1"/>
  <c r="AF352" i="1"/>
  <c r="AP352" i="1" s="1"/>
  <c r="AM352" i="1"/>
  <c r="AF351" i="1"/>
  <c r="AP351" i="1" s="1"/>
  <c r="AM351" i="1"/>
  <c r="AE351" i="1"/>
  <c r="AQ351" i="1"/>
  <c r="AF353" i="1"/>
  <c r="AP353" i="1" s="1"/>
  <c r="AQ353" i="1"/>
  <c r="AM353" i="1"/>
  <c r="AE353" i="1"/>
  <c r="AH352" i="1"/>
  <c r="AH351" i="1"/>
  <c r="AF16" i="1"/>
  <c r="AE16" i="1"/>
  <c r="AM16" i="1"/>
  <c r="AQ16" i="1"/>
  <c r="AH353" i="1"/>
  <c r="AH16" i="1"/>
  <c r="AE143" i="1"/>
  <c r="AM143" i="1"/>
  <c r="AQ143" i="1"/>
  <c r="AF143" i="1"/>
  <c r="AE249" i="1"/>
  <c r="AF249" i="1"/>
  <c r="AQ249" i="1"/>
  <c r="AM249" i="1"/>
  <c r="AH249" i="1"/>
  <c r="AQ365" i="1"/>
  <c r="AE365" i="1"/>
  <c r="AF509" i="1"/>
  <c r="AP509" i="1" s="1"/>
  <c r="AM509" i="1"/>
  <c r="AQ509" i="1"/>
  <c r="AE509" i="1"/>
  <c r="AH143" i="1"/>
  <c r="AF365" i="1"/>
  <c r="AP365" i="1" s="1"/>
  <c r="AH509" i="1"/>
  <c r="AH365" i="1"/>
  <c r="AE344" i="1"/>
  <c r="AF344" i="1"/>
  <c r="AM344" i="1"/>
  <c r="AQ344" i="1"/>
  <c r="AE250" i="1"/>
  <c r="AF250" i="1"/>
  <c r="AM250" i="1"/>
  <c r="AQ250" i="1"/>
  <c r="AE279" i="1"/>
  <c r="AQ279" i="1"/>
  <c r="AF279" i="1"/>
  <c r="AM279" i="1"/>
  <c r="AM320" i="1"/>
  <c r="AQ320" i="1"/>
  <c r="AE320" i="1"/>
  <c r="AF320" i="1"/>
  <c r="AM280" i="1"/>
  <c r="AF280" i="1"/>
  <c r="AE280" i="1"/>
  <c r="AQ280" i="1"/>
  <c r="AF95" i="1"/>
  <c r="AE95" i="1"/>
  <c r="AM95" i="1"/>
  <c r="AQ95" i="1"/>
  <c r="AH95" i="1"/>
  <c r="AH280" i="1"/>
  <c r="AH279" i="1"/>
  <c r="AF425" i="1"/>
  <c r="AP425" i="1" s="1"/>
  <c r="AM425" i="1"/>
  <c r="AE425" i="1"/>
  <c r="AQ425" i="1"/>
  <c r="AE426" i="1"/>
  <c r="AM426" i="1"/>
  <c r="AQ426" i="1"/>
  <c r="AF426" i="1"/>
  <c r="AP426" i="1" s="1"/>
  <c r="AM427" i="1"/>
  <c r="AF427" i="1"/>
  <c r="AP427" i="1" s="1"/>
  <c r="AE427" i="1"/>
  <c r="AQ427" i="1"/>
  <c r="AH427" i="1"/>
  <c r="AH425" i="1"/>
  <c r="AH426" i="1"/>
  <c r="AF108" i="1"/>
  <c r="AE108" i="1"/>
  <c r="AM108" i="1"/>
  <c r="AQ108" i="1"/>
  <c r="AE97" i="1"/>
  <c r="AF97" i="1"/>
  <c r="AM97" i="1"/>
  <c r="AQ97" i="1"/>
  <c r="AM451" i="1"/>
  <c r="AE451" i="1"/>
  <c r="AQ451" i="1"/>
  <c r="AF451" i="1"/>
  <c r="AP451" i="1" s="1"/>
  <c r="AF356" i="1"/>
  <c r="AP356" i="1" s="1"/>
  <c r="AE356" i="1"/>
  <c r="AM356" i="1"/>
  <c r="AQ356" i="1"/>
  <c r="AH356" i="1"/>
  <c r="AM282" i="1"/>
  <c r="AQ282" i="1"/>
  <c r="AF282" i="1"/>
  <c r="AE282" i="1"/>
  <c r="AF11" i="1"/>
  <c r="AM11" i="1"/>
  <c r="AE11" i="1"/>
  <c r="AQ11" i="1"/>
  <c r="AM12" i="1"/>
  <c r="AE12" i="1"/>
  <c r="AF12" i="1"/>
  <c r="AQ12" i="1"/>
  <c r="AH451" i="1"/>
  <c r="AH12" i="1"/>
  <c r="AM450" i="1"/>
  <c r="AE450" i="1"/>
  <c r="AF450" i="1"/>
  <c r="AP450" i="1" s="1"/>
  <c r="AQ450" i="1"/>
  <c r="AH450" i="1"/>
  <c r="AH11" i="1"/>
  <c r="AE185" i="1"/>
  <c r="AE381" i="1"/>
  <c r="AM381" i="1"/>
  <c r="AF381" i="1"/>
  <c r="AP381" i="1" s="1"/>
  <c r="AQ381" i="1"/>
  <c r="AM382" i="1"/>
  <c r="AF382" i="1"/>
  <c r="AP382" i="1" s="1"/>
  <c r="AE382" i="1"/>
  <c r="AQ382" i="1"/>
  <c r="AM185" i="1"/>
  <c r="AQ185" i="1"/>
  <c r="AH382" i="1"/>
  <c r="AH381" i="1"/>
  <c r="AQ136" i="1"/>
  <c r="AE136" i="1"/>
  <c r="AF136" i="1"/>
  <c r="AM136" i="1"/>
  <c r="AH185" i="1"/>
  <c r="AF113" i="1"/>
  <c r="AM113" i="1"/>
  <c r="AQ113" i="1"/>
  <c r="AE113" i="1"/>
  <c r="AM137" i="1"/>
  <c r="AQ137" i="1"/>
  <c r="AF137" i="1"/>
  <c r="AE137" i="1"/>
  <c r="AH113" i="1"/>
  <c r="AH137" i="1"/>
  <c r="AH136" i="1"/>
  <c r="AF366" i="1"/>
  <c r="AP366" i="1" s="1"/>
  <c r="AM366" i="1"/>
  <c r="AQ366" i="1"/>
  <c r="AE366" i="1"/>
  <c r="AE69" i="1"/>
  <c r="AF69" i="1"/>
  <c r="AM69" i="1"/>
  <c r="AQ69" i="1"/>
  <c r="AF40" i="1"/>
  <c r="AE40" i="1"/>
  <c r="AQ40" i="1"/>
  <c r="AM40" i="1"/>
  <c r="AF301" i="1"/>
  <c r="AE301" i="1"/>
  <c r="AQ301" i="1"/>
  <c r="AM301" i="1"/>
  <c r="AE70" i="1"/>
  <c r="AQ70" i="1"/>
  <c r="AM70" i="1"/>
  <c r="AF70" i="1"/>
  <c r="AF298" i="1"/>
  <c r="AQ298" i="1"/>
  <c r="AM298" i="1"/>
  <c r="AE298" i="1"/>
  <c r="AE308" i="1"/>
  <c r="AF308" i="1"/>
  <c r="AQ308" i="1"/>
  <c r="AM308" i="1"/>
  <c r="AM39" i="1"/>
  <c r="AE39" i="1"/>
  <c r="AQ39" i="1"/>
  <c r="AF39" i="1"/>
  <c r="AM253" i="1"/>
  <c r="AE253" i="1"/>
  <c r="AF253" i="1"/>
  <c r="AQ253" i="1"/>
  <c r="AH253" i="1"/>
  <c r="AH70" i="1"/>
  <c r="AH69" i="1"/>
  <c r="AH308" i="1"/>
  <c r="AH298" i="1"/>
  <c r="AH301" i="1"/>
  <c r="AH366" i="1"/>
  <c r="AH40" i="1"/>
  <c r="AH39" i="1"/>
  <c r="AE7" i="1"/>
  <c r="AM7" i="1"/>
  <c r="AQ7" i="1"/>
  <c r="AF7" i="1"/>
  <c r="AH7" i="1"/>
  <c r="AE361" i="1"/>
  <c r="AM361" i="1"/>
  <c r="AF361" i="1"/>
  <c r="AP361" i="1" s="1"/>
  <c r="AQ361" i="1"/>
  <c r="AE362" i="1"/>
  <c r="AM362" i="1"/>
  <c r="AF362" i="1"/>
  <c r="AP362" i="1" s="1"/>
  <c r="AQ362" i="1"/>
  <c r="AH362" i="1"/>
  <c r="AH361" i="1"/>
  <c r="AF6" i="1"/>
  <c r="AM6" i="1"/>
  <c r="AQ6" i="1"/>
  <c r="AE6" i="1"/>
  <c r="AH6" i="1"/>
  <c r="AE357" i="1"/>
  <c r="AF357" i="1"/>
  <c r="AP357" i="1" s="1"/>
  <c r="AM357" i="1"/>
  <c r="AQ357" i="1"/>
  <c r="AE155" i="1"/>
  <c r="AF155" i="1"/>
  <c r="AM155" i="1"/>
  <c r="AQ155" i="1"/>
  <c r="AH357" i="1"/>
  <c r="AH155" i="1"/>
  <c r="AM325" i="1"/>
  <c r="AQ325" i="1"/>
  <c r="AE325" i="1"/>
  <c r="AF325" i="1"/>
  <c r="AH325" i="1"/>
  <c r="AF283" i="1"/>
  <c r="AQ283" i="1"/>
  <c r="AM283" i="1"/>
  <c r="AE283" i="1"/>
  <c r="AF38" i="1"/>
  <c r="AQ38" i="1"/>
  <c r="AM38" i="1"/>
  <c r="AE38" i="1"/>
  <c r="AH38" i="1"/>
  <c r="AH283" i="1"/>
  <c r="AM291" i="1"/>
  <c r="AF291" i="1"/>
  <c r="AE291" i="1"/>
  <c r="AQ291" i="1"/>
  <c r="AH291" i="1"/>
  <c r="AE224" i="1"/>
  <c r="AM224" i="1"/>
  <c r="AF224" i="1"/>
  <c r="AQ224" i="1"/>
  <c r="AQ227" i="1"/>
  <c r="AF227" i="1"/>
  <c r="AM227" i="1"/>
  <c r="AE227" i="1"/>
  <c r="AH224" i="1"/>
  <c r="AH227" i="1"/>
  <c r="AE226" i="1"/>
  <c r="AF226" i="1"/>
  <c r="AQ226" i="1"/>
  <c r="AM226" i="1"/>
  <c r="AE419" i="1"/>
  <c r="AM419" i="1"/>
  <c r="AF419" i="1"/>
  <c r="AP419" i="1" s="1"/>
  <c r="AQ419" i="1"/>
  <c r="AE234" i="1"/>
  <c r="AF234" i="1"/>
  <c r="AQ234" i="1"/>
  <c r="AM234" i="1"/>
  <c r="AE46" i="1"/>
  <c r="AF46" i="1"/>
  <c r="AQ46" i="1"/>
  <c r="AM46" i="1"/>
  <c r="AH419" i="1"/>
  <c r="AE383" i="1"/>
  <c r="AM383" i="1"/>
  <c r="AF383" i="1"/>
  <c r="AP383" i="1" s="1"/>
  <c r="AQ383" i="1"/>
  <c r="AE350" i="1"/>
  <c r="AF350" i="1"/>
  <c r="AP350" i="1" s="1"/>
  <c r="AQ350" i="1"/>
  <c r="AM350" i="1"/>
  <c r="AM384" i="1"/>
  <c r="AQ384" i="1"/>
  <c r="AF384" i="1"/>
  <c r="AP384" i="1" s="1"/>
  <c r="AE384" i="1"/>
  <c r="AQ111" i="1"/>
  <c r="AF111" i="1"/>
  <c r="AH384" i="1"/>
  <c r="AM248" i="1"/>
  <c r="AH383" i="1"/>
  <c r="AE248" i="1"/>
  <c r="AF9" i="1"/>
  <c r="AQ248" i="1"/>
  <c r="AE43" i="1"/>
  <c r="AM43" i="1"/>
  <c r="AH350" i="1"/>
  <c r="AQ43" i="1"/>
  <c r="AM111" i="1"/>
  <c r="AH493" i="1"/>
  <c r="AE194" i="1"/>
  <c r="AF194" i="1"/>
  <c r="AM194" i="1"/>
  <c r="AQ194" i="1"/>
  <c r="AE236" i="1"/>
  <c r="AF236" i="1"/>
  <c r="AM236" i="1"/>
  <c r="AQ236" i="1"/>
  <c r="AE235" i="1"/>
  <c r="AF235" i="1"/>
  <c r="AM235" i="1"/>
  <c r="AQ235" i="1"/>
  <c r="AE394" i="1"/>
  <c r="AF394" i="1"/>
  <c r="AP394" i="1" s="1"/>
  <c r="AM394" i="1"/>
  <c r="AQ394" i="1"/>
  <c r="AE393" i="1"/>
  <c r="AF393" i="1"/>
  <c r="AP393" i="1" s="1"/>
  <c r="AM393" i="1"/>
  <c r="AQ393" i="1"/>
  <c r="AH235" i="1"/>
  <c r="AH236" i="1"/>
  <c r="AH394" i="1"/>
  <c r="AH393" i="1"/>
  <c r="AE324" i="1"/>
  <c r="AF324" i="1"/>
  <c r="AM324" i="1"/>
  <c r="AQ324" i="1"/>
  <c r="AE322" i="1"/>
  <c r="AF322" i="1"/>
  <c r="AM322" i="1"/>
  <c r="AQ322" i="1"/>
  <c r="AE323" i="1"/>
  <c r="AF323" i="1"/>
  <c r="AM323" i="1"/>
  <c r="AQ323" i="1"/>
  <c r="AH322" i="1"/>
  <c r="AH323" i="1"/>
  <c r="AE367" i="1"/>
  <c r="AF367" i="1"/>
  <c r="AP367" i="1" s="1"/>
  <c r="AM367" i="1"/>
  <c r="AQ367" i="1"/>
  <c r="AE368" i="1"/>
  <c r="AF368" i="1"/>
  <c r="AP368" i="1" s="1"/>
  <c r="AM368" i="1"/>
  <c r="AQ368" i="1"/>
  <c r="AE102" i="1"/>
  <c r="AF102" i="1"/>
  <c r="AM102" i="1"/>
  <c r="AQ102" i="1"/>
  <c r="AH367" i="1"/>
  <c r="AH368" i="1"/>
  <c r="AE243" i="1"/>
  <c r="AF243" i="1"/>
  <c r="AM243" i="1"/>
  <c r="AQ243" i="1"/>
  <c r="AE242" i="1"/>
  <c r="AF242" i="1"/>
  <c r="AM242" i="1"/>
  <c r="AQ242" i="1"/>
  <c r="AE163" i="1"/>
  <c r="AF163" i="1"/>
  <c r="AM163" i="1"/>
  <c r="AQ163" i="1"/>
  <c r="AE164" i="1"/>
  <c r="AF164" i="1"/>
  <c r="AM164" i="1"/>
  <c r="AQ164" i="1"/>
  <c r="AE233" i="1"/>
  <c r="AF233" i="1"/>
  <c r="AM233" i="1"/>
  <c r="AQ233" i="1"/>
  <c r="AE27" i="1"/>
  <c r="AF27" i="1"/>
  <c r="AM27" i="1"/>
  <c r="AQ27" i="1"/>
  <c r="AH163" i="1"/>
  <c r="AH164" i="1"/>
  <c r="AE337" i="1"/>
  <c r="AF337" i="1"/>
  <c r="AM337" i="1"/>
  <c r="AQ337" i="1"/>
  <c r="AE336" i="1"/>
  <c r="AF336" i="1"/>
  <c r="AM336" i="1"/>
  <c r="AQ336" i="1"/>
  <c r="AE347" i="1"/>
  <c r="AF347" i="1"/>
  <c r="AM347" i="1"/>
  <c r="AQ347" i="1"/>
  <c r="AE348" i="1"/>
  <c r="AF348" i="1"/>
  <c r="AM348" i="1"/>
  <c r="AQ348" i="1"/>
  <c r="AH348" i="1"/>
  <c r="AH347" i="1"/>
  <c r="AE4" i="1"/>
  <c r="AF4" i="1"/>
  <c r="AM4" i="1"/>
  <c r="AQ4" i="1"/>
  <c r="AE65" i="1"/>
  <c r="AF65" i="1"/>
  <c r="AM65" i="1"/>
  <c r="AQ65" i="1"/>
  <c r="AE5" i="1"/>
  <c r="AF5" i="1"/>
  <c r="AM5" i="1"/>
  <c r="AQ5" i="1"/>
  <c r="AE232" i="1"/>
  <c r="AF232" i="1"/>
  <c r="AM232" i="1"/>
  <c r="AQ232" i="1"/>
  <c r="AE454" i="1"/>
  <c r="AF454" i="1"/>
  <c r="AP454" i="1" s="1"/>
  <c r="AM454" i="1"/>
  <c r="AQ454" i="1"/>
  <c r="AE455" i="1"/>
  <c r="AF455" i="1"/>
  <c r="AP455" i="1" s="1"/>
  <c r="AM455" i="1"/>
  <c r="AQ455" i="1"/>
  <c r="AE198" i="1"/>
  <c r="AF198" i="1"/>
  <c r="AM198" i="1"/>
  <c r="AQ198" i="1"/>
  <c r="AM199" i="1"/>
  <c r="AQ199" i="1"/>
  <c r="AE199" i="1"/>
  <c r="AF199" i="1"/>
  <c r="AH455" i="1"/>
  <c r="AH454" i="1"/>
  <c r="AH198" i="1"/>
  <c r="AE213" i="1"/>
  <c r="AF213" i="1"/>
  <c r="AM213" i="1"/>
  <c r="AQ213" i="1"/>
  <c r="AE212" i="1"/>
  <c r="AF212" i="1"/>
  <c r="AM212" i="1"/>
  <c r="AQ212" i="1"/>
  <c r="AH212" i="1"/>
  <c r="AE489" i="1"/>
  <c r="AF489" i="1"/>
  <c r="AP489" i="1" s="1"/>
  <c r="AM489" i="1"/>
  <c r="AQ489" i="1"/>
  <c r="AE488" i="1"/>
  <c r="AF488" i="1"/>
  <c r="AP488" i="1" s="1"/>
  <c r="AM488" i="1"/>
  <c r="AQ488" i="1"/>
  <c r="AH488" i="1"/>
  <c r="AE240" i="1"/>
  <c r="AF240" i="1"/>
  <c r="AM240" i="1"/>
  <c r="AQ240" i="1"/>
  <c r="AE435" i="1"/>
  <c r="AF435" i="1"/>
  <c r="AP435" i="1" s="1"/>
  <c r="AM435" i="1"/>
  <c r="AQ435" i="1"/>
  <c r="AH435" i="1"/>
  <c r="AE452" i="1"/>
  <c r="AF452" i="1"/>
  <c r="AP452" i="1" s="1"/>
  <c r="AM452" i="1"/>
  <c r="AQ452" i="1"/>
  <c r="AE453" i="1"/>
  <c r="AF453" i="1"/>
  <c r="AP453" i="1" s="1"/>
  <c r="AM453" i="1"/>
  <c r="AQ453" i="1"/>
  <c r="AE411" i="1"/>
  <c r="AF411" i="1"/>
  <c r="AP411" i="1" s="1"/>
  <c r="AM411" i="1"/>
  <c r="AQ411" i="1"/>
  <c r="AH411" i="1"/>
  <c r="AH453" i="1"/>
  <c r="AE241" i="1"/>
  <c r="AF241" i="1"/>
  <c r="AM241" i="1"/>
  <c r="AQ241" i="1"/>
  <c r="AM245" i="1"/>
  <c r="AQ245" i="1"/>
  <c r="AE245" i="1"/>
  <c r="AF245" i="1"/>
  <c r="AE244" i="1"/>
  <c r="AF244" i="1"/>
  <c r="AM244" i="1"/>
  <c r="AQ244" i="1"/>
  <c r="AE490" i="1"/>
  <c r="AF490" i="1"/>
  <c r="AP490" i="1" s="1"/>
  <c r="AM490" i="1"/>
  <c r="AQ490" i="1"/>
  <c r="AH452" i="1"/>
  <c r="AE288" i="1"/>
  <c r="AF288" i="1"/>
  <c r="AM288" i="1"/>
  <c r="AQ288" i="1"/>
  <c r="AE479" i="1"/>
  <c r="AF479" i="1"/>
  <c r="AP479" i="1" s="1"/>
  <c r="AM479" i="1"/>
  <c r="AQ479" i="1"/>
  <c r="AE480" i="1"/>
  <c r="AF480" i="1"/>
  <c r="AP480" i="1" s="1"/>
  <c r="AM480" i="1"/>
  <c r="AQ480" i="1"/>
  <c r="AE481" i="1"/>
  <c r="AF481" i="1"/>
  <c r="AP481" i="1" s="1"/>
  <c r="AM481" i="1"/>
  <c r="AQ481" i="1"/>
  <c r="AH481" i="1"/>
  <c r="AH480" i="1"/>
  <c r="AH479" i="1"/>
  <c r="AE449" i="1"/>
  <c r="AF449" i="1"/>
  <c r="AP449" i="1" s="1"/>
  <c r="AM449" i="1"/>
  <c r="AQ449" i="1"/>
  <c r="AH449" i="1"/>
  <c r="AE161" i="1"/>
  <c r="AF161" i="1"/>
  <c r="AM161" i="1"/>
  <c r="AQ161" i="1"/>
  <c r="AE162" i="1"/>
  <c r="AF162" i="1"/>
  <c r="AM162" i="1"/>
  <c r="AQ162" i="1"/>
  <c r="AH161" i="1"/>
  <c r="AE410" i="1"/>
  <c r="AF410" i="1"/>
  <c r="AP410" i="1" s="1"/>
  <c r="AM410" i="1"/>
  <c r="AQ410" i="1"/>
  <c r="AE458" i="1"/>
  <c r="AF458" i="1"/>
  <c r="AP458" i="1" s="1"/>
  <c r="AM458" i="1"/>
  <c r="AQ458" i="1"/>
  <c r="AE374" i="1"/>
  <c r="AF374" i="1"/>
  <c r="AP374" i="1" s="1"/>
  <c r="AM374" i="1"/>
  <c r="AQ374" i="1"/>
  <c r="AH374" i="1"/>
  <c r="AH410" i="1"/>
  <c r="AH458" i="1"/>
  <c r="AE418" i="1"/>
  <c r="AF418" i="1"/>
  <c r="AP418" i="1" s="1"/>
  <c r="AM418" i="1"/>
  <c r="AQ418" i="1"/>
  <c r="AE468" i="1"/>
  <c r="AF468" i="1"/>
  <c r="AP468" i="1" s="1"/>
  <c r="AM468" i="1"/>
  <c r="AQ468" i="1"/>
  <c r="AH468" i="1"/>
  <c r="AH418" i="1"/>
  <c r="AE187" i="1"/>
  <c r="AF187" i="1"/>
  <c r="AM187" i="1"/>
  <c r="AQ187" i="1"/>
  <c r="AE188" i="1"/>
  <c r="AF188" i="1"/>
  <c r="AM188" i="1"/>
  <c r="AQ188" i="1"/>
  <c r="AE499" i="1"/>
  <c r="AF499" i="1"/>
  <c r="AP499" i="1" s="1"/>
  <c r="AM499" i="1"/>
  <c r="AQ499" i="1"/>
  <c r="AE500" i="1"/>
  <c r="AF500" i="1"/>
  <c r="AP500" i="1" s="1"/>
  <c r="AM500" i="1"/>
  <c r="AQ500" i="1"/>
  <c r="AE329" i="1"/>
  <c r="AF329" i="1"/>
  <c r="AM329" i="1"/>
  <c r="AQ329" i="1"/>
  <c r="AE501" i="1"/>
  <c r="AF501" i="1"/>
  <c r="AP501" i="1" s="1"/>
  <c r="AM501" i="1"/>
  <c r="AQ501" i="1"/>
  <c r="AH501" i="1"/>
  <c r="AH500" i="1"/>
  <c r="AH499" i="1"/>
  <c r="AH329" i="1"/>
  <c r="AE179" i="1"/>
  <c r="AF179" i="1"/>
  <c r="AM179" i="1"/>
  <c r="AQ179" i="1"/>
  <c r="AE180" i="1"/>
  <c r="AF180" i="1"/>
  <c r="AM180" i="1"/>
  <c r="AQ180" i="1"/>
  <c r="AH179" i="1"/>
  <c r="AE446" i="1"/>
  <c r="AF446" i="1"/>
  <c r="AP446" i="1" s="1"/>
  <c r="AM446" i="1"/>
  <c r="AQ446" i="1"/>
  <c r="AE445" i="1"/>
  <c r="AF445" i="1"/>
  <c r="AP445" i="1" s="1"/>
  <c r="AM445" i="1"/>
  <c r="AQ445" i="1"/>
  <c r="AE408" i="1"/>
  <c r="AF408" i="1"/>
  <c r="AP408" i="1" s="1"/>
  <c r="AM408" i="1"/>
  <c r="AQ408" i="1"/>
  <c r="AE345" i="1"/>
  <c r="AF345" i="1"/>
  <c r="AM345" i="1"/>
  <c r="AQ345" i="1"/>
  <c r="AE409" i="1"/>
  <c r="AF409" i="1"/>
  <c r="AP409" i="1" s="1"/>
  <c r="AM409" i="1"/>
  <c r="AQ409" i="1"/>
  <c r="AE346" i="1"/>
  <c r="AF346" i="1"/>
  <c r="AM346" i="1"/>
  <c r="AQ346" i="1"/>
  <c r="AH346" i="1"/>
  <c r="AH345" i="1"/>
  <c r="AH446" i="1"/>
  <c r="AH445" i="1"/>
  <c r="AH409" i="1"/>
  <c r="AH408" i="1"/>
  <c r="AE508" i="1"/>
  <c r="AF508" i="1"/>
  <c r="AP508" i="1" s="1"/>
  <c r="AM508" i="1"/>
  <c r="AQ508" i="1"/>
  <c r="AE507" i="1"/>
  <c r="AF507" i="1"/>
  <c r="AP507" i="1" s="1"/>
  <c r="AM507" i="1"/>
  <c r="AQ507" i="1"/>
  <c r="AE506" i="1"/>
  <c r="AF506" i="1"/>
  <c r="AP506" i="1" s="1"/>
  <c r="AM506" i="1"/>
  <c r="AQ506" i="1"/>
  <c r="AE273" i="1"/>
  <c r="AF273" i="1"/>
  <c r="AM273" i="1"/>
  <c r="AQ273" i="1"/>
  <c r="AE272" i="1"/>
  <c r="AF272" i="1"/>
  <c r="AM272" i="1"/>
  <c r="AQ272" i="1"/>
  <c r="AE290" i="1"/>
  <c r="AF290" i="1"/>
  <c r="AM290" i="1"/>
  <c r="AQ290" i="1"/>
  <c r="AE289" i="1"/>
  <c r="AF289" i="1"/>
  <c r="AM289" i="1"/>
  <c r="AQ289" i="1"/>
  <c r="AH290" i="1"/>
  <c r="AH289" i="1"/>
  <c r="AH273" i="1"/>
  <c r="AH272" i="1"/>
  <c r="AH506" i="1"/>
  <c r="AH508" i="1"/>
  <c r="AH507" i="1"/>
  <c r="AE120" i="1"/>
  <c r="AF120" i="1"/>
  <c r="AM120" i="1"/>
  <c r="AQ120" i="1"/>
  <c r="AE258" i="1"/>
  <c r="AF258" i="1"/>
  <c r="AM258" i="1"/>
  <c r="AQ258" i="1"/>
  <c r="AM259" i="1"/>
  <c r="AQ259" i="1"/>
  <c r="AE259" i="1"/>
  <c r="AF259" i="1"/>
  <c r="AH120" i="1"/>
  <c r="AE460" i="1"/>
  <c r="AF460" i="1"/>
  <c r="AP460" i="1" s="1"/>
  <c r="AM460" i="1"/>
  <c r="AQ460" i="1"/>
  <c r="AH460" i="1"/>
  <c r="AE470" i="1"/>
  <c r="AF470" i="1"/>
  <c r="AP470" i="1" s="1"/>
  <c r="AM470" i="1"/>
  <c r="AQ470" i="1"/>
  <c r="AM206" i="1"/>
  <c r="AQ206" i="1"/>
  <c r="AE206" i="1"/>
  <c r="AF206" i="1"/>
  <c r="AE471" i="1"/>
  <c r="AF471" i="1"/>
  <c r="AP471" i="1" s="1"/>
  <c r="AM471" i="1"/>
  <c r="AQ471" i="1"/>
  <c r="AH471" i="1"/>
  <c r="AH470" i="1"/>
  <c r="AE247" i="1"/>
  <c r="AF247" i="1"/>
  <c r="AM247" i="1"/>
  <c r="AQ247" i="1"/>
  <c r="AE459" i="1"/>
  <c r="AF459" i="1"/>
  <c r="AP459" i="1" s="1"/>
  <c r="AM459" i="1"/>
  <c r="AQ459" i="1"/>
  <c r="AH459" i="1"/>
  <c r="AE193" i="1"/>
  <c r="AF193" i="1"/>
  <c r="AM193" i="1"/>
  <c r="AQ193" i="1"/>
  <c r="AE434" i="1"/>
  <c r="AF434" i="1"/>
  <c r="AP434" i="1" s="1"/>
  <c r="AM434" i="1"/>
  <c r="AQ434" i="1"/>
  <c r="AE463" i="1"/>
  <c r="AF463" i="1"/>
  <c r="AP463" i="1" s="1"/>
  <c r="AM463" i="1"/>
  <c r="AQ463" i="1"/>
  <c r="AH463" i="1"/>
  <c r="AH193" i="1"/>
  <c r="AH434" i="1"/>
  <c r="AE191" i="1"/>
  <c r="AF191" i="1"/>
  <c r="AM191" i="1"/>
  <c r="AQ191" i="1"/>
  <c r="AE34" i="1"/>
  <c r="AF34" i="1"/>
  <c r="AM34" i="1"/>
  <c r="AQ34" i="1"/>
  <c r="AH34" i="1"/>
  <c r="AH191" i="1"/>
  <c r="AE340" i="1"/>
  <c r="AF340" i="1"/>
  <c r="AM340" i="1"/>
  <c r="AQ340" i="1"/>
  <c r="AE139" i="1"/>
  <c r="AF139" i="1"/>
  <c r="AM139" i="1"/>
  <c r="AQ139" i="1"/>
  <c r="AE494" i="1"/>
  <c r="AF494" i="1"/>
  <c r="AP494" i="1" s="1"/>
  <c r="AM494" i="1"/>
  <c r="AQ494" i="1"/>
  <c r="AE493" i="1"/>
  <c r="AF493" i="1"/>
  <c r="AP493" i="1" s="1"/>
  <c r="AM493" i="1"/>
  <c r="AQ493" i="1"/>
  <c r="AH494" i="1"/>
  <c r="AH139" i="1"/>
  <c r="AH340" i="1"/>
  <c r="AE184" i="1"/>
  <c r="AF184" i="1"/>
  <c r="AM184" i="1"/>
  <c r="AQ184" i="1"/>
  <c r="AE183" i="1"/>
  <c r="AF183" i="1"/>
  <c r="AM183" i="1"/>
  <c r="AQ183" i="1"/>
  <c r="AE55" i="1"/>
  <c r="AF55" i="1"/>
  <c r="AM55" i="1"/>
  <c r="AQ55" i="1"/>
  <c r="AE54" i="1"/>
  <c r="AF54" i="1"/>
  <c r="AM54" i="1"/>
  <c r="AQ54" i="1"/>
  <c r="AH183" i="1"/>
  <c r="AE327" i="1"/>
  <c r="AF327" i="1"/>
  <c r="AM327" i="1"/>
  <c r="AQ327" i="1"/>
  <c r="AE326" i="1"/>
  <c r="AF326" i="1"/>
  <c r="AM326" i="1"/>
  <c r="AQ326" i="1"/>
  <c r="AE106" i="1"/>
  <c r="AF106" i="1"/>
  <c r="AM106" i="1"/>
  <c r="AQ106" i="1"/>
  <c r="AE105" i="1"/>
  <c r="AF105" i="1"/>
  <c r="AM105" i="1"/>
  <c r="AQ105" i="1"/>
  <c r="AH326" i="1"/>
  <c r="AE474" i="1"/>
  <c r="AF474" i="1"/>
  <c r="AP474" i="1" s="1"/>
  <c r="AM474" i="1"/>
  <c r="AQ474" i="1"/>
  <c r="AE302" i="1"/>
  <c r="AF302" i="1"/>
  <c r="AM302" i="1"/>
  <c r="AQ302" i="1"/>
  <c r="AE303" i="1"/>
  <c r="AF303" i="1"/>
  <c r="AM303" i="1"/>
  <c r="AQ303" i="1"/>
  <c r="AH303" i="1"/>
  <c r="AH302" i="1"/>
  <c r="AH474" i="1"/>
  <c r="AE363" i="1"/>
  <c r="AF363" i="1"/>
  <c r="AP363" i="1" s="1"/>
  <c r="AM363" i="1"/>
  <c r="AQ363" i="1"/>
  <c r="AE364" i="1"/>
  <c r="AF364" i="1"/>
  <c r="AP364" i="1" s="1"/>
  <c r="AM364" i="1"/>
  <c r="AQ364" i="1"/>
  <c r="AH363" i="1"/>
  <c r="AH364" i="1"/>
  <c r="AE359" i="1"/>
  <c r="AF359" i="1"/>
  <c r="AP359" i="1" s="1"/>
  <c r="AM359" i="1"/>
  <c r="AQ359" i="1"/>
  <c r="AE360" i="1"/>
  <c r="AF360" i="1"/>
  <c r="AP360" i="1" s="1"/>
  <c r="AM360" i="1"/>
  <c r="AQ360" i="1"/>
  <c r="AH360" i="1"/>
  <c r="AH359" i="1"/>
  <c r="AE208" i="1"/>
  <c r="AF208" i="1"/>
  <c r="AM208" i="1"/>
  <c r="AQ208" i="1"/>
  <c r="AE207" i="1"/>
  <c r="AF207" i="1"/>
  <c r="AM207" i="1"/>
  <c r="AQ207" i="1"/>
  <c r="AE422" i="1"/>
  <c r="AF422" i="1"/>
  <c r="AP422" i="1" s="1"/>
  <c r="AM422" i="1"/>
  <c r="AQ422" i="1"/>
  <c r="AE423" i="1"/>
  <c r="AF423" i="1"/>
  <c r="AP423" i="1" s="1"/>
  <c r="AM423" i="1"/>
  <c r="AQ423" i="1"/>
  <c r="AH423" i="1"/>
  <c r="AH422" i="1"/>
  <c r="AH207" i="1"/>
  <c r="AE107" i="1"/>
  <c r="AF107" i="1"/>
  <c r="AM107" i="1"/>
  <c r="AQ107" i="1"/>
  <c r="AE96" i="1"/>
  <c r="AF96" i="1"/>
  <c r="AM96" i="1"/>
  <c r="AQ96" i="1"/>
  <c r="AE230" i="1"/>
  <c r="AF230" i="1"/>
  <c r="AM230" i="1"/>
  <c r="AQ230" i="1"/>
  <c r="AE231" i="1"/>
  <c r="AF231" i="1"/>
  <c r="AM231" i="1"/>
  <c r="AQ231" i="1"/>
  <c r="AE437" i="1"/>
  <c r="AF437" i="1"/>
  <c r="AP437" i="1" s="1"/>
  <c r="AM437" i="1"/>
  <c r="AQ437" i="1"/>
  <c r="AE436" i="1"/>
  <c r="AF436" i="1"/>
  <c r="AP436" i="1" s="1"/>
  <c r="AM436" i="1"/>
  <c r="AQ436" i="1"/>
  <c r="AH437" i="1"/>
  <c r="AH436" i="1"/>
  <c r="AE448" i="1"/>
  <c r="AF448" i="1"/>
  <c r="AP448" i="1" s="1"/>
  <c r="AM448" i="1"/>
  <c r="AQ448" i="1"/>
  <c r="AE447" i="1"/>
  <c r="AF447" i="1"/>
  <c r="AP447" i="1" s="1"/>
  <c r="AM447" i="1"/>
  <c r="AQ447" i="1"/>
  <c r="AH447" i="1"/>
  <c r="AH448" i="1"/>
  <c r="AE285" i="1"/>
  <c r="AF285" i="1"/>
  <c r="AM285" i="1"/>
  <c r="AQ285" i="1"/>
  <c r="AE284" i="1"/>
  <c r="AF284" i="1"/>
  <c r="AM284" i="1"/>
  <c r="AQ284" i="1"/>
  <c r="AH284" i="1"/>
  <c r="AE433" i="1"/>
  <c r="AF433" i="1"/>
  <c r="AP433" i="1" s="1"/>
  <c r="AM433" i="1"/>
  <c r="AQ433" i="1"/>
  <c r="AH433" i="1"/>
  <c r="AE146" i="1"/>
  <c r="AF146" i="1"/>
  <c r="AM146" i="1"/>
  <c r="AQ146" i="1"/>
  <c r="AE25" i="1"/>
  <c r="AF25" i="1"/>
  <c r="AM25" i="1"/>
  <c r="AQ25" i="1"/>
  <c r="AH25" i="1"/>
  <c r="AE57" i="1"/>
  <c r="AF57" i="1"/>
  <c r="AM57" i="1"/>
  <c r="AQ57" i="1"/>
  <c r="AE56" i="1"/>
  <c r="AF56" i="1"/>
  <c r="AM56" i="1"/>
  <c r="AQ56" i="1"/>
  <c r="AH57" i="1"/>
  <c r="AH56" i="1"/>
  <c r="AE160" i="1"/>
  <c r="AF160" i="1"/>
  <c r="AM160" i="1"/>
  <c r="AQ160" i="1"/>
  <c r="AE159" i="1"/>
  <c r="AF159" i="1"/>
  <c r="AM159" i="1"/>
  <c r="AQ159" i="1"/>
  <c r="AE186" i="1"/>
  <c r="AF186" i="1"/>
  <c r="AM186" i="1"/>
  <c r="AQ186" i="1"/>
  <c r="AE314" i="1"/>
  <c r="AF314" i="1"/>
  <c r="AM314" i="1"/>
  <c r="AQ314" i="1"/>
  <c r="AE315" i="1"/>
  <c r="AF315" i="1"/>
  <c r="AM315" i="1"/>
  <c r="AQ315" i="1"/>
  <c r="AH315" i="1"/>
  <c r="AE158" i="1"/>
  <c r="AF158" i="1"/>
  <c r="AM158" i="1"/>
  <c r="AQ158" i="1"/>
  <c r="AE49" i="1"/>
  <c r="AF49" i="1"/>
  <c r="AM49" i="1"/>
  <c r="AQ49" i="1"/>
  <c r="AE48" i="1"/>
  <c r="AF48" i="1"/>
  <c r="AM48" i="1"/>
  <c r="AQ48" i="1"/>
  <c r="AE47" i="1"/>
  <c r="AF47" i="1"/>
  <c r="AM47" i="1"/>
  <c r="AQ47" i="1"/>
  <c r="AE109" i="1"/>
  <c r="AF109" i="1"/>
  <c r="AM109" i="1"/>
  <c r="AQ109" i="1"/>
  <c r="AE53" i="1"/>
  <c r="AF53" i="1"/>
  <c r="AM53" i="1"/>
  <c r="AQ53" i="1"/>
  <c r="AE62" i="1"/>
  <c r="AF62" i="1"/>
  <c r="AM62" i="1"/>
  <c r="AQ62" i="1"/>
  <c r="AE63" i="1"/>
  <c r="AF63" i="1"/>
  <c r="AM63" i="1"/>
  <c r="AQ63" i="1"/>
  <c r="AH62" i="1"/>
  <c r="AH63" i="1"/>
  <c r="AE32" i="1"/>
  <c r="AF32" i="1"/>
  <c r="AM32" i="1"/>
  <c r="AQ32" i="1"/>
  <c r="AE469" i="1"/>
  <c r="AF469" i="1"/>
  <c r="AP469" i="1" s="1"/>
  <c r="AM469" i="1"/>
  <c r="AQ469" i="1"/>
  <c r="AE335" i="1"/>
  <c r="AF335" i="1"/>
  <c r="AM335" i="1"/>
  <c r="AQ335" i="1"/>
  <c r="AE334" i="1"/>
  <c r="AF334" i="1"/>
  <c r="AM334" i="1"/>
  <c r="AQ334" i="1"/>
  <c r="AH335" i="1"/>
  <c r="AH334" i="1"/>
  <c r="AH469" i="1"/>
  <c r="AE467" i="1"/>
  <c r="AF467" i="1"/>
  <c r="AP467" i="1" s="1"/>
  <c r="AM467" i="1"/>
  <c r="AQ467" i="1"/>
  <c r="AE466" i="1"/>
  <c r="AF466" i="1"/>
  <c r="AP466" i="1" s="1"/>
  <c r="AM466" i="1"/>
  <c r="AQ466" i="1"/>
  <c r="AH466" i="1"/>
  <c r="AH467" i="1"/>
  <c r="AE251" i="1"/>
  <c r="AF251" i="1"/>
  <c r="AM251" i="1"/>
  <c r="AQ251" i="1"/>
  <c r="AE404" i="1"/>
  <c r="AF404" i="1"/>
  <c r="AP404" i="1" s="1"/>
  <c r="AM404" i="1"/>
  <c r="AQ404" i="1"/>
  <c r="AH404" i="1"/>
  <c r="AE277" i="1"/>
  <c r="AF277" i="1"/>
  <c r="AM277" i="1"/>
  <c r="AQ277" i="1"/>
  <c r="AE278" i="1"/>
  <c r="AF278" i="1"/>
  <c r="AM278" i="1"/>
  <c r="AQ278" i="1"/>
  <c r="AH277" i="1"/>
  <c r="AE292" i="1"/>
  <c r="AF292" i="1"/>
  <c r="AM292" i="1"/>
  <c r="AQ292" i="1"/>
  <c r="AE72" i="1"/>
  <c r="AF72" i="1"/>
  <c r="AM72" i="1"/>
  <c r="AQ72" i="1"/>
  <c r="AE71" i="1"/>
  <c r="AF71" i="1"/>
  <c r="AM71" i="1"/>
  <c r="AQ71" i="1"/>
  <c r="AH71" i="1"/>
  <c r="AH72" i="1"/>
  <c r="AE148" i="1"/>
  <c r="AF148" i="1"/>
  <c r="AM148" i="1"/>
  <c r="AQ148" i="1"/>
  <c r="AE149" i="1"/>
  <c r="AF149" i="1"/>
  <c r="AM149" i="1"/>
  <c r="AQ149" i="1"/>
  <c r="AE505" i="1"/>
  <c r="AF505" i="1"/>
  <c r="AP505" i="1" s="1"/>
  <c r="AM505" i="1"/>
  <c r="AQ505" i="1"/>
  <c r="AE504" i="1"/>
  <c r="AF504" i="1"/>
  <c r="AP504" i="1" s="1"/>
  <c r="AM504" i="1"/>
  <c r="AQ504" i="1"/>
  <c r="AE376" i="1"/>
  <c r="AF376" i="1"/>
  <c r="AP376" i="1" s="1"/>
  <c r="AM376" i="1"/>
  <c r="AQ376" i="1"/>
  <c r="AE375" i="1"/>
  <c r="AF375" i="1"/>
  <c r="AP375" i="1" s="1"/>
  <c r="AM375" i="1"/>
  <c r="AQ375" i="1"/>
  <c r="AH375" i="1"/>
  <c r="AH376" i="1"/>
  <c r="AE133" i="1"/>
  <c r="AF133" i="1"/>
  <c r="AM133" i="1"/>
  <c r="AQ133" i="1"/>
  <c r="AE134" i="1"/>
  <c r="AF134" i="1"/>
  <c r="AM134" i="1"/>
  <c r="AQ134" i="1"/>
  <c r="AE135" i="1"/>
  <c r="AF135" i="1"/>
  <c r="AM135" i="1"/>
  <c r="AQ135" i="1"/>
  <c r="AH134" i="1"/>
  <c r="AH135" i="1"/>
  <c r="AE150" i="1"/>
  <c r="AF150" i="1"/>
  <c r="AM150" i="1"/>
  <c r="AQ150" i="1"/>
  <c r="AE151" i="1"/>
  <c r="AF151" i="1"/>
  <c r="AM151" i="1"/>
  <c r="AQ151" i="1"/>
  <c r="AE152" i="1"/>
  <c r="AF152" i="1"/>
  <c r="AM152" i="1"/>
  <c r="AQ152" i="1"/>
  <c r="AH152" i="1"/>
  <c r="AE312" i="1"/>
  <c r="AF312" i="1"/>
  <c r="AM312" i="1"/>
  <c r="AQ312" i="1"/>
  <c r="AE311" i="1"/>
  <c r="AF311" i="1"/>
  <c r="AM311" i="1"/>
  <c r="AQ311" i="1"/>
  <c r="AE310" i="1"/>
  <c r="AF310" i="1"/>
  <c r="AM310" i="1"/>
  <c r="AQ310" i="1"/>
  <c r="AH310" i="1"/>
  <c r="AE73" i="1"/>
  <c r="AF73" i="1"/>
  <c r="AM73" i="1"/>
  <c r="AQ73" i="1"/>
  <c r="AE74" i="1"/>
  <c r="AF74" i="1"/>
  <c r="AM74" i="1"/>
  <c r="AQ74" i="1"/>
  <c r="AE75" i="1"/>
  <c r="AF75" i="1"/>
  <c r="AM75" i="1"/>
  <c r="AQ75" i="1"/>
  <c r="AH75" i="1"/>
  <c r="AE515" i="1"/>
  <c r="AF515" i="1"/>
  <c r="AM515" i="1"/>
  <c r="AQ515" i="1"/>
  <c r="AH515" i="1"/>
  <c r="AE380" i="1"/>
  <c r="AF380" i="1"/>
  <c r="AP380" i="1" s="1"/>
  <c r="AM380" i="1"/>
  <c r="AQ380" i="1"/>
  <c r="AE379" i="1"/>
  <c r="AF379" i="1"/>
  <c r="AP379" i="1" s="1"/>
  <c r="AM379" i="1"/>
  <c r="AQ379" i="1"/>
  <c r="AE378" i="1"/>
  <c r="AF378" i="1"/>
  <c r="AP378" i="1" s="1"/>
  <c r="AM378" i="1"/>
  <c r="AQ378" i="1"/>
  <c r="AE377" i="1"/>
  <c r="AF377" i="1"/>
  <c r="AP377" i="1" s="1"/>
  <c r="AM377" i="1"/>
  <c r="AQ377" i="1"/>
  <c r="AH380" i="1"/>
  <c r="AH377" i="1"/>
  <c r="AH378" i="1"/>
  <c r="AH379" i="1"/>
  <c r="AE190" i="1"/>
  <c r="AF190" i="1"/>
  <c r="AM190" i="1"/>
  <c r="AQ190" i="1"/>
  <c r="AE189" i="1"/>
  <c r="AF189" i="1"/>
  <c r="AM189" i="1"/>
  <c r="AQ189" i="1"/>
  <c r="AH189" i="1"/>
  <c r="AE403" i="1"/>
  <c r="AF403" i="1"/>
  <c r="AP403" i="1" s="1"/>
  <c r="AM403" i="1"/>
  <c r="AQ403" i="1"/>
  <c r="AE401" i="1"/>
  <c r="AF401" i="1"/>
  <c r="AP401" i="1" s="1"/>
  <c r="AM401" i="1"/>
  <c r="AQ401" i="1"/>
  <c r="AE402" i="1"/>
  <c r="AF402" i="1"/>
  <c r="AP402" i="1" s="1"/>
  <c r="AM402" i="1"/>
  <c r="AQ402" i="1"/>
  <c r="AH402" i="1"/>
  <c r="AE35" i="1"/>
  <c r="AF35" i="1"/>
  <c r="AM35" i="1"/>
  <c r="AQ35" i="1"/>
  <c r="AH35" i="1"/>
  <c r="AE174" i="1"/>
  <c r="AF174" i="1"/>
  <c r="AM174" i="1"/>
  <c r="AQ174" i="1"/>
  <c r="AE176" i="1"/>
  <c r="AF176" i="1"/>
  <c r="AM176" i="1"/>
  <c r="AQ176" i="1"/>
  <c r="AE175" i="1"/>
  <c r="AF175" i="1"/>
  <c r="AM175" i="1"/>
  <c r="AQ175" i="1"/>
  <c r="AH176" i="1"/>
  <c r="AH174" i="1"/>
  <c r="AH175" i="1"/>
  <c r="AE37" i="1"/>
  <c r="AF37" i="1"/>
  <c r="AM37" i="1"/>
  <c r="AQ37" i="1"/>
  <c r="AH37" i="1"/>
  <c r="AE82" i="1"/>
  <c r="AF82" i="1"/>
  <c r="AM82" i="1"/>
  <c r="AQ82" i="1"/>
  <c r="AE83" i="1"/>
  <c r="AF83" i="1"/>
  <c r="AM83" i="1"/>
  <c r="AQ83" i="1"/>
  <c r="AE84" i="1"/>
  <c r="AF84" i="1"/>
  <c r="AM84" i="1"/>
  <c r="AQ84" i="1"/>
  <c r="AH84" i="1"/>
  <c r="AH82" i="1"/>
  <c r="AH83" i="1"/>
  <c r="AE13" i="1"/>
  <c r="AF13" i="1"/>
  <c r="AM13" i="1"/>
  <c r="AQ13" i="1"/>
  <c r="AE14" i="1"/>
  <c r="AF14" i="1"/>
  <c r="AM14" i="1"/>
  <c r="AQ14" i="1"/>
  <c r="AE144" i="1"/>
  <c r="AF144" i="1"/>
  <c r="AM144" i="1"/>
  <c r="AQ144" i="1"/>
  <c r="AE145" i="1"/>
  <c r="AF145" i="1"/>
  <c r="AM145" i="1"/>
  <c r="AQ145" i="1"/>
  <c r="AE405" i="1"/>
  <c r="AF405" i="1"/>
  <c r="AM405" i="1"/>
  <c r="AQ405" i="1"/>
  <c r="AE229" i="1"/>
  <c r="AF229" i="1"/>
  <c r="AM229" i="1"/>
  <c r="AQ229" i="1"/>
  <c r="AE171" i="1"/>
  <c r="AF171" i="1"/>
  <c r="AM171" i="1"/>
  <c r="AQ171" i="1"/>
  <c r="AE170" i="1"/>
  <c r="AF170" i="1"/>
  <c r="AM170" i="1"/>
  <c r="AQ170" i="1"/>
  <c r="AE319" i="1"/>
  <c r="AF319" i="1"/>
  <c r="AM319" i="1"/>
  <c r="AQ319" i="1"/>
  <c r="AE318" i="1"/>
  <c r="AF318" i="1"/>
  <c r="AM318" i="1"/>
  <c r="AQ318" i="1"/>
  <c r="AE51" i="1"/>
  <c r="AF51" i="1"/>
  <c r="AM51" i="1"/>
  <c r="AQ51" i="1"/>
  <c r="AE50" i="1"/>
  <c r="AF50" i="1"/>
  <c r="AM50" i="1"/>
  <c r="AQ50" i="1"/>
  <c r="AE169" i="1"/>
  <c r="AF169" i="1"/>
  <c r="AM169" i="1"/>
  <c r="AQ169" i="1"/>
  <c r="AE168" i="1"/>
  <c r="AF168" i="1"/>
  <c r="AM168" i="1"/>
  <c r="AQ168" i="1"/>
  <c r="AE15" i="1"/>
  <c r="AF15" i="1"/>
  <c r="AM15" i="1"/>
  <c r="AQ15" i="1"/>
  <c r="AE132" i="1"/>
  <c r="AF132" i="1"/>
  <c r="AM132" i="1"/>
  <c r="AQ132" i="1"/>
  <c r="AE59" i="1"/>
  <c r="AF59" i="1"/>
  <c r="AM59" i="1"/>
  <c r="AQ59" i="1"/>
  <c r="AE60" i="1"/>
  <c r="AF60" i="1"/>
  <c r="AM60" i="1"/>
  <c r="AQ60" i="1"/>
  <c r="AE228" i="1"/>
  <c r="AF228" i="1"/>
  <c r="AM228" i="1"/>
  <c r="AQ228" i="1"/>
  <c r="AE305" i="1"/>
  <c r="AF305" i="1"/>
  <c r="AM305" i="1"/>
  <c r="AQ305" i="1"/>
  <c r="AE100" i="1"/>
  <c r="AF100" i="1"/>
  <c r="AM100" i="1"/>
  <c r="AQ100" i="1"/>
  <c r="AE99" i="1"/>
  <c r="AF99" i="1"/>
  <c r="AM99" i="1"/>
  <c r="AQ99" i="1"/>
  <c r="AH99" i="1"/>
  <c r="AH52" i="1"/>
  <c r="AH28" i="1"/>
  <c r="AH111" i="1"/>
  <c r="AH9" i="1"/>
  <c r="AH10" i="1"/>
  <c r="AH247" i="1"/>
  <c r="AH61" i="1"/>
  <c r="AH107" i="1"/>
  <c r="AH96" i="1"/>
  <c r="AH248" i="1"/>
  <c r="AH226" i="1"/>
  <c r="AH194" i="1"/>
  <c r="AH129" i="1"/>
  <c r="AH128" i="1"/>
  <c r="AH328" i="1"/>
  <c r="AH292" i="1"/>
  <c r="AH101" i="1"/>
  <c r="AH205" i="1"/>
  <c r="AH241" i="1"/>
  <c r="AH240" i="1"/>
  <c r="AH282" i="1"/>
  <c r="AH106" i="1"/>
  <c r="AH105" i="1"/>
  <c r="AH55" i="1"/>
  <c r="AH54" i="1"/>
  <c r="AH234" i="1"/>
  <c r="AH324" i="1"/>
  <c r="AH67" i="1"/>
  <c r="AH66" i="1"/>
  <c r="AH14" i="1"/>
  <c r="AH13" i="1"/>
  <c r="AH149" i="1"/>
  <c r="AH148" i="1"/>
  <c r="AH259" i="1"/>
  <c r="AH258" i="1"/>
  <c r="AH213" i="1"/>
  <c r="AH251" i="1"/>
  <c r="AH133" i="1"/>
  <c r="AH145" i="1"/>
  <c r="AH144" i="1"/>
  <c r="AH405" i="1"/>
  <c r="AH204" i="1"/>
  <c r="AH278" i="1"/>
  <c r="AH142" i="1"/>
  <c r="AH141" i="1"/>
  <c r="AH403" i="1"/>
  <c r="AH401" i="1"/>
  <c r="AH188" i="1"/>
  <c r="AH187" i="1"/>
  <c r="AH400" i="1"/>
  <c r="AH399" i="1"/>
  <c r="AH285" i="1"/>
  <c r="AH122" i="1"/>
  <c r="AH208" i="1"/>
  <c r="AH65" i="1"/>
  <c r="AH49" i="1"/>
  <c r="AH48" i="1"/>
  <c r="AH47" i="1"/>
  <c r="AH186" i="1"/>
  <c r="AH344" i="1"/>
  <c r="AH337" i="1"/>
  <c r="AH336" i="1"/>
  <c r="AH243" i="1"/>
  <c r="AH242" i="1"/>
  <c r="AH211" i="1"/>
  <c r="AH209" i="1"/>
  <c r="AH158" i="1"/>
  <c r="AH210" i="1"/>
  <c r="AH151" i="1"/>
  <c r="AH150" i="1"/>
  <c r="AH29" i="1"/>
  <c r="AH190" i="1"/>
  <c r="AH97" i="1"/>
  <c r="AH108" i="1"/>
  <c r="AH5" i="1"/>
  <c r="AH197" i="1"/>
  <c r="AH196" i="1"/>
  <c r="AH195" i="1"/>
  <c r="AH312" i="1"/>
  <c r="AH311" i="1"/>
  <c r="AH74" i="1"/>
  <c r="AH73" i="1"/>
  <c r="AH276" i="1"/>
  <c r="AH274" i="1"/>
  <c r="AH46" i="1"/>
  <c r="AH275" i="1"/>
  <c r="AH314" i="1"/>
  <c r="AH232" i="1"/>
  <c r="AH94" i="1"/>
  <c r="AH93" i="1"/>
  <c r="AH80" i="1"/>
  <c r="AH78" i="1"/>
  <c r="AH321" i="1"/>
  <c r="AH79" i="1"/>
  <c r="AH271" i="1"/>
  <c r="AH217" i="1"/>
  <c r="AH216" i="1"/>
  <c r="AH218" i="1"/>
  <c r="AH270" i="1"/>
  <c r="AH269" i="1"/>
  <c r="AH43" i="1"/>
  <c r="AH266" i="1"/>
  <c r="AH265" i="1"/>
  <c r="AH263" i="1"/>
  <c r="AH262" i="1"/>
  <c r="AH264" i="1"/>
  <c r="AH261" i="1"/>
  <c r="AH229" i="1"/>
  <c r="AH171" i="1"/>
  <c r="AH260" i="1"/>
  <c r="AH170" i="1"/>
  <c r="AH118" i="1"/>
  <c r="AH117" i="1"/>
  <c r="AH306" i="1"/>
  <c r="AH319" i="1"/>
  <c r="AH307" i="1"/>
  <c r="AH318" i="1"/>
  <c r="AH51" i="1"/>
  <c r="AH50" i="1"/>
  <c r="AH169" i="1"/>
  <c r="AH168" i="1"/>
  <c r="AH15" i="1"/>
  <c r="AH60" i="1"/>
  <c r="AH59" i="1"/>
  <c r="AH76" i="1"/>
  <c r="AH132" i="1"/>
  <c r="AH228" i="1"/>
  <c r="AH305" i="1"/>
  <c r="AH295" i="1"/>
  <c r="AH100" i="1"/>
  <c r="AH102" i="1"/>
  <c r="AH162" i="1"/>
  <c r="AH230" i="1"/>
  <c r="AH231" i="1"/>
  <c r="AH112" i="1"/>
  <c r="AH184" i="1"/>
  <c r="AH288" i="1"/>
  <c r="AH27" i="1"/>
  <c r="AH199" i="1"/>
  <c r="AH206" i="1"/>
  <c r="AH244" i="1"/>
  <c r="AH245" i="1"/>
  <c r="AH109" i="1"/>
  <c r="AH254" i="1"/>
  <c r="AH256" i="1"/>
  <c r="AH159" i="1"/>
  <c r="AH160" i="1"/>
  <c r="AH138" i="1"/>
  <c r="AH156" i="1"/>
  <c r="AH327" i="1"/>
  <c r="AH250" i="1"/>
  <c r="AH215" i="1"/>
  <c r="AH233" i="1"/>
  <c r="AH489" i="1"/>
  <c r="AH490" i="1"/>
  <c r="AH53" i="1"/>
  <c r="AH32" i="1"/>
  <c r="AH320" i="1"/>
  <c r="AH146" i="1"/>
  <c r="AH180" i="1"/>
  <c r="AH504" i="1"/>
  <c r="AH505" i="1"/>
  <c r="AH4" i="1"/>
  <c r="AH255" i="1"/>
  <c r="AH8" i="1"/>
  <c r="AE61" i="1"/>
  <c r="AF61" i="1"/>
  <c r="AM61" i="1"/>
  <c r="AQ61" i="1"/>
  <c r="AE52" i="1"/>
  <c r="AF52" i="1"/>
  <c r="AM52" i="1"/>
  <c r="AQ52" i="1"/>
  <c r="AE129" i="1"/>
  <c r="AF129" i="1"/>
  <c r="AM129" i="1"/>
  <c r="AQ129" i="1"/>
  <c r="AE128" i="1"/>
  <c r="AF128" i="1"/>
  <c r="AM128" i="1"/>
  <c r="AQ128" i="1"/>
  <c r="AE328" i="1"/>
  <c r="AF328" i="1"/>
  <c r="AM328" i="1"/>
  <c r="AQ328" i="1"/>
  <c r="AE101" i="1"/>
  <c r="AF101" i="1"/>
  <c r="AM101" i="1"/>
  <c r="AQ101" i="1"/>
  <c r="AE67" i="1"/>
  <c r="AF67" i="1"/>
  <c r="AM67" i="1"/>
  <c r="AQ67" i="1"/>
  <c r="AE66" i="1"/>
  <c r="AF66" i="1"/>
  <c r="AM66" i="1"/>
  <c r="AQ66" i="1"/>
  <c r="AM81" i="1"/>
  <c r="AQ81" i="1"/>
  <c r="AE204" i="1"/>
  <c r="AF204" i="1"/>
  <c r="AM204" i="1"/>
  <c r="AQ204" i="1"/>
  <c r="AE142" i="1"/>
  <c r="AF142" i="1"/>
  <c r="AM142" i="1"/>
  <c r="AQ142" i="1"/>
  <c r="AE141" i="1"/>
  <c r="AF141" i="1"/>
  <c r="AM141" i="1"/>
  <c r="AQ141" i="1"/>
  <c r="AE211" i="1"/>
  <c r="AF211" i="1"/>
  <c r="AM211" i="1"/>
  <c r="AQ211" i="1"/>
  <c r="AE210" i="1"/>
  <c r="AF210" i="1"/>
  <c r="AM210" i="1"/>
  <c r="AQ210" i="1"/>
  <c r="AE209" i="1"/>
  <c r="AF209" i="1"/>
  <c r="AM209" i="1"/>
  <c r="AQ209" i="1"/>
  <c r="AE28" i="1"/>
  <c r="AF28" i="1"/>
  <c r="AM28" i="1"/>
  <c r="AQ28" i="1"/>
  <c r="AE29" i="1"/>
  <c r="AF29" i="1"/>
  <c r="AM29" i="1"/>
  <c r="AQ29" i="1"/>
  <c r="AE197" i="1"/>
  <c r="AF197" i="1"/>
  <c r="AM197" i="1"/>
  <c r="AQ197" i="1"/>
  <c r="AE196" i="1"/>
  <c r="AF196" i="1"/>
  <c r="AM196" i="1"/>
  <c r="AQ196" i="1"/>
  <c r="AE195" i="1"/>
  <c r="AF195" i="1"/>
  <c r="AM195" i="1"/>
  <c r="AQ195" i="1"/>
  <c r="AE276" i="1"/>
  <c r="AF276" i="1"/>
  <c r="AM276" i="1"/>
  <c r="AQ276" i="1"/>
  <c r="AE275" i="1"/>
  <c r="AF275" i="1"/>
  <c r="AM275" i="1"/>
  <c r="AQ275" i="1"/>
  <c r="AE274" i="1"/>
  <c r="AF274" i="1"/>
  <c r="AM274" i="1"/>
  <c r="AQ274" i="1"/>
  <c r="AE94" i="1"/>
  <c r="AF94" i="1"/>
  <c r="AM94" i="1"/>
  <c r="AQ94" i="1"/>
  <c r="AE93" i="1"/>
  <c r="AF93" i="1"/>
  <c r="AM93" i="1"/>
  <c r="AQ93" i="1"/>
  <c r="AE321" i="1"/>
  <c r="AF321" i="1"/>
  <c r="AM321" i="1"/>
  <c r="AQ321" i="1"/>
  <c r="AE271" i="1"/>
  <c r="AF271" i="1"/>
  <c r="AM271" i="1"/>
  <c r="AQ271" i="1"/>
  <c r="AE218" i="1"/>
  <c r="AF218" i="1"/>
  <c r="AM218" i="1"/>
  <c r="AQ218" i="1"/>
  <c r="AE217" i="1"/>
  <c r="AF217" i="1"/>
  <c r="AM217" i="1"/>
  <c r="AQ217" i="1"/>
  <c r="AE216" i="1"/>
  <c r="AF216" i="1"/>
  <c r="AM216" i="1"/>
  <c r="AQ216" i="1"/>
  <c r="AE270" i="1"/>
  <c r="AF270" i="1"/>
  <c r="AM270" i="1"/>
  <c r="AQ270" i="1"/>
  <c r="AE269" i="1"/>
  <c r="AF269" i="1"/>
  <c r="AM269" i="1"/>
  <c r="AQ269" i="1"/>
  <c r="AE266" i="1"/>
  <c r="AF266" i="1"/>
  <c r="AM266" i="1"/>
  <c r="AQ266" i="1"/>
  <c r="AE265" i="1"/>
  <c r="AF265" i="1"/>
  <c r="AM265" i="1"/>
  <c r="AQ265" i="1"/>
  <c r="AE264" i="1"/>
  <c r="AF264" i="1"/>
  <c r="AM264" i="1"/>
  <c r="AQ264" i="1"/>
  <c r="AE263" i="1"/>
  <c r="AF263" i="1"/>
  <c r="AM263" i="1"/>
  <c r="AQ263" i="1"/>
  <c r="AE262" i="1"/>
  <c r="AF262" i="1"/>
  <c r="AM262" i="1"/>
  <c r="AQ262" i="1"/>
  <c r="AE261" i="1"/>
  <c r="AF261" i="1"/>
  <c r="AM261" i="1"/>
  <c r="AQ261" i="1"/>
  <c r="AE260" i="1"/>
  <c r="AF260" i="1"/>
  <c r="AM260" i="1"/>
  <c r="AQ260" i="1"/>
  <c r="AE118" i="1"/>
  <c r="AF118" i="1"/>
  <c r="AM118" i="1"/>
  <c r="AQ118" i="1"/>
  <c r="AE117" i="1"/>
  <c r="AF117" i="1"/>
  <c r="AM117" i="1"/>
  <c r="AQ117" i="1"/>
  <c r="AE307" i="1"/>
  <c r="AF307" i="1"/>
  <c r="AM307" i="1"/>
  <c r="AQ307" i="1"/>
  <c r="AE306" i="1"/>
  <c r="AF306" i="1"/>
  <c r="AM306" i="1"/>
  <c r="AQ306" i="1"/>
  <c r="AE76" i="1"/>
  <c r="AF76" i="1"/>
  <c r="AM76" i="1"/>
  <c r="AQ76" i="1"/>
  <c r="AE295" i="1"/>
  <c r="AF295" i="1"/>
  <c r="AM295" i="1"/>
  <c r="AQ295" i="1"/>
  <c r="AE215" i="1"/>
  <c r="AF215" i="1"/>
  <c r="AM215" i="1"/>
  <c r="AQ215" i="1"/>
  <c r="AE138" i="1"/>
  <c r="AF138" i="1"/>
  <c r="AM138" i="1"/>
  <c r="AQ138" i="1"/>
  <c r="AE256" i="1"/>
  <c r="AF256" i="1"/>
  <c r="AM256" i="1"/>
  <c r="AQ256" i="1"/>
  <c r="AE255" i="1"/>
  <c r="AF255" i="1"/>
  <c r="AM255" i="1"/>
  <c r="AQ255" i="1"/>
  <c r="AE254" i="1"/>
  <c r="AF254" i="1"/>
  <c r="AM254" i="1"/>
  <c r="AQ254" i="1"/>
  <c r="AE112" i="1"/>
  <c r="AF112" i="1"/>
  <c r="AM112" i="1"/>
  <c r="AQ112" i="1"/>
  <c r="AE8" i="1"/>
  <c r="AF8" i="1"/>
  <c r="AM8" i="1"/>
  <c r="AQ8" i="1"/>
  <c r="AQ9" i="1"/>
  <c r="AQ10" i="1"/>
  <c r="AE10" i="1"/>
  <c r="AE9" i="1"/>
  <c r="AF10" i="1"/>
  <c r="AM10" i="1"/>
  <c r="F4" i="15"/>
  <c r="H4" i="15"/>
  <c r="G4" i="15"/>
  <c r="I4" i="15"/>
  <c r="AJ465" i="1" l="1"/>
  <c r="AJ88" i="1"/>
  <c r="AK88" i="1" s="1"/>
  <c r="AJ173" i="1"/>
  <c r="AJ157" i="1"/>
  <c r="AJ123" i="1"/>
  <c r="AJ462" i="1"/>
  <c r="AJ246" i="1"/>
  <c r="AJ87" i="1"/>
  <c r="AJ518" i="1"/>
  <c r="AJ85" i="1"/>
  <c r="AJ391" i="1"/>
  <c r="AJ86" i="1"/>
  <c r="AJ392" i="1"/>
  <c r="AJ165" i="1"/>
  <c r="AJ464" i="1"/>
  <c r="AJ473" i="1"/>
  <c r="AJ519" i="1"/>
  <c r="AJ472" i="1"/>
  <c r="AJ371" i="1"/>
  <c r="AJ370" i="1"/>
  <c r="AJ309" i="1"/>
  <c r="AJ116" i="1"/>
  <c r="AK116" i="1" s="1"/>
  <c r="AJ98" i="1"/>
  <c r="AJ115" i="1"/>
  <c r="AJ354" i="1"/>
  <c r="AJ432" i="1"/>
  <c r="AJ341" i="1"/>
  <c r="AJ431" i="1"/>
  <c r="AJ140" i="1"/>
  <c r="AJ355" i="1"/>
  <c r="AJ372" i="1"/>
  <c r="AJ21" i="1"/>
  <c r="AJ516" i="1"/>
  <c r="AJ77" i="1"/>
  <c r="AJ30" i="1"/>
  <c r="AJ517" i="1"/>
  <c r="AJ373" i="1"/>
  <c r="AJ81" i="1"/>
  <c r="AJ130" i="1"/>
  <c r="AJ131" i="1"/>
  <c r="AJ177" i="1"/>
  <c r="AJ178" i="1"/>
  <c r="AJ413" i="1"/>
  <c r="AJ412" i="1"/>
  <c r="AJ414" i="1"/>
  <c r="AJ299" i="1"/>
  <c r="AJ300" i="1"/>
  <c r="AJ147" i="1"/>
  <c r="AJ200" i="1"/>
  <c r="AJ222" i="1"/>
  <c r="AK222" i="1" s="1"/>
  <c r="AJ223" i="1"/>
  <c r="AJ338" i="1"/>
  <c r="AJ512" i="1"/>
  <c r="AJ511" i="1"/>
  <c r="AJ339" i="1"/>
  <c r="AJ417" i="1"/>
  <c r="AK417" i="1" s="1"/>
  <c r="AJ416" i="1"/>
  <c r="AJ45" i="1"/>
  <c r="AK45" i="1" s="1"/>
  <c r="AJ485" i="1"/>
  <c r="AK485" i="1" s="1"/>
  <c r="AJ44" i="1"/>
  <c r="AJ441" i="1"/>
  <c r="AJ429" i="1"/>
  <c r="AK429" i="1" s="1"/>
  <c r="AJ428" i="1"/>
  <c r="AJ42" i="1"/>
  <c r="AJ20" i="1"/>
  <c r="AJ92" i="1"/>
  <c r="AJ349" i="1"/>
  <c r="AJ386" i="1"/>
  <c r="AJ395" i="1"/>
  <c r="AJ202" i="1"/>
  <c r="AJ396" i="1"/>
  <c r="AJ203" i="1"/>
  <c r="AJ110" i="1"/>
  <c r="AJ369" i="1"/>
  <c r="AJ114" i="1"/>
  <c r="AJ201" i="1"/>
  <c r="AJ64" i="1"/>
  <c r="AJ238" i="1"/>
  <c r="AJ492" i="1"/>
  <c r="AJ237" i="1"/>
  <c r="AJ239" i="1"/>
  <c r="AJ491" i="1"/>
  <c r="AJ438" i="1"/>
  <c r="AJ444" i="1"/>
  <c r="AJ181" i="1"/>
  <c r="AJ442" i="1"/>
  <c r="AJ487" i="1"/>
  <c r="AJ182" i="1"/>
  <c r="AJ486" i="1"/>
  <c r="AJ439" i="1"/>
  <c r="AJ443" i="1"/>
  <c r="AJ313" i="1"/>
  <c r="AJ252" i="1"/>
  <c r="AJ304" i="1"/>
  <c r="AJ172" i="1"/>
  <c r="AJ510" i="1"/>
  <c r="AJ475" i="1"/>
  <c r="AJ461" i="1"/>
  <c r="AJ121" i="1"/>
  <c r="AJ225" i="1"/>
  <c r="AJ476" i="1"/>
  <c r="AJ281" i="1"/>
  <c r="AK281" i="1" s="1"/>
  <c r="AJ415" i="1"/>
  <c r="AK415" i="1" s="1"/>
  <c r="AJ58" i="1"/>
  <c r="AJ153" i="1"/>
  <c r="AK153" i="1" s="1"/>
  <c r="AJ36" i="1"/>
  <c r="AJ154" i="1"/>
  <c r="AK154" i="1" s="1"/>
  <c r="AJ119" i="1"/>
  <c r="AJ385" i="1"/>
  <c r="AK385" i="1" s="1"/>
  <c r="AJ2" i="1"/>
  <c r="AK2" i="1" s="1"/>
  <c r="AJ3" i="1"/>
  <c r="AJ358" i="1"/>
  <c r="AJ483" i="1"/>
  <c r="AK483" i="1" s="1"/>
  <c r="AJ484" i="1"/>
  <c r="AJ482" i="1"/>
  <c r="AK482" i="1" s="1"/>
  <c r="AJ192" i="1"/>
  <c r="AJ91" i="1"/>
  <c r="AJ297" i="1"/>
  <c r="AJ296" i="1"/>
  <c r="AJ90" i="1"/>
  <c r="AJ89" i="1"/>
  <c r="AK89" i="1" s="1"/>
  <c r="AJ167" i="1"/>
  <c r="AJ166" i="1"/>
  <c r="AJ68" i="1"/>
  <c r="AK68" i="1" s="1"/>
  <c r="AJ440" i="1"/>
  <c r="AJ41" i="1"/>
  <c r="AJ430" i="1"/>
  <c r="AJ342" i="1"/>
  <c r="AK342" i="1" s="1"/>
  <c r="AJ343" i="1"/>
  <c r="AJ331" i="1"/>
  <c r="AK331" i="1" s="1"/>
  <c r="AJ332" i="1"/>
  <c r="AJ330" i="1"/>
  <c r="AK330" i="1" s="1"/>
  <c r="AJ286" i="1"/>
  <c r="AK286" i="1" s="1"/>
  <c r="AJ287" i="1"/>
  <c r="AJ333" i="1"/>
  <c r="AJ214" i="1"/>
  <c r="AJ513" i="1"/>
  <c r="AK513" i="1" s="1"/>
  <c r="AJ33" i="1"/>
  <c r="AK33" i="1" s="1"/>
  <c r="AJ267" i="1"/>
  <c r="AK267" i="1" s="1"/>
  <c r="AJ268" i="1"/>
  <c r="AJ104" i="1"/>
  <c r="AJ103" i="1"/>
  <c r="AK103" i="1" s="1"/>
  <c r="AJ498" i="1"/>
  <c r="AK498" i="1" s="1"/>
  <c r="AJ497" i="1"/>
  <c r="AR497" i="1" s="1"/>
  <c r="AJ495" i="1"/>
  <c r="AK495" i="1" s="1"/>
  <c r="AJ496" i="1"/>
  <c r="AJ477" i="1"/>
  <c r="AK477" i="1" s="1"/>
  <c r="AJ514" i="1"/>
  <c r="AK514" i="1" s="1"/>
  <c r="AJ316" i="1"/>
  <c r="AK316" i="1" s="1"/>
  <c r="AJ317" i="1"/>
  <c r="AJ387" i="1"/>
  <c r="AK387" i="1" s="1"/>
  <c r="AJ388" i="1"/>
  <c r="AJ397" i="1"/>
  <c r="AK397" i="1" s="1"/>
  <c r="AJ398" i="1"/>
  <c r="AJ219" i="1"/>
  <c r="AK219" i="1" s="1"/>
  <c r="AJ220" i="1"/>
  <c r="AJ127" i="1"/>
  <c r="AJ125" i="1"/>
  <c r="AK125" i="1" s="1"/>
  <c r="AJ126" i="1"/>
  <c r="AJ390" i="1"/>
  <c r="AK390" i="1" s="1"/>
  <c r="AJ389" i="1"/>
  <c r="AJ421" i="1"/>
  <c r="AK421" i="1" s="1"/>
  <c r="AJ420" i="1"/>
  <c r="AK420" i="1" s="1"/>
  <c r="AJ457" i="1"/>
  <c r="AK457" i="1" s="1"/>
  <c r="AJ456" i="1"/>
  <c r="AK456" i="1" s="1"/>
  <c r="AJ407" i="1"/>
  <c r="AK407" i="1" s="1"/>
  <c r="AJ406" i="1"/>
  <c r="AK406" i="1" s="1"/>
  <c r="AJ503" i="1"/>
  <c r="AJ502" i="1"/>
  <c r="AK502" i="1" s="1"/>
  <c r="AJ294" i="1"/>
  <c r="AJ293" i="1"/>
  <c r="AJ26" i="1"/>
  <c r="AK26" i="1" s="1"/>
  <c r="AJ424" i="1"/>
  <c r="AK424" i="1" s="1"/>
  <c r="AJ24" i="1"/>
  <c r="AK24" i="1" s="1"/>
  <c r="AJ22" i="1"/>
  <c r="AK22" i="1" s="1"/>
  <c r="AJ23" i="1"/>
  <c r="AJ124" i="1"/>
  <c r="AK124" i="1" s="1"/>
  <c r="AJ19" i="1"/>
  <c r="AK19" i="1" s="1"/>
  <c r="AJ31" i="1"/>
  <c r="AJ17" i="1"/>
  <c r="AK17" i="1" s="1"/>
  <c r="AJ18" i="1"/>
  <c r="AJ221" i="1"/>
  <c r="AJ257" i="1"/>
  <c r="AJ478" i="1"/>
  <c r="AK478" i="1" s="1"/>
  <c r="AJ351" i="1"/>
  <c r="AJ352" i="1"/>
  <c r="AJ353" i="1"/>
  <c r="AJ16" i="1"/>
  <c r="AJ249" i="1"/>
  <c r="AR249" i="1" s="1"/>
  <c r="AJ143" i="1"/>
  <c r="AK143" i="1" s="1"/>
  <c r="AJ509" i="1"/>
  <c r="AJ365" i="1"/>
  <c r="AK365" i="1" s="1"/>
  <c r="AJ95" i="1"/>
  <c r="AK95" i="1" s="1"/>
  <c r="AJ279" i="1"/>
  <c r="AK279" i="1" s="1"/>
  <c r="AJ280" i="1"/>
  <c r="AJ427" i="1"/>
  <c r="AK427" i="1" s="1"/>
  <c r="AJ425" i="1"/>
  <c r="AK425" i="1" s="1"/>
  <c r="AJ426" i="1"/>
  <c r="AJ356" i="1"/>
  <c r="AK356" i="1" s="1"/>
  <c r="AJ451" i="1"/>
  <c r="AJ11" i="1"/>
  <c r="AK11" i="1" s="1"/>
  <c r="AJ12" i="1"/>
  <c r="AJ450" i="1"/>
  <c r="AK450" i="1" s="1"/>
  <c r="AJ381" i="1"/>
  <c r="AR381" i="1" s="1"/>
  <c r="AJ382" i="1"/>
  <c r="AJ185" i="1"/>
  <c r="AJ113" i="1"/>
  <c r="AJ136" i="1"/>
  <c r="AK136" i="1" s="1"/>
  <c r="AJ137" i="1"/>
  <c r="AJ253" i="1"/>
  <c r="AK253" i="1" s="1"/>
  <c r="AJ69" i="1"/>
  <c r="AK69" i="1" s="1"/>
  <c r="AJ70" i="1"/>
  <c r="AJ308" i="1"/>
  <c r="AK308" i="1" s="1"/>
  <c r="AJ298" i="1"/>
  <c r="AK298" i="1" s="1"/>
  <c r="AJ301" i="1"/>
  <c r="AJ366" i="1"/>
  <c r="AK366" i="1" s="1"/>
  <c r="AJ40" i="1"/>
  <c r="AK40" i="1" s="1"/>
  <c r="AJ39" i="1"/>
  <c r="AJ7" i="1"/>
  <c r="AK7" i="1" s="1"/>
  <c r="AJ361" i="1"/>
  <c r="AK361" i="1" s="1"/>
  <c r="AJ362" i="1"/>
  <c r="AJ6" i="1"/>
  <c r="AK6" i="1" s="1"/>
  <c r="AJ357" i="1"/>
  <c r="AR357" i="1" s="1"/>
  <c r="AJ155" i="1"/>
  <c r="AR155" i="1" s="1"/>
  <c r="AJ325" i="1"/>
  <c r="AR325" i="1" s="1"/>
  <c r="AJ38" i="1"/>
  <c r="AR38" i="1" s="1"/>
  <c r="AJ283" i="1"/>
  <c r="AJ291" i="1"/>
  <c r="AJ224" i="1"/>
  <c r="AR224" i="1" s="1"/>
  <c r="AJ227" i="1"/>
  <c r="AR227" i="1" s="1"/>
  <c r="AJ419" i="1"/>
  <c r="AR419" i="1" s="1"/>
  <c r="AJ384" i="1"/>
  <c r="AR384" i="1" s="1"/>
  <c r="AJ383" i="1"/>
  <c r="AJ350" i="1"/>
  <c r="AJ236" i="1"/>
  <c r="AJ235" i="1"/>
  <c r="AJ394" i="1"/>
  <c r="AJ393" i="1"/>
  <c r="AJ322" i="1"/>
  <c r="AR322" i="1" s="1"/>
  <c r="AJ323" i="1"/>
  <c r="AJ367" i="1"/>
  <c r="AR367" i="1" s="1"/>
  <c r="AJ368" i="1"/>
  <c r="AJ163" i="1"/>
  <c r="AK163" i="1" s="1"/>
  <c r="AJ164" i="1"/>
  <c r="AJ347" i="1"/>
  <c r="AR347" i="1" s="1"/>
  <c r="AJ348" i="1"/>
  <c r="AJ454" i="1"/>
  <c r="AR454" i="1" s="1"/>
  <c r="AJ455" i="1"/>
  <c r="AJ198" i="1"/>
  <c r="AR198" i="1" s="1"/>
  <c r="AJ212" i="1"/>
  <c r="AR212" i="1" s="1"/>
  <c r="AJ488" i="1"/>
  <c r="AR488" i="1" s="1"/>
  <c r="AJ411" i="1"/>
  <c r="AR411" i="1" s="1"/>
  <c r="AJ435" i="1"/>
  <c r="AJ452" i="1"/>
  <c r="AR452" i="1" s="1"/>
  <c r="AJ453" i="1"/>
  <c r="AJ481" i="1"/>
  <c r="AR481" i="1" s="1"/>
  <c r="AJ479" i="1"/>
  <c r="AR479" i="1" s="1"/>
  <c r="AJ480" i="1"/>
  <c r="AJ449" i="1"/>
  <c r="AR449" i="1" s="1"/>
  <c r="AJ161" i="1"/>
  <c r="AK161" i="1" s="1"/>
  <c r="AJ374" i="1"/>
  <c r="AR374" i="1" s="1"/>
  <c r="AJ410" i="1"/>
  <c r="AR410" i="1" s="1"/>
  <c r="AJ458" i="1"/>
  <c r="AJ468" i="1"/>
  <c r="AR468" i="1" s="1"/>
  <c r="AJ418" i="1"/>
  <c r="AR418" i="1" s="1"/>
  <c r="AJ501" i="1"/>
  <c r="AR501" i="1" s="1"/>
  <c r="AJ499" i="1"/>
  <c r="AK499" i="1" s="1"/>
  <c r="AJ500" i="1"/>
  <c r="AJ329" i="1"/>
  <c r="AR329" i="1" s="1"/>
  <c r="AJ179" i="1"/>
  <c r="AR179" i="1" s="1"/>
  <c r="AJ345" i="1"/>
  <c r="AR345" i="1" s="1"/>
  <c r="AJ346" i="1"/>
  <c r="AJ445" i="1"/>
  <c r="AR445" i="1" s="1"/>
  <c r="AJ446" i="1"/>
  <c r="AJ408" i="1"/>
  <c r="AJ409" i="1"/>
  <c r="AJ289" i="1"/>
  <c r="AK289" i="1" s="1"/>
  <c r="AJ290" i="1"/>
  <c r="AJ272" i="1"/>
  <c r="AK272" i="1" s="1"/>
  <c r="AJ273" i="1"/>
  <c r="AJ508" i="1"/>
  <c r="AR508" i="1" s="1"/>
  <c r="AJ506" i="1"/>
  <c r="AR506" i="1" s="1"/>
  <c r="AJ507" i="1"/>
  <c r="AJ120" i="1"/>
  <c r="AR120" i="1" s="1"/>
  <c r="AJ460" i="1"/>
  <c r="AK460" i="1" s="1"/>
  <c r="AJ470" i="1"/>
  <c r="AK470" i="1" s="1"/>
  <c r="AJ471" i="1"/>
  <c r="AJ459" i="1"/>
  <c r="AR459" i="1" s="1"/>
  <c r="AJ463" i="1"/>
  <c r="AR463" i="1" s="1"/>
  <c r="AJ193" i="1"/>
  <c r="AR193" i="1" s="1"/>
  <c r="AJ434" i="1"/>
  <c r="AJ34" i="1"/>
  <c r="AR34" i="1" s="1"/>
  <c r="AJ191" i="1"/>
  <c r="AR191" i="1" s="1"/>
  <c r="AJ493" i="1"/>
  <c r="AR493" i="1" s="1"/>
  <c r="AJ494" i="1"/>
  <c r="AJ139" i="1"/>
  <c r="AR139" i="1" s="1"/>
  <c r="AJ340" i="1"/>
  <c r="AR340" i="1" s="1"/>
  <c r="AJ183" i="1"/>
  <c r="AR183" i="1" s="1"/>
  <c r="AJ326" i="1"/>
  <c r="AR326" i="1" s="1"/>
  <c r="AJ303" i="1"/>
  <c r="AK303" i="1" s="1"/>
  <c r="AJ474" i="1"/>
  <c r="AK474" i="1" s="1"/>
  <c r="AJ302" i="1"/>
  <c r="AJ363" i="1"/>
  <c r="AR363" i="1" s="1"/>
  <c r="AJ364" i="1"/>
  <c r="AJ359" i="1"/>
  <c r="AR359" i="1" s="1"/>
  <c r="AJ360" i="1"/>
  <c r="AJ422" i="1"/>
  <c r="AR422" i="1" s="1"/>
  <c r="AJ423" i="1"/>
  <c r="AJ207" i="1"/>
  <c r="AR207" i="1" s="1"/>
  <c r="AJ436" i="1"/>
  <c r="AJ437" i="1"/>
  <c r="AJ447" i="1"/>
  <c r="AR447" i="1" s="1"/>
  <c r="AJ448" i="1"/>
  <c r="AJ284" i="1"/>
  <c r="AR284" i="1" s="1"/>
  <c r="AJ433" i="1"/>
  <c r="AR433" i="1" s="1"/>
  <c r="AJ25" i="1"/>
  <c r="AK25" i="1" s="1"/>
  <c r="AJ56" i="1"/>
  <c r="AK56" i="1" s="1"/>
  <c r="AJ57" i="1"/>
  <c r="AJ315" i="1"/>
  <c r="AK315" i="1" s="1"/>
  <c r="AJ62" i="1"/>
  <c r="AR62" i="1" s="1"/>
  <c r="AJ63" i="1"/>
  <c r="AJ335" i="1"/>
  <c r="AR335" i="1" s="1"/>
  <c r="AJ469" i="1"/>
  <c r="AJ334" i="1"/>
  <c r="AJ466" i="1"/>
  <c r="AK466" i="1" s="1"/>
  <c r="AJ467" i="1"/>
  <c r="AJ404" i="1"/>
  <c r="AR404" i="1" s="1"/>
  <c r="AJ277" i="1"/>
  <c r="AR277" i="1" s="1"/>
  <c r="AJ71" i="1"/>
  <c r="AR71" i="1" s="1"/>
  <c r="AJ72" i="1"/>
  <c r="AR72" i="1" s="1"/>
  <c r="AJ375" i="1"/>
  <c r="AR375" i="1" s="1"/>
  <c r="AJ376" i="1"/>
  <c r="AJ134" i="1"/>
  <c r="AR134" i="1" s="1"/>
  <c r="AJ135" i="1"/>
  <c r="AJ151" i="1"/>
  <c r="AR151" i="1" s="1"/>
  <c r="AJ152" i="1"/>
  <c r="AR152" i="1" s="1"/>
  <c r="AJ310" i="1"/>
  <c r="AR310" i="1" s="1"/>
  <c r="AJ75" i="1"/>
  <c r="AR75" i="1" s="1"/>
  <c r="AJ515" i="1"/>
  <c r="AK515" i="1" s="1"/>
  <c r="AJ380" i="1"/>
  <c r="AR380" i="1" s="1"/>
  <c r="AJ377" i="1"/>
  <c r="AK377" i="1" s="1"/>
  <c r="AJ379" i="1"/>
  <c r="AJ378" i="1"/>
  <c r="AJ189" i="1"/>
  <c r="AR189" i="1" s="1"/>
  <c r="AJ402" i="1"/>
  <c r="AR402" i="1" s="1"/>
  <c r="AJ35" i="1"/>
  <c r="AR35" i="1" s="1"/>
  <c r="AJ176" i="1"/>
  <c r="AK176" i="1" s="1"/>
  <c r="AJ174" i="1"/>
  <c r="AK174" i="1" s="1"/>
  <c r="AJ175" i="1"/>
  <c r="AJ37" i="1"/>
  <c r="AR37" i="1" s="1"/>
  <c r="AJ84" i="1"/>
  <c r="AK84" i="1" s="1"/>
  <c r="AJ82" i="1"/>
  <c r="AK82" i="1" s="1"/>
  <c r="AJ83" i="1"/>
  <c r="AJ99" i="1"/>
  <c r="AJ10" i="1"/>
  <c r="AR10" i="1" s="1"/>
  <c r="AJ305" i="1"/>
  <c r="AR305" i="1" s="1"/>
  <c r="AJ100" i="1"/>
  <c r="AR100" i="1" s="1"/>
  <c r="AJ295" i="1"/>
  <c r="AR295" i="1" s="1"/>
  <c r="AJ112" i="1"/>
  <c r="AR112" i="1" s="1"/>
  <c r="AJ184" i="1"/>
  <c r="AR184" i="1" s="1"/>
  <c r="AJ288" i="1"/>
  <c r="AR288" i="1" s="1"/>
  <c r="AJ27" i="1"/>
  <c r="AR27" i="1" s="1"/>
  <c r="AJ199" i="1"/>
  <c r="AR199" i="1" s="1"/>
  <c r="AJ206" i="1"/>
  <c r="AR206" i="1" s="1"/>
  <c r="AJ244" i="1"/>
  <c r="AR244" i="1" s="1"/>
  <c r="AJ245" i="1"/>
  <c r="AR245" i="1" s="1"/>
  <c r="AJ109" i="1"/>
  <c r="AR109" i="1" s="1"/>
  <c r="AJ254" i="1"/>
  <c r="AR254" i="1" s="1"/>
  <c r="AJ255" i="1"/>
  <c r="AR255" i="1" s="1"/>
  <c r="AJ256" i="1"/>
  <c r="AR256" i="1" s="1"/>
  <c r="AJ159" i="1"/>
  <c r="AR159" i="1" s="1"/>
  <c r="AJ160" i="1"/>
  <c r="AR160" i="1" s="1"/>
  <c r="AJ138" i="1"/>
  <c r="AR138" i="1" s="1"/>
  <c r="AJ156" i="1"/>
  <c r="AR156" i="1" s="1"/>
  <c r="AJ327" i="1"/>
  <c r="AR327" i="1" s="1"/>
  <c r="AJ250" i="1"/>
  <c r="AR250" i="1" s="1"/>
  <c r="AJ215" i="1"/>
  <c r="AR215" i="1" s="1"/>
  <c r="AJ233" i="1"/>
  <c r="AR233" i="1" s="1"/>
  <c r="AJ489" i="1"/>
  <c r="AR489" i="1" s="1"/>
  <c r="AJ490" i="1"/>
  <c r="AR490" i="1" s="1"/>
  <c r="AJ53" i="1"/>
  <c r="AK53" i="1" s="1"/>
  <c r="AJ32" i="1"/>
  <c r="AR32" i="1" s="1"/>
  <c r="AJ320" i="1"/>
  <c r="AR320" i="1" s="1"/>
  <c r="AJ146" i="1"/>
  <c r="AR146" i="1" s="1"/>
  <c r="AJ180" i="1"/>
  <c r="AR180" i="1" s="1"/>
  <c r="AJ504" i="1"/>
  <c r="AR504" i="1" s="1"/>
  <c r="AJ505" i="1"/>
  <c r="AR505" i="1" s="1"/>
  <c r="AJ4" i="1"/>
  <c r="AR4" i="1" s="1"/>
  <c r="AJ102" i="1"/>
  <c r="AR102" i="1" s="1"/>
  <c r="AJ8" i="1"/>
  <c r="AR8" i="1" s="1"/>
  <c r="AJ162" i="1"/>
  <c r="AR162" i="1" s="1"/>
  <c r="AJ230" i="1"/>
  <c r="AR230" i="1" s="1"/>
  <c r="AJ231" i="1"/>
  <c r="AR231" i="1" s="1"/>
  <c r="AJ228" i="1"/>
  <c r="AR228" i="1" s="1"/>
  <c r="AJ132" i="1"/>
  <c r="AR132" i="1" s="1"/>
  <c r="AJ76" i="1"/>
  <c r="AR76" i="1" s="1"/>
  <c r="AJ59" i="1"/>
  <c r="AR59" i="1" s="1"/>
  <c r="AJ60" i="1"/>
  <c r="AR60" i="1" s="1"/>
  <c r="AJ15" i="1"/>
  <c r="AR15" i="1" s="1"/>
  <c r="AJ168" i="1"/>
  <c r="AR168" i="1" s="1"/>
  <c r="AJ169" i="1"/>
  <c r="AR169" i="1" s="1"/>
  <c r="AJ50" i="1"/>
  <c r="AR50" i="1" s="1"/>
  <c r="AJ51" i="1"/>
  <c r="AR51" i="1" s="1"/>
  <c r="AJ318" i="1"/>
  <c r="AR318" i="1" s="1"/>
  <c r="AJ319" i="1"/>
  <c r="AR319" i="1" s="1"/>
  <c r="AJ306" i="1"/>
  <c r="AR306" i="1" s="1"/>
  <c r="AJ307" i="1"/>
  <c r="AR307" i="1" s="1"/>
  <c r="AJ117" i="1"/>
  <c r="AR117" i="1" s="1"/>
  <c r="AJ118" i="1"/>
  <c r="AR118" i="1" s="1"/>
  <c r="AJ170" i="1"/>
  <c r="AR170" i="1" s="1"/>
  <c r="AJ171" i="1"/>
  <c r="AR171" i="1" s="1"/>
  <c r="AJ229" i="1"/>
  <c r="AR229" i="1" s="1"/>
  <c r="AJ260" i="1"/>
  <c r="AR260" i="1" s="1"/>
  <c r="AJ261" i="1"/>
  <c r="AR261" i="1" s="1"/>
  <c r="AJ262" i="1"/>
  <c r="AR262" i="1" s="1"/>
  <c r="AJ263" i="1"/>
  <c r="AR263" i="1" s="1"/>
  <c r="AJ264" i="1"/>
  <c r="AR264" i="1" s="1"/>
  <c r="AJ265" i="1"/>
  <c r="AR265" i="1" s="1"/>
  <c r="AJ266" i="1"/>
  <c r="AR266" i="1" s="1"/>
  <c r="AJ43" i="1"/>
  <c r="AR43" i="1" s="1"/>
  <c r="AJ269" i="1"/>
  <c r="AR269" i="1" s="1"/>
  <c r="AJ270" i="1"/>
  <c r="AR270" i="1" s="1"/>
  <c r="AJ216" i="1"/>
  <c r="AR216" i="1" s="1"/>
  <c r="AJ217" i="1"/>
  <c r="AR217" i="1" s="1"/>
  <c r="AJ218" i="1"/>
  <c r="AR218" i="1" s="1"/>
  <c r="AJ271" i="1"/>
  <c r="AR271" i="1" s="1"/>
  <c r="AJ321" i="1"/>
  <c r="AR321" i="1" s="1"/>
  <c r="AJ78" i="1"/>
  <c r="AR78" i="1" s="1"/>
  <c r="AJ79" i="1"/>
  <c r="AR79" i="1" s="1"/>
  <c r="AJ80" i="1"/>
  <c r="AR80" i="1" s="1"/>
  <c r="AJ93" i="1"/>
  <c r="AR93" i="1" s="1"/>
  <c r="AJ94" i="1"/>
  <c r="AR94" i="1" s="1"/>
  <c r="AJ232" i="1"/>
  <c r="AR232" i="1" s="1"/>
  <c r="AJ314" i="1"/>
  <c r="AR314" i="1" s="1"/>
  <c r="AJ46" i="1"/>
  <c r="AR46" i="1" s="1"/>
  <c r="AJ274" i="1"/>
  <c r="AR274" i="1" s="1"/>
  <c r="AJ275" i="1"/>
  <c r="AR275" i="1" s="1"/>
  <c r="AJ276" i="1"/>
  <c r="AR276" i="1" s="1"/>
  <c r="AJ73" i="1"/>
  <c r="AR73" i="1" s="1"/>
  <c r="AJ74" i="1"/>
  <c r="AR74" i="1" s="1"/>
  <c r="AJ311" i="1"/>
  <c r="AR311" i="1" s="1"/>
  <c r="AJ312" i="1"/>
  <c r="AR312" i="1" s="1"/>
  <c r="AJ195" i="1"/>
  <c r="AR195" i="1" s="1"/>
  <c r="AJ196" i="1"/>
  <c r="AR196" i="1" s="1"/>
  <c r="AJ197" i="1"/>
  <c r="AR197" i="1" s="1"/>
  <c r="AJ5" i="1"/>
  <c r="AR5" i="1" s="1"/>
  <c r="AJ108" i="1"/>
  <c r="AR108" i="1" s="1"/>
  <c r="AJ97" i="1"/>
  <c r="AR97" i="1" s="1"/>
  <c r="AJ190" i="1"/>
  <c r="AR190" i="1" s="1"/>
  <c r="AJ29" i="1"/>
  <c r="AR29" i="1" s="1"/>
  <c r="AJ28" i="1"/>
  <c r="AR28" i="1" s="1"/>
  <c r="AJ150" i="1"/>
  <c r="AR150" i="1" s="1"/>
  <c r="AJ158" i="1"/>
  <c r="AR158" i="1" s="1"/>
  <c r="AJ209" i="1"/>
  <c r="AR209" i="1" s="1"/>
  <c r="AJ210" i="1"/>
  <c r="AR210" i="1" s="1"/>
  <c r="AJ211" i="1"/>
  <c r="AR211" i="1" s="1"/>
  <c r="AJ242" i="1"/>
  <c r="AR242" i="1" s="1"/>
  <c r="AJ243" i="1"/>
  <c r="AR243" i="1" s="1"/>
  <c r="AJ336" i="1"/>
  <c r="AR336" i="1" s="1"/>
  <c r="AJ337" i="1"/>
  <c r="AR337" i="1" s="1"/>
  <c r="AJ344" i="1"/>
  <c r="AR344" i="1" s="1"/>
  <c r="AJ186" i="1"/>
  <c r="AR186" i="1" s="1"/>
  <c r="AJ47" i="1"/>
  <c r="AR47" i="1" s="1"/>
  <c r="AJ48" i="1"/>
  <c r="AR48" i="1" s="1"/>
  <c r="AJ49" i="1"/>
  <c r="AR49" i="1" s="1"/>
  <c r="AJ65" i="1"/>
  <c r="AR65" i="1" s="1"/>
  <c r="AJ208" i="1"/>
  <c r="AR208" i="1" s="1"/>
  <c r="AJ122" i="1"/>
  <c r="AR122" i="1" s="1"/>
  <c r="AJ285" i="1"/>
  <c r="AR285" i="1" s="1"/>
  <c r="AJ399" i="1"/>
  <c r="AR399" i="1" s="1"/>
  <c r="AJ400" i="1"/>
  <c r="AR400" i="1" s="1"/>
  <c r="AJ187" i="1"/>
  <c r="AR187" i="1" s="1"/>
  <c r="AJ188" i="1"/>
  <c r="AR188" i="1" s="1"/>
  <c r="AJ401" i="1"/>
  <c r="AR401" i="1" s="1"/>
  <c r="AJ403" i="1"/>
  <c r="AR403" i="1" s="1"/>
  <c r="AJ141" i="1"/>
  <c r="AR141" i="1" s="1"/>
  <c r="AJ142" i="1"/>
  <c r="AR142" i="1" s="1"/>
  <c r="AJ278" i="1"/>
  <c r="AR278" i="1" s="1"/>
  <c r="AJ204" i="1"/>
  <c r="AR204" i="1" s="1"/>
  <c r="AJ405" i="1"/>
  <c r="AK405" i="1" s="1"/>
  <c r="AJ144" i="1"/>
  <c r="AR144" i="1" s="1"/>
  <c r="AJ145" i="1"/>
  <c r="AR145" i="1" s="1"/>
  <c r="AJ133" i="1"/>
  <c r="AR133" i="1" s="1"/>
  <c r="AJ251" i="1"/>
  <c r="AR251" i="1" s="1"/>
  <c r="AJ213" i="1"/>
  <c r="AR213" i="1" s="1"/>
  <c r="AJ258" i="1"/>
  <c r="AR258" i="1" s="1"/>
  <c r="AJ259" i="1"/>
  <c r="AR259" i="1" s="1"/>
  <c r="AJ148" i="1"/>
  <c r="AR148" i="1" s="1"/>
  <c r="AJ149" i="1"/>
  <c r="AR149" i="1" s="1"/>
  <c r="AJ13" i="1"/>
  <c r="AR13" i="1" s="1"/>
  <c r="AJ14" i="1"/>
  <c r="AR14" i="1" s="1"/>
  <c r="AJ66" i="1"/>
  <c r="AR66" i="1" s="1"/>
  <c r="AJ67" i="1"/>
  <c r="AR67" i="1" s="1"/>
  <c r="AJ324" i="1"/>
  <c r="AR324" i="1" s="1"/>
  <c r="AJ234" i="1"/>
  <c r="AR234" i="1" s="1"/>
  <c r="AJ54" i="1"/>
  <c r="AR54" i="1" s="1"/>
  <c r="AJ55" i="1"/>
  <c r="AR55" i="1" s="1"/>
  <c r="AJ105" i="1"/>
  <c r="AR105" i="1" s="1"/>
  <c r="AJ106" i="1"/>
  <c r="AR106" i="1" s="1"/>
  <c r="AJ282" i="1"/>
  <c r="AR282" i="1" s="1"/>
  <c r="AJ240" i="1"/>
  <c r="AR240" i="1" s="1"/>
  <c r="AJ241" i="1"/>
  <c r="AR241" i="1" s="1"/>
  <c r="AJ205" i="1"/>
  <c r="AR205" i="1" s="1"/>
  <c r="AJ101" i="1"/>
  <c r="AR101" i="1" s="1"/>
  <c r="AJ292" i="1"/>
  <c r="AR292" i="1" s="1"/>
  <c r="AJ328" i="1"/>
  <c r="AR328" i="1" s="1"/>
  <c r="AJ128" i="1"/>
  <c r="AR128" i="1" s="1"/>
  <c r="AJ129" i="1"/>
  <c r="AR129" i="1" s="1"/>
  <c r="AJ194" i="1"/>
  <c r="AR194" i="1" s="1"/>
  <c r="AJ226" i="1"/>
  <c r="AR226" i="1" s="1"/>
  <c r="AJ107" i="1"/>
  <c r="AR107" i="1" s="1"/>
  <c r="AJ96" i="1"/>
  <c r="AR96" i="1" s="1"/>
  <c r="AJ61" i="1"/>
  <c r="AR61" i="1" s="1"/>
  <c r="AJ9" i="1"/>
  <c r="AR9" i="1" s="1"/>
  <c r="AJ111" i="1"/>
  <c r="AR111" i="1" s="1"/>
  <c r="AJ52" i="1"/>
  <c r="AR52" i="1" s="1"/>
  <c r="AJ248" i="1"/>
  <c r="AR248" i="1" s="1"/>
  <c r="AJ247" i="1"/>
  <c r="AR247" i="1" s="1"/>
  <c r="N4" i="15"/>
  <c r="M172" i="14"/>
  <c r="V156" i="14" s="1"/>
  <c r="L172" i="14"/>
  <c r="U156" i="14" s="1"/>
  <c r="K172" i="14"/>
  <c r="T156" i="14" s="1"/>
  <c r="J172" i="14"/>
  <c r="S156" i="14" s="1"/>
  <c r="M171" i="14"/>
  <c r="V155" i="14" s="1"/>
  <c r="L171" i="14"/>
  <c r="U155" i="14" s="1"/>
  <c r="K171" i="14"/>
  <c r="T155" i="14" s="1"/>
  <c r="J171" i="14"/>
  <c r="S155" i="14" s="1"/>
  <c r="M170" i="14"/>
  <c r="V154" i="14" s="1"/>
  <c r="L170" i="14"/>
  <c r="U154" i="14" s="1"/>
  <c r="K170" i="14"/>
  <c r="T154" i="14" s="1"/>
  <c r="J170" i="14"/>
  <c r="S154" i="14" s="1"/>
  <c r="M169" i="14"/>
  <c r="V153" i="14" s="1"/>
  <c r="L169" i="14"/>
  <c r="U153" i="14" s="1"/>
  <c r="K169" i="14"/>
  <c r="T153" i="14" s="1"/>
  <c r="J169" i="14"/>
  <c r="S153" i="14" s="1"/>
  <c r="M168" i="14"/>
  <c r="V152" i="14" s="1"/>
  <c r="L168" i="14"/>
  <c r="U152" i="14" s="1"/>
  <c r="K168" i="14"/>
  <c r="T152" i="14" s="1"/>
  <c r="J168" i="14"/>
  <c r="S152" i="14" s="1"/>
  <c r="M167" i="14"/>
  <c r="V151" i="14" s="1"/>
  <c r="L167" i="14"/>
  <c r="U151" i="14" s="1"/>
  <c r="K167" i="14"/>
  <c r="T151" i="14" s="1"/>
  <c r="J167" i="14"/>
  <c r="S151" i="14" s="1"/>
  <c r="M166" i="14"/>
  <c r="V150" i="14" s="1"/>
  <c r="L166" i="14"/>
  <c r="U150" i="14" s="1"/>
  <c r="K166" i="14"/>
  <c r="T150" i="14" s="1"/>
  <c r="J166" i="14"/>
  <c r="S150" i="14" s="1"/>
  <c r="M165" i="14"/>
  <c r="V149" i="14" s="1"/>
  <c r="L165" i="14"/>
  <c r="U149" i="14" s="1"/>
  <c r="K165" i="14"/>
  <c r="T149" i="14" s="1"/>
  <c r="J165" i="14"/>
  <c r="S149" i="14" s="1"/>
  <c r="M164" i="14"/>
  <c r="V148" i="14" s="1"/>
  <c r="L164" i="14"/>
  <c r="U148" i="14" s="1"/>
  <c r="K164" i="14"/>
  <c r="T148" i="14" s="1"/>
  <c r="J164" i="14"/>
  <c r="S148" i="14" s="1"/>
  <c r="M163" i="14"/>
  <c r="V147" i="14" s="1"/>
  <c r="L163" i="14"/>
  <c r="U147" i="14" s="1"/>
  <c r="K163" i="14"/>
  <c r="T147" i="14" s="1"/>
  <c r="J163" i="14"/>
  <c r="S147" i="14" s="1"/>
  <c r="M162" i="14"/>
  <c r="V146" i="14" s="1"/>
  <c r="L162" i="14"/>
  <c r="U146" i="14" s="1"/>
  <c r="K162" i="14"/>
  <c r="T146" i="14" s="1"/>
  <c r="J162" i="14"/>
  <c r="S146" i="14" s="1"/>
  <c r="M161" i="14"/>
  <c r="V145" i="14" s="1"/>
  <c r="L161" i="14"/>
  <c r="U145" i="14" s="1"/>
  <c r="K161" i="14"/>
  <c r="T145" i="14" s="1"/>
  <c r="J161" i="14"/>
  <c r="S145" i="14" s="1"/>
  <c r="M160" i="14"/>
  <c r="V144" i="14" s="1"/>
  <c r="L160" i="14"/>
  <c r="U144" i="14" s="1"/>
  <c r="K160" i="14"/>
  <c r="T144" i="14" s="1"/>
  <c r="J160" i="14"/>
  <c r="S144" i="14" s="1"/>
  <c r="M159" i="14"/>
  <c r="V143" i="14" s="1"/>
  <c r="L159" i="14"/>
  <c r="U143" i="14" s="1"/>
  <c r="K159" i="14"/>
  <c r="T143" i="14" s="1"/>
  <c r="J159" i="14"/>
  <c r="S143" i="14" s="1"/>
  <c r="V158" i="14"/>
  <c r="U158" i="14"/>
  <c r="T158" i="14"/>
  <c r="S158" i="14"/>
  <c r="R158" i="14"/>
  <c r="Q158" i="14"/>
  <c r="P158" i="14"/>
  <c r="M158" i="14"/>
  <c r="V142" i="14" s="1"/>
  <c r="L158" i="14"/>
  <c r="U142" i="14" s="1"/>
  <c r="K158" i="14"/>
  <c r="T142" i="14" s="1"/>
  <c r="J158" i="14"/>
  <c r="S142" i="14" s="1"/>
  <c r="V157" i="14"/>
  <c r="U157" i="14"/>
  <c r="T157" i="14"/>
  <c r="S157" i="14"/>
  <c r="R157" i="14"/>
  <c r="Q157" i="14"/>
  <c r="P157" i="14"/>
  <c r="M157" i="14"/>
  <c r="V141" i="14" s="1"/>
  <c r="L157" i="14"/>
  <c r="U141" i="14" s="1"/>
  <c r="K157" i="14"/>
  <c r="T141" i="14" s="1"/>
  <c r="J157" i="14"/>
  <c r="S141" i="14" s="1"/>
  <c r="R156" i="14"/>
  <c r="Q156" i="14"/>
  <c r="P156" i="14"/>
  <c r="M156" i="14"/>
  <c r="V140" i="14" s="1"/>
  <c r="L156" i="14"/>
  <c r="U140" i="14" s="1"/>
  <c r="K156" i="14"/>
  <c r="T140" i="14" s="1"/>
  <c r="J156" i="14"/>
  <c r="S140" i="14" s="1"/>
  <c r="R155" i="14"/>
  <c r="Q155" i="14"/>
  <c r="P155" i="14"/>
  <c r="M155" i="14"/>
  <c r="V139" i="14" s="1"/>
  <c r="L155" i="14"/>
  <c r="U139" i="14" s="1"/>
  <c r="K155" i="14"/>
  <c r="T139" i="14" s="1"/>
  <c r="J155" i="14"/>
  <c r="S139" i="14" s="1"/>
  <c r="R154" i="14"/>
  <c r="Q154" i="14"/>
  <c r="P154" i="14"/>
  <c r="M154" i="14"/>
  <c r="V138" i="14" s="1"/>
  <c r="L154" i="14"/>
  <c r="U138" i="14" s="1"/>
  <c r="K154" i="14"/>
  <c r="T138" i="14" s="1"/>
  <c r="J154" i="14"/>
  <c r="S138" i="14" s="1"/>
  <c r="R153" i="14"/>
  <c r="Q153" i="14"/>
  <c r="P153" i="14"/>
  <c r="M153" i="14"/>
  <c r="V137" i="14" s="1"/>
  <c r="L153" i="14"/>
  <c r="U137" i="14" s="1"/>
  <c r="K153" i="14"/>
  <c r="T137" i="14" s="1"/>
  <c r="J153" i="14"/>
  <c r="S137" i="14" s="1"/>
  <c r="R152" i="14"/>
  <c r="Q152" i="14"/>
  <c r="P152" i="14"/>
  <c r="M152" i="14"/>
  <c r="V136" i="14" s="1"/>
  <c r="L152" i="14"/>
  <c r="U136" i="14" s="1"/>
  <c r="K152" i="14"/>
  <c r="T136" i="14" s="1"/>
  <c r="J152" i="14"/>
  <c r="S136" i="14" s="1"/>
  <c r="R151" i="14"/>
  <c r="Q151" i="14"/>
  <c r="P151" i="14"/>
  <c r="M151" i="14"/>
  <c r="V135" i="14" s="1"/>
  <c r="L151" i="14"/>
  <c r="U135" i="14" s="1"/>
  <c r="K151" i="14"/>
  <c r="T135" i="14" s="1"/>
  <c r="J151" i="14"/>
  <c r="S135" i="14" s="1"/>
  <c r="R150" i="14"/>
  <c r="Q150" i="14"/>
  <c r="P150" i="14"/>
  <c r="M150" i="14"/>
  <c r="V134" i="14" s="1"/>
  <c r="L150" i="14"/>
  <c r="U134" i="14" s="1"/>
  <c r="K150" i="14"/>
  <c r="T134" i="14" s="1"/>
  <c r="J150" i="14"/>
  <c r="S134" i="14" s="1"/>
  <c r="R149" i="14"/>
  <c r="Q149" i="14"/>
  <c r="P149" i="14"/>
  <c r="M149" i="14"/>
  <c r="V133" i="14" s="1"/>
  <c r="L149" i="14"/>
  <c r="U133" i="14" s="1"/>
  <c r="K149" i="14"/>
  <c r="T133" i="14" s="1"/>
  <c r="J149" i="14"/>
  <c r="S133" i="14" s="1"/>
  <c r="R148" i="14"/>
  <c r="Q148" i="14"/>
  <c r="P148" i="14"/>
  <c r="M148" i="14"/>
  <c r="V132" i="14" s="1"/>
  <c r="L148" i="14"/>
  <c r="U132" i="14" s="1"/>
  <c r="K148" i="14"/>
  <c r="T132" i="14" s="1"/>
  <c r="J148" i="14"/>
  <c r="S132" i="14" s="1"/>
  <c r="R147" i="14"/>
  <c r="Q147" i="14"/>
  <c r="P147" i="14"/>
  <c r="M147" i="14"/>
  <c r="L147" i="14"/>
  <c r="K147" i="14"/>
  <c r="J147" i="14"/>
  <c r="R146" i="14"/>
  <c r="Q146" i="14"/>
  <c r="P146" i="14"/>
  <c r="M146" i="14"/>
  <c r="L146" i="14"/>
  <c r="K146" i="14"/>
  <c r="J146" i="14"/>
  <c r="R145" i="14"/>
  <c r="Q145" i="14"/>
  <c r="P145" i="14"/>
  <c r="M145" i="14"/>
  <c r="L145" i="14"/>
  <c r="K145" i="14"/>
  <c r="J145" i="14"/>
  <c r="R144" i="14"/>
  <c r="Q144" i="14"/>
  <c r="P144" i="14"/>
  <c r="M144" i="14"/>
  <c r="L144" i="14"/>
  <c r="K144" i="14"/>
  <c r="J144" i="14"/>
  <c r="R143" i="14"/>
  <c r="Q143" i="14"/>
  <c r="P143" i="14"/>
  <c r="M143" i="14"/>
  <c r="L143" i="14"/>
  <c r="K143" i="14"/>
  <c r="J143" i="14"/>
  <c r="R142" i="14"/>
  <c r="Q142" i="14"/>
  <c r="P142" i="14"/>
  <c r="M142" i="14"/>
  <c r="L142" i="14"/>
  <c r="K142" i="14"/>
  <c r="J142" i="14"/>
  <c r="R141" i="14"/>
  <c r="Q141" i="14"/>
  <c r="P141" i="14"/>
  <c r="M141" i="14"/>
  <c r="L141" i="14"/>
  <c r="K141" i="14"/>
  <c r="J141" i="14"/>
  <c r="R140" i="14"/>
  <c r="Q140" i="14"/>
  <c r="P140" i="14"/>
  <c r="M140" i="14"/>
  <c r="L140" i="14"/>
  <c r="K140" i="14"/>
  <c r="J140" i="14"/>
  <c r="R139" i="14"/>
  <c r="Q139" i="14"/>
  <c r="P139" i="14"/>
  <c r="M139" i="14"/>
  <c r="L139" i="14"/>
  <c r="K139" i="14"/>
  <c r="J139" i="14"/>
  <c r="R138" i="14"/>
  <c r="Q138" i="14"/>
  <c r="P138" i="14"/>
  <c r="M138" i="14"/>
  <c r="L138" i="14"/>
  <c r="K138" i="14"/>
  <c r="J138" i="14"/>
  <c r="R137" i="14"/>
  <c r="Q137" i="14"/>
  <c r="P137" i="14"/>
  <c r="M137" i="14"/>
  <c r="L137" i="14"/>
  <c r="K137" i="14"/>
  <c r="J137" i="14"/>
  <c r="R136" i="14"/>
  <c r="Q136" i="14"/>
  <c r="P136" i="14"/>
  <c r="M136" i="14"/>
  <c r="L136" i="14"/>
  <c r="K136" i="14"/>
  <c r="J136" i="14"/>
  <c r="R135" i="14"/>
  <c r="Q135" i="14"/>
  <c r="P135" i="14"/>
  <c r="M135" i="14"/>
  <c r="V131" i="14" s="1"/>
  <c r="L135" i="14"/>
  <c r="U131" i="14" s="1"/>
  <c r="K135" i="14"/>
  <c r="T131" i="14" s="1"/>
  <c r="J135" i="14"/>
  <c r="S131" i="14" s="1"/>
  <c r="R134" i="14"/>
  <c r="Q134" i="14"/>
  <c r="P134" i="14"/>
  <c r="M134" i="14"/>
  <c r="V130" i="14" s="1"/>
  <c r="L134" i="14"/>
  <c r="U130" i="14" s="1"/>
  <c r="K134" i="14"/>
  <c r="T130" i="14" s="1"/>
  <c r="J134" i="14"/>
  <c r="S130" i="14" s="1"/>
  <c r="R133" i="14"/>
  <c r="Q133" i="14"/>
  <c r="P133" i="14"/>
  <c r="A133" i="14"/>
  <c r="M133" i="14" s="1"/>
  <c r="V129" i="14" s="1"/>
  <c r="R132" i="14"/>
  <c r="Q132" i="14"/>
  <c r="P132" i="14"/>
  <c r="A132" i="14"/>
  <c r="M132" i="14" s="1"/>
  <c r="V128" i="14" s="1"/>
  <c r="R131" i="14"/>
  <c r="Q131" i="14"/>
  <c r="A131" i="14"/>
  <c r="M131" i="14" s="1"/>
  <c r="V127" i="14" s="1"/>
  <c r="R130" i="14"/>
  <c r="Q130" i="14"/>
  <c r="A130" i="14"/>
  <c r="M130" i="14" s="1"/>
  <c r="V126" i="14" s="1"/>
  <c r="A129" i="14"/>
  <c r="M129" i="14" s="1"/>
  <c r="V125" i="14" s="1"/>
  <c r="A128" i="14"/>
  <c r="M128" i="14" s="1"/>
  <c r="V124" i="14" s="1"/>
  <c r="A127" i="14"/>
  <c r="M127" i="14" s="1"/>
  <c r="V123" i="14" s="1"/>
  <c r="A126" i="14"/>
  <c r="M126" i="14" s="1"/>
  <c r="V122" i="14" s="1"/>
  <c r="A125" i="14"/>
  <c r="M125" i="14" s="1"/>
  <c r="V121" i="14" s="1"/>
  <c r="A124" i="14"/>
  <c r="M124" i="14" s="1"/>
  <c r="V120" i="14" s="1"/>
  <c r="A123" i="14"/>
  <c r="M123" i="14" s="1"/>
  <c r="V119" i="14" s="1"/>
  <c r="A122" i="14"/>
  <c r="M122" i="14" s="1"/>
  <c r="V118" i="14" s="1"/>
  <c r="A121" i="14"/>
  <c r="M121" i="14" s="1"/>
  <c r="V117" i="14" s="1"/>
  <c r="M120" i="14"/>
  <c r="V116" i="14" s="1"/>
  <c r="L120" i="14"/>
  <c r="U116" i="14" s="1"/>
  <c r="K120" i="14"/>
  <c r="T116" i="14" s="1"/>
  <c r="J120" i="14"/>
  <c r="S116" i="14" s="1"/>
  <c r="M119" i="14"/>
  <c r="V115" i="14" s="1"/>
  <c r="L119" i="14"/>
  <c r="U115" i="14" s="1"/>
  <c r="K119" i="14"/>
  <c r="T115" i="14" s="1"/>
  <c r="J119" i="14"/>
  <c r="S115" i="14" s="1"/>
  <c r="M118" i="14"/>
  <c r="V114" i="14" s="1"/>
  <c r="L118" i="14"/>
  <c r="U114" i="14" s="1"/>
  <c r="K118" i="14"/>
  <c r="T114" i="14" s="1"/>
  <c r="J118" i="14"/>
  <c r="S114" i="14" s="1"/>
  <c r="M117" i="14"/>
  <c r="V113" i="14" s="1"/>
  <c r="L117" i="14"/>
  <c r="U113" i="14" s="1"/>
  <c r="K117" i="14"/>
  <c r="T113" i="14" s="1"/>
  <c r="J117" i="14"/>
  <c r="S113" i="14" s="1"/>
  <c r="R116" i="14"/>
  <c r="Q116" i="14"/>
  <c r="M116" i="14"/>
  <c r="L116" i="14"/>
  <c r="K116" i="14"/>
  <c r="J116" i="14"/>
  <c r="R115" i="14"/>
  <c r="Q115" i="14"/>
  <c r="M115" i="14"/>
  <c r="L115" i="14"/>
  <c r="K115" i="14"/>
  <c r="J115" i="14"/>
  <c r="R114" i="14"/>
  <c r="Q114" i="14"/>
  <c r="M114" i="14"/>
  <c r="L114" i="14"/>
  <c r="K114" i="14"/>
  <c r="J114" i="14"/>
  <c r="R113" i="14"/>
  <c r="Q113" i="14"/>
  <c r="M113" i="14"/>
  <c r="L113" i="14"/>
  <c r="K113" i="14"/>
  <c r="J113" i="14"/>
  <c r="A112" i="14"/>
  <c r="R112" i="14" s="1"/>
  <c r="A111" i="14"/>
  <c r="R111" i="14" s="1"/>
  <c r="A110" i="14"/>
  <c r="R110" i="14" s="1"/>
  <c r="A109" i="14"/>
  <c r="R109" i="14" s="1"/>
  <c r="A108" i="14"/>
  <c r="R108" i="14" s="1"/>
  <c r="A107" i="14"/>
  <c r="R107" i="14" s="1"/>
  <c r="A106" i="14"/>
  <c r="R106" i="14" s="1"/>
  <c r="A105" i="14"/>
  <c r="R105" i="14" s="1"/>
  <c r="A104" i="14"/>
  <c r="R104" i="14" s="1"/>
  <c r="A103" i="14"/>
  <c r="R103" i="14" s="1"/>
  <c r="A102" i="14"/>
  <c r="R102" i="14" s="1"/>
  <c r="A101" i="14"/>
  <c r="R101" i="14" s="1"/>
  <c r="A100" i="14"/>
  <c r="R100" i="14" s="1"/>
  <c r="A99" i="14"/>
  <c r="R99" i="14" s="1"/>
  <c r="A98" i="14"/>
  <c r="R98" i="14" s="1"/>
  <c r="A97" i="14"/>
  <c r="R97" i="14" s="1"/>
  <c r="A96" i="14"/>
  <c r="R96" i="14" s="1"/>
  <c r="A95" i="14"/>
  <c r="R95" i="14" s="1"/>
  <c r="A94" i="14"/>
  <c r="R94" i="14" s="1"/>
  <c r="A93" i="14"/>
  <c r="R93" i="14" s="1"/>
  <c r="A92" i="14"/>
  <c r="R92" i="14" s="1"/>
  <c r="A91" i="14"/>
  <c r="R91" i="14" s="1"/>
  <c r="A90" i="14"/>
  <c r="R90" i="14" s="1"/>
  <c r="A89" i="14"/>
  <c r="R89" i="14" s="1"/>
  <c r="A88" i="14"/>
  <c r="R88" i="14" s="1"/>
  <c r="A87" i="14"/>
  <c r="R87" i="14" s="1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R51" i="14" s="1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R84" i="14" s="1"/>
  <c r="A27" i="14"/>
  <c r="R55" i="14" s="1"/>
  <c r="A26" i="14"/>
  <c r="A25" i="14"/>
  <c r="A24" i="14"/>
  <c r="R36" i="14" s="1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R80" i="14" l="1"/>
  <c r="AL465" i="1"/>
  <c r="AK465" i="1"/>
  <c r="AR465" i="1"/>
  <c r="AR88" i="1"/>
  <c r="AL173" i="1"/>
  <c r="AL88" i="1"/>
  <c r="AK173" i="1"/>
  <c r="AR173" i="1"/>
  <c r="AR464" i="1"/>
  <c r="AK464" i="1"/>
  <c r="AR391" i="1"/>
  <c r="AK391" i="1"/>
  <c r="AK246" i="1"/>
  <c r="AR246" i="1"/>
  <c r="AR472" i="1"/>
  <c r="AK472" i="1"/>
  <c r="AK165" i="1"/>
  <c r="AR165" i="1"/>
  <c r="AK85" i="1"/>
  <c r="AR85" i="1"/>
  <c r="AK462" i="1"/>
  <c r="AR462" i="1"/>
  <c r="AL391" i="1"/>
  <c r="AL87" i="1"/>
  <c r="AL85" i="1"/>
  <c r="AL518" i="1"/>
  <c r="AL123" i="1"/>
  <c r="AL246" i="1"/>
  <c r="AL157" i="1"/>
  <c r="AL392" i="1"/>
  <c r="AL462" i="1"/>
  <c r="AL519" i="1"/>
  <c r="AL165" i="1"/>
  <c r="AL464" i="1"/>
  <c r="AL473" i="1"/>
  <c r="AL86" i="1"/>
  <c r="AL472" i="1"/>
  <c r="AK519" i="1"/>
  <c r="AR519" i="1"/>
  <c r="AR392" i="1"/>
  <c r="AK392" i="1"/>
  <c r="AR518" i="1"/>
  <c r="AK518" i="1"/>
  <c r="AK123" i="1"/>
  <c r="AR123" i="1"/>
  <c r="AR473" i="1"/>
  <c r="AK473" i="1"/>
  <c r="AK86" i="1"/>
  <c r="AR86" i="1"/>
  <c r="AK87" i="1"/>
  <c r="AR87" i="1"/>
  <c r="AK157" i="1"/>
  <c r="AR157" i="1"/>
  <c r="AL370" i="1"/>
  <c r="AL371" i="1"/>
  <c r="AK371" i="1"/>
  <c r="AR371" i="1"/>
  <c r="AK370" i="1"/>
  <c r="AR370" i="1"/>
  <c r="AL309" i="1"/>
  <c r="AK309" i="1"/>
  <c r="AR309" i="1"/>
  <c r="AL98" i="1"/>
  <c r="AR116" i="1"/>
  <c r="AK98" i="1"/>
  <c r="AR98" i="1"/>
  <c r="AL115" i="1"/>
  <c r="AL116" i="1"/>
  <c r="AK115" i="1"/>
  <c r="AR115" i="1"/>
  <c r="AK355" i="1"/>
  <c r="AR355" i="1"/>
  <c r="AK341" i="1"/>
  <c r="AR341" i="1"/>
  <c r="AL341" i="1"/>
  <c r="AL354" i="1"/>
  <c r="AL432" i="1"/>
  <c r="AL431" i="1"/>
  <c r="AL140" i="1"/>
  <c r="AL355" i="1"/>
  <c r="AK140" i="1"/>
  <c r="AR140" i="1"/>
  <c r="AK432" i="1"/>
  <c r="AR432" i="1"/>
  <c r="AK431" i="1"/>
  <c r="AR431" i="1"/>
  <c r="AK354" i="1"/>
  <c r="AR354" i="1"/>
  <c r="AK81" i="1"/>
  <c r="AR81" i="1"/>
  <c r="AR77" i="1"/>
  <c r="AK77" i="1"/>
  <c r="AL516" i="1"/>
  <c r="AL372" i="1"/>
  <c r="AL21" i="1"/>
  <c r="AL517" i="1"/>
  <c r="AL373" i="1"/>
  <c r="AL77" i="1"/>
  <c r="AL30" i="1"/>
  <c r="AL81" i="1"/>
  <c r="AR373" i="1"/>
  <c r="AK373" i="1"/>
  <c r="AK516" i="1"/>
  <c r="AR516" i="1"/>
  <c r="AK517" i="1"/>
  <c r="AR517" i="1"/>
  <c r="AR21" i="1"/>
  <c r="AK21" i="1"/>
  <c r="AK30" i="1"/>
  <c r="AR30" i="1"/>
  <c r="AR372" i="1"/>
  <c r="AK372" i="1"/>
  <c r="AL130" i="1"/>
  <c r="AL131" i="1"/>
  <c r="AL177" i="1"/>
  <c r="AL178" i="1"/>
  <c r="AK178" i="1"/>
  <c r="AR178" i="1"/>
  <c r="AK177" i="1"/>
  <c r="AR177" i="1"/>
  <c r="AK131" i="1"/>
  <c r="AR131" i="1"/>
  <c r="AK130" i="1"/>
  <c r="AR130" i="1"/>
  <c r="AL412" i="1"/>
  <c r="AL413" i="1"/>
  <c r="AK413" i="1"/>
  <c r="AR413" i="1"/>
  <c r="AK412" i="1"/>
  <c r="AR412" i="1"/>
  <c r="AL414" i="1"/>
  <c r="AK414" i="1"/>
  <c r="AR414" i="1"/>
  <c r="AK300" i="1"/>
  <c r="AR300" i="1"/>
  <c r="AL299" i="1"/>
  <c r="AL300" i="1"/>
  <c r="AK299" i="1"/>
  <c r="AR299" i="1"/>
  <c r="AL200" i="1"/>
  <c r="AL147" i="1"/>
  <c r="AK147" i="1"/>
  <c r="AR147" i="1"/>
  <c r="AK200" i="1"/>
  <c r="AR200" i="1"/>
  <c r="AL223" i="1"/>
  <c r="AR222" i="1"/>
  <c r="AK223" i="1"/>
  <c r="AR223" i="1"/>
  <c r="AL338" i="1"/>
  <c r="AL222" i="1"/>
  <c r="AK338" i="1"/>
  <c r="AR338" i="1"/>
  <c r="AL512" i="1"/>
  <c r="AK512" i="1"/>
  <c r="AR512" i="1"/>
  <c r="AL339" i="1"/>
  <c r="AL511" i="1"/>
  <c r="AK511" i="1"/>
  <c r="AR511" i="1"/>
  <c r="AK339" i="1"/>
  <c r="AR339" i="1"/>
  <c r="AR417" i="1"/>
  <c r="AL416" i="1"/>
  <c r="AL417" i="1"/>
  <c r="AK416" i="1"/>
  <c r="AR416" i="1"/>
  <c r="AR429" i="1"/>
  <c r="AR485" i="1"/>
  <c r="AR45" i="1"/>
  <c r="AL44" i="1"/>
  <c r="AL45" i="1"/>
  <c r="AK44" i="1"/>
  <c r="AR44" i="1"/>
  <c r="AL441" i="1"/>
  <c r="AL485" i="1"/>
  <c r="AK441" i="1"/>
  <c r="AR441" i="1"/>
  <c r="AL428" i="1"/>
  <c r="AL429" i="1"/>
  <c r="AK428" i="1"/>
  <c r="AR428" i="1"/>
  <c r="AK349" i="1"/>
  <c r="AR349" i="1"/>
  <c r="AL42" i="1"/>
  <c r="AL20" i="1"/>
  <c r="AL92" i="1"/>
  <c r="AL349" i="1"/>
  <c r="AK92" i="1"/>
  <c r="AR92" i="1"/>
  <c r="AK20" i="1"/>
  <c r="AR20" i="1"/>
  <c r="AK42" i="1"/>
  <c r="AR42" i="1"/>
  <c r="AK114" i="1"/>
  <c r="AR114" i="1"/>
  <c r="AK396" i="1"/>
  <c r="AR396" i="1"/>
  <c r="AL386" i="1"/>
  <c r="AL395" i="1"/>
  <c r="AL202" i="1"/>
  <c r="AL396" i="1"/>
  <c r="AL203" i="1"/>
  <c r="AL110" i="1"/>
  <c r="AL369" i="1"/>
  <c r="AL114" i="1"/>
  <c r="AK369" i="1"/>
  <c r="AR369" i="1"/>
  <c r="AK202" i="1"/>
  <c r="AR202" i="1"/>
  <c r="AK110" i="1"/>
  <c r="AR110" i="1"/>
  <c r="AK395" i="1"/>
  <c r="AR395" i="1"/>
  <c r="AK203" i="1"/>
  <c r="AR203" i="1"/>
  <c r="AK386" i="1"/>
  <c r="AR386" i="1"/>
  <c r="AL201" i="1"/>
  <c r="AL64" i="1"/>
  <c r="AK64" i="1"/>
  <c r="AR64" i="1"/>
  <c r="AK201" i="1"/>
  <c r="AR201" i="1"/>
  <c r="AL237" i="1"/>
  <c r="AL492" i="1"/>
  <c r="AL238" i="1"/>
  <c r="AL239" i="1"/>
  <c r="AL491" i="1"/>
  <c r="AR239" i="1"/>
  <c r="AK239" i="1"/>
  <c r="AK237" i="1"/>
  <c r="AR237" i="1"/>
  <c r="AK492" i="1"/>
  <c r="AR492" i="1"/>
  <c r="AR491" i="1"/>
  <c r="AK491" i="1"/>
  <c r="AK238" i="1"/>
  <c r="AR238" i="1"/>
  <c r="AK439" i="1"/>
  <c r="AR439" i="1"/>
  <c r="AK442" i="1"/>
  <c r="AR442" i="1"/>
  <c r="AL181" i="1"/>
  <c r="AL442" i="1"/>
  <c r="AL487" i="1"/>
  <c r="AL438" i="1"/>
  <c r="AL444" i="1"/>
  <c r="AL486" i="1"/>
  <c r="AL443" i="1"/>
  <c r="AL182" i="1"/>
  <c r="AL439" i="1"/>
  <c r="AK486" i="1"/>
  <c r="AR486" i="1"/>
  <c r="AK181" i="1"/>
  <c r="AR181" i="1"/>
  <c r="AK182" i="1"/>
  <c r="AR182" i="1"/>
  <c r="AK444" i="1"/>
  <c r="AR444" i="1"/>
  <c r="AK443" i="1"/>
  <c r="AR443" i="1"/>
  <c r="AK487" i="1"/>
  <c r="AR487" i="1"/>
  <c r="AK438" i="1"/>
  <c r="AR438" i="1"/>
  <c r="AK121" i="1"/>
  <c r="AR121" i="1"/>
  <c r="AK172" i="1"/>
  <c r="AR172" i="1"/>
  <c r="AK461" i="1"/>
  <c r="AR461" i="1"/>
  <c r="AK304" i="1"/>
  <c r="AR304" i="1"/>
  <c r="AL252" i="1"/>
  <c r="AL304" i="1"/>
  <c r="AL313" i="1"/>
  <c r="AL172" i="1"/>
  <c r="AL510" i="1"/>
  <c r="AL475" i="1"/>
  <c r="AL121" i="1"/>
  <c r="AL461" i="1"/>
  <c r="AL476" i="1"/>
  <c r="AL225" i="1"/>
  <c r="AK476" i="1"/>
  <c r="AR476" i="1"/>
  <c r="AK475" i="1"/>
  <c r="AR475" i="1"/>
  <c r="AK252" i="1"/>
  <c r="AR252" i="1"/>
  <c r="AK225" i="1"/>
  <c r="AR225" i="1"/>
  <c r="AK510" i="1"/>
  <c r="AR510" i="1"/>
  <c r="AK313" i="1"/>
  <c r="AR313" i="1"/>
  <c r="AR154" i="1"/>
  <c r="AR153" i="1"/>
  <c r="AR415" i="1"/>
  <c r="AR281" i="1"/>
  <c r="AR385" i="1"/>
  <c r="AL58" i="1"/>
  <c r="AL281" i="1"/>
  <c r="AK58" i="1"/>
  <c r="AR58" i="1"/>
  <c r="AL36" i="1"/>
  <c r="AL415" i="1"/>
  <c r="AK36" i="1"/>
  <c r="AR36" i="1"/>
  <c r="AL119" i="1"/>
  <c r="AL153" i="1"/>
  <c r="AK119" i="1"/>
  <c r="AR119" i="1"/>
  <c r="AL385" i="1"/>
  <c r="AL154" i="1"/>
  <c r="AR2" i="1"/>
  <c r="AL2" i="1"/>
  <c r="AL3" i="1"/>
  <c r="AK3" i="1"/>
  <c r="AR3" i="1"/>
  <c r="AL358" i="1"/>
  <c r="AK358" i="1"/>
  <c r="AR358" i="1"/>
  <c r="AL484" i="1"/>
  <c r="AR483" i="1"/>
  <c r="AK484" i="1"/>
  <c r="AR484" i="1"/>
  <c r="AL482" i="1"/>
  <c r="AL483" i="1"/>
  <c r="AR482" i="1"/>
  <c r="AL192" i="1"/>
  <c r="AK192" i="1"/>
  <c r="AR192" i="1"/>
  <c r="AL91" i="1"/>
  <c r="AK91" i="1"/>
  <c r="AR91" i="1"/>
  <c r="AL296" i="1"/>
  <c r="AL297" i="1"/>
  <c r="AK297" i="1"/>
  <c r="AR297" i="1"/>
  <c r="AK296" i="1"/>
  <c r="AR296" i="1"/>
  <c r="AL89" i="1"/>
  <c r="AL90" i="1"/>
  <c r="AK90" i="1"/>
  <c r="AR90" i="1"/>
  <c r="AR89" i="1"/>
  <c r="AL166" i="1"/>
  <c r="AL167" i="1"/>
  <c r="AK167" i="1"/>
  <c r="AR167" i="1"/>
  <c r="AK166" i="1"/>
  <c r="AR166" i="1"/>
  <c r="AL68" i="1"/>
  <c r="AR68" i="1"/>
  <c r="AL440" i="1"/>
  <c r="AK440" i="1"/>
  <c r="AR440" i="1"/>
  <c r="AL430" i="1"/>
  <c r="AL41" i="1"/>
  <c r="AK41" i="1"/>
  <c r="AR41" i="1"/>
  <c r="AK430" i="1"/>
  <c r="AR430" i="1"/>
  <c r="R37" i="14"/>
  <c r="AL342" i="1"/>
  <c r="AL343" i="1"/>
  <c r="AR342" i="1"/>
  <c r="AK343" i="1"/>
  <c r="AR343" i="1"/>
  <c r="AL332" i="1"/>
  <c r="R17" i="14"/>
  <c r="AR331" i="1"/>
  <c r="AK332" i="1"/>
  <c r="AR332" i="1"/>
  <c r="AL330" i="1"/>
  <c r="AL331" i="1"/>
  <c r="AR330" i="1"/>
  <c r="R41" i="14"/>
  <c r="R57" i="14"/>
  <c r="R22" i="14"/>
  <c r="R74" i="14"/>
  <c r="R66" i="14"/>
  <c r="R69" i="14"/>
  <c r="R42" i="14"/>
  <c r="R77" i="14"/>
  <c r="R85" i="14"/>
  <c r="R53" i="14"/>
  <c r="R58" i="14"/>
  <c r="R70" i="14"/>
  <c r="AR286" i="1"/>
  <c r="AL286" i="1"/>
  <c r="AL287" i="1"/>
  <c r="AK287" i="1"/>
  <c r="AR287" i="1"/>
  <c r="AL333" i="1"/>
  <c r="AK333" i="1"/>
  <c r="AR333" i="1"/>
  <c r="AL214" i="1"/>
  <c r="AK214" i="1"/>
  <c r="AR214" i="1"/>
  <c r="AL513" i="1"/>
  <c r="AR513" i="1"/>
  <c r="AL33" i="1"/>
  <c r="AR33" i="1"/>
  <c r="AR267" i="1"/>
  <c r="AL267" i="1"/>
  <c r="AL268" i="1"/>
  <c r="AR268" i="1"/>
  <c r="AK268" i="1"/>
  <c r="AL103" i="1"/>
  <c r="AL104" i="1"/>
  <c r="AK104" i="1"/>
  <c r="AR104" i="1"/>
  <c r="AR103" i="1"/>
  <c r="AR498" i="1"/>
  <c r="AK497" i="1"/>
  <c r="AL497" i="1"/>
  <c r="AL498" i="1"/>
  <c r="AR495" i="1"/>
  <c r="AL495" i="1"/>
  <c r="AL496" i="1"/>
  <c r="AK496" i="1"/>
  <c r="AR496" i="1"/>
  <c r="AL477" i="1"/>
  <c r="AR477" i="1"/>
  <c r="AL514" i="1"/>
  <c r="AR514" i="1"/>
  <c r="AR316" i="1"/>
  <c r="AL316" i="1"/>
  <c r="AL317" i="1"/>
  <c r="AK317" i="1"/>
  <c r="AR317" i="1"/>
  <c r="AR387" i="1"/>
  <c r="AL387" i="1"/>
  <c r="AL388" i="1"/>
  <c r="AK388" i="1"/>
  <c r="AR388" i="1"/>
  <c r="AR397" i="1"/>
  <c r="AL397" i="1"/>
  <c r="AL398" i="1"/>
  <c r="AK398" i="1"/>
  <c r="AR398" i="1"/>
  <c r="AR219" i="1"/>
  <c r="AL219" i="1"/>
  <c r="AL220" i="1"/>
  <c r="AK220" i="1"/>
  <c r="AR220" i="1"/>
  <c r="AL127" i="1"/>
  <c r="AK127" i="1"/>
  <c r="AR127" i="1"/>
  <c r="AR125" i="1"/>
  <c r="AL125" i="1"/>
  <c r="AL126" i="1"/>
  <c r="AK126" i="1"/>
  <c r="AR126" i="1"/>
  <c r="AR390" i="1"/>
  <c r="AL389" i="1"/>
  <c r="AL390" i="1"/>
  <c r="AK389" i="1"/>
  <c r="AR389" i="1"/>
  <c r="AR421" i="1"/>
  <c r="AL420" i="1"/>
  <c r="AL421" i="1"/>
  <c r="AR420" i="1"/>
  <c r="AR457" i="1"/>
  <c r="AL456" i="1"/>
  <c r="AL457" i="1"/>
  <c r="AR456" i="1"/>
  <c r="AR407" i="1"/>
  <c r="AL406" i="1"/>
  <c r="AL407" i="1"/>
  <c r="AR406" i="1"/>
  <c r="AL502" i="1"/>
  <c r="AL503" i="1"/>
  <c r="AK503" i="1"/>
  <c r="AR503" i="1"/>
  <c r="AR502" i="1"/>
  <c r="AL293" i="1"/>
  <c r="AL294" i="1"/>
  <c r="AK294" i="1"/>
  <c r="AR294" i="1"/>
  <c r="AK293" i="1"/>
  <c r="AR293" i="1"/>
  <c r="AL26" i="1"/>
  <c r="AR26" i="1"/>
  <c r="AR424" i="1"/>
  <c r="AL424" i="1"/>
  <c r="AL24" i="1"/>
  <c r="AR24" i="1"/>
  <c r="AR22" i="1"/>
  <c r="AL22" i="1"/>
  <c r="AL23" i="1"/>
  <c r="AK23" i="1"/>
  <c r="AR23" i="1"/>
  <c r="AR124" i="1"/>
  <c r="AL124" i="1"/>
  <c r="AR19" i="1"/>
  <c r="AK31" i="1"/>
  <c r="AR31" i="1"/>
  <c r="AL19" i="1"/>
  <c r="AL31" i="1"/>
  <c r="AR17" i="1"/>
  <c r="AL17" i="1"/>
  <c r="AL18" i="1"/>
  <c r="AK18" i="1"/>
  <c r="AR18" i="1"/>
  <c r="AL221" i="1"/>
  <c r="AK221" i="1"/>
  <c r="AR221" i="1"/>
  <c r="AL257" i="1"/>
  <c r="AK257" i="1"/>
  <c r="AR257" i="1"/>
  <c r="AL478" i="1"/>
  <c r="AR478" i="1"/>
  <c r="AL351" i="1"/>
  <c r="AL352" i="1"/>
  <c r="AL353" i="1"/>
  <c r="AK353" i="1"/>
  <c r="AR353" i="1"/>
  <c r="AK352" i="1"/>
  <c r="AR352" i="1"/>
  <c r="AK351" i="1"/>
  <c r="AR351" i="1"/>
  <c r="AL16" i="1"/>
  <c r="AK16" i="1"/>
  <c r="AR16" i="1"/>
  <c r="AL249" i="1"/>
  <c r="AK249" i="1"/>
  <c r="AL143" i="1"/>
  <c r="AR143" i="1"/>
  <c r="AL509" i="1"/>
  <c r="AK509" i="1"/>
  <c r="AR509" i="1"/>
  <c r="AL365" i="1"/>
  <c r="AR365" i="1"/>
  <c r="AL95" i="1"/>
  <c r="AR95" i="1"/>
  <c r="AR279" i="1"/>
  <c r="AL279" i="1"/>
  <c r="AL280" i="1"/>
  <c r="AK280" i="1"/>
  <c r="AR280" i="1"/>
  <c r="AL427" i="1"/>
  <c r="AR427" i="1"/>
  <c r="AR425" i="1"/>
  <c r="AL425" i="1"/>
  <c r="AL426" i="1"/>
  <c r="AK426" i="1"/>
  <c r="AR426" i="1"/>
  <c r="AR356" i="1"/>
  <c r="AL451" i="1"/>
  <c r="AL356" i="1"/>
  <c r="AK451" i="1"/>
  <c r="AR451" i="1"/>
  <c r="AR11" i="1"/>
  <c r="AL11" i="1"/>
  <c r="AL12" i="1"/>
  <c r="AK12" i="1"/>
  <c r="AR12" i="1"/>
  <c r="AL450" i="1"/>
  <c r="AR450" i="1"/>
  <c r="AK381" i="1"/>
  <c r="AK382" i="1"/>
  <c r="AR382" i="1"/>
  <c r="AL381" i="1"/>
  <c r="AL382" i="1"/>
  <c r="AL185" i="1"/>
  <c r="AK185" i="1"/>
  <c r="AR185" i="1"/>
  <c r="AL113" i="1"/>
  <c r="AK113" i="1"/>
  <c r="AR113" i="1"/>
  <c r="AR136" i="1"/>
  <c r="AK137" i="1"/>
  <c r="AR137" i="1"/>
  <c r="AL136" i="1"/>
  <c r="AL137" i="1"/>
  <c r="AL253" i="1"/>
  <c r="AR253" i="1"/>
  <c r="AR69" i="1"/>
  <c r="AL69" i="1"/>
  <c r="AL70" i="1"/>
  <c r="AK70" i="1"/>
  <c r="AR70" i="1"/>
  <c r="AL308" i="1"/>
  <c r="AR308" i="1"/>
  <c r="AL298" i="1"/>
  <c r="AR298" i="1"/>
  <c r="AL301" i="1"/>
  <c r="AK301" i="1"/>
  <c r="AR301" i="1"/>
  <c r="AL366" i="1"/>
  <c r="AR366" i="1"/>
  <c r="AR40" i="1"/>
  <c r="AL39" i="1"/>
  <c r="AL40" i="1"/>
  <c r="AK39" i="1"/>
  <c r="AR39" i="1"/>
  <c r="AL7" i="1"/>
  <c r="AR7" i="1"/>
  <c r="AR361" i="1"/>
  <c r="AK362" i="1"/>
  <c r="AR362" i="1"/>
  <c r="AL361" i="1"/>
  <c r="AL362" i="1"/>
  <c r="AL6" i="1"/>
  <c r="AR6" i="1"/>
  <c r="R23" i="14"/>
  <c r="R67" i="14"/>
  <c r="R63" i="14"/>
  <c r="R65" i="14"/>
  <c r="R81" i="14"/>
  <c r="R73" i="14"/>
  <c r="AL357" i="1"/>
  <c r="AK357" i="1"/>
  <c r="AL155" i="1"/>
  <c r="AK155" i="1"/>
  <c r="AL325" i="1"/>
  <c r="AK325" i="1"/>
  <c r="AL38" i="1"/>
  <c r="AK38" i="1"/>
  <c r="AL283" i="1"/>
  <c r="AK283" i="1"/>
  <c r="AR283" i="1"/>
  <c r="AL291" i="1"/>
  <c r="AK291" i="1"/>
  <c r="AR291" i="1"/>
  <c r="AL224" i="1"/>
  <c r="AK224" i="1"/>
  <c r="AL227" i="1"/>
  <c r="AK227" i="1"/>
  <c r="AK419" i="1"/>
  <c r="AK231" i="1"/>
  <c r="AL419" i="1"/>
  <c r="AK162" i="1"/>
  <c r="AK327" i="1"/>
  <c r="AK199" i="1"/>
  <c r="AK312" i="1"/>
  <c r="AK320" i="1"/>
  <c r="AK151" i="1"/>
  <c r="AK489" i="1"/>
  <c r="AK505" i="1"/>
  <c r="AK109" i="1"/>
  <c r="AK244" i="1"/>
  <c r="AK384" i="1"/>
  <c r="AK49" i="1"/>
  <c r="AK285" i="1"/>
  <c r="AK50" i="1"/>
  <c r="AL383" i="1"/>
  <c r="AL384" i="1"/>
  <c r="AK171" i="1"/>
  <c r="AK383" i="1"/>
  <c r="AR383" i="1"/>
  <c r="AK73" i="1"/>
  <c r="AK102" i="1"/>
  <c r="AK311" i="1"/>
  <c r="AK43" i="1"/>
  <c r="AK59" i="1"/>
  <c r="AK180" i="1"/>
  <c r="AK158" i="1"/>
  <c r="AK314" i="1"/>
  <c r="AK168" i="1"/>
  <c r="AK504" i="1"/>
  <c r="AK230" i="1"/>
  <c r="AK337" i="1"/>
  <c r="AK106" i="1"/>
  <c r="AK318" i="1"/>
  <c r="AK60" i="1"/>
  <c r="AK159" i="1"/>
  <c r="AK259" i="1"/>
  <c r="AK245" i="1"/>
  <c r="AK48" i="1"/>
  <c r="AK190" i="1"/>
  <c r="AK232" i="1"/>
  <c r="AK319" i="1"/>
  <c r="AK32" i="1"/>
  <c r="AK156" i="1"/>
  <c r="AK234" i="1"/>
  <c r="AK122" i="1"/>
  <c r="AK169" i="1"/>
  <c r="AK233" i="1"/>
  <c r="AK27" i="1"/>
  <c r="AK347" i="1"/>
  <c r="AK13" i="1"/>
  <c r="AK51" i="1"/>
  <c r="AK15" i="1"/>
  <c r="AK132" i="1"/>
  <c r="AK288" i="1"/>
  <c r="AK100" i="1"/>
  <c r="AK305" i="1"/>
  <c r="AK160" i="1"/>
  <c r="AK459" i="1"/>
  <c r="AK278" i="1"/>
  <c r="AR515" i="1"/>
  <c r="AR25" i="1"/>
  <c r="AK449" i="1"/>
  <c r="AK350" i="1"/>
  <c r="AR350" i="1"/>
  <c r="AK240" i="1"/>
  <c r="AR303" i="1"/>
  <c r="AK99" i="1"/>
  <c r="AL350" i="1"/>
  <c r="AK282" i="1"/>
  <c r="AK4" i="1"/>
  <c r="AK146" i="1"/>
  <c r="AK490" i="1"/>
  <c r="AK292" i="1"/>
  <c r="AK55" i="1"/>
  <c r="AK144" i="1"/>
  <c r="AK243" i="1"/>
  <c r="AK229" i="1"/>
  <c r="AK250" i="1"/>
  <c r="AK206" i="1"/>
  <c r="AK184" i="1"/>
  <c r="AR470" i="1"/>
  <c r="AR272" i="1"/>
  <c r="AK194" i="1"/>
  <c r="AK46" i="1"/>
  <c r="AK445" i="1"/>
  <c r="AK133" i="1"/>
  <c r="AK187" i="1"/>
  <c r="AK47" i="1"/>
  <c r="AK5" i="1"/>
  <c r="AK74" i="1"/>
  <c r="AK80" i="1"/>
  <c r="AK170" i="1"/>
  <c r="AK228" i="1"/>
  <c r="AK79" i="1"/>
  <c r="AK35" i="1"/>
  <c r="AR56" i="1"/>
  <c r="AK139" i="1"/>
  <c r="AR460" i="1"/>
  <c r="AR499" i="1"/>
  <c r="AK418" i="1"/>
  <c r="AK212" i="1"/>
  <c r="AR82" i="1"/>
  <c r="AK493" i="1"/>
  <c r="AK344" i="1"/>
  <c r="AR84" i="1"/>
  <c r="AK402" i="1"/>
  <c r="AR315" i="1"/>
  <c r="AR161" i="1"/>
  <c r="AK37" i="1"/>
  <c r="AR176" i="1"/>
  <c r="AR377" i="1"/>
  <c r="AK75" i="1"/>
  <c r="AK433" i="1"/>
  <c r="AK326" i="1"/>
  <c r="AK191" i="1"/>
  <c r="AK501" i="1"/>
  <c r="AK198" i="1"/>
  <c r="AK107" i="1"/>
  <c r="AK258" i="1"/>
  <c r="AK400" i="1"/>
  <c r="AK97" i="1"/>
  <c r="AR466" i="1"/>
  <c r="AK207" i="1"/>
  <c r="AK359" i="1"/>
  <c r="AR289" i="1"/>
  <c r="AK345" i="1"/>
  <c r="AK479" i="1"/>
  <c r="AK336" i="1"/>
  <c r="AK205" i="1"/>
  <c r="AK54" i="1"/>
  <c r="AK14" i="1"/>
  <c r="AK251" i="1"/>
  <c r="AK403" i="1"/>
  <c r="AK208" i="1"/>
  <c r="AK242" i="1"/>
  <c r="AK150" i="1"/>
  <c r="AK78" i="1"/>
  <c r="AK310" i="1"/>
  <c r="AK71" i="1"/>
  <c r="AK363" i="1"/>
  <c r="AK454" i="1"/>
  <c r="AK96" i="1"/>
  <c r="R68" i="14"/>
  <c r="R64" i="14"/>
  <c r="AK248" i="1"/>
  <c r="R76" i="14"/>
  <c r="R56" i="14"/>
  <c r="R48" i="14"/>
  <c r="R43" i="14"/>
  <c r="R83" i="14"/>
  <c r="AK149" i="1"/>
  <c r="AK401" i="1"/>
  <c r="AK399" i="1"/>
  <c r="AK65" i="1"/>
  <c r="AK186" i="1"/>
  <c r="AK247" i="1"/>
  <c r="AK189" i="1"/>
  <c r="AK380" i="1"/>
  <c r="AK152" i="1"/>
  <c r="AK134" i="1"/>
  <c r="AK375" i="1"/>
  <c r="AK277" i="1"/>
  <c r="AK335" i="1"/>
  <c r="AK284" i="1"/>
  <c r="AK422" i="1"/>
  <c r="AK183" i="1"/>
  <c r="AK34" i="1"/>
  <c r="AK120" i="1"/>
  <c r="AK179" i="1"/>
  <c r="AK468" i="1"/>
  <c r="AK481" i="1"/>
  <c r="R72" i="14"/>
  <c r="R47" i="14"/>
  <c r="R24" i="14"/>
  <c r="R78" i="14"/>
  <c r="R86" i="14"/>
  <c r="R62" i="14"/>
  <c r="R71" i="14"/>
  <c r="R59" i="14"/>
  <c r="R79" i="14"/>
  <c r="R75" i="14"/>
  <c r="R82" i="14"/>
  <c r="AK226" i="1"/>
  <c r="AK241" i="1"/>
  <c r="AK105" i="1"/>
  <c r="AK324" i="1"/>
  <c r="AK148" i="1"/>
  <c r="AK213" i="1"/>
  <c r="AK145" i="1"/>
  <c r="AK188" i="1"/>
  <c r="AK108" i="1"/>
  <c r="AK404" i="1"/>
  <c r="AK62" i="1"/>
  <c r="AK447" i="1"/>
  <c r="AK340" i="1"/>
  <c r="AK193" i="1"/>
  <c r="AK463" i="1"/>
  <c r="AK506" i="1"/>
  <c r="AK508" i="1"/>
  <c r="AK329" i="1"/>
  <c r="AK410" i="1"/>
  <c r="AK374" i="1"/>
  <c r="AK452" i="1"/>
  <c r="AK411" i="1"/>
  <c r="AK488" i="1"/>
  <c r="AK367" i="1"/>
  <c r="AK322" i="1"/>
  <c r="AL236" i="1"/>
  <c r="AL235" i="1"/>
  <c r="AK235" i="1"/>
  <c r="AR235" i="1"/>
  <c r="AK236" i="1"/>
  <c r="AR236" i="1"/>
  <c r="AL394" i="1"/>
  <c r="AL393" i="1"/>
  <c r="AK393" i="1"/>
  <c r="AR393" i="1"/>
  <c r="AK394" i="1"/>
  <c r="AR394" i="1"/>
  <c r="AL322" i="1"/>
  <c r="AL323" i="1"/>
  <c r="AK323" i="1"/>
  <c r="AR323" i="1"/>
  <c r="AL367" i="1"/>
  <c r="AL368" i="1"/>
  <c r="AK368" i="1"/>
  <c r="AR368" i="1"/>
  <c r="AR163" i="1"/>
  <c r="AL163" i="1"/>
  <c r="AL164" i="1"/>
  <c r="AK164" i="1"/>
  <c r="AR164" i="1"/>
  <c r="AL347" i="1"/>
  <c r="AL348" i="1"/>
  <c r="AK348" i="1"/>
  <c r="AR348" i="1"/>
  <c r="AL454" i="1"/>
  <c r="AL455" i="1"/>
  <c r="AK455" i="1"/>
  <c r="AR455" i="1"/>
  <c r="AL198" i="1"/>
  <c r="AL212" i="1"/>
  <c r="AL488" i="1"/>
  <c r="AL411" i="1"/>
  <c r="AL435" i="1"/>
  <c r="AK435" i="1"/>
  <c r="AR435" i="1"/>
  <c r="AL452" i="1"/>
  <c r="AL453" i="1"/>
  <c r="AK453" i="1"/>
  <c r="AR453" i="1"/>
  <c r="AL481" i="1"/>
  <c r="AL479" i="1"/>
  <c r="AL480" i="1"/>
  <c r="AK480" i="1"/>
  <c r="AR480" i="1"/>
  <c r="AL449" i="1"/>
  <c r="AL161" i="1"/>
  <c r="AL374" i="1"/>
  <c r="AL410" i="1"/>
  <c r="AL458" i="1"/>
  <c r="AK458" i="1"/>
  <c r="AR458" i="1"/>
  <c r="AL468" i="1"/>
  <c r="AL418" i="1"/>
  <c r="AL501" i="1"/>
  <c r="AL499" i="1"/>
  <c r="AL500" i="1"/>
  <c r="AK500" i="1"/>
  <c r="AR500" i="1"/>
  <c r="AL329" i="1"/>
  <c r="AL179" i="1"/>
  <c r="AL345" i="1"/>
  <c r="AL346" i="1"/>
  <c r="AK346" i="1"/>
  <c r="AR346" i="1"/>
  <c r="AL445" i="1"/>
  <c r="AL446" i="1"/>
  <c r="AK446" i="1"/>
  <c r="AR446" i="1"/>
  <c r="AL408" i="1"/>
  <c r="AL409" i="1"/>
  <c r="AK409" i="1"/>
  <c r="AR409" i="1"/>
  <c r="AK408" i="1"/>
  <c r="AR408" i="1"/>
  <c r="AL289" i="1"/>
  <c r="AL290" i="1"/>
  <c r="AK290" i="1"/>
  <c r="AR290" i="1"/>
  <c r="AL272" i="1"/>
  <c r="AL273" i="1"/>
  <c r="AK273" i="1"/>
  <c r="AR273" i="1"/>
  <c r="AL508" i="1"/>
  <c r="AL506" i="1"/>
  <c r="AL507" i="1"/>
  <c r="AK507" i="1"/>
  <c r="AR507" i="1"/>
  <c r="AL120" i="1"/>
  <c r="AL460" i="1"/>
  <c r="AL470" i="1"/>
  <c r="AL471" i="1"/>
  <c r="AK471" i="1"/>
  <c r="AR471" i="1"/>
  <c r="AL459" i="1"/>
  <c r="AL463" i="1"/>
  <c r="AL193" i="1"/>
  <c r="AL434" i="1"/>
  <c r="AK434" i="1"/>
  <c r="AR434" i="1"/>
  <c r="AL34" i="1"/>
  <c r="AL191" i="1"/>
  <c r="AL493" i="1"/>
  <c r="AL494" i="1"/>
  <c r="AK494" i="1"/>
  <c r="AR494" i="1"/>
  <c r="AL139" i="1"/>
  <c r="AL340" i="1"/>
  <c r="AL183" i="1"/>
  <c r="AR474" i="1"/>
  <c r="AL326" i="1"/>
  <c r="AL303" i="1"/>
  <c r="AL474" i="1"/>
  <c r="AL302" i="1"/>
  <c r="AK302" i="1"/>
  <c r="AR302" i="1"/>
  <c r="AL363" i="1"/>
  <c r="AL364" i="1"/>
  <c r="AK364" i="1"/>
  <c r="AR364" i="1"/>
  <c r="AL359" i="1"/>
  <c r="AL360" i="1"/>
  <c r="AK360" i="1"/>
  <c r="AR360" i="1"/>
  <c r="AL422" i="1"/>
  <c r="AL423" i="1"/>
  <c r="AK423" i="1"/>
  <c r="AR423" i="1"/>
  <c r="AL207" i="1"/>
  <c r="AL436" i="1"/>
  <c r="AL437" i="1"/>
  <c r="AK437" i="1"/>
  <c r="AR437" i="1"/>
  <c r="AK436" i="1"/>
  <c r="AR436" i="1"/>
  <c r="AL447" i="1"/>
  <c r="AL448" i="1"/>
  <c r="AK448" i="1"/>
  <c r="AR448" i="1"/>
  <c r="AL284" i="1"/>
  <c r="AL433" i="1"/>
  <c r="AL25" i="1"/>
  <c r="AL56" i="1"/>
  <c r="AL57" i="1"/>
  <c r="AK57" i="1"/>
  <c r="AR57" i="1"/>
  <c r="AL315" i="1"/>
  <c r="AR53" i="1"/>
  <c r="AL62" i="1"/>
  <c r="AL63" i="1"/>
  <c r="AK63" i="1"/>
  <c r="AR63" i="1"/>
  <c r="AL335" i="1"/>
  <c r="AL469" i="1"/>
  <c r="AL334" i="1"/>
  <c r="AK334" i="1"/>
  <c r="AR334" i="1"/>
  <c r="AK469" i="1"/>
  <c r="AR469" i="1"/>
  <c r="AL466" i="1"/>
  <c r="AL467" i="1"/>
  <c r="AK467" i="1"/>
  <c r="AR467" i="1"/>
  <c r="AL404" i="1"/>
  <c r="AL277" i="1"/>
  <c r="AL71" i="1"/>
  <c r="AL72" i="1"/>
  <c r="AK72" i="1"/>
  <c r="AL375" i="1"/>
  <c r="AL376" i="1"/>
  <c r="AK376" i="1"/>
  <c r="AR376" i="1"/>
  <c r="AL134" i="1"/>
  <c r="AL135" i="1"/>
  <c r="AK135" i="1"/>
  <c r="AR135" i="1"/>
  <c r="AL152" i="1"/>
  <c r="AL310" i="1"/>
  <c r="R31" i="14"/>
  <c r="R32" i="14"/>
  <c r="R33" i="14"/>
  <c r="R34" i="14"/>
  <c r="R52" i="14"/>
  <c r="R30" i="14"/>
  <c r="AL75" i="1"/>
  <c r="AL515" i="1"/>
  <c r="AL380" i="1"/>
  <c r="AL377" i="1"/>
  <c r="AL379" i="1"/>
  <c r="AL378" i="1"/>
  <c r="AK378" i="1"/>
  <c r="AR378" i="1"/>
  <c r="AK379" i="1"/>
  <c r="AR379" i="1"/>
  <c r="AL189" i="1"/>
  <c r="R20" i="14"/>
  <c r="R18" i="14"/>
  <c r="R19" i="14"/>
  <c r="R16" i="14"/>
  <c r="R45" i="14"/>
  <c r="R50" i="14"/>
  <c r="R12" i="14"/>
  <c r="R25" i="14"/>
  <c r="R26" i="14"/>
  <c r="R29" i="14"/>
  <c r="R54" i="14"/>
  <c r="R60" i="14"/>
  <c r="R61" i="14"/>
  <c r="R39" i="14"/>
  <c r="R40" i="14"/>
  <c r="R21" i="14"/>
  <c r="R27" i="14"/>
  <c r="R44" i="14"/>
  <c r="R35" i="14"/>
  <c r="R46" i="14"/>
  <c r="R7" i="14"/>
  <c r="R9" i="14"/>
  <c r="R10" i="14"/>
  <c r="R11" i="14"/>
  <c r="R8" i="14"/>
  <c r="R13" i="14"/>
  <c r="R14" i="14"/>
  <c r="R15" i="14"/>
  <c r="R28" i="14"/>
  <c r="R49" i="14"/>
  <c r="R38" i="14"/>
  <c r="AL402" i="1"/>
  <c r="AL35" i="1"/>
  <c r="AR174" i="1"/>
  <c r="AL176" i="1"/>
  <c r="AL174" i="1"/>
  <c r="AL175" i="1"/>
  <c r="AK175" i="1"/>
  <c r="AR175" i="1"/>
  <c r="AL37" i="1"/>
  <c r="AL84" i="1"/>
  <c r="AL82" i="1"/>
  <c r="AL83" i="1"/>
  <c r="AK83" i="1"/>
  <c r="AR83" i="1"/>
  <c r="AR99" i="1"/>
  <c r="AR405" i="1"/>
  <c r="AL99" i="1"/>
  <c r="AL263" i="1"/>
  <c r="AL100" i="1"/>
  <c r="AL295" i="1"/>
  <c r="AL305" i="1"/>
  <c r="AL228" i="1"/>
  <c r="AL132" i="1"/>
  <c r="AL76" i="1"/>
  <c r="AL59" i="1"/>
  <c r="AL60" i="1"/>
  <c r="AL15" i="1"/>
  <c r="AL168" i="1"/>
  <c r="AL169" i="1"/>
  <c r="AL50" i="1"/>
  <c r="AL51" i="1"/>
  <c r="AL318" i="1"/>
  <c r="AL319" i="1"/>
  <c r="AL306" i="1"/>
  <c r="AL307" i="1"/>
  <c r="AL117" i="1"/>
  <c r="AL118" i="1"/>
  <c r="AL170" i="1"/>
  <c r="AL171" i="1"/>
  <c r="AL229" i="1"/>
  <c r="AL260" i="1"/>
  <c r="AL261" i="1"/>
  <c r="AL262" i="1"/>
  <c r="AL264" i="1"/>
  <c r="AL265" i="1"/>
  <c r="AL266" i="1"/>
  <c r="AL43" i="1"/>
  <c r="AL269" i="1"/>
  <c r="AL270" i="1"/>
  <c r="AL216" i="1"/>
  <c r="AL217" i="1"/>
  <c r="AL218" i="1"/>
  <c r="AL271" i="1"/>
  <c r="AL321" i="1"/>
  <c r="AL78" i="1"/>
  <c r="AL79" i="1"/>
  <c r="AL80" i="1"/>
  <c r="AL93" i="1"/>
  <c r="AL94" i="1"/>
  <c r="AL232" i="1"/>
  <c r="AL314" i="1"/>
  <c r="AL46" i="1"/>
  <c r="AL274" i="1"/>
  <c r="AL275" i="1"/>
  <c r="AL276" i="1"/>
  <c r="AL73" i="1"/>
  <c r="AL74" i="1"/>
  <c r="AL311" i="1"/>
  <c r="AL312" i="1"/>
  <c r="AL195" i="1"/>
  <c r="AL196" i="1"/>
  <c r="AL197" i="1"/>
  <c r="AL5" i="1"/>
  <c r="AL108" i="1"/>
  <c r="AL97" i="1"/>
  <c r="AL190" i="1"/>
  <c r="AL29" i="1"/>
  <c r="AL28" i="1"/>
  <c r="AL150" i="1"/>
  <c r="AL151" i="1"/>
  <c r="AL158" i="1"/>
  <c r="AL209" i="1"/>
  <c r="AL210" i="1"/>
  <c r="AL211" i="1"/>
  <c r="AL242" i="1"/>
  <c r="AL243" i="1"/>
  <c r="AL336" i="1"/>
  <c r="AL337" i="1"/>
  <c r="AL344" i="1"/>
  <c r="AL186" i="1"/>
  <c r="AL47" i="1"/>
  <c r="AL48" i="1"/>
  <c r="AL49" i="1"/>
  <c r="AL65" i="1"/>
  <c r="AL208" i="1"/>
  <c r="AL122" i="1"/>
  <c r="AL285" i="1"/>
  <c r="AL399" i="1"/>
  <c r="AL400" i="1"/>
  <c r="AL187" i="1"/>
  <c r="AL188" i="1"/>
  <c r="AL401" i="1"/>
  <c r="AL403" i="1"/>
  <c r="AL141" i="1"/>
  <c r="AL142" i="1"/>
  <c r="AL278" i="1"/>
  <c r="AL204" i="1"/>
  <c r="AL405" i="1"/>
  <c r="AL144" i="1"/>
  <c r="AL145" i="1"/>
  <c r="AL133" i="1"/>
  <c r="AL251" i="1"/>
  <c r="AL213" i="1"/>
  <c r="AL258" i="1"/>
  <c r="AL259" i="1"/>
  <c r="AL148" i="1"/>
  <c r="AL149" i="1"/>
  <c r="AL13" i="1"/>
  <c r="AL14" i="1"/>
  <c r="AL66" i="1"/>
  <c r="AL67" i="1"/>
  <c r="AL324" i="1"/>
  <c r="AL234" i="1"/>
  <c r="AL54" i="1"/>
  <c r="AL55" i="1"/>
  <c r="AL105" i="1"/>
  <c r="AL106" i="1"/>
  <c r="AL282" i="1"/>
  <c r="AL240" i="1"/>
  <c r="AL241" i="1"/>
  <c r="AL205" i="1"/>
  <c r="AL101" i="1"/>
  <c r="AL292" i="1"/>
  <c r="AL328" i="1"/>
  <c r="AL128" i="1"/>
  <c r="AL129" i="1"/>
  <c r="AL194" i="1"/>
  <c r="AL226" i="1"/>
  <c r="AL107" i="1"/>
  <c r="AL96" i="1"/>
  <c r="AL61" i="1"/>
  <c r="AL52" i="1"/>
  <c r="AL247" i="1"/>
  <c r="AL248" i="1"/>
  <c r="AL111" i="1"/>
  <c r="AL112" i="1"/>
  <c r="AL184" i="1"/>
  <c r="AL288" i="1"/>
  <c r="AL27" i="1"/>
  <c r="AL199" i="1"/>
  <c r="AL206" i="1"/>
  <c r="AL244" i="1"/>
  <c r="AL245" i="1"/>
  <c r="AL109" i="1"/>
  <c r="AL254" i="1"/>
  <c r="AL255" i="1"/>
  <c r="AL256" i="1"/>
  <c r="AL159" i="1"/>
  <c r="AL160" i="1"/>
  <c r="AL138" i="1"/>
  <c r="AL156" i="1"/>
  <c r="AL327" i="1"/>
  <c r="AL250" i="1"/>
  <c r="AL215" i="1"/>
  <c r="AL233" i="1"/>
  <c r="AL489" i="1"/>
  <c r="AL490" i="1"/>
  <c r="AL53" i="1"/>
  <c r="AL32" i="1"/>
  <c r="AL320" i="1"/>
  <c r="AL146" i="1"/>
  <c r="AL180" i="1"/>
  <c r="AL504" i="1"/>
  <c r="AL505" i="1"/>
  <c r="AL4" i="1"/>
  <c r="AL102" i="1"/>
  <c r="AL9" i="1"/>
  <c r="AL10" i="1"/>
  <c r="AL8" i="1"/>
  <c r="AL162" i="1"/>
  <c r="AL230" i="1"/>
  <c r="AL231" i="1"/>
  <c r="AK61" i="1"/>
  <c r="AK52" i="1"/>
  <c r="AK129" i="1"/>
  <c r="AK128" i="1"/>
  <c r="AK328" i="1"/>
  <c r="AK101" i="1"/>
  <c r="AK67" i="1"/>
  <c r="AK66" i="1"/>
  <c r="AK204" i="1"/>
  <c r="AK142" i="1"/>
  <c r="AK141" i="1"/>
  <c r="AK211" i="1"/>
  <c r="AK210" i="1"/>
  <c r="AK209" i="1"/>
  <c r="AK28" i="1"/>
  <c r="AK29" i="1"/>
  <c r="AK197" i="1"/>
  <c r="AK196" i="1"/>
  <c r="AK195" i="1"/>
  <c r="AK276" i="1"/>
  <c r="AK275" i="1"/>
  <c r="AK274" i="1"/>
  <c r="AK94" i="1"/>
  <c r="AK93" i="1"/>
  <c r="AK321" i="1"/>
  <c r="AK271" i="1"/>
  <c r="AK218" i="1"/>
  <c r="AK217" i="1"/>
  <c r="AK216" i="1"/>
  <c r="AK270" i="1"/>
  <c r="AK269" i="1"/>
  <c r="AK266" i="1"/>
  <c r="AK265" i="1"/>
  <c r="AK264" i="1"/>
  <c r="AK263" i="1"/>
  <c r="AK262" i="1"/>
  <c r="AK261" i="1"/>
  <c r="AK260" i="1"/>
  <c r="AK118" i="1"/>
  <c r="AK117" i="1"/>
  <c r="AK307" i="1"/>
  <c r="AK306" i="1"/>
  <c r="AK76" i="1"/>
  <c r="AK295" i="1"/>
  <c r="AK215" i="1"/>
  <c r="AK138" i="1"/>
  <c r="AK256" i="1"/>
  <c r="AK255" i="1"/>
  <c r="AK254" i="1"/>
  <c r="AK112" i="1"/>
  <c r="AK8" i="1"/>
  <c r="R124" i="14"/>
  <c r="Q120" i="14"/>
  <c r="R128" i="14"/>
  <c r="R121" i="14"/>
  <c r="Q124" i="14"/>
  <c r="Q117" i="14"/>
  <c r="R120" i="14"/>
  <c r="Q129" i="14"/>
  <c r="Q118" i="14"/>
  <c r="R125" i="14"/>
  <c r="Q128" i="14"/>
  <c r="R129" i="14"/>
  <c r="R118" i="14"/>
  <c r="Q123" i="14"/>
  <c r="Q127" i="14"/>
  <c r="Q119" i="14"/>
  <c r="Q122" i="14"/>
  <c r="R123" i="14"/>
  <c r="Q126" i="14"/>
  <c r="R127" i="14"/>
  <c r="R117" i="14"/>
  <c r="R119" i="14"/>
  <c r="Q121" i="14"/>
  <c r="R122" i="14"/>
  <c r="Q125" i="14"/>
  <c r="R126" i="14"/>
  <c r="J7" i="14"/>
  <c r="K7" i="14"/>
  <c r="L7" i="14"/>
  <c r="M7" i="14"/>
  <c r="Q68" i="14"/>
  <c r="J8" i="14"/>
  <c r="K8" i="14"/>
  <c r="L8" i="14"/>
  <c r="M8" i="14"/>
  <c r="Q69" i="14"/>
  <c r="J9" i="14"/>
  <c r="K9" i="14"/>
  <c r="L9" i="14"/>
  <c r="M9" i="14"/>
  <c r="Q72" i="14"/>
  <c r="J10" i="14"/>
  <c r="K10" i="14"/>
  <c r="L10" i="14"/>
  <c r="M10" i="14"/>
  <c r="Q76" i="14"/>
  <c r="J11" i="14"/>
  <c r="K11" i="14"/>
  <c r="L11" i="14"/>
  <c r="M11" i="14"/>
  <c r="Q41" i="14"/>
  <c r="J12" i="14"/>
  <c r="K12" i="14"/>
  <c r="L12" i="14"/>
  <c r="M12" i="14"/>
  <c r="Q42" i="14"/>
  <c r="J13" i="14"/>
  <c r="K13" i="14"/>
  <c r="L13" i="14"/>
  <c r="M13" i="14"/>
  <c r="Q17" i="14"/>
  <c r="J14" i="14"/>
  <c r="K14" i="14"/>
  <c r="L14" i="14"/>
  <c r="M14" i="14"/>
  <c r="Q56" i="14"/>
  <c r="J15" i="14"/>
  <c r="K15" i="14"/>
  <c r="L15" i="14"/>
  <c r="M15" i="14"/>
  <c r="Q57" i="14"/>
  <c r="J16" i="14"/>
  <c r="K16" i="14"/>
  <c r="L16" i="14"/>
  <c r="M16" i="14"/>
  <c r="Q77" i="14"/>
  <c r="J17" i="14"/>
  <c r="K17" i="14"/>
  <c r="L17" i="14"/>
  <c r="M17" i="14"/>
  <c r="Q47" i="14"/>
  <c r="J18" i="14"/>
  <c r="K18" i="14"/>
  <c r="L18" i="14"/>
  <c r="M18" i="14"/>
  <c r="Q48" i="14"/>
  <c r="J19" i="14"/>
  <c r="K19" i="14"/>
  <c r="L19" i="14"/>
  <c r="M19" i="14"/>
  <c r="Q22" i="14"/>
  <c r="J20" i="14"/>
  <c r="K20" i="14"/>
  <c r="L20" i="14"/>
  <c r="M20" i="14"/>
  <c r="Q23" i="14"/>
  <c r="J21" i="14"/>
  <c r="K21" i="14"/>
  <c r="L21" i="14"/>
  <c r="M21" i="14"/>
  <c r="Q24" i="14"/>
  <c r="J22" i="14"/>
  <c r="K22" i="14"/>
  <c r="L22" i="14"/>
  <c r="M22" i="14"/>
  <c r="Q43" i="14"/>
  <c r="J23" i="14"/>
  <c r="K23" i="14"/>
  <c r="L23" i="14"/>
  <c r="M23" i="14"/>
  <c r="Q74" i="14"/>
  <c r="J24" i="14"/>
  <c r="K24" i="14"/>
  <c r="L24" i="14"/>
  <c r="M24" i="14"/>
  <c r="Q36" i="14"/>
  <c r="J25" i="14"/>
  <c r="K25" i="14"/>
  <c r="L25" i="14"/>
  <c r="M25" i="14"/>
  <c r="Q37" i="14"/>
  <c r="J26" i="14"/>
  <c r="K26" i="14"/>
  <c r="L26" i="14"/>
  <c r="M26" i="14"/>
  <c r="Q20" i="14"/>
  <c r="J27" i="14"/>
  <c r="K27" i="14"/>
  <c r="L27" i="14"/>
  <c r="M27" i="14"/>
  <c r="Q55" i="14"/>
  <c r="J28" i="14"/>
  <c r="K28" i="14"/>
  <c r="L28" i="14"/>
  <c r="M28" i="14"/>
  <c r="Q84" i="14"/>
  <c r="J29" i="14"/>
  <c r="K29" i="14"/>
  <c r="L29" i="14"/>
  <c r="M29" i="14"/>
  <c r="Q78" i="14"/>
  <c r="J30" i="14"/>
  <c r="K30" i="14"/>
  <c r="L30" i="14"/>
  <c r="M30" i="14"/>
  <c r="Q65" i="14"/>
  <c r="J31" i="14"/>
  <c r="K31" i="14"/>
  <c r="L31" i="14"/>
  <c r="M31" i="14"/>
  <c r="Q66" i="14"/>
  <c r="J32" i="14"/>
  <c r="K32" i="14"/>
  <c r="L32" i="14"/>
  <c r="M32" i="14"/>
  <c r="Q85" i="14"/>
  <c r="J33" i="14"/>
  <c r="K33" i="14"/>
  <c r="L33" i="14"/>
  <c r="M33" i="14"/>
  <c r="Q86" i="14"/>
  <c r="J34" i="14"/>
  <c r="S18" i="14" s="1"/>
  <c r="K34" i="14"/>
  <c r="T18" i="14" s="1"/>
  <c r="L34" i="14"/>
  <c r="U18" i="14" s="1"/>
  <c r="M34" i="14"/>
  <c r="V18" i="14" s="1"/>
  <c r="Q18" i="14"/>
  <c r="J35" i="14"/>
  <c r="S19" i="14" s="1"/>
  <c r="K35" i="14"/>
  <c r="T19" i="14" s="1"/>
  <c r="L35" i="14"/>
  <c r="U19" i="14" s="1"/>
  <c r="M35" i="14"/>
  <c r="V19" i="14" s="1"/>
  <c r="Q19" i="14"/>
  <c r="J36" i="14"/>
  <c r="K36" i="14"/>
  <c r="L36" i="14"/>
  <c r="M36" i="14"/>
  <c r="Q53" i="14"/>
  <c r="J37" i="14"/>
  <c r="K37" i="14"/>
  <c r="L37" i="14"/>
  <c r="M37" i="14"/>
  <c r="Q62" i="14"/>
  <c r="J38" i="14"/>
  <c r="K38" i="14"/>
  <c r="L38" i="14"/>
  <c r="M38" i="14"/>
  <c r="Q81" i="14"/>
  <c r="J39" i="14"/>
  <c r="K39" i="14"/>
  <c r="L39" i="14"/>
  <c r="M39" i="14"/>
  <c r="Q16" i="14"/>
  <c r="J40" i="14"/>
  <c r="K40" i="14"/>
  <c r="L40" i="14"/>
  <c r="M40" i="14"/>
  <c r="Q58" i="14"/>
  <c r="J41" i="14"/>
  <c r="K41" i="14"/>
  <c r="L41" i="14"/>
  <c r="M41" i="14"/>
  <c r="Q71" i="14"/>
  <c r="J42" i="14"/>
  <c r="K42" i="14"/>
  <c r="L42" i="14"/>
  <c r="M42" i="14"/>
  <c r="Q45" i="14"/>
  <c r="J43" i="14"/>
  <c r="K43" i="14"/>
  <c r="L43" i="14"/>
  <c r="M43" i="14"/>
  <c r="Q51" i="14"/>
  <c r="J44" i="14"/>
  <c r="K44" i="14"/>
  <c r="L44" i="14"/>
  <c r="M44" i="14"/>
  <c r="Q70" i="14"/>
  <c r="J45" i="14"/>
  <c r="K45" i="14"/>
  <c r="L45" i="14"/>
  <c r="M45" i="14"/>
  <c r="Q59" i="14"/>
  <c r="J46" i="14"/>
  <c r="K46" i="14"/>
  <c r="L46" i="14"/>
  <c r="M46" i="14"/>
  <c r="Q83" i="14"/>
  <c r="J47" i="14"/>
  <c r="K47" i="14"/>
  <c r="L47" i="14"/>
  <c r="M47" i="14"/>
  <c r="Q64" i="14"/>
  <c r="J48" i="14"/>
  <c r="K48" i="14"/>
  <c r="L48" i="14"/>
  <c r="M48" i="14"/>
  <c r="Q67" i="14"/>
  <c r="J49" i="14"/>
  <c r="K49" i="14"/>
  <c r="L49" i="14"/>
  <c r="M49" i="14"/>
  <c r="Q79" i="14"/>
  <c r="J50" i="14"/>
  <c r="S50" i="14" s="1"/>
  <c r="K50" i="14"/>
  <c r="T50" i="14" s="1"/>
  <c r="L50" i="14"/>
  <c r="U50" i="14" s="1"/>
  <c r="M50" i="14"/>
  <c r="V50" i="14" s="1"/>
  <c r="Q50" i="14"/>
  <c r="J51" i="14"/>
  <c r="K51" i="14"/>
  <c r="L51" i="14"/>
  <c r="M51" i="14"/>
  <c r="Q12" i="14"/>
  <c r="J52" i="14"/>
  <c r="K52" i="14"/>
  <c r="L52" i="14"/>
  <c r="M52" i="14"/>
  <c r="Q25" i="14"/>
  <c r="J53" i="14"/>
  <c r="K53" i="14"/>
  <c r="L53" i="14"/>
  <c r="M53" i="14"/>
  <c r="Q26" i="14"/>
  <c r="J54" i="14"/>
  <c r="K54" i="14"/>
  <c r="L54" i="14"/>
  <c r="M54" i="14"/>
  <c r="Q29" i="14"/>
  <c r="J55" i="14"/>
  <c r="K55" i="14"/>
  <c r="L55" i="14"/>
  <c r="M55" i="14"/>
  <c r="Q54" i="14"/>
  <c r="J56" i="14"/>
  <c r="K56" i="14"/>
  <c r="L56" i="14"/>
  <c r="M56" i="14"/>
  <c r="Q63" i="14"/>
  <c r="J57" i="14"/>
  <c r="K57" i="14"/>
  <c r="L57" i="14"/>
  <c r="M57" i="14"/>
  <c r="Q75" i="14"/>
  <c r="J58" i="14"/>
  <c r="K58" i="14"/>
  <c r="L58" i="14"/>
  <c r="M58" i="14"/>
  <c r="Q73" i="14"/>
  <c r="J59" i="14"/>
  <c r="K59" i="14"/>
  <c r="L59" i="14"/>
  <c r="M59" i="14"/>
  <c r="Q60" i="14"/>
  <c r="J60" i="14"/>
  <c r="K60" i="14"/>
  <c r="L60" i="14"/>
  <c r="M60" i="14"/>
  <c r="Q61" i="14"/>
  <c r="J61" i="14"/>
  <c r="K61" i="14"/>
  <c r="L61" i="14"/>
  <c r="M61" i="14"/>
  <c r="Q39" i="14"/>
  <c r="J62" i="14"/>
  <c r="K62" i="14"/>
  <c r="L62" i="14"/>
  <c r="M62" i="14"/>
  <c r="Q40" i="14"/>
  <c r="J63" i="14"/>
  <c r="K63" i="14"/>
  <c r="L63" i="14"/>
  <c r="M63" i="14"/>
  <c r="Q21" i="14"/>
  <c r="J64" i="14"/>
  <c r="K64" i="14"/>
  <c r="L64" i="14"/>
  <c r="M64" i="14"/>
  <c r="Q80" i="14"/>
  <c r="J65" i="14"/>
  <c r="K65" i="14"/>
  <c r="L65" i="14"/>
  <c r="M65" i="14"/>
  <c r="Q27" i="14"/>
  <c r="J66" i="14"/>
  <c r="K66" i="14"/>
  <c r="L66" i="14"/>
  <c r="M66" i="14"/>
  <c r="Q44" i="14"/>
  <c r="J67" i="14"/>
  <c r="S35" i="14" s="1"/>
  <c r="K67" i="14"/>
  <c r="T35" i="14" s="1"/>
  <c r="L67" i="14"/>
  <c r="U35" i="14" s="1"/>
  <c r="M67" i="14"/>
  <c r="V35" i="14" s="1"/>
  <c r="Q35" i="14"/>
  <c r="J68" i="14"/>
  <c r="K68" i="14"/>
  <c r="L68" i="14"/>
  <c r="M68" i="14"/>
  <c r="Q46" i="14"/>
  <c r="J69" i="14"/>
  <c r="K69" i="14"/>
  <c r="L69" i="14"/>
  <c r="M69" i="14"/>
  <c r="Q82" i="14"/>
  <c r="J70" i="14"/>
  <c r="K70" i="14"/>
  <c r="L70" i="14"/>
  <c r="M70" i="14"/>
  <c r="Q7" i="14"/>
  <c r="J71" i="14"/>
  <c r="K71" i="14"/>
  <c r="L71" i="14"/>
  <c r="M71" i="14"/>
  <c r="Q9" i="14"/>
  <c r="J72" i="14"/>
  <c r="K72" i="14"/>
  <c r="L72" i="14"/>
  <c r="M72" i="14"/>
  <c r="Q10" i="14"/>
  <c r="J73" i="14"/>
  <c r="K73" i="14"/>
  <c r="L73" i="14"/>
  <c r="M73" i="14"/>
  <c r="Q11" i="14"/>
  <c r="J74" i="14"/>
  <c r="K74" i="14"/>
  <c r="L74" i="14"/>
  <c r="M74" i="14"/>
  <c r="Q8" i="14"/>
  <c r="J75" i="14"/>
  <c r="K75" i="14"/>
  <c r="L75" i="14"/>
  <c r="M75" i="14"/>
  <c r="Q13" i="14"/>
  <c r="J76" i="14"/>
  <c r="K76" i="14"/>
  <c r="L76" i="14"/>
  <c r="M76" i="14"/>
  <c r="Q14" i="14"/>
  <c r="J77" i="14"/>
  <c r="K77" i="14"/>
  <c r="L77" i="14"/>
  <c r="M77" i="14"/>
  <c r="Q15" i="14"/>
  <c r="J78" i="14"/>
  <c r="K78" i="14"/>
  <c r="L78" i="14"/>
  <c r="M78" i="14"/>
  <c r="Q28" i="14"/>
  <c r="J79" i="14"/>
  <c r="K79" i="14"/>
  <c r="L79" i="14"/>
  <c r="M79" i="14"/>
  <c r="Q49" i="14"/>
  <c r="J80" i="14"/>
  <c r="K80" i="14"/>
  <c r="L80" i="14"/>
  <c r="M80" i="14"/>
  <c r="Q38" i="14"/>
  <c r="J81" i="14"/>
  <c r="K81" i="14"/>
  <c r="L81" i="14"/>
  <c r="M81" i="14"/>
  <c r="Q31" i="14"/>
  <c r="J82" i="14"/>
  <c r="K82" i="14"/>
  <c r="L82" i="14"/>
  <c r="M82" i="14"/>
  <c r="Q32" i="14"/>
  <c r="J83" i="14"/>
  <c r="K83" i="14"/>
  <c r="L83" i="14"/>
  <c r="M83" i="14"/>
  <c r="Q33" i="14"/>
  <c r="J84" i="14"/>
  <c r="K84" i="14"/>
  <c r="L84" i="14"/>
  <c r="M84" i="14"/>
  <c r="Q34" i="14"/>
  <c r="J85" i="14"/>
  <c r="K85" i="14"/>
  <c r="L85" i="14"/>
  <c r="M85" i="14"/>
  <c r="Q52" i="14"/>
  <c r="J86" i="14"/>
  <c r="S30" i="14" s="1"/>
  <c r="K86" i="14"/>
  <c r="T30" i="14" s="1"/>
  <c r="L86" i="14"/>
  <c r="U30" i="14" s="1"/>
  <c r="M86" i="14"/>
  <c r="V30" i="14" s="1"/>
  <c r="Q30" i="14"/>
  <c r="J87" i="14"/>
  <c r="S87" i="14" s="1"/>
  <c r="K87" i="14"/>
  <c r="T87" i="14" s="1"/>
  <c r="L87" i="14"/>
  <c r="U87" i="14" s="1"/>
  <c r="M87" i="14"/>
  <c r="V87" i="14" s="1"/>
  <c r="Q87" i="14"/>
  <c r="J88" i="14"/>
  <c r="S88" i="14" s="1"/>
  <c r="K88" i="14"/>
  <c r="T88" i="14" s="1"/>
  <c r="L88" i="14"/>
  <c r="U88" i="14" s="1"/>
  <c r="M88" i="14"/>
  <c r="V88" i="14" s="1"/>
  <c r="Q88" i="14"/>
  <c r="J89" i="14"/>
  <c r="S89" i="14" s="1"/>
  <c r="K89" i="14"/>
  <c r="T89" i="14" s="1"/>
  <c r="L89" i="14"/>
  <c r="U89" i="14" s="1"/>
  <c r="M89" i="14"/>
  <c r="V89" i="14" s="1"/>
  <c r="Q89" i="14"/>
  <c r="J90" i="14"/>
  <c r="S90" i="14" s="1"/>
  <c r="K90" i="14"/>
  <c r="T90" i="14" s="1"/>
  <c r="L90" i="14"/>
  <c r="U90" i="14" s="1"/>
  <c r="M90" i="14"/>
  <c r="V90" i="14" s="1"/>
  <c r="Q90" i="14"/>
  <c r="J91" i="14"/>
  <c r="S91" i="14" s="1"/>
  <c r="K91" i="14"/>
  <c r="T91" i="14" s="1"/>
  <c r="L91" i="14"/>
  <c r="U91" i="14" s="1"/>
  <c r="M91" i="14"/>
  <c r="V91" i="14" s="1"/>
  <c r="Q91" i="14"/>
  <c r="J92" i="14"/>
  <c r="S92" i="14" s="1"/>
  <c r="K92" i="14"/>
  <c r="T92" i="14" s="1"/>
  <c r="L92" i="14"/>
  <c r="U92" i="14" s="1"/>
  <c r="M92" i="14"/>
  <c r="V92" i="14" s="1"/>
  <c r="Q92" i="14"/>
  <c r="J93" i="14"/>
  <c r="S93" i="14" s="1"/>
  <c r="K93" i="14"/>
  <c r="T93" i="14" s="1"/>
  <c r="L93" i="14"/>
  <c r="U93" i="14" s="1"/>
  <c r="M93" i="14"/>
  <c r="V93" i="14" s="1"/>
  <c r="Q93" i="14"/>
  <c r="J94" i="14"/>
  <c r="S94" i="14" s="1"/>
  <c r="K94" i="14"/>
  <c r="T94" i="14" s="1"/>
  <c r="L94" i="14"/>
  <c r="U94" i="14" s="1"/>
  <c r="M94" i="14"/>
  <c r="V94" i="14" s="1"/>
  <c r="Q94" i="14"/>
  <c r="J95" i="14"/>
  <c r="S95" i="14" s="1"/>
  <c r="K95" i="14"/>
  <c r="T95" i="14" s="1"/>
  <c r="L95" i="14"/>
  <c r="U95" i="14" s="1"/>
  <c r="M95" i="14"/>
  <c r="V95" i="14" s="1"/>
  <c r="Q95" i="14"/>
  <c r="J96" i="14"/>
  <c r="S96" i="14" s="1"/>
  <c r="K96" i="14"/>
  <c r="T96" i="14" s="1"/>
  <c r="L96" i="14"/>
  <c r="U96" i="14" s="1"/>
  <c r="M96" i="14"/>
  <c r="V96" i="14" s="1"/>
  <c r="Q96" i="14"/>
  <c r="J97" i="14"/>
  <c r="S97" i="14" s="1"/>
  <c r="K97" i="14"/>
  <c r="T97" i="14" s="1"/>
  <c r="L97" i="14"/>
  <c r="U97" i="14" s="1"/>
  <c r="M97" i="14"/>
  <c r="V97" i="14" s="1"/>
  <c r="Q97" i="14"/>
  <c r="J98" i="14"/>
  <c r="S98" i="14" s="1"/>
  <c r="K98" i="14"/>
  <c r="T98" i="14" s="1"/>
  <c r="L98" i="14"/>
  <c r="U98" i="14" s="1"/>
  <c r="M98" i="14"/>
  <c r="V98" i="14" s="1"/>
  <c r="Q98" i="14"/>
  <c r="J99" i="14"/>
  <c r="S99" i="14" s="1"/>
  <c r="K99" i="14"/>
  <c r="T99" i="14" s="1"/>
  <c r="L99" i="14"/>
  <c r="U99" i="14" s="1"/>
  <c r="M99" i="14"/>
  <c r="V99" i="14" s="1"/>
  <c r="Q99" i="14"/>
  <c r="J100" i="14"/>
  <c r="S100" i="14" s="1"/>
  <c r="K100" i="14"/>
  <c r="T100" i="14" s="1"/>
  <c r="L100" i="14"/>
  <c r="U100" i="14" s="1"/>
  <c r="M100" i="14"/>
  <c r="V100" i="14" s="1"/>
  <c r="Q100" i="14"/>
  <c r="J101" i="14"/>
  <c r="S101" i="14" s="1"/>
  <c r="K101" i="14"/>
  <c r="T101" i="14" s="1"/>
  <c r="L101" i="14"/>
  <c r="U101" i="14" s="1"/>
  <c r="M101" i="14"/>
  <c r="V101" i="14" s="1"/>
  <c r="Q101" i="14"/>
  <c r="J102" i="14"/>
  <c r="S102" i="14" s="1"/>
  <c r="K102" i="14"/>
  <c r="T102" i="14" s="1"/>
  <c r="L102" i="14"/>
  <c r="U102" i="14" s="1"/>
  <c r="M102" i="14"/>
  <c r="V102" i="14" s="1"/>
  <c r="Q102" i="14"/>
  <c r="J103" i="14"/>
  <c r="S103" i="14" s="1"/>
  <c r="K103" i="14"/>
  <c r="T103" i="14" s="1"/>
  <c r="L103" i="14"/>
  <c r="U103" i="14" s="1"/>
  <c r="M103" i="14"/>
  <c r="V103" i="14" s="1"/>
  <c r="Q103" i="14"/>
  <c r="J104" i="14"/>
  <c r="S104" i="14" s="1"/>
  <c r="K104" i="14"/>
  <c r="T104" i="14" s="1"/>
  <c r="L104" i="14"/>
  <c r="U104" i="14" s="1"/>
  <c r="M104" i="14"/>
  <c r="V104" i="14" s="1"/>
  <c r="Q104" i="14"/>
  <c r="J105" i="14"/>
  <c r="S105" i="14" s="1"/>
  <c r="K105" i="14"/>
  <c r="T105" i="14" s="1"/>
  <c r="L105" i="14"/>
  <c r="U105" i="14" s="1"/>
  <c r="M105" i="14"/>
  <c r="V105" i="14" s="1"/>
  <c r="Q105" i="14"/>
  <c r="J106" i="14"/>
  <c r="S106" i="14" s="1"/>
  <c r="K106" i="14"/>
  <c r="T106" i="14" s="1"/>
  <c r="L106" i="14"/>
  <c r="U106" i="14" s="1"/>
  <c r="M106" i="14"/>
  <c r="V106" i="14" s="1"/>
  <c r="Q106" i="14"/>
  <c r="J107" i="14"/>
  <c r="S107" i="14" s="1"/>
  <c r="K107" i="14"/>
  <c r="T107" i="14" s="1"/>
  <c r="L107" i="14"/>
  <c r="U107" i="14" s="1"/>
  <c r="M107" i="14"/>
  <c r="V107" i="14" s="1"/>
  <c r="Q107" i="14"/>
  <c r="J108" i="14"/>
  <c r="S108" i="14" s="1"/>
  <c r="K108" i="14"/>
  <c r="T108" i="14" s="1"/>
  <c r="L108" i="14"/>
  <c r="U108" i="14" s="1"/>
  <c r="M108" i="14"/>
  <c r="V108" i="14" s="1"/>
  <c r="Q108" i="14"/>
  <c r="J109" i="14"/>
  <c r="S109" i="14" s="1"/>
  <c r="K109" i="14"/>
  <c r="T109" i="14" s="1"/>
  <c r="L109" i="14"/>
  <c r="U109" i="14" s="1"/>
  <c r="M109" i="14"/>
  <c r="V109" i="14" s="1"/>
  <c r="Q109" i="14"/>
  <c r="J110" i="14"/>
  <c r="S110" i="14" s="1"/>
  <c r="K110" i="14"/>
  <c r="T110" i="14" s="1"/>
  <c r="L110" i="14"/>
  <c r="U110" i="14" s="1"/>
  <c r="M110" i="14"/>
  <c r="V110" i="14" s="1"/>
  <c r="Q110" i="14"/>
  <c r="J111" i="14"/>
  <c r="S111" i="14" s="1"/>
  <c r="K111" i="14"/>
  <c r="T111" i="14" s="1"/>
  <c r="L111" i="14"/>
  <c r="U111" i="14" s="1"/>
  <c r="M111" i="14"/>
  <c r="V111" i="14" s="1"/>
  <c r="Q111" i="14"/>
  <c r="J112" i="14"/>
  <c r="S112" i="14" s="1"/>
  <c r="K112" i="14"/>
  <c r="T112" i="14" s="1"/>
  <c r="L112" i="14"/>
  <c r="U112" i="14" s="1"/>
  <c r="M112" i="14"/>
  <c r="V112" i="14" s="1"/>
  <c r="Q112" i="14"/>
  <c r="J121" i="14"/>
  <c r="S117" i="14" s="1"/>
  <c r="K121" i="14"/>
  <c r="T117" i="14" s="1"/>
  <c r="L121" i="14"/>
  <c r="U117" i="14" s="1"/>
  <c r="J122" i="14"/>
  <c r="S118" i="14" s="1"/>
  <c r="K122" i="14"/>
  <c r="T118" i="14" s="1"/>
  <c r="L122" i="14"/>
  <c r="U118" i="14" s="1"/>
  <c r="J123" i="14"/>
  <c r="S119" i="14" s="1"/>
  <c r="K123" i="14"/>
  <c r="T119" i="14" s="1"/>
  <c r="L123" i="14"/>
  <c r="U119" i="14" s="1"/>
  <c r="J124" i="14"/>
  <c r="S120" i="14" s="1"/>
  <c r="K124" i="14"/>
  <c r="T120" i="14" s="1"/>
  <c r="L124" i="14"/>
  <c r="U120" i="14" s="1"/>
  <c r="J125" i="14"/>
  <c r="S121" i="14" s="1"/>
  <c r="K125" i="14"/>
  <c r="T121" i="14" s="1"/>
  <c r="L125" i="14"/>
  <c r="U121" i="14" s="1"/>
  <c r="J126" i="14"/>
  <c r="S122" i="14" s="1"/>
  <c r="K126" i="14"/>
  <c r="T122" i="14" s="1"/>
  <c r="L126" i="14"/>
  <c r="U122" i="14" s="1"/>
  <c r="J127" i="14"/>
  <c r="S123" i="14" s="1"/>
  <c r="K127" i="14"/>
  <c r="T123" i="14" s="1"/>
  <c r="L127" i="14"/>
  <c r="U123" i="14" s="1"/>
  <c r="J128" i="14"/>
  <c r="S124" i="14" s="1"/>
  <c r="K128" i="14"/>
  <c r="T124" i="14" s="1"/>
  <c r="L128" i="14"/>
  <c r="U124" i="14" s="1"/>
  <c r="J129" i="14"/>
  <c r="S125" i="14" s="1"/>
  <c r="K129" i="14"/>
  <c r="T125" i="14" s="1"/>
  <c r="L129" i="14"/>
  <c r="U125" i="14" s="1"/>
  <c r="J130" i="14"/>
  <c r="S126" i="14" s="1"/>
  <c r="K130" i="14"/>
  <c r="T126" i="14" s="1"/>
  <c r="L130" i="14"/>
  <c r="U126" i="14" s="1"/>
  <c r="J131" i="14"/>
  <c r="S127" i="14" s="1"/>
  <c r="K131" i="14"/>
  <c r="T127" i="14" s="1"/>
  <c r="L131" i="14"/>
  <c r="U127" i="14" s="1"/>
  <c r="J132" i="14"/>
  <c r="S128" i="14" s="1"/>
  <c r="K132" i="14"/>
  <c r="T128" i="14" s="1"/>
  <c r="L132" i="14"/>
  <c r="U128" i="14" s="1"/>
  <c r="J133" i="14"/>
  <c r="S129" i="14" s="1"/>
  <c r="K133" i="14"/>
  <c r="T129" i="14" s="1"/>
  <c r="L133" i="14"/>
  <c r="U129" i="14" s="1"/>
  <c r="K114" i="9"/>
  <c r="J115" i="9"/>
  <c r="J114" i="9"/>
  <c r="J113" i="9"/>
  <c r="J134" i="9"/>
  <c r="S130" i="9" s="1"/>
  <c r="J135" i="9"/>
  <c r="S131" i="9" s="1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A133" i="9"/>
  <c r="J133" i="9" s="1"/>
  <c r="A132" i="9"/>
  <c r="J132" i="9" s="1"/>
  <c r="A131" i="9"/>
  <c r="J131" i="9" s="1"/>
  <c r="A130" i="9"/>
  <c r="J130" i="9" s="1"/>
  <c r="A129" i="9"/>
  <c r="J129" i="9" s="1"/>
  <c r="A128" i="9"/>
  <c r="J128" i="9" s="1"/>
  <c r="A127" i="9"/>
  <c r="J127" i="9" s="1"/>
  <c r="A126" i="9"/>
  <c r="J126" i="9" s="1"/>
  <c r="A125" i="9"/>
  <c r="J125" i="9" s="1"/>
  <c r="A124" i="9"/>
  <c r="J124" i="9" s="1"/>
  <c r="A123" i="9"/>
  <c r="J123" i="9" s="1"/>
  <c r="A122" i="9"/>
  <c r="J122" i="9" s="1"/>
  <c r="A121" i="9"/>
  <c r="J121" i="9" s="1"/>
  <c r="J120" i="9"/>
  <c r="J119" i="9"/>
  <c r="J118" i="9"/>
  <c r="J117" i="9"/>
  <c r="J116" i="9"/>
  <c r="Q131" i="9"/>
  <c r="R131" i="9"/>
  <c r="A112" i="9"/>
  <c r="J112" i="9" s="1"/>
  <c r="A111" i="9"/>
  <c r="A110" i="9"/>
  <c r="A109" i="9"/>
  <c r="A108" i="9"/>
  <c r="A107" i="9"/>
  <c r="Q107" i="9" s="1"/>
  <c r="A106" i="9"/>
  <c r="Q106" i="9" s="1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Q90" i="9" s="1"/>
  <c r="A89" i="9"/>
  <c r="A88" i="9"/>
  <c r="A87" i="9"/>
  <c r="A86" i="9"/>
  <c r="A85" i="9"/>
  <c r="A84" i="9"/>
  <c r="A83" i="9"/>
  <c r="A82" i="9"/>
  <c r="A81" i="9"/>
  <c r="Q81" i="9" s="1"/>
  <c r="A80" i="9"/>
  <c r="A79" i="9"/>
  <c r="A78" i="9"/>
  <c r="Q78" i="9" s="1"/>
  <c r="A77" i="9"/>
  <c r="Q77" i="9" s="1"/>
  <c r="A76" i="9"/>
  <c r="A75" i="9"/>
  <c r="A74" i="9"/>
  <c r="A73" i="9"/>
  <c r="A72" i="9"/>
  <c r="Q72" i="9" s="1"/>
  <c r="A71" i="9"/>
  <c r="Q71" i="9" s="1"/>
  <c r="A70" i="9"/>
  <c r="A69" i="9"/>
  <c r="Q69" i="9" s="1"/>
  <c r="A68" i="9"/>
  <c r="Q68" i="9" s="1"/>
  <c r="A67" i="9"/>
  <c r="Q67" i="9" s="1"/>
  <c r="A66" i="9"/>
  <c r="A65" i="9"/>
  <c r="A64" i="9"/>
  <c r="Q64" i="9" s="1"/>
  <c r="A63" i="9"/>
  <c r="Q63" i="9" s="1"/>
  <c r="A62" i="9"/>
  <c r="A61" i="9"/>
  <c r="A60" i="9"/>
  <c r="A59" i="9"/>
  <c r="Q59" i="9" s="1"/>
  <c r="A58" i="9"/>
  <c r="Q58" i="9" s="1"/>
  <c r="A57" i="9"/>
  <c r="A56" i="9"/>
  <c r="A55" i="9"/>
  <c r="Q55" i="9" s="1"/>
  <c r="A54" i="9"/>
  <c r="Q54" i="9" s="1"/>
  <c r="A53" i="9"/>
  <c r="A52" i="9"/>
  <c r="Q52" i="9" s="1"/>
  <c r="A51" i="9"/>
  <c r="Q51" i="9" s="1"/>
  <c r="A50" i="9"/>
  <c r="Q50" i="9" s="1"/>
  <c r="A49" i="9"/>
  <c r="A48" i="9"/>
  <c r="A47" i="9"/>
  <c r="Q47" i="9" s="1"/>
  <c r="A46" i="9"/>
  <c r="Q46" i="9" s="1"/>
  <c r="A45" i="9"/>
  <c r="A44" i="9"/>
  <c r="A43" i="9"/>
  <c r="Q43" i="9" s="1"/>
  <c r="A42" i="9"/>
  <c r="Q42" i="9" s="1"/>
  <c r="A41" i="9"/>
  <c r="A40" i="9"/>
  <c r="A39" i="9"/>
  <c r="Q39" i="9" s="1"/>
  <c r="A38" i="9"/>
  <c r="Q38" i="9" s="1"/>
  <c r="A37" i="9"/>
  <c r="A36" i="9"/>
  <c r="A35" i="9"/>
  <c r="A34" i="9"/>
  <c r="A33" i="9"/>
  <c r="A32" i="9"/>
  <c r="A31" i="9"/>
  <c r="A30" i="9"/>
  <c r="A29" i="9"/>
  <c r="J29" i="9" s="1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Q8" i="9" s="1"/>
  <c r="A7" i="9"/>
  <c r="M134" i="9"/>
  <c r="M135" i="9"/>
  <c r="M136" i="9"/>
  <c r="M137" i="9"/>
  <c r="M138" i="9"/>
  <c r="M139" i="9"/>
  <c r="M140" i="9"/>
  <c r="M141" i="9"/>
  <c r="M142" i="9"/>
  <c r="M143" i="9"/>
  <c r="M144" i="9"/>
  <c r="M145" i="9"/>
  <c r="M146" i="9"/>
  <c r="M147" i="9"/>
  <c r="M148" i="9"/>
  <c r="M149" i="9"/>
  <c r="M150" i="9"/>
  <c r="M151" i="9"/>
  <c r="M152" i="9"/>
  <c r="M153" i="9"/>
  <c r="M154" i="9"/>
  <c r="M155" i="9"/>
  <c r="M156" i="9"/>
  <c r="M157" i="9"/>
  <c r="M158" i="9"/>
  <c r="M159" i="9"/>
  <c r="M160" i="9"/>
  <c r="M161" i="9"/>
  <c r="M162" i="9"/>
  <c r="M163" i="9"/>
  <c r="M164" i="9"/>
  <c r="M165" i="9"/>
  <c r="M166" i="9"/>
  <c r="M167" i="9"/>
  <c r="M168" i="9"/>
  <c r="M169" i="9"/>
  <c r="M170" i="9"/>
  <c r="M171" i="9"/>
  <c r="M172" i="9"/>
  <c r="L134" i="9"/>
  <c r="L135" i="9"/>
  <c r="L136" i="9"/>
  <c r="L137" i="9"/>
  <c r="L138" i="9"/>
  <c r="L139" i="9"/>
  <c r="L140" i="9"/>
  <c r="L141" i="9"/>
  <c r="L142" i="9"/>
  <c r="L143" i="9"/>
  <c r="L144" i="9"/>
  <c r="L145" i="9"/>
  <c r="L146" i="9"/>
  <c r="L147" i="9"/>
  <c r="L148" i="9"/>
  <c r="L149" i="9"/>
  <c r="L150" i="9"/>
  <c r="L151" i="9"/>
  <c r="L152" i="9"/>
  <c r="L153" i="9"/>
  <c r="L154" i="9"/>
  <c r="L155" i="9"/>
  <c r="L156" i="9"/>
  <c r="L157" i="9"/>
  <c r="L158" i="9"/>
  <c r="L159" i="9"/>
  <c r="L160" i="9"/>
  <c r="L161" i="9"/>
  <c r="L162" i="9"/>
  <c r="L163" i="9"/>
  <c r="L164" i="9"/>
  <c r="L165" i="9"/>
  <c r="L166" i="9"/>
  <c r="L167" i="9"/>
  <c r="L168" i="9"/>
  <c r="L169" i="9"/>
  <c r="L170" i="9"/>
  <c r="L171" i="9"/>
  <c r="L172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Q130" i="9"/>
  <c r="U34" i="14" l="1"/>
  <c r="V33" i="14"/>
  <c r="S32" i="14"/>
  <c r="T31" i="14"/>
  <c r="U38" i="14"/>
  <c r="V49" i="14"/>
  <c r="S28" i="14"/>
  <c r="T15" i="14"/>
  <c r="U14" i="14"/>
  <c r="V13" i="14"/>
  <c r="S8" i="14"/>
  <c r="T11" i="14"/>
  <c r="U10" i="14"/>
  <c r="V9" i="14"/>
  <c r="U46" i="14"/>
  <c r="S44" i="14"/>
  <c r="T27" i="14"/>
  <c r="V21" i="14"/>
  <c r="S40" i="14"/>
  <c r="T39" i="14"/>
  <c r="S20" i="14"/>
  <c r="V12" i="14"/>
  <c r="S7" i="14"/>
  <c r="T26" i="14"/>
  <c r="U25" i="14"/>
  <c r="V16" i="14"/>
  <c r="T7" i="14"/>
  <c r="U26" i="14"/>
  <c r="V25" i="14"/>
  <c r="S12" i="14"/>
  <c r="S16" i="14"/>
  <c r="S52" i="14"/>
  <c r="U54" i="14"/>
  <c r="V29" i="14"/>
  <c r="T34" i="14"/>
  <c r="U33" i="14"/>
  <c r="V32" i="14"/>
  <c r="S31" i="14"/>
  <c r="T38" i="14"/>
  <c r="U49" i="14"/>
  <c r="V28" i="14"/>
  <c r="S15" i="14"/>
  <c r="T14" i="14"/>
  <c r="U13" i="14"/>
  <c r="V8" i="14"/>
  <c r="S11" i="14"/>
  <c r="T10" i="14"/>
  <c r="U9" i="14"/>
  <c r="T46" i="14"/>
  <c r="V44" i="14"/>
  <c r="S27" i="14"/>
  <c r="U21" i="14"/>
  <c r="V40" i="14"/>
  <c r="S39" i="14"/>
  <c r="V20" i="14"/>
  <c r="T52" i="14"/>
  <c r="V54" i="14"/>
  <c r="S29" i="14"/>
  <c r="V7" i="14"/>
  <c r="S26" i="14"/>
  <c r="T25" i="14"/>
  <c r="U12" i="14"/>
  <c r="U16" i="14"/>
  <c r="V34" i="14"/>
  <c r="S33" i="14"/>
  <c r="T32" i="14"/>
  <c r="U31" i="14"/>
  <c r="V38" i="14"/>
  <c r="S49" i="14"/>
  <c r="T28" i="14"/>
  <c r="U15" i="14"/>
  <c r="V14" i="14"/>
  <c r="S13" i="14"/>
  <c r="T8" i="14"/>
  <c r="U11" i="14"/>
  <c r="V10" i="14"/>
  <c r="S9" i="14"/>
  <c r="V46" i="14"/>
  <c r="T44" i="14"/>
  <c r="U27" i="14"/>
  <c r="S21" i="14"/>
  <c r="T40" i="14"/>
  <c r="U39" i="14"/>
  <c r="S54" i="14"/>
  <c r="T29" i="14"/>
  <c r="T20" i="14"/>
  <c r="U52" i="14"/>
  <c r="V52" i="14"/>
  <c r="S34" i="14"/>
  <c r="T33" i="14"/>
  <c r="U32" i="14"/>
  <c r="V31" i="14"/>
  <c r="S38" i="14"/>
  <c r="T49" i="14"/>
  <c r="U28" i="14"/>
  <c r="V15" i="14"/>
  <c r="S14" i="14"/>
  <c r="T13" i="14"/>
  <c r="U8" i="14"/>
  <c r="V11" i="14"/>
  <c r="S10" i="14"/>
  <c r="T9" i="14"/>
  <c r="U7" i="14"/>
  <c r="S46" i="14"/>
  <c r="U44" i="14"/>
  <c r="V27" i="14"/>
  <c r="T21" i="14"/>
  <c r="U40" i="14"/>
  <c r="V39" i="14"/>
  <c r="T54" i="14"/>
  <c r="U29" i="14"/>
  <c r="V26" i="14"/>
  <c r="S25" i="14"/>
  <c r="T12" i="14"/>
  <c r="T16" i="14"/>
  <c r="U20" i="14"/>
  <c r="V61" i="14"/>
  <c r="U61" i="14"/>
  <c r="T61" i="14"/>
  <c r="S61" i="14"/>
  <c r="V60" i="14"/>
  <c r="U60" i="14"/>
  <c r="T60" i="14"/>
  <c r="S60" i="14"/>
  <c r="V45" i="14"/>
  <c r="U45" i="14"/>
  <c r="T45" i="14"/>
  <c r="S45" i="14"/>
  <c r="V82" i="14"/>
  <c r="U82" i="14"/>
  <c r="T82" i="14"/>
  <c r="S82" i="14"/>
  <c r="V80" i="14"/>
  <c r="U80" i="14"/>
  <c r="T80" i="14"/>
  <c r="S80" i="14"/>
  <c r="V73" i="14"/>
  <c r="U73" i="14"/>
  <c r="T73" i="14"/>
  <c r="S73" i="14"/>
  <c r="V75" i="14"/>
  <c r="U75" i="14"/>
  <c r="T75" i="14"/>
  <c r="S75" i="14"/>
  <c r="V63" i="14"/>
  <c r="U63" i="14"/>
  <c r="T63" i="14"/>
  <c r="S63" i="14"/>
  <c r="V79" i="14"/>
  <c r="U79" i="14"/>
  <c r="T79" i="14"/>
  <c r="S79" i="14"/>
  <c r="V67" i="14"/>
  <c r="U67" i="14"/>
  <c r="T67" i="14"/>
  <c r="S67" i="14"/>
  <c r="V64" i="14"/>
  <c r="U64" i="14"/>
  <c r="T64" i="14"/>
  <c r="S64" i="14"/>
  <c r="V83" i="14"/>
  <c r="U83" i="14"/>
  <c r="T83" i="14"/>
  <c r="S83" i="14"/>
  <c r="V59" i="14"/>
  <c r="U59" i="14"/>
  <c r="T59" i="14"/>
  <c r="S59" i="14"/>
  <c r="V70" i="14"/>
  <c r="U70" i="14"/>
  <c r="T70" i="14"/>
  <c r="S70" i="14"/>
  <c r="V51" i="14"/>
  <c r="U51" i="14"/>
  <c r="T51" i="14"/>
  <c r="S51" i="14"/>
  <c r="V71" i="14"/>
  <c r="U71" i="14"/>
  <c r="T71" i="14"/>
  <c r="S71" i="14"/>
  <c r="V58" i="14"/>
  <c r="U58" i="14"/>
  <c r="T58" i="14"/>
  <c r="S58" i="14"/>
  <c r="V81" i="14"/>
  <c r="U81" i="14"/>
  <c r="T81" i="14"/>
  <c r="S81" i="14"/>
  <c r="V62" i="14"/>
  <c r="U62" i="14"/>
  <c r="T62" i="14"/>
  <c r="S62" i="14"/>
  <c r="V53" i="14"/>
  <c r="U53" i="14"/>
  <c r="T53" i="14"/>
  <c r="S53" i="14"/>
  <c r="V86" i="14"/>
  <c r="U86" i="14"/>
  <c r="T86" i="14"/>
  <c r="S86" i="14"/>
  <c r="V85" i="14"/>
  <c r="U85" i="14"/>
  <c r="T85" i="14"/>
  <c r="S85" i="14"/>
  <c r="V66" i="14"/>
  <c r="U66" i="14"/>
  <c r="T66" i="14"/>
  <c r="S66" i="14"/>
  <c r="V65" i="14"/>
  <c r="U65" i="14"/>
  <c r="T65" i="14"/>
  <c r="S65" i="14"/>
  <c r="V78" i="14"/>
  <c r="U78" i="14"/>
  <c r="T78" i="14"/>
  <c r="S78" i="14"/>
  <c r="V84" i="14"/>
  <c r="U84" i="14"/>
  <c r="T84" i="14"/>
  <c r="S84" i="14"/>
  <c r="V55" i="14"/>
  <c r="U55" i="14"/>
  <c r="T55" i="14"/>
  <c r="S55" i="14"/>
  <c r="V37" i="14"/>
  <c r="U37" i="14"/>
  <c r="T37" i="14"/>
  <c r="S37" i="14"/>
  <c r="V36" i="14"/>
  <c r="U36" i="14"/>
  <c r="T36" i="14"/>
  <c r="S36" i="14"/>
  <c r="V74" i="14"/>
  <c r="U74" i="14"/>
  <c r="T74" i="14"/>
  <c r="S74" i="14"/>
  <c r="V43" i="14"/>
  <c r="U43" i="14"/>
  <c r="T43" i="14"/>
  <c r="S43" i="14"/>
  <c r="V24" i="14"/>
  <c r="U24" i="14"/>
  <c r="T24" i="14"/>
  <c r="S24" i="14"/>
  <c r="V23" i="14"/>
  <c r="U23" i="14"/>
  <c r="T23" i="14"/>
  <c r="S23" i="14"/>
  <c r="V22" i="14"/>
  <c r="U22" i="14"/>
  <c r="T22" i="14"/>
  <c r="S22" i="14"/>
  <c r="V48" i="14"/>
  <c r="U48" i="14"/>
  <c r="T48" i="14"/>
  <c r="S48" i="14"/>
  <c r="V47" i="14"/>
  <c r="U47" i="14"/>
  <c r="T47" i="14"/>
  <c r="S47" i="14"/>
  <c r="V77" i="14"/>
  <c r="U77" i="14"/>
  <c r="T77" i="14"/>
  <c r="S77" i="14"/>
  <c r="V57" i="14"/>
  <c r="U57" i="14"/>
  <c r="T57" i="14"/>
  <c r="S57" i="14"/>
  <c r="V56" i="14"/>
  <c r="U56" i="14"/>
  <c r="T56" i="14"/>
  <c r="S56" i="14"/>
  <c r="V17" i="14"/>
  <c r="U17" i="14"/>
  <c r="T17" i="14"/>
  <c r="S17" i="14"/>
  <c r="V42" i="14"/>
  <c r="U42" i="14"/>
  <c r="T42" i="14"/>
  <c r="S42" i="14"/>
  <c r="V41" i="14"/>
  <c r="U41" i="14"/>
  <c r="T41" i="14"/>
  <c r="S41" i="14"/>
  <c r="V76" i="14"/>
  <c r="U76" i="14"/>
  <c r="T76" i="14"/>
  <c r="S76" i="14"/>
  <c r="V72" i="14"/>
  <c r="U72" i="14"/>
  <c r="T72" i="14"/>
  <c r="S72" i="14"/>
  <c r="V69" i="14"/>
  <c r="U69" i="14"/>
  <c r="T69" i="14"/>
  <c r="S69" i="14"/>
  <c r="V68" i="14"/>
  <c r="U68" i="14"/>
  <c r="T68" i="14"/>
  <c r="S68" i="14"/>
  <c r="R128" i="9"/>
  <c r="Q40" i="9"/>
  <c r="Q44" i="9"/>
  <c r="Q48" i="9"/>
  <c r="Q56" i="9"/>
  <c r="Q60" i="9"/>
  <c r="Q65" i="9"/>
  <c r="Q129" i="9"/>
  <c r="Q37" i="9"/>
  <c r="Q41" i="9"/>
  <c r="Q45" i="9"/>
  <c r="Q49" i="9"/>
  <c r="Q53" i="9"/>
  <c r="Q57" i="9"/>
  <c r="R109" i="9"/>
  <c r="Q73" i="9"/>
  <c r="Q66" i="9"/>
  <c r="Q74" i="9"/>
  <c r="Q102" i="9"/>
  <c r="R129" i="9"/>
  <c r="Q128" i="9"/>
  <c r="Q70" i="9"/>
  <c r="Q62" i="9"/>
  <c r="Q101" i="9"/>
  <c r="R110" i="9"/>
  <c r="R111" i="9"/>
  <c r="R87" i="9"/>
  <c r="R88" i="9"/>
  <c r="R104" i="9"/>
  <c r="R105" i="9"/>
  <c r="R103" i="9"/>
  <c r="R19" i="9"/>
  <c r="R20" i="9"/>
  <c r="R21" i="9"/>
  <c r="R22" i="9"/>
  <c r="R91" i="9"/>
  <c r="Q79" i="9"/>
  <c r="Q80" i="9"/>
  <c r="R94" i="9"/>
  <c r="R95" i="9"/>
  <c r="R97" i="9"/>
  <c r="R98" i="9"/>
  <c r="R99" i="9"/>
  <c r="R13" i="9"/>
  <c r="R14" i="9"/>
  <c r="R7" i="9"/>
  <c r="R30" i="9"/>
  <c r="R31" i="9"/>
  <c r="R9" i="9"/>
  <c r="R11" i="9"/>
  <c r="R12" i="9"/>
  <c r="R10" i="9"/>
  <c r="R61" i="9"/>
  <c r="R15" i="9"/>
  <c r="R16" i="9"/>
  <c r="R32" i="9"/>
  <c r="R33" i="9"/>
  <c r="R34" i="9"/>
  <c r="R17" i="9"/>
  <c r="R18" i="9"/>
  <c r="R35" i="9"/>
  <c r="R36" i="9"/>
  <c r="R25" i="9"/>
  <c r="R26" i="9"/>
  <c r="R27" i="9"/>
  <c r="R28" i="9"/>
  <c r="R29" i="9"/>
  <c r="R23" i="9"/>
  <c r="R24" i="9"/>
  <c r="R85" i="9"/>
  <c r="R86" i="9"/>
  <c r="R83" i="9"/>
  <c r="R84" i="9"/>
  <c r="R92" i="9"/>
  <c r="R93" i="9"/>
  <c r="R76" i="9"/>
  <c r="Q76" i="9"/>
  <c r="R75" i="9"/>
  <c r="Q75" i="9"/>
  <c r="R112" i="9"/>
  <c r="Q112" i="9"/>
  <c r="Q93" i="9"/>
  <c r="Q92" i="9"/>
  <c r="Q84" i="9"/>
  <c r="Q83" i="9"/>
  <c r="Q86" i="9"/>
  <c r="Q85" i="9"/>
  <c r="Q24" i="9"/>
  <c r="Q23" i="9"/>
  <c r="Q29" i="9"/>
  <c r="Q28" i="9"/>
  <c r="Q27" i="9"/>
  <c r="Q26" i="9"/>
  <c r="Q25" i="9"/>
  <c r="Q36" i="9"/>
  <c r="Q35" i="9"/>
  <c r="Q103" i="9"/>
  <c r="Q91" i="9"/>
  <c r="Q22" i="9"/>
  <c r="Q21" i="9"/>
  <c r="Q20" i="9"/>
  <c r="Q19" i="9"/>
  <c r="Q18" i="9"/>
  <c r="Q17" i="9"/>
  <c r="Q34" i="9"/>
  <c r="Q33" i="9"/>
  <c r="Q32" i="9"/>
  <c r="Q16" i="9"/>
  <c r="Q15" i="9"/>
  <c r="Q61" i="9"/>
  <c r="Q10" i="9"/>
  <c r="Q12" i="9"/>
  <c r="Q11" i="9"/>
  <c r="Q9" i="9"/>
  <c r="Q31" i="9"/>
  <c r="Q30" i="9"/>
  <c r="Q7" i="9"/>
  <c r="Q109" i="9"/>
  <c r="Q14" i="9"/>
  <c r="Q13" i="9"/>
  <c r="Q99" i="9"/>
  <c r="Q98" i="9"/>
  <c r="Q97" i="9"/>
  <c r="Q105" i="9"/>
  <c r="Q104" i="9"/>
  <c r="Q88" i="9"/>
  <c r="Q87" i="9"/>
  <c r="Q95" i="9"/>
  <c r="Q94" i="9"/>
  <c r="Q111" i="9"/>
  <c r="Q110" i="9"/>
  <c r="S113" i="9"/>
  <c r="S114" i="9"/>
  <c r="S115" i="9"/>
  <c r="S116" i="9"/>
  <c r="S117" i="9"/>
  <c r="S118" i="9"/>
  <c r="S119" i="9"/>
  <c r="S120" i="9"/>
  <c r="S121" i="9"/>
  <c r="S122" i="9"/>
  <c r="S123" i="9"/>
  <c r="S124" i="9"/>
  <c r="S125" i="9"/>
  <c r="S126" i="9"/>
  <c r="S127" i="9"/>
  <c r="S129" i="9"/>
  <c r="S128" i="9"/>
  <c r="AY173" i="1" l="1"/>
  <c r="AY165" i="1"/>
  <c r="AY473" i="1"/>
  <c r="AY464" i="1"/>
  <c r="AY98" i="1"/>
  <c r="AY431" i="1"/>
  <c r="AY392" i="1"/>
  <c r="AY309" i="1"/>
  <c r="AY157" i="1"/>
  <c r="AY123" i="1"/>
  <c r="AY462" i="1"/>
  <c r="AY246" i="1"/>
  <c r="AY371" i="1"/>
  <c r="AY116" i="1"/>
  <c r="AY354" i="1"/>
  <c r="AY432" i="1"/>
  <c r="AY86" i="1"/>
  <c r="AY341" i="1"/>
  <c r="AY465" i="1"/>
  <c r="AY391" i="1"/>
  <c r="AY87" i="1"/>
  <c r="AY85" i="1"/>
  <c r="AY518" i="1"/>
  <c r="AY370" i="1"/>
  <c r="AY115" i="1"/>
  <c r="AY355" i="1"/>
  <c r="AY140" i="1"/>
  <c r="AY88" i="1"/>
  <c r="AY472" i="1"/>
  <c r="AY519" i="1"/>
  <c r="AY81" i="1"/>
  <c r="AY178" i="1"/>
  <c r="AY412" i="1"/>
  <c r="AY416" i="1"/>
  <c r="AY45" i="1"/>
  <c r="AY44" i="1"/>
  <c r="AY485" i="1"/>
  <c r="AY441" i="1"/>
  <c r="AY429" i="1"/>
  <c r="AY428" i="1"/>
  <c r="AY42" i="1"/>
  <c r="AY203" i="1"/>
  <c r="AY110" i="1"/>
  <c r="AY237" i="1"/>
  <c r="AY492" i="1"/>
  <c r="AY439" i="1"/>
  <c r="AY486" i="1"/>
  <c r="AY304" i="1"/>
  <c r="AY313" i="1"/>
  <c r="AY252" i="1"/>
  <c r="AY440" i="1"/>
  <c r="AY41" i="1"/>
  <c r="AY430" i="1"/>
  <c r="AY130" i="1"/>
  <c r="AY299" i="1"/>
  <c r="AY147" i="1"/>
  <c r="AY200" i="1"/>
  <c r="AY223" i="1"/>
  <c r="AY222" i="1"/>
  <c r="AY338" i="1"/>
  <c r="AY20" i="1"/>
  <c r="AY369" i="1"/>
  <c r="AY114" i="1"/>
  <c r="AY201" i="1"/>
  <c r="AY238" i="1"/>
  <c r="AY181" i="1"/>
  <c r="AY442" i="1"/>
  <c r="AY487" i="1"/>
  <c r="AY172" i="1"/>
  <c r="AY475" i="1"/>
  <c r="AY510" i="1"/>
  <c r="AY482" i="1"/>
  <c r="AY91" i="1"/>
  <c r="AY296" i="1"/>
  <c r="AY89" i="1"/>
  <c r="AY166" i="1"/>
  <c r="AY372" i="1"/>
  <c r="AY373" i="1"/>
  <c r="AY516" i="1"/>
  <c r="AY517" i="1"/>
  <c r="AY21" i="1"/>
  <c r="AY30" i="1"/>
  <c r="AY77" i="1"/>
  <c r="AY131" i="1"/>
  <c r="AY414" i="1"/>
  <c r="AY300" i="1"/>
  <c r="AY512" i="1"/>
  <c r="AY511" i="1"/>
  <c r="AY339" i="1"/>
  <c r="AY92" i="1"/>
  <c r="AY386" i="1"/>
  <c r="AY395" i="1"/>
  <c r="AY64" i="1"/>
  <c r="AY239" i="1"/>
  <c r="AY182" i="1"/>
  <c r="AY443" i="1"/>
  <c r="AY461" i="1"/>
  <c r="AY476" i="1"/>
  <c r="AY281" i="1"/>
  <c r="AY58" i="1"/>
  <c r="AY415" i="1"/>
  <c r="AY36" i="1"/>
  <c r="AY153" i="1"/>
  <c r="AY119" i="1"/>
  <c r="AY154" i="1"/>
  <c r="AY385" i="1"/>
  <c r="AY3" i="1"/>
  <c r="AY2" i="1"/>
  <c r="AY358" i="1"/>
  <c r="AY484" i="1"/>
  <c r="AY483" i="1"/>
  <c r="AY177" i="1"/>
  <c r="AY413" i="1"/>
  <c r="AY417" i="1"/>
  <c r="AY349" i="1"/>
  <c r="AY202" i="1"/>
  <c r="AY396" i="1"/>
  <c r="AY491" i="1"/>
  <c r="AY438" i="1"/>
  <c r="AY444" i="1"/>
  <c r="AY225" i="1"/>
  <c r="AY121" i="1"/>
  <c r="AY192" i="1"/>
  <c r="AY297" i="1"/>
  <c r="AY90" i="1"/>
  <c r="AY167" i="1"/>
  <c r="AY68" i="1"/>
  <c r="AY342" i="1"/>
  <c r="AY343" i="1"/>
  <c r="AY331" i="1"/>
  <c r="AY332" i="1"/>
  <c r="AY330" i="1"/>
  <c r="AY133" i="1"/>
  <c r="AY214" i="1"/>
  <c r="AY287" i="1"/>
  <c r="AY286" i="1"/>
  <c r="AY333" i="1"/>
  <c r="AY498" i="1"/>
  <c r="AY317" i="1"/>
  <c r="AY387" i="1"/>
  <c r="AY219" i="1"/>
  <c r="AY421" i="1"/>
  <c r="AY456" i="1"/>
  <c r="AY503" i="1"/>
  <c r="AY398" i="1"/>
  <c r="AY420" i="1"/>
  <c r="AY407" i="1"/>
  <c r="AY104" i="1"/>
  <c r="AY397" i="1"/>
  <c r="AY389" i="1"/>
  <c r="AY406" i="1"/>
  <c r="AY495" i="1"/>
  <c r="AY514" i="1"/>
  <c r="AY388" i="1"/>
  <c r="AY220" i="1"/>
  <c r="AY125" i="1"/>
  <c r="AY457" i="1"/>
  <c r="AY513" i="1"/>
  <c r="AY267" i="1"/>
  <c r="AY497" i="1"/>
  <c r="AY477" i="1"/>
  <c r="AY316" i="1"/>
  <c r="AY127" i="1"/>
  <c r="AY390" i="1"/>
  <c r="AY502" i="1"/>
  <c r="AY33" i="1"/>
  <c r="AY496" i="1"/>
  <c r="AY126" i="1"/>
  <c r="AY268" i="1"/>
  <c r="AY103" i="1"/>
  <c r="AY478" i="1"/>
  <c r="AY351" i="1"/>
  <c r="AY16" i="1"/>
  <c r="AY26" i="1"/>
  <c r="AY424" i="1"/>
  <c r="AY24" i="1"/>
  <c r="AY23" i="1"/>
  <c r="AY22" i="1"/>
  <c r="AY124" i="1"/>
  <c r="AY31" i="1"/>
  <c r="AY19" i="1"/>
  <c r="AY18" i="1"/>
  <c r="AY17" i="1"/>
  <c r="AY221" i="1"/>
  <c r="AY257" i="1"/>
  <c r="AY353" i="1"/>
  <c r="AY294" i="1"/>
  <c r="AY352" i="1"/>
  <c r="AY293" i="1"/>
  <c r="AY11" i="1"/>
  <c r="AY137" i="1"/>
  <c r="AY69" i="1"/>
  <c r="AY40" i="1"/>
  <c r="AY361" i="1"/>
  <c r="AY12" i="1"/>
  <c r="AY113" i="1"/>
  <c r="AY70" i="1"/>
  <c r="AY301" i="1"/>
  <c r="AY366" i="1"/>
  <c r="AY362" i="1"/>
  <c r="AY249" i="1"/>
  <c r="AY143" i="1"/>
  <c r="AY509" i="1"/>
  <c r="AY365" i="1"/>
  <c r="AY95" i="1"/>
  <c r="AY280" i="1"/>
  <c r="AY279" i="1"/>
  <c r="AY451" i="1"/>
  <c r="AY185" i="1"/>
  <c r="AY253" i="1"/>
  <c r="AY298" i="1"/>
  <c r="AY7" i="1"/>
  <c r="AY427" i="1"/>
  <c r="AY426" i="1"/>
  <c r="AY425" i="1"/>
  <c r="AY356" i="1"/>
  <c r="AY450" i="1"/>
  <c r="AY382" i="1"/>
  <c r="AY381" i="1"/>
  <c r="AY136" i="1"/>
  <c r="AY308" i="1"/>
  <c r="AY39" i="1"/>
  <c r="AY6" i="1"/>
  <c r="AY162" i="1"/>
  <c r="AY43" i="1"/>
  <c r="AY35" i="1"/>
  <c r="AY227" i="1"/>
  <c r="AY105" i="1"/>
  <c r="AY159" i="1"/>
  <c r="AY283" i="1"/>
  <c r="AY325" i="1"/>
  <c r="AY274" i="1"/>
  <c r="AY52" i="1"/>
  <c r="AY150" i="1"/>
  <c r="AY505" i="1"/>
  <c r="AY208" i="1"/>
  <c r="AY318" i="1"/>
  <c r="AY112" i="1"/>
  <c r="AY224" i="1"/>
  <c r="AY241" i="1"/>
  <c r="AY400" i="1"/>
  <c r="AY74" i="1"/>
  <c r="AY117" i="1"/>
  <c r="AY295" i="1"/>
  <c r="AY84" i="1"/>
  <c r="AY328" i="1"/>
  <c r="AY13" i="1"/>
  <c r="AY403" i="1"/>
  <c r="AY336" i="1"/>
  <c r="AY196" i="1"/>
  <c r="AY78" i="1"/>
  <c r="AY229" i="1"/>
  <c r="AY76" i="1"/>
  <c r="AY489" i="1"/>
  <c r="AY199" i="1"/>
  <c r="AY384" i="1"/>
  <c r="AY419" i="1"/>
  <c r="AY357" i="1"/>
  <c r="AY10" i="1"/>
  <c r="AY258" i="1"/>
  <c r="AY210" i="1"/>
  <c r="AY217" i="1"/>
  <c r="AY327" i="1"/>
  <c r="AY37" i="1"/>
  <c r="AY38" i="1"/>
  <c r="AY226" i="1"/>
  <c r="AY324" i="1"/>
  <c r="AY204" i="1"/>
  <c r="AY47" i="1"/>
  <c r="AY97" i="1"/>
  <c r="AY94" i="1"/>
  <c r="AY263" i="1"/>
  <c r="AY168" i="1"/>
  <c r="AY320" i="1"/>
  <c r="AY109" i="1"/>
  <c r="AY291" i="1"/>
  <c r="AY155" i="1"/>
  <c r="AY305" i="1"/>
  <c r="AY169" i="1"/>
  <c r="AY118" i="1"/>
  <c r="AY264" i="1"/>
  <c r="AY218" i="1"/>
  <c r="AY232" i="1"/>
  <c r="AY311" i="1"/>
  <c r="AY190" i="1"/>
  <c r="AY211" i="1"/>
  <c r="AY48" i="1"/>
  <c r="AY187" i="1"/>
  <c r="AY405" i="1"/>
  <c r="AY259" i="1"/>
  <c r="AY234" i="1"/>
  <c r="AY205" i="1"/>
  <c r="AY107" i="1"/>
  <c r="AY9" i="1"/>
  <c r="AY175" i="1"/>
  <c r="AY83" i="1"/>
  <c r="AY184" i="1"/>
  <c r="AY206" i="1"/>
  <c r="AY254" i="1"/>
  <c r="AY160" i="1"/>
  <c r="AY250" i="1"/>
  <c r="AY490" i="1"/>
  <c r="AY146" i="1"/>
  <c r="AY4" i="1"/>
  <c r="AY59" i="1"/>
  <c r="AY319" i="1"/>
  <c r="AY260" i="1"/>
  <c r="AY269" i="1"/>
  <c r="AY79" i="1"/>
  <c r="AY275" i="1"/>
  <c r="AY197" i="1"/>
  <c r="AY151" i="1"/>
  <c r="AY337" i="1"/>
  <c r="AY122" i="1"/>
  <c r="AY141" i="1"/>
  <c r="AY251" i="1"/>
  <c r="AY14" i="1"/>
  <c r="AY106" i="1"/>
  <c r="AY128" i="1"/>
  <c r="AY247" i="1"/>
  <c r="AY383" i="1"/>
  <c r="AY248" i="1"/>
  <c r="AY96" i="1"/>
  <c r="AY129" i="1"/>
  <c r="AY101" i="1"/>
  <c r="AY282" i="1"/>
  <c r="AY54" i="1"/>
  <c r="AY66" i="1"/>
  <c r="AY148" i="1"/>
  <c r="AY144" i="1"/>
  <c r="AY142" i="1"/>
  <c r="AY188" i="1"/>
  <c r="AY285" i="1"/>
  <c r="AY49" i="1"/>
  <c r="AY344" i="1"/>
  <c r="AY242" i="1"/>
  <c r="AY158" i="1"/>
  <c r="AY29" i="1"/>
  <c r="AY5" i="1"/>
  <c r="AY312" i="1"/>
  <c r="AY276" i="1"/>
  <c r="AY314" i="1"/>
  <c r="AY80" i="1"/>
  <c r="AY271" i="1"/>
  <c r="AY270" i="1"/>
  <c r="AY265" i="1"/>
  <c r="AY261" i="1"/>
  <c r="AY170" i="1"/>
  <c r="AY306" i="1"/>
  <c r="AY50" i="1"/>
  <c r="AY60" i="1"/>
  <c r="AY228" i="1"/>
  <c r="AY102" i="1"/>
  <c r="AY180" i="1"/>
  <c r="AY53" i="1"/>
  <c r="AY215" i="1"/>
  <c r="AY138" i="1"/>
  <c r="AY255" i="1"/>
  <c r="AY244" i="1"/>
  <c r="AY288" i="1"/>
  <c r="AY230" i="1"/>
  <c r="AY82" i="1"/>
  <c r="AY174" i="1"/>
  <c r="AY402" i="1"/>
  <c r="AY350" i="1"/>
  <c r="AY111" i="1"/>
  <c r="AY61" i="1"/>
  <c r="AY194" i="1"/>
  <c r="AY292" i="1"/>
  <c r="AY240" i="1"/>
  <c r="AY55" i="1"/>
  <c r="AY67" i="1"/>
  <c r="AY149" i="1"/>
  <c r="AY213" i="1"/>
  <c r="AY145" i="1"/>
  <c r="AY278" i="1"/>
  <c r="AY401" i="1"/>
  <c r="AY399" i="1"/>
  <c r="AY65" i="1"/>
  <c r="AY186" i="1"/>
  <c r="AY243" i="1"/>
  <c r="AY209" i="1"/>
  <c r="AY28" i="1"/>
  <c r="AY108" i="1"/>
  <c r="AY195" i="1"/>
  <c r="AY73" i="1"/>
  <c r="AY46" i="1"/>
  <c r="AY93" i="1"/>
  <c r="AY321" i="1"/>
  <c r="AY216" i="1"/>
  <c r="AY266" i="1"/>
  <c r="AY262" i="1"/>
  <c r="AY171" i="1"/>
  <c r="AY307" i="1"/>
  <c r="AY51" i="1"/>
  <c r="AY15" i="1"/>
  <c r="AY132" i="1"/>
  <c r="AY100" i="1"/>
  <c r="AY504" i="1"/>
  <c r="AY32" i="1"/>
  <c r="AY233" i="1"/>
  <c r="AY156" i="1"/>
  <c r="AY256" i="1"/>
  <c r="AY245" i="1"/>
  <c r="AY27" i="1"/>
  <c r="AY231" i="1"/>
  <c r="AY8" i="1"/>
  <c r="AY99" i="1"/>
  <c r="AY236" i="1"/>
  <c r="AY176" i="1"/>
  <c r="AY189" i="1"/>
  <c r="AY347" i="1"/>
  <c r="AY348" i="1"/>
  <c r="AY163" i="1"/>
  <c r="AY164" i="1"/>
  <c r="AY367" i="1"/>
  <c r="AY368" i="1"/>
  <c r="AY322" i="1"/>
  <c r="AY323" i="1"/>
  <c r="AY393" i="1"/>
  <c r="AY394" i="1"/>
  <c r="AY235" i="1"/>
  <c r="AY501" i="1"/>
  <c r="AY418" i="1"/>
  <c r="AY468" i="1"/>
  <c r="AY410" i="1"/>
  <c r="AY458" i="1"/>
  <c r="AY374" i="1"/>
  <c r="AY161" i="1"/>
  <c r="AY449" i="1"/>
  <c r="AY479" i="1"/>
  <c r="AY480" i="1"/>
  <c r="AY481" i="1"/>
  <c r="AY452" i="1"/>
  <c r="AY453" i="1"/>
  <c r="AY411" i="1"/>
  <c r="AY435" i="1"/>
  <c r="AY488" i="1"/>
  <c r="AY212" i="1"/>
  <c r="AY198" i="1"/>
  <c r="AY454" i="1"/>
  <c r="AY455" i="1"/>
  <c r="AY207" i="1"/>
  <c r="AY422" i="1"/>
  <c r="AY423" i="1"/>
  <c r="AY359" i="1"/>
  <c r="AY360" i="1"/>
  <c r="AY363" i="1"/>
  <c r="AY364" i="1"/>
  <c r="AY474" i="1"/>
  <c r="AY302" i="1"/>
  <c r="AY303" i="1"/>
  <c r="AY326" i="1"/>
  <c r="AY183" i="1"/>
  <c r="AY340" i="1"/>
  <c r="AY139" i="1"/>
  <c r="AY493" i="1"/>
  <c r="AY494" i="1"/>
  <c r="AY191" i="1"/>
  <c r="AY34" i="1"/>
  <c r="AY193" i="1"/>
  <c r="AY434" i="1"/>
  <c r="AY463" i="1"/>
  <c r="AY459" i="1"/>
  <c r="AY470" i="1"/>
  <c r="AY471" i="1"/>
  <c r="AY460" i="1"/>
  <c r="AY120" i="1"/>
  <c r="AY506" i="1"/>
  <c r="AY507" i="1"/>
  <c r="AY508" i="1"/>
  <c r="AY272" i="1"/>
  <c r="AY273" i="1"/>
  <c r="AY289" i="1"/>
  <c r="AY290" i="1"/>
  <c r="AY409" i="1"/>
  <c r="AY408" i="1"/>
  <c r="AY445" i="1"/>
  <c r="AY446" i="1"/>
  <c r="AY345" i="1"/>
  <c r="AY346" i="1"/>
  <c r="AY179" i="1"/>
  <c r="AY329" i="1"/>
  <c r="AY499" i="1"/>
  <c r="AY500" i="1"/>
  <c r="AY436" i="1"/>
  <c r="AY437" i="1"/>
  <c r="AY447" i="1"/>
  <c r="AY448" i="1"/>
  <c r="AY284" i="1"/>
  <c r="AY433" i="1"/>
  <c r="AY25" i="1"/>
  <c r="AY57" i="1"/>
  <c r="AY56" i="1"/>
  <c r="AY315" i="1"/>
  <c r="AY62" i="1"/>
  <c r="AY63" i="1"/>
  <c r="AY469" i="1"/>
  <c r="AY335" i="1"/>
  <c r="AY334" i="1"/>
  <c r="AY466" i="1"/>
  <c r="AY467" i="1"/>
  <c r="AY404" i="1"/>
  <c r="AY277" i="1"/>
  <c r="AY71" i="1"/>
  <c r="AY72" i="1"/>
  <c r="AY375" i="1"/>
  <c r="AY376" i="1"/>
  <c r="AY134" i="1"/>
  <c r="AY135" i="1"/>
  <c r="AY152" i="1"/>
  <c r="AY310" i="1"/>
  <c r="AY75" i="1"/>
  <c r="AY515" i="1"/>
  <c r="AY380" i="1"/>
  <c r="AY378" i="1"/>
  <c r="AY379" i="1"/>
  <c r="AY377" i="1"/>
  <c r="V158" i="9"/>
  <c r="U158" i="9"/>
  <c r="T158" i="9"/>
  <c r="S158" i="9"/>
  <c r="P158" i="9"/>
  <c r="V157" i="9"/>
  <c r="U157" i="9"/>
  <c r="T157" i="9"/>
  <c r="S157" i="9"/>
  <c r="P157" i="9"/>
  <c r="P156" i="9"/>
  <c r="P155" i="9"/>
  <c r="P154" i="9"/>
  <c r="P153" i="9"/>
  <c r="P152" i="9"/>
  <c r="P151" i="9"/>
  <c r="P150" i="9"/>
  <c r="P149" i="9"/>
  <c r="P148" i="9"/>
  <c r="P147" i="9"/>
  <c r="P146" i="9"/>
  <c r="P145" i="9"/>
  <c r="P144" i="9"/>
  <c r="P143" i="9"/>
  <c r="P142" i="9"/>
  <c r="P141" i="9"/>
  <c r="P140" i="9"/>
  <c r="P139" i="9"/>
  <c r="P138" i="9"/>
  <c r="P137" i="9"/>
  <c r="P136" i="9"/>
  <c r="P135" i="9"/>
  <c r="P134" i="9"/>
  <c r="P133" i="9"/>
  <c r="P132" i="9"/>
  <c r="R78" i="9"/>
  <c r="M116" i="9" l="1"/>
  <c r="L116" i="9"/>
  <c r="K116" i="9"/>
  <c r="M117" i="9"/>
  <c r="L117" i="9"/>
  <c r="K117" i="9"/>
  <c r="M118" i="9"/>
  <c r="L118" i="9"/>
  <c r="K118" i="9"/>
  <c r="Q113" i="9"/>
  <c r="R113" i="9"/>
  <c r="M119" i="9"/>
  <c r="L119" i="9"/>
  <c r="K119" i="9"/>
  <c r="T113" i="9" s="1"/>
  <c r="Q114" i="9"/>
  <c r="R114" i="9"/>
  <c r="M120" i="9"/>
  <c r="L120" i="9"/>
  <c r="K120" i="9"/>
  <c r="Q115" i="9"/>
  <c r="R115" i="9"/>
  <c r="M121" i="9"/>
  <c r="L121" i="9"/>
  <c r="K121" i="9"/>
  <c r="Q116" i="9"/>
  <c r="R116" i="9"/>
  <c r="M122" i="9"/>
  <c r="L122" i="9"/>
  <c r="K122" i="9"/>
  <c r="Q117" i="9"/>
  <c r="R117" i="9"/>
  <c r="M123" i="9"/>
  <c r="L123" i="9"/>
  <c r="K123" i="9"/>
  <c r="Q118" i="9"/>
  <c r="R118" i="9"/>
  <c r="M124" i="9"/>
  <c r="L124" i="9"/>
  <c r="K124" i="9"/>
  <c r="Q119" i="9"/>
  <c r="R119" i="9"/>
  <c r="M125" i="9"/>
  <c r="L125" i="9"/>
  <c r="K125" i="9"/>
  <c r="Q120" i="9"/>
  <c r="R120" i="9"/>
  <c r="M126" i="9"/>
  <c r="L126" i="9"/>
  <c r="K126" i="9"/>
  <c r="Q121" i="9"/>
  <c r="R121" i="9"/>
  <c r="M127" i="9"/>
  <c r="L127" i="9"/>
  <c r="K127" i="9"/>
  <c r="Q122" i="9"/>
  <c r="R122" i="9"/>
  <c r="M128" i="9"/>
  <c r="L128" i="9"/>
  <c r="K128" i="9"/>
  <c r="Q123" i="9"/>
  <c r="R123" i="9"/>
  <c r="M129" i="9"/>
  <c r="L129" i="9"/>
  <c r="K129" i="9"/>
  <c r="Q124" i="9"/>
  <c r="R124" i="9"/>
  <c r="M130" i="9"/>
  <c r="L130" i="9"/>
  <c r="K130" i="9"/>
  <c r="Q125" i="9"/>
  <c r="R125" i="9"/>
  <c r="M131" i="9"/>
  <c r="L131" i="9"/>
  <c r="K131" i="9"/>
  <c r="Q126" i="9"/>
  <c r="R126" i="9"/>
  <c r="M132" i="9"/>
  <c r="L132" i="9"/>
  <c r="K132" i="9"/>
  <c r="Q127" i="9"/>
  <c r="R127" i="9"/>
  <c r="M133" i="9"/>
  <c r="L133" i="9"/>
  <c r="K133" i="9"/>
  <c r="R89" i="9"/>
  <c r="Q89" i="9"/>
  <c r="R82" i="9"/>
  <c r="Q82" i="9"/>
  <c r="R108" i="9"/>
  <c r="Q108" i="9"/>
  <c r="R100" i="9"/>
  <c r="Q100" i="9"/>
  <c r="R96" i="9"/>
  <c r="Q96" i="9"/>
  <c r="R69" i="9"/>
  <c r="R67" i="9"/>
  <c r="R65" i="9"/>
  <c r="R63" i="9"/>
  <c r="R62" i="9"/>
  <c r="R107" i="9"/>
  <c r="R106" i="9"/>
  <c r="R102" i="9"/>
  <c r="R81" i="9"/>
  <c r="R80" i="9"/>
  <c r="R77" i="9"/>
  <c r="R74" i="9"/>
  <c r="R59" i="9"/>
  <c r="R58" i="9"/>
  <c r="R57" i="9"/>
  <c r="R56" i="9"/>
  <c r="R55" i="9"/>
  <c r="R53" i="9"/>
  <c r="R52" i="9"/>
  <c r="R49" i="9"/>
  <c r="R48" i="9"/>
  <c r="R47" i="9"/>
  <c r="R44" i="9"/>
  <c r="R43" i="9"/>
  <c r="R42" i="9"/>
  <c r="R39" i="9"/>
  <c r="R38" i="9"/>
  <c r="R158" i="9"/>
  <c r="Q158" i="9"/>
  <c r="R157" i="9"/>
  <c r="Q157" i="9"/>
  <c r="R156" i="9"/>
  <c r="Q156" i="9"/>
  <c r="R155" i="9"/>
  <c r="Q155" i="9"/>
  <c r="R154" i="9"/>
  <c r="Q154" i="9"/>
  <c r="R153" i="9"/>
  <c r="Q153" i="9"/>
  <c r="R152" i="9"/>
  <c r="Q152" i="9"/>
  <c r="R151" i="9"/>
  <c r="Q151" i="9"/>
  <c r="R150" i="9"/>
  <c r="Q150" i="9"/>
  <c r="R149" i="9"/>
  <c r="Q149" i="9"/>
  <c r="R148" i="9"/>
  <c r="Q148" i="9"/>
  <c r="R147" i="9"/>
  <c r="Q147" i="9"/>
  <c r="R146" i="9"/>
  <c r="Q146" i="9"/>
  <c r="R145" i="9"/>
  <c r="Q145" i="9"/>
  <c r="R144" i="9"/>
  <c r="Q144" i="9"/>
  <c r="R143" i="9"/>
  <c r="Q143" i="9"/>
  <c r="R142" i="9"/>
  <c r="Q142" i="9"/>
  <c r="R141" i="9"/>
  <c r="Q141" i="9"/>
  <c r="R140" i="9"/>
  <c r="Q140" i="9"/>
  <c r="R139" i="9"/>
  <c r="Q139" i="9"/>
  <c r="R138" i="9"/>
  <c r="Q138" i="9"/>
  <c r="R137" i="9"/>
  <c r="Q137" i="9"/>
  <c r="R136" i="9"/>
  <c r="Q136" i="9"/>
  <c r="R135" i="9"/>
  <c r="Q135" i="9"/>
  <c r="R134" i="9"/>
  <c r="Q134" i="9"/>
  <c r="R133" i="9"/>
  <c r="Q133" i="9"/>
  <c r="R132" i="9"/>
  <c r="Q132" i="9"/>
  <c r="R66" i="9"/>
  <c r="R72" i="9"/>
  <c r="R71" i="9"/>
  <c r="R79" i="9"/>
  <c r="R40" i="9"/>
  <c r="R90" i="9"/>
  <c r="R54" i="9"/>
  <c r="R130" i="9"/>
  <c r="R70" i="9"/>
  <c r="R73" i="9"/>
  <c r="R68" i="9"/>
  <c r="R64" i="9"/>
  <c r="R101" i="9"/>
  <c r="R8" i="9"/>
  <c r="R37" i="9"/>
  <c r="R60" i="9"/>
  <c r="R41" i="9"/>
  <c r="R50" i="9"/>
  <c r="R46" i="9"/>
  <c r="R45" i="9"/>
  <c r="R51" i="9"/>
  <c r="J7" i="9"/>
  <c r="S112" i="9" s="1"/>
  <c r="K7" i="9"/>
  <c r="L7" i="9"/>
  <c r="M7" i="9"/>
  <c r="J8" i="9"/>
  <c r="K8" i="9"/>
  <c r="L8" i="9"/>
  <c r="M8" i="9"/>
  <c r="J9" i="9"/>
  <c r="K9" i="9"/>
  <c r="L9" i="9"/>
  <c r="M9" i="9"/>
  <c r="J10" i="9"/>
  <c r="K10" i="9"/>
  <c r="L10" i="9"/>
  <c r="M10" i="9"/>
  <c r="J11" i="9"/>
  <c r="K11" i="9"/>
  <c r="L11" i="9"/>
  <c r="M11" i="9"/>
  <c r="J12" i="9"/>
  <c r="K12" i="9"/>
  <c r="L12" i="9"/>
  <c r="M12" i="9"/>
  <c r="J13" i="9"/>
  <c r="K13" i="9"/>
  <c r="L13" i="9"/>
  <c r="M13" i="9"/>
  <c r="J14" i="9"/>
  <c r="K14" i="9"/>
  <c r="L14" i="9"/>
  <c r="M14" i="9"/>
  <c r="J15" i="9"/>
  <c r="K15" i="9"/>
  <c r="L15" i="9"/>
  <c r="M15" i="9"/>
  <c r="J16" i="9"/>
  <c r="K16" i="9"/>
  <c r="L16" i="9"/>
  <c r="M16" i="9"/>
  <c r="J17" i="9"/>
  <c r="K17" i="9"/>
  <c r="L17" i="9"/>
  <c r="M17" i="9"/>
  <c r="J18" i="9"/>
  <c r="K18" i="9"/>
  <c r="L18" i="9"/>
  <c r="M18" i="9"/>
  <c r="J19" i="9"/>
  <c r="K19" i="9"/>
  <c r="L19" i="9"/>
  <c r="M19" i="9"/>
  <c r="J20" i="9"/>
  <c r="K20" i="9"/>
  <c r="L20" i="9"/>
  <c r="M20" i="9"/>
  <c r="J21" i="9"/>
  <c r="K21" i="9"/>
  <c r="L21" i="9"/>
  <c r="M21" i="9"/>
  <c r="J22" i="9"/>
  <c r="K22" i="9"/>
  <c r="L22" i="9"/>
  <c r="M22" i="9"/>
  <c r="J23" i="9"/>
  <c r="K23" i="9"/>
  <c r="L23" i="9"/>
  <c r="M23" i="9"/>
  <c r="J24" i="9"/>
  <c r="K24" i="9"/>
  <c r="L24" i="9"/>
  <c r="M24" i="9"/>
  <c r="J25" i="9"/>
  <c r="K25" i="9"/>
  <c r="L25" i="9"/>
  <c r="M25" i="9"/>
  <c r="J26" i="9"/>
  <c r="K26" i="9"/>
  <c r="L26" i="9"/>
  <c r="M26" i="9"/>
  <c r="J27" i="9"/>
  <c r="K27" i="9"/>
  <c r="L27" i="9"/>
  <c r="M27" i="9"/>
  <c r="J28" i="9"/>
  <c r="K28" i="9"/>
  <c r="L28" i="9"/>
  <c r="M28" i="9"/>
  <c r="K29" i="9"/>
  <c r="L29" i="9"/>
  <c r="M29" i="9"/>
  <c r="J30" i="9"/>
  <c r="K30" i="9"/>
  <c r="L30" i="9"/>
  <c r="M30" i="9"/>
  <c r="J31" i="9"/>
  <c r="K31" i="9"/>
  <c r="L31" i="9"/>
  <c r="M31" i="9"/>
  <c r="J32" i="9"/>
  <c r="K32" i="9"/>
  <c r="L32" i="9"/>
  <c r="M32" i="9"/>
  <c r="J33" i="9"/>
  <c r="K33" i="9"/>
  <c r="L33" i="9"/>
  <c r="M33" i="9"/>
  <c r="J34" i="9"/>
  <c r="K34" i="9"/>
  <c r="L34" i="9"/>
  <c r="M34" i="9"/>
  <c r="J35" i="9"/>
  <c r="K35" i="9"/>
  <c r="L35" i="9"/>
  <c r="M35" i="9"/>
  <c r="J36" i="9"/>
  <c r="K36" i="9"/>
  <c r="L36" i="9"/>
  <c r="M36" i="9"/>
  <c r="J37" i="9"/>
  <c r="K37" i="9"/>
  <c r="L37" i="9"/>
  <c r="M37" i="9"/>
  <c r="J38" i="9"/>
  <c r="K38" i="9"/>
  <c r="L38" i="9"/>
  <c r="M38" i="9"/>
  <c r="J39" i="9"/>
  <c r="K39" i="9"/>
  <c r="L39" i="9"/>
  <c r="M39" i="9"/>
  <c r="J40" i="9"/>
  <c r="K40" i="9"/>
  <c r="L40" i="9"/>
  <c r="M40" i="9"/>
  <c r="J41" i="9"/>
  <c r="K41" i="9"/>
  <c r="L41" i="9"/>
  <c r="M41" i="9"/>
  <c r="J42" i="9"/>
  <c r="K42" i="9"/>
  <c r="L42" i="9"/>
  <c r="M42" i="9"/>
  <c r="J43" i="9"/>
  <c r="K43" i="9"/>
  <c r="L43" i="9"/>
  <c r="M43" i="9"/>
  <c r="J44" i="9"/>
  <c r="K44" i="9"/>
  <c r="L44" i="9"/>
  <c r="M44" i="9"/>
  <c r="J45" i="9"/>
  <c r="K45" i="9"/>
  <c r="L45" i="9"/>
  <c r="M45" i="9"/>
  <c r="J46" i="9"/>
  <c r="K46" i="9"/>
  <c r="L46" i="9"/>
  <c r="M46" i="9"/>
  <c r="J47" i="9"/>
  <c r="K47" i="9"/>
  <c r="L47" i="9"/>
  <c r="M47" i="9"/>
  <c r="J48" i="9"/>
  <c r="K48" i="9"/>
  <c r="L48" i="9"/>
  <c r="M48" i="9"/>
  <c r="J49" i="9"/>
  <c r="K49" i="9"/>
  <c r="L49" i="9"/>
  <c r="M49" i="9"/>
  <c r="J50" i="9"/>
  <c r="K50" i="9"/>
  <c r="L50" i="9"/>
  <c r="M50" i="9"/>
  <c r="J51" i="9"/>
  <c r="K51" i="9"/>
  <c r="L51" i="9"/>
  <c r="M51" i="9"/>
  <c r="J52" i="9"/>
  <c r="K52" i="9"/>
  <c r="L52" i="9"/>
  <c r="M52" i="9"/>
  <c r="J53" i="9"/>
  <c r="K53" i="9"/>
  <c r="L53" i="9"/>
  <c r="M53" i="9"/>
  <c r="J54" i="9"/>
  <c r="K54" i="9"/>
  <c r="L54" i="9"/>
  <c r="M54" i="9"/>
  <c r="J55" i="9"/>
  <c r="K55" i="9"/>
  <c r="L55" i="9"/>
  <c r="M55" i="9"/>
  <c r="J56" i="9"/>
  <c r="K56" i="9"/>
  <c r="L56" i="9"/>
  <c r="M56" i="9"/>
  <c r="J57" i="9"/>
  <c r="K57" i="9"/>
  <c r="L57" i="9"/>
  <c r="M57" i="9"/>
  <c r="J58" i="9"/>
  <c r="K58" i="9"/>
  <c r="L58" i="9"/>
  <c r="M58" i="9"/>
  <c r="J59" i="9"/>
  <c r="K59" i="9"/>
  <c r="L59" i="9"/>
  <c r="M59" i="9"/>
  <c r="J60" i="9"/>
  <c r="K60" i="9"/>
  <c r="L60" i="9"/>
  <c r="M60" i="9"/>
  <c r="J61" i="9"/>
  <c r="K61" i="9"/>
  <c r="L61" i="9"/>
  <c r="M61" i="9"/>
  <c r="J62" i="9"/>
  <c r="K62" i="9"/>
  <c r="L62" i="9"/>
  <c r="M62" i="9"/>
  <c r="J63" i="9"/>
  <c r="K63" i="9"/>
  <c r="L63" i="9"/>
  <c r="M63" i="9"/>
  <c r="J64" i="9"/>
  <c r="K64" i="9"/>
  <c r="L64" i="9"/>
  <c r="M64" i="9"/>
  <c r="J65" i="9"/>
  <c r="K65" i="9"/>
  <c r="L65" i="9"/>
  <c r="M65" i="9"/>
  <c r="J66" i="9"/>
  <c r="K66" i="9"/>
  <c r="L66" i="9"/>
  <c r="M66" i="9"/>
  <c r="J67" i="9"/>
  <c r="K67" i="9"/>
  <c r="L67" i="9"/>
  <c r="M67" i="9"/>
  <c r="J68" i="9"/>
  <c r="K68" i="9"/>
  <c r="L68" i="9"/>
  <c r="M68" i="9"/>
  <c r="J69" i="9"/>
  <c r="K69" i="9"/>
  <c r="L69" i="9"/>
  <c r="M69" i="9"/>
  <c r="J70" i="9"/>
  <c r="K70" i="9"/>
  <c r="L70" i="9"/>
  <c r="M70" i="9"/>
  <c r="J71" i="9"/>
  <c r="K71" i="9"/>
  <c r="L71" i="9"/>
  <c r="M71" i="9"/>
  <c r="J72" i="9"/>
  <c r="K72" i="9"/>
  <c r="L72" i="9"/>
  <c r="M72" i="9"/>
  <c r="J73" i="9"/>
  <c r="K73" i="9"/>
  <c r="L73" i="9"/>
  <c r="M73" i="9"/>
  <c r="J74" i="9"/>
  <c r="K74" i="9"/>
  <c r="L74" i="9"/>
  <c r="M74" i="9"/>
  <c r="J75" i="9"/>
  <c r="S30" i="9" s="1"/>
  <c r="K75" i="9"/>
  <c r="T30" i="9" s="1"/>
  <c r="L75" i="9"/>
  <c r="U30" i="9" s="1"/>
  <c r="M75" i="9"/>
  <c r="V30" i="9" s="1"/>
  <c r="J76" i="9"/>
  <c r="K76" i="9"/>
  <c r="L76" i="9"/>
  <c r="M76" i="9"/>
  <c r="J77" i="9"/>
  <c r="K77" i="9"/>
  <c r="L77" i="9"/>
  <c r="M77" i="9"/>
  <c r="J78" i="9"/>
  <c r="K78" i="9"/>
  <c r="L78" i="9"/>
  <c r="M78" i="9"/>
  <c r="J79" i="9"/>
  <c r="K79" i="9"/>
  <c r="L79" i="9"/>
  <c r="M79" i="9"/>
  <c r="J80" i="9"/>
  <c r="K80" i="9"/>
  <c r="L80" i="9"/>
  <c r="M80" i="9"/>
  <c r="J81" i="9"/>
  <c r="K81" i="9"/>
  <c r="L81" i="9"/>
  <c r="M81" i="9"/>
  <c r="J82" i="9"/>
  <c r="K82" i="9"/>
  <c r="L82" i="9"/>
  <c r="M82" i="9"/>
  <c r="J83" i="9"/>
  <c r="K83" i="9"/>
  <c r="L83" i="9"/>
  <c r="M83" i="9"/>
  <c r="J84" i="9"/>
  <c r="S32" i="9" s="1"/>
  <c r="K84" i="9"/>
  <c r="T32" i="9" s="1"/>
  <c r="L84" i="9"/>
  <c r="U32" i="9" s="1"/>
  <c r="M84" i="9"/>
  <c r="V32" i="9" s="1"/>
  <c r="J85" i="9"/>
  <c r="S33" i="9" s="1"/>
  <c r="K85" i="9"/>
  <c r="T33" i="9" s="1"/>
  <c r="L85" i="9"/>
  <c r="U33" i="9" s="1"/>
  <c r="M85" i="9"/>
  <c r="V33" i="9" s="1"/>
  <c r="J86" i="9"/>
  <c r="S34" i="9" s="1"/>
  <c r="K86" i="9"/>
  <c r="T34" i="9" s="1"/>
  <c r="L86" i="9"/>
  <c r="M86" i="9"/>
  <c r="V34" i="9" s="1"/>
  <c r="J87" i="9"/>
  <c r="K87" i="9"/>
  <c r="L87" i="9"/>
  <c r="M87" i="9"/>
  <c r="J88" i="9"/>
  <c r="K88" i="9"/>
  <c r="L88" i="9"/>
  <c r="M88" i="9"/>
  <c r="J89" i="9"/>
  <c r="K89" i="9"/>
  <c r="L89" i="9"/>
  <c r="M89" i="9"/>
  <c r="J90" i="9"/>
  <c r="K90" i="9"/>
  <c r="L90" i="9"/>
  <c r="M90" i="9"/>
  <c r="J91" i="9"/>
  <c r="K91" i="9"/>
  <c r="L91" i="9"/>
  <c r="M91" i="9"/>
  <c r="J92" i="9"/>
  <c r="K92" i="9"/>
  <c r="L92" i="9"/>
  <c r="M92" i="9"/>
  <c r="J93" i="9"/>
  <c r="K93" i="9"/>
  <c r="L93" i="9"/>
  <c r="M93" i="9"/>
  <c r="J94" i="9"/>
  <c r="K94" i="9"/>
  <c r="L94" i="9"/>
  <c r="M94" i="9"/>
  <c r="J95" i="9"/>
  <c r="S35" i="9" s="1"/>
  <c r="K95" i="9"/>
  <c r="T35" i="9" s="1"/>
  <c r="L95" i="9"/>
  <c r="U35" i="9" s="1"/>
  <c r="M95" i="9"/>
  <c r="J96" i="9"/>
  <c r="S36" i="9" s="1"/>
  <c r="K96" i="9"/>
  <c r="T36" i="9" s="1"/>
  <c r="L96" i="9"/>
  <c r="U36" i="9" s="1"/>
  <c r="M96" i="9"/>
  <c r="V36" i="9" s="1"/>
  <c r="J97" i="9"/>
  <c r="K97" i="9"/>
  <c r="L97" i="9"/>
  <c r="M97" i="9"/>
  <c r="J98" i="9"/>
  <c r="K98" i="9"/>
  <c r="L98" i="9"/>
  <c r="M98" i="9"/>
  <c r="J99" i="9"/>
  <c r="K99" i="9"/>
  <c r="L99" i="9"/>
  <c r="M99" i="9"/>
  <c r="J100" i="9"/>
  <c r="K100" i="9"/>
  <c r="L100" i="9"/>
  <c r="M100" i="9"/>
  <c r="J101" i="9"/>
  <c r="K101" i="9"/>
  <c r="L101" i="9"/>
  <c r="U29" i="9" s="1"/>
  <c r="M101" i="9"/>
  <c r="V29" i="9" s="1"/>
  <c r="J102" i="9"/>
  <c r="K102" i="9"/>
  <c r="L102" i="9"/>
  <c r="M102" i="9"/>
  <c r="J103" i="9"/>
  <c r="K103" i="9"/>
  <c r="L103" i="9"/>
  <c r="M103" i="9"/>
  <c r="J104" i="9"/>
  <c r="K104" i="9"/>
  <c r="T85" i="9" s="1"/>
  <c r="L104" i="9"/>
  <c r="U85" i="9" s="1"/>
  <c r="M104" i="9"/>
  <c r="J105" i="9"/>
  <c r="S86" i="9" s="1"/>
  <c r="K105" i="9"/>
  <c r="T86" i="9" s="1"/>
  <c r="L105" i="9"/>
  <c r="U86" i="9" s="1"/>
  <c r="M105" i="9"/>
  <c r="V86" i="9" s="1"/>
  <c r="J106" i="9"/>
  <c r="S83" i="9" s="1"/>
  <c r="K106" i="9"/>
  <c r="L106" i="9"/>
  <c r="U83" i="9" s="1"/>
  <c r="M106" i="9"/>
  <c r="V83" i="9" s="1"/>
  <c r="J107" i="9"/>
  <c r="S84" i="9" s="1"/>
  <c r="K107" i="9"/>
  <c r="T84" i="9" s="1"/>
  <c r="L107" i="9"/>
  <c r="M107" i="9"/>
  <c r="V84" i="9" s="1"/>
  <c r="J108" i="9"/>
  <c r="S92" i="9" s="1"/>
  <c r="K108" i="9"/>
  <c r="T92" i="9" s="1"/>
  <c r="L108" i="9"/>
  <c r="U92" i="9" s="1"/>
  <c r="M108" i="9"/>
  <c r="V92" i="9" s="1"/>
  <c r="J109" i="9"/>
  <c r="S93" i="9" s="1"/>
  <c r="K109" i="9"/>
  <c r="T93" i="9" s="1"/>
  <c r="L109" i="9"/>
  <c r="U93" i="9" s="1"/>
  <c r="M109" i="9"/>
  <c r="V93" i="9" s="1"/>
  <c r="J110" i="9"/>
  <c r="K110" i="9"/>
  <c r="L110" i="9"/>
  <c r="M110" i="9"/>
  <c r="J111" i="9"/>
  <c r="K111" i="9"/>
  <c r="L111" i="9"/>
  <c r="M111" i="9"/>
  <c r="K112" i="9"/>
  <c r="L112" i="9"/>
  <c r="M112" i="9"/>
  <c r="K113" i="9"/>
  <c r="L113" i="9"/>
  <c r="M113" i="9"/>
  <c r="L114" i="9"/>
  <c r="M114" i="9"/>
  <c r="K115" i="9"/>
  <c r="L115" i="9"/>
  <c r="M115" i="9"/>
  <c r="S132" i="9"/>
  <c r="T132" i="9"/>
  <c r="U132" i="9"/>
  <c r="V132" i="9"/>
  <c r="S133" i="9"/>
  <c r="T133" i="9"/>
  <c r="U133" i="9"/>
  <c r="V133" i="9"/>
  <c r="S134" i="9"/>
  <c r="T134" i="9"/>
  <c r="U134" i="9"/>
  <c r="V134" i="9"/>
  <c r="S135" i="9"/>
  <c r="T135" i="9"/>
  <c r="U135" i="9"/>
  <c r="V135" i="9"/>
  <c r="S136" i="9"/>
  <c r="T136" i="9"/>
  <c r="U136" i="9"/>
  <c r="V136" i="9"/>
  <c r="S137" i="9"/>
  <c r="T137" i="9"/>
  <c r="U137" i="9"/>
  <c r="V137" i="9"/>
  <c r="S138" i="9"/>
  <c r="T138" i="9"/>
  <c r="U138" i="9"/>
  <c r="V138" i="9"/>
  <c r="S139" i="9"/>
  <c r="T139" i="9"/>
  <c r="U139" i="9"/>
  <c r="V139" i="9"/>
  <c r="S140" i="9"/>
  <c r="T140" i="9"/>
  <c r="U140" i="9"/>
  <c r="V140" i="9"/>
  <c r="S141" i="9"/>
  <c r="T141" i="9"/>
  <c r="U141" i="9"/>
  <c r="V141" i="9"/>
  <c r="S142" i="9"/>
  <c r="T142" i="9"/>
  <c r="U142" i="9"/>
  <c r="V142" i="9"/>
  <c r="S143" i="9"/>
  <c r="T143" i="9"/>
  <c r="U143" i="9"/>
  <c r="V143" i="9"/>
  <c r="S144" i="9"/>
  <c r="T144" i="9"/>
  <c r="U144" i="9"/>
  <c r="V144" i="9"/>
  <c r="S145" i="9"/>
  <c r="T145" i="9"/>
  <c r="U145" i="9"/>
  <c r="V145" i="9"/>
  <c r="S146" i="9"/>
  <c r="T146" i="9"/>
  <c r="U146" i="9"/>
  <c r="V146" i="9"/>
  <c r="S147" i="9"/>
  <c r="T147" i="9"/>
  <c r="U147" i="9"/>
  <c r="V147" i="9"/>
  <c r="S148" i="9"/>
  <c r="T148" i="9"/>
  <c r="U148" i="9"/>
  <c r="V148" i="9"/>
  <c r="S149" i="9"/>
  <c r="T149" i="9"/>
  <c r="U149" i="9"/>
  <c r="V149" i="9"/>
  <c r="S150" i="9"/>
  <c r="T150" i="9"/>
  <c r="U150" i="9"/>
  <c r="V150" i="9"/>
  <c r="S151" i="9"/>
  <c r="T151" i="9"/>
  <c r="U151" i="9"/>
  <c r="V151" i="9"/>
  <c r="S152" i="9"/>
  <c r="T152" i="9"/>
  <c r="U152" i="9"/>
  <c r="V152" i="9"/>
  <c r="S153" i="9"/>
  <c r="T153" i="9"/>
  <c r="U153" i="9"/>
  <c r="V153" i="9"/>
  <c r="S154" i="9"/>
  <c r="T154" i="9"/>
  <c r="U154" i="9"/>
  <c r="V154" i="9"/>
  <c r="S155" i="9"/>
  <c r="T155" i="9"/>
  <c r="U155" i="9"/>
  <c r="V155" i="9"/>
  <c r="S156" i="9"/>
  <c r="T156" i="9"/>
  <c r="U156" i="9"/>
  <c r="V156" i="9"/>
  <c r="V35" i="9" l="1"/>
  <c r="U84" i="9"/>
  <c r="V85" i="9"/>
  <c r="T83" i="9"/>
  <c r="S85" i="9"/>
  <c r="S108" i="9"/>
  <c r="V113" i="9"/>
  <c r="U34" i="9"/>
  <c r="V23" i="9"/>
  <c r="V26" i="9"/>
  <c r="V7" i="9"/>
  <c r="V13" i="9"/>
  <c r="V28" i="9"/>
  <c r="V25" i="9"/>
  <c r="T125" i="9"/>
  <c r="V123" i="9"/>
  <c r="U122" i="9"/>
  <c r="T121" i="9"/>
  <c r="V119" i="9"/>
  <c r="U118" i="9"/>
  <c r="T117" i="9"/>
  <c r="V24" i="9"/>
  <c r="V27" i="9"/>
  <c r="U125" i="9"/>
  <c r="T124" i="9"/>
  <c r="V122" i="9"/>
  <c r="U121" i="9"/>
  <c r="T120" i="9"/>
  <c r="V118" i="9"/>
  <c r="U117" i="9"/>
  <c r="U24" i="9"/>
  <c r="U23" i="9"/>
  <c r="U28" i="9"/>
  <c r="U27" i="9"/>
  <c r="U26" i="9"/>
  <c r="U25" i="9"/>
  <c r="U7" i="9"/>
  <c r="U13" i="9"/>
  <c r="T26" i="9"/>
  <c r="T28" i="9"/>
  <c r="T13" i="9"/>
  <c r="U113" i="9"/>
  <c r="S28" i="9"/>
  <c r="S27" i="9"/>
  <c r="S26" i="9"/>
  <c r="S25" i="9"/>
  <c r="S7" i="9"/>
  <c r="S13" i="9"/>
  <c r="V125" i="9"/>
  <c r="U124" i="9"/>
  <c r="T123" i="9"/>
  <c r="V121" i="9"/>
  <c r="U120" i="9"/>
  <c r="T119" i="9"/>
  <c r="V117" i="9"/>
  <c r="U116" i="9"/>
  <c r="T115" i="9"/>
  <c r="T27" i="9"/>
  <c r="T25" i="9"/>
  <c r="T7" i="9"/>
  <c r="V124" i="9"/>
  <c r="U123" i="9"/>
  <c r="T122" i="9"/>
  <c r="V120" i="9"/>
  <c r="U119" i="9"/>
  <c r="T118" i="9"/>
  <c r="V116" i="9"/>
  <c r="U115" i="9"/>
  <c r="T114" i="9"/>
  <c r="V16" i="9"/>
  <c r="U16" i="9"/>
  <c r="T16" i="9"/>
  <c r="S16" i="9"/>
  <c r="V11" i="9"/>
  <c r="U11" i="9"/>
  <c r="T11" i="9"/>
  <c r="S11" i="9"/>
  <c r="V95" i="9"/>
  <c r="U95" i="9"/>
  <c r="T95" i="9"/>
  <c r="S95" i="9"/>
  <c r="V94" i="9"/>
  <c r="U94" i="9"/>
  <c r="T94" i="9"/>
  <c r="S94" i="9"/>
  <c r="S111" i="9"/>
  <c r="V91" i="9"/>
  <c r="U91" i="9"/>
  <c r="T91" i="9"/>
  <c r="S91" i="9"/>
  <c r="V22" i="9"/>
  <c r="U22" i="9"/>
  <c r="T22" i="9"/>
  <c r="S22" i="9"/>
  <c r="V21" i="9"/>
  <c r="U21" i="9"/>
  <c r="T21" i="9"/>
  <c r="S21" i="9"/>
  <c r="V20" i="9"/>
  <c r="U20" i="9"/>
  <c r="T20" i="9"/>
  <c r="S20" i="9"/>
  <c r="V87" i="9"/>
  <c r="U87" i="9"/>
  <c r="T87" i="9"/>
  <c r="S87" i="9"/>
  <c r="V111" i="9"/>
  <c r="U111" i="9"/>
  <c r="T111" i="9"/>
  <c r="V110" i="9"/>
  <c r="U110" i="9"/>
  <c r="T110" i="9"/>
  <c r="S110" i="9"/>
  <c r="V109" i="9"/>
  <c r="U109" i="9"/>
  <c r="T109" i="9"/>
  <c r="S109" i="9"/>
  <c r="T82" i="9"/>
  <c r="S82" i="9"/>
  <c r="V115" i="9"/>
  <c r="U114" i="9"/>
  <c r="T116" i="9"/>
  <c r="V114" i="9"/>
  <c r="U82" i="9"/>
  <c r="V82" i="9"/>
  <c r="V108" i="9"/>
  <c r="V112" i="9"/>
  <c r="U108" i="9"/>
  <c r="U112" i="9"/>
  <c r="T108" i="9"/>
  <c r="T112" i="9"/>
  <c r="V100" i="9"/>
  <c r="V75" i="9"/>
  <c r="U100" i="9"/>
  <c r="U75" i="9"/>
  <c r="T100" i="9"/>
  <c r="T75" i="9"/>
  <c r="S100" i="9"/>
  <c r="S75" i="9"/>
  <c r="V96" i="9"/>
  <c r="V76" i="9"/>
  <c r="U96" i="9"/>
  <c r="U76" i="9"/>
  <c r="T96" i="9"/>
  <c r="T76" i="9"/>
  <c r="S96" i="9"/>
  <c r="S76" i="9"/>
  <c r="T66" i="9"/>
  <c r="T24" i="9"/>
  <c r="S66" i="9"/>
  <c r="S24" i="9"/>
  <c r="T72" i="9"/>
  <c r="T23" i="9"/>
  <c r="S72" i="9"/>
  <c r="S23" i="9"/>
  <c r="T71" i="9"/>
  <c r="T29" i="9"/>
  <c r="S71" i="9"/>
  <c r="S29" i="9"/>
  <c r="V79" i="9"/>
  <c r="V103" i="9"/>
  <c r="U79" i="9"/>
  <c r="U103" i="9"/>
  <c r="T79" i="9"/>
  <c r="T103" i="9"/>
  <c r="S79" i="9"/>
  <c r="S103" i="9"/>
  <c r="V40" i="9"/>
  <c r="V19" i="9"/>
  <c r="U40" i="9"/>
  <c r="U19" i="9"/>
  <c r="T40" i="9"/>
  <c r="T19" i="9"/>
  <c r="S40" i="9"/>
  <c r="S19" i="9"/>
  <c r="V90" i="9"/>
  <c r="V18" i="9"/>
  <c r="U90" i="9"/>
  <c r="U18" i="9"/>
  <c r="T90" i="9"/>
  <c r="T18" i="9"/>
  <c r="S90" i="9"/>
  <c r="S18" i="9"/>
  <c r="V54" i="9"/>
  <c r="V17" i="9"/>
  <c r="U54" i="9"/>
  <c r="U17" i="9"/>
  <c r="T54" i="9"/>
  <c r="T17" i="9"/>
  <c r="S54" i="9"/>
  <c r="S17" i="9"/>
  <c r="V70" i="9"/>
  <c r="V15" i="9"/>
  <c r="U70" i="9"/>
  <c r="U15" i="9"/>
  <c r="T70" i="9"/>
  <c r="T15" i="9"/>
  <c r="S70" i="9"/>
  <c r="S15" i="9"/>
  <c r="V73" i="9"/>
  <c r="V61" i="9"/>
  <c r="U73" i="9"/>
  <c r="U61" i="9"/>
  <c r="T73" i="9"/>
  <c r="T61" i="9"/>
  <c r="S73" i="9"/>
  <c r="S61" i="9"/>
  <c r="V68" i="9"/>
  <c r="V10" i="9"/>
  <c r="U68" i="9"/>
  <c r="U10" i="9"/>
  <c r="T68" i="9"/>
  <c r="T10" i="9"/>
  <c r="S68" i="9"/>
  <c r="S10" i="9"/>
  <c r="V64" i="9"/>
  <c r="V12" i="9"/>
  <c r="U64" i="9"/>
  <c r="U12" i="9"/>
  <c r="T64" i="9"/>
  <c r="T12" i="9"/>
  <c r="S64" i="9"/>
  <c r="S12" i="9"/>
  <c r="V101" i="9"/>
  <c r="V9" i="9"/>
  <c r="U101" i="9"/>
  <c r="U9" i="9"/>
  <c r="T101" i="9"/>
  <c r="T9" i="9"/>
  <c r="S101" i="9"/>
  <c r="S9" i="9"/>
  <c r="V8" i="9"/>
  <c r="V31" i="9"/>
  <c r="U8" i="9"/>
  <c r="U31" i="9"/>
  <c r="T8" i="9"/>
  <c r="T31" i="9"/>
  <c r="S8" i="9"/>
  <c r="S31" i="9"/>
  <c r="V37" i="9"/>
  <c r="V14" i="9"/>
  <c r="U37" i="9"/>
  <c r="U14" i="9"/>
  <c r="T37" i="9"/>
  <c r="T14" i="9"/>
  <c r="S37" i="9"/>
  <c r="S14" i="9"/>
  <c r="V60" i="9"/>
  <c r="V99" i="9"/>
  <c r="U60" i="9"/>
  <c r="U99" i="9"/>
  <c r="T60" i="9"/>
  <c r="T99" i="9"/>
  <c r="S60" i="9"/>
  <c r="S99" i="9"/>
  <c r="V41" i="9"/>
  <c r="V98" i="9"/>
  <c r="U41" i="9"/>
  <c r="U98" i="9"/>
  <c r="T41" i="9"/>
  <c r="T98" i="9"/>
  <c r="S41" i="9"/>
  <c r="S98" i="9"/>
  <c r="V50" i="9"/>
  <c r="V97" i="9"/>
  <c r="U50" i="9"/>
  <c r="U97" i="9"/>
  <c r="T50" i="9"/>
  <c r="T97" i="9"/>
  <c r="S50" i="9"/>
  <c r="S97" i="9"/>
  <c r="V46" i="9"/>
  <c r="V105" i="9"/>
  <c r="U46" i="9"/>
  <c r="U105" i="9"/>
  <c r="T46" i="9"/>
  <c r="T105" i="9"/>
  <c r="S46" i="9"/>
  <c r="S105" i="9"/>
  <c r="V45" i="9"/>
  <c r="V104" i="9"/>
  <c r="U45" i="9"/>
  <c r="U104" i="9"/>
  <c r="T45" i="9"/>
  <c r="T104" i="9"/>
  <c r="S45" i="9"/>
  <c r="S104" i="9"/>
  <c r="V51" i="9"/>
  <c r="V88" i="9"/>
  <c r="U51" i="9"/>
  <c r="U88" i="9"/>
  <c r="T51" i="9"/>
  <c r="T88" i="9"/>
  <c r="S51" i="9"/>
  <c r="S88" i="9"/>
  <c r="T127" i="9"/>
  <c r="T129" i="9"/>
  <c r="U127" i="9"/>
  <c r="U129" i="9"/>
  <c r="V127" i="9"/>
  <c r="V129" i="9"/>
  <c r="T126" i="9"/>
  <c r="T128" i="9"/>
  <c r="U126" i="9"/>
  <c r="U128" i="9"/>
  <c r="V126" i="9"/>
  <c r="V128" i="9"/>
  <c r="V89" i="9"/>
  <c r="V131" i="9"/>
  <c r="U89" i="9"/>
  <c r="U131" i="9"/>
  <c r="T89" i="9"/>
  <c r="T131" i="9"/>
  <c r="S89" i="9"/>
  <c r="V78" i="9"/>
  <c r="U78" i="9"/>
  <c r="T78" i="9"/>
  <c r="S78" i="9"/>
  <c r="V72" i="9"/>
  <c r="U72" i="9"/>
  <c r="V71" i="9"/>
  <c r="U71" i="9"/>
  <c r="V69" i="9"/>
  <c r="U69" i="9"/>
  <c r="T69" i="9"/>
  <c r="S69" i="9"/>
  <c r="V67" i="9"/>
  <c r="U67" i="9"/>
  <c r="T67" i="9"/>
  <c r="S67" i="9"/>
  <c r="V66" i="9"/>
  <c r="U66" i="9"/>
  <c r="V65" i="9"/>
  <c r="U65" i="9"/>
  <c r="T65" i="9"/>
  <c r="S65" i="9"/>
  <c r="V63" i="9"/>
  <c r="U63" i="9"/>
  <c r="T63" i="9"/>
  <c r="S63" i="9"/>
  <c r="V62" i="9"/>
  <c r="U62" i="9"/>
  <c r="T62" i="9"/>
  <c r="S62" i="9"/>
  <c r="V130" i="9"/>
  <c r="U130" i="9"/>
  <c r="T130" i="9"/>
  <c r="V107" i="9"/>
  <c r="U107" i="9"/>
  <c r="T107" i="9"/>
  <c r="S107" i="9"/>
  <c r="V106" i="9"/>
  <c r="U106" i="9"/>
  <c r="T106" i="9"/>
  <c r="S106" i="9"/>
  <c r="V102" i="9"/>
  <c r="U102" i="9"/>
  <c r="T102" i="9"/>
  <c r="S102" i="9"/>
  <c r="V81" i="9"/>
  <c r="U81" i="9"/>
  <c r="T81" i="9"/>
  <c r="S81" i="9"/>
  <c r="V80" i="9"/>
  <c r="U80" i="9"/>
  <c r="T80" i="9"/>
  <c r="S80" i="9"/>
  <c r="V77" i="9"/>
  <c r="U77" i="9"/>
  <c r="T77" i="9"/>
  <c r="S77" i="9"/>
  <c r="V74" i="9"/>
  <c r="U74" i="9"/>
  <c r="T74" i="9"/>
  <c r="S74" i="9"/>
  <c r="V59" i="9"/>
  <c r="U59" i="9"/>
  <c r="T59" i="9"/>
  <c r="S59" i="9"/>
  <c r="V58" i="9"/>
  <c r="U58" i="9"/>
  <c r="T58" i="9"/>
  <c r="S58" i="9"/>
  <c r="V57" i="9"/>
  <c r="U57" i="9"/>
  <c r="T57" i="9"/>
  <c r="S57" i="9"/>
  <c r="V56" i="9"/>
  <c r="U56" i="9"/>
  <c r="T56" i="9"/>
  <c r="S56" i="9"/>
  <c r="V55" i="9"/>
  <c r="U55" i="9"/>
  <c r="T55" i="9"/>
  <c r="S55" i="9"/>
  <c r="V53" i="9"/>
  <c r="U53" i="9"/>
  <c r="T53" i="9"/>
  <c r="S53" i="9"/>
  <c r="V52" i="9"/>
  <c r="U52" i="9"/>
  <c r="T52" i="9"/>
  <c r="S52" i="9"/>
  <c r="V49" i="9"/>
  <c r="U49" i="9"/>
  <c r="T49" i="9"/>
  <c r="S49" i="9"/>
  <c r="V48" i="9"/>
  <c r="U48" i="9"/>
  <c r="T48" i="9"/>
  <c r="S48" i="9"/>
  <c r="V47" i="9"/>
  <c r="U47" i="9"/>
  <c r="T47" i="9"/>
  <c r="S47" i="9"/>
  <c r="V44" i="9"/>
  <c r="U44" i="9"/>
  <c r="T44" i="9"/>
  <c r="S44" i="9"/>
  <c r="V43" i="9"/>
  <c r="U43" i="9"/>
  <c r="T43" i="9"/>
  <c r="S43" i="9"/>
  <c r="V42" i="9"/>
  <c r="U42" i="9"/>
  <c r="T42" i="9"/>
  <c r="S42" i="9"/>
  <c r="V39" i="9"/>
  <c r="U39" i="9"/>
  <c r="T39" i="9"/>
  <c r="S39" i="9"/>
  <c r="V38" i="9"/>
  <c r="U38" i="9"/>
  <c r="T38" i="9"/>
  <c r="S38" i="9"/>
  <c r="AX88" i="1" l="1"/>
  <c r="AN88" i="1" s="1"/>
  <c r="S88" i="1" s="1"/>
  <c r="AX157" i="1"/>
  <c r="AN157" i="1" s="1"/>
  <c r="S157" i="1" s="1"/>
  <c r="AX123" i="1"/>
  <c r="AN123" i="1" s="1"/>
  <c r="S123" i="1" s="1"/>
  <c r="AX462" i="1"/>
  <c r="AN462" i="1" s="1"/>
  <c r="S462" i="1" s="1"/>
  <c r="AX246" i="1"/>
  <c r="AN246" i="1" s="1"/>
  <c r="S246" i="1" s="1"/>
  <c r="AX431" i="1"/>
  <c r="AN431" i="1" s="1"/>
  <c r="S431" i="1" s="1"/>
  <c r="AX391" i="1"/>
  <c r="AN391" i="1" s="1"/>
  <c r="S391" i="1" s="1"/>
  <c r="AX87" i="1"/>
  <c r="AN87" i="1" s="1"/>
  <c r="S87" i="1" s="1"/>
  <c r="AX85" i="1"/>
  <c r="AN85" i="1" s="1"/>
  <c r="S85" i="1" s="1"/>
  <c r="AX518" i="1"/>
  <c r="AN518" i="1" s="1"/>
  <c r="S518" i="1" s="1"/>
  <c r="AX370" i="1"/>
  <c r="AN370" i="1" s="1"/>
  <c r="S370" i="1" s="1"/>
  <c r="AX98" i="1"/>
  <c r="AN98" i="1" s="1"/>
  <c r="S98" i="1" s="1"/>
  <c r="AX115" i="1"/>
  <c r="AN115" i="1" s="1"/>
  <c r="S115" i="1" s="1"/>
  <c r="AX354" i="1"/>
  <c r="AN354" i="1" s="1"/>
  <c r="S354" i="1" s="1"/>
  <c r="AX465" i="1"/>
  <c r="AN465" i="1" s="1"/>
  <c r="S465" i="1" s="1"/>
  <c r="AX173" i="1"/>
  <c r="AN173" i="1" s="1"/>
  <c r="S173" i="1" s="1"/>
  <c r="AX392" i="1"/>
  <c r="AN392" i="1" s="1"/>
  <c r="S392" i="1" s="1"/>
  <c r="AX472" i="1"/>
  <c r="AN472" i="1" s="1"/>
  <c r="S472" i="1" s="1"/>
  <c r="AX86" i="1"/>
  <c r="AN86" i="1" s="1"/>
  <c r="S86" i="1" s="1"/>
  <c r="AX519" i="1"/>
  <c r="AN519" i="1" s="1"/>
  <c r="S519" i="1" s="1"/>
  <c r="AX355" i="1"/>
  <c r="AN355" i="1" s="1"/>
  <c r="S355" i="1" s="1"/>
  <c r="AX140" i="1"/>
  <c r="AN140" i="1" s="1"/>
  <c r="S140" i="1" s="1"/>
  <c r="AX165" i="1"/>
  <c r="AN165" i="1" s="1"/>
  <c r="S165" i="1" s="1"/>
  <c r="AX473" i="1"/>
  <c r="AN473" i="1" s="1"/>
  <c r="S473" i="1" s="1"/>
  <c r="AX464" i="1"/>
  <c r="AN464" i="1" s="1"/>
  <c r="S464" i="1" s="1"/>
  <c r="AX371" i="1"/>
  <c r="AN371" i="1" s="1"/>
  <c r="S371" i="1" s="1"/>
  <c r="AX309" i="1"/>
  <c r="AN309" i="1" s="1"/>
  <c r="S309" i="1" s="1"/>
  <c r="AX116" i="1"/>
  <c r="AN116" i="1" s="1"/>
  <c r="S116" i="1" s="1"/>
  <c r="AX341" i="1"/>
  <c r="AN341" i="1" s="1"/>
  <c r="S341" i="1" s="1"/>
  <c r="AX432" i="1"/>
  <c r="AN432" i="1" s="1"/>
  <c r="S432" i="1" s="1"/>
  <c r="AX81" i="1"/>
  <c r="AN81" i="1" s="1"/>
  <c r="S81" i="1" s="1"/>
  <c r="AX373" i="1"/>
  <c r="AN373" i="1" s="1"/>
  <c r="S373" i="1" s="1"/>
  <c r="AX30" i="1"/>
  <c r="AN30" i="1" s="1"/>
  <c r="S30" i="1" s="1"/>
  <c r="AX178" i="1"/>
  <c r="AN178" i="1" s="1"/>
  <c r="S178" i="1" s="1"/>
  <c r="AX414" i="1"/>
  <c r="AN414" i="1" s="1"/>
  <c r="S414" i="1" s="1"/>
  <c r="AX299" i="1"/>
  <c r="AN299" i="1" s="1"/>
  <c r="S299" i="1" s="1"/>
  <c r="AX223" i="1"/>
  <c r="AN223" i="1" s="1"/>
  <c r="S223" i="1" s="1"/>
  <c r="AX512" i="1"/>
  <c r="AN512" i="1" s="1"/>
  <c r="S512" i="1" s="1"/>
  <c r="AX417" i="1"/>
  <c r="AN417" i="1" s="1"/>
  <c r="S417" i="1" s="1"/>
  <c r="AX44" i="1"/>
  <c r="AN44" i="1" s="1"/>
  <c r="S44" i="1" s="1"/>
  <c r="AX428" i="1"/>
  <c r="AN428" i="1" s="1"/>
  <c r="S428" i="1" s="1"/>
  <c r="AX349" i="1"/>
  <c r="AN349" i="1" s="1"/>
  <c r="S349" i="1" s="1"/>
  <c r="AX202" i="1"/>
  <c r="AN202" i="1" s="1"/>
  <c r="S202" i="1" s="1"/>
  <c r="AX396" i="1"/>
  <c r="AN396" i="1" s="1"/>
  <c r="S396" i="1" s="1"/>
  <c r="AX238" i="1"/>
  <c r="AN238" i="1" s="1"/>
  <c r="S238" i="1" s="1"/>
  <c r="AX439" i="1"/>
  <c r="AN439" i="1" s="1"/>
  <c r="S439" i="1" s="1"/>
  <c r="AX486" i="1"/>
  <c r="AN486" i="1" s="1"/>
  <c r="S486" i="1" s="1"/>
  <c r="AX225" i="1"/>
  <c r="AN225" i="1" s="1"/>
  <c r="S225" i="1" s="1"/>
  <c r="AX121" i="1"/>
  <c r="AN121" i="1" s="1"/>
  <c r="S121" i="1" s="1"/>
  <c r="AX36" i="1"/>
  <c r="AN36" i="1" s="1"/>
  <c r="S36" i="1" s="1"/>
  <c r="AX385" i="1"/>
  <c r="AN385" i="1" s="1"/>
  <c r="S385" i="1" s="1"/>
  <c r="AX484" i="1"/>
  <c r="AN484" i="1" s="1"/>
  <c r="S484" i="1" s="1"/>
  <c r="AX192" i="1"/>
  <c r="AN192" i="1" s="1"/>
  <c r="S192" i="1" s="1"/>
  <c r="AX90" i="1"/>
  <c r="AN90" i="1" s="1"/>
  <c r="S90" i="1" s="1"/>
  <c r="AX68" i="1"/>
  <c r="AN68" i="1" s="1"/>
  <c r="S68" i="1" s="1"/>
  <c r="AX430" i="1"/>
  <c r="AN430" i="1" s="1"/>
  <c r="S430" i="1" s="1"/>
  <c r="AX516" i="1"/>
  <c r="AN516" i="1" s="1"/>
  <c r="S516" i="1" s="1"/>
  <c r="AX77" i="1"/>
  <c r="AN77" i="1" s="1"/>
  <c r="S77" i="1" s="1"/>
  <c r="AX130" i="1"/>
  <c r="AN130" i="1" s="1"/>
  <c r="S130" i="1" s="1"/>
  <c r="AX412" i="1"/>
  <c r="AN412" i="1" s="1"/>
  <c r="S412" i="1" s="1"/>
  <c r="AX300" i="1"/>
  <c r="AN300" i="1" s="1"/>
  <c r="S300" i="1" s="1"/>
  <c r="AX222" i="1"/>
  <c r="AN222" i="1" s="1"/>
  <c r="S222" i="1" s="1"/>
  <c r="AX511" i="1"/>
  <c r="AN511" i="1" s="1"/>
  <c r="S511" i="1" s="1"/>
  <c r="AX485" i="1"/>
  <c r="AN485" i="1" s="1"/>
  <c r="S485" i="1" s="1"/>
  <c r="AX42" i="1"/>
  <c r="AN42" i="1" s="1"/>
  <c r="S42" i="1" s="1"/>
  <c r="AX203" i="1"/>
  <c r="AN203" i="1" s="1"/>
  <c r="S203" i="1" s="1"/>
  <c r="AX110" i="1"/>
  <c r="AN110" i="1" s="1"/>
  <c r="S110" i="1" s="1"/>
  <c r="AX239" i="1"/>
  <c r="AN239" i="1" s="1"/>
  <c r="S239" i="1" s="1"/>
  <c r="AX181" i="1"/>
  <c r="AN181" i="1" s="1"/>
  <c r="S181" i="1" s="1"/>
  <c r="AX442" i="1"/>
  <c r="AN442" i="1" s="1"/>
  <c r="S442" i="1" s="1"/>
  <c r="AX487" i="1"/>
  <c r="AN487" i="1" s="1"/>
  <c r="S487" i="1" s="1"/>
  <c r="AX304" i="1"/>
  <c r="AN304" i="1" s="1"/>
  <c r="S304" i="1" s="1"/>
  <c r="AX313" i="1"/>
  <c r="AN313" i="1" s="1"/>
  <c r="S313" i="1" s="1"/>
  <c r="AX252" i="1"/>
  <c r="AN252" i="1" s="1"/>
  <c r="S252" i="1" s="1"/>
  <c r="AX281" i="1"/>
  <c r="AN281" i="1" s="1"/>
  <c r="S281" i="1" s="1"/>
  <c r="AX153" i="1"/>
  <c r="AN153" i="1" s="1"/>
  <c r="S153" i="1" s="1"/>
  <c r="AX3" i="1"/>
  <c r="AN3" i="1" s="1"/>
  <c r="S3" i="1" s="1"/>
  <c r="AX483" i="1"/>
  <c r="AN483" i="1" s="1"/>
  <c r="S483" i="1" s="1"/>
  <c r="AX91" i="1"/>
  <c r="AN91" i="1" s="1"/>
  <c r="S91" i="1" s="1"/>
  <c r="AX517" i="1"/>
  <c r="AN517" i="1" s="1"/>
  <c r="S517" i="1" s="1"/>
  <c r="AX131" i="1"/>
  <c r="AN131" i="1" s="1"/>
  <c r="S131" i="1" s="1"/>
  <c r="AX147" i="1"/>
  <c r="AN147" i="1" s="1"/>
  <c r="S147" i="1" s="1"/>
  <c r="AX338" i="1"/>
  <c r="AN338" i="1" s="1"/>
  <c r="S338" i="1" s="1"/>
  <c r="AX339" i="1"/>
  <c r="AN339" i="1" s="1"/>
  <c r="S339" i="1" s="1"/>
  <c r="AX416" i="1"/>
  <c r="AN416" i="1" s="1"/>
  <c r="S416" i="1" s="1"/>
  <c r="AX441" i="1"/>
  <c r="AN441" i="1" s="1"/>
  <c r="S441" i="1" s="1"/>
  <c r="AX20" i="1"/>
  <c r="AN20" i="1" s="1"/>
  <c r="S20" i="1" s="1"/>
  <c r="AX369" i="1"/>
  <c r="AN369" i="1" s="1"/>
  <c r="S369" i="1" s="1"/>
  <c r="AX114" i="1"/>
  <c r="AN114" i="1" s="1"/>
  <c r="S114" i="1" s="1"/>
  <c r="AX201" i="1"/>
  <c r="AN201" i="1" s="1"/>
  <c r="S201" i="1" s="1"/>
  <c r="AX491" i="1"/>
  <c r="AN491" i="1" s="1"/>
  <c r="S491" i="1" s="1"/>
  <c r="AX182" i="1"/>
  <c r="AN182" i="1" s="1"/>
  <c r="S182" i="1" s="1"/>
  <c r="AX443" i="1"/>
  <c r="AN443" i="1" s="1"/>
  <c r="S443" i="1" s="1"/>
  <c r="AX172" i="1"/>
  <c r="AN172" i="1" s="1"/>
  <c r="S172" i="1" s="1"/>
  <c r="AX475" i="1"/>
  <c r="AN475" i="1" s="1"/>
  <c r="S475" i="1" s="1"/>
  <c r="AX510" i="1"/>
  <c r="AN510" i="1" s="1"/>
  <c r="S510" i="1" s="1"/>
  <c r="AX58" i="1"/>
  <c r="AN58" i="1" s="1"/>
  <c r="S58" i="1" s="1"/>
  <c r="AX119" i="1"/>
  <c r="AN119" i="1" s="1"/>
  <c r="S119" i="1" s="1"/>
  <c r="AX2" i="1"/>
  <c r="AN2" i="1" s="1"/>
  <c r="S2" i="1" s="1"/>
  <c r="AX297" i="1"/>
  <c r="AN297" i="1" s="1"/>
  <c r="S297" i="1" s="1"/>
  <c r="AX167" i="1"/>
  <c r="AN167" i="1" s="1"/>
  <c r="S167" i="1" s="1"/>
  <c r="AX440" i="1"/>
  <c r="AN440" i="1" s="1"/>
  <c r="S440" i="1" s="1"/>
  <c r="AX372" i="1"/>
  <c r="AN372" i="1" s="1"/>
  <c r="S372" i="1" s="1"/>
  <c r="AX21" i="1"/>
  <c r="AN21" i="1" s="1"/>
  <c r="S21" i="1" s="1"/>
  <c r="AX177" i="1"/>
  <c r="AN177" i="1" s="1"/>
  <c r="S177" i="1" s="1"/>
  <c r="AX413" i="1"/>
  <c r="AN413" i="1" s="1"/>
  <c r="S413" i="1" s="1"/>
  <c r="AX200" i="1"/>
  <c r="AN200" i="1" s="1"/>
  <c r="S200" i="1" s="1"/>
  <c r="AX45" i="1"/>
  <c r="AN45" i="1" s="1"/>
  <c r="S45" i="1" s="1"/>
  <c r="AX429" i="1"/>
  <c r="AN429" i="1" s="1"/>
  <c r="S429" i="1" s="1"/>
  <c r="AX92" i="1"/>
  <c r="AN92" i="1" s="1"/>
  <c r="S92" i="1" s="1"/>
  <c r="AX386" i="1"/>
  <c r="AN386" i="1" s="1"/>
  <c r="S386" i="1" s="1"/>
  <c r="AX395" i="1"/>
  <c r="AN395" i="1" s="1"/>
  <c r="S395" i="1" s="1"/>
  <c r="AX64" i="1"/>
  <c r="AN64" i="1" s="1"/>
  <c r="S64" i="1" s="1"/>
  <c r="AX237" i="1"/>
  <c r="AN237" i="1" s="1"/>
  <c r="S237" i="1" s="1"/>
  <c r="AX492" i="1"/>
  <c r="AN492" i="1" s="1"/>
  <c r="S492" i="1" s="1"/>
  <c r="AX438" i="1"/>
  <c r="AN438" i="1" s="1"/>
  <c r="S438" i="1" s="1"/>
  <c r="AX444" i="1"/>
  <c r="AN444" i="1" s="1"/>
  <c r="S444" i="1" s="1"/>
  <c r="AX461" i="1"/>
  <c r="AN461" i="1" s="1"/>
  <c r="S461" i="1" s="1"/>
  <c r="AX476" i="1"/>
  <c r="AN476" i="1" s="1"/>
  <c r="S476" i="1" s="1"/>
  <c r="AX415" i="1"/>
  <c r="AN415" i="1" s="1"/>
  <c r="S415" i="1" s="1"/>
  <c r="AX154" i="1"/>
  <c r="AN154" i="1" s="1"/>
  <c r="S154" i="1" s="1"/>
  <c r="AX358" i="1"/>
  <c r="AN358" i="1" s="1"/>
  <c r="S358" i="1" s="1"/>
  <c r="AX482" i="1"/>
  <c r="AN482" i="1" s="1"/>
  <c r="S482" i="1" s="1"/>
  <c r="AX296" i="1"/>
  <c r="AN296" i="1" s="1"/>
  <c r="S296" i="1" s="1"/>
  <c r="AX166" i="1"/>
  <c r="AN166" i="1" s="1"/>
  <c r="S166" i="1" s="1"/>
  <c r="AX41" i="1"/>
  <c r="AN41" i="1" s="1"/>
  <c r="S41" i="1" s="1"/>
  <c r="AX89" i="1"/>
  <c r="AN89" i="1" s="1"/>
  <c r="S89" i="1" s="1"/>
  <c r="AX342" i="1"/>
  <c r="AN342" i="1" s="1"/>
  <c r="S342" i="1" s="1"/>
  <c r="AX343" i="1"/>
  <c r="AX331" i="1"/>
  <c r="AN331" i="1" s="1"/>
  <c r="S331" i="1" s="1"/>
  <c r="AX332" i="1"/>
  <c r="AX330" i="1"/>
  <c r="AX287" i="1"/>
  <c r="AN287" i="1" s="1"/>
  <c r="S287" i="1" s="1"/>
  <c r="AX333" i="1"/>
  <c r="AN333" i="1" s="1"/>
  <c r="S333" i="1" s="1"/>
  <c r="AX286" i="1"/>
  <c r="AN286" i="1" s="1"/>
  <c r="S286" i="1" s="1"/>
  <c r="AX214" i="1"/>
  <c r="AN214" i="1" s="1"/>
  <c r="S214" i="1" s="1"/>
  <c r="AX513" i="1"/>
  <c r="AN513" i="1" s="1"/>
  <c r="S513" i="1" s="1"/>
  <c r="AX267" i="1"/>
  <c r="AN267" i="1" s="1"/>
  <c r="S267" i="1" s="1"/>
  <c r="AX497" i="1"/>
  <c r="AN497" i="1" s="1"/>
  <c r="S497" i="1" s="1"/>
  <c r="AX477" i="1"/>
  <c r="AN477" i="1" s="1"/>
  <c r="S477" i="1" s="1"/>
  <c r="AX316" i="1"/>
  <c r="AN316" i="1" s="1"/>
  <c r="S316" i="1" s="1"/>
  <c r="AX398" i="1"/>
  <c r="AN398" i="1" s="1"/>
  <c r="S398" i="1" s="1"/>
  <c r="AX127" i="1"/>
  <c r="AN127" i="1" s="1"/>
  <c r="S127" i="1" s="1"/>
  <c r="AX390" i="1"/>
  <c r="AN390" i="1" s="1"/>
  <c r="S390" i="1" s="1"/>
  <c r="AX420" i="1"/>
  <c r="AN420" i="1" s="1"/>
  <c r="S420" i="1" s="1"/>
  <c r="AX407" i="1"/>
  <c r="AN407" i="1" s="1"/>
  <c r="S407" i="1" s="1"/>
  <c r="AX502" i="1"/>
  <c r="AN502" i="1" s="1"/>
  <c r="S502" i="1" s="1"/>
  <c r="AX126" i="1"/>
  <c r="AN126" i="1" s="1"/>
  <c r="S126" i="1" s="1"/>
  <c r="AX389" i="1"/>
  <c r="AN389" i="1" s="1"/>
  <c r="S389" i="1" s="1"/>
  <c r="AX268" i="1"/>
  <c r="AN268" i="1" s="1"/>
  <c r="S268" i="1" s="1"/>
  <c r="AX495" i="1"/>
  <c r="AN495" i="1" s="1"/>
  <c r="S495" i="1" s="1"/>
  <c r="AX514" i="1"/>
  <c r="AN514" i="1" s="1"/>
  <c r="S514" i="1" s="1"/>
  <c r="AX388" i="1"/>
  <c r="AN388" i="1" s="1"/>
  <c r="S388" i="1" s="1"/>
  <c r="AX220" i="1"/>
  <c r="AN220" i="1" s="1"/>
  <c r="S220" i="1" s="1"/>
  <c r="AX457" i="1"/>
  <c r="AN457" i="1" s="1"/>
  <c r="S457" i="1" s="1"/>
  <c r="AX498" i="1"/>
  <c r="AN498" i="1" s="1"/>
  <c r="S498" i="1" s="1"/>
  <c r="AX317" i="1"/>
  <c r="AN317" i="1" s="1"/>
  <c r="S317" i="1" s="1"/>
  <c r="AX387" i="1"/>
  <c r="AN387" i="1" s="1"/>
  <c r="S387" i="1" s="1"/>
  <c r="AX219" i="1"/>
  <c r="AN219" i="1" s="1"/>
  <c r="S219" i="1" s="1"/>
  <c r="AX421" i="1"/>
  <c r="AN421" i="1" s="1"/>
  <c r="S421" i="1" s="1"/>
  <c r="AX456" i="1"/>
  <c r="AN456" i="1" s="1"/>
  <c r="S456" i="1" s="1"/>
  <c r="AX503" i="1"/>
  <c r="AN503" i="1" s="1"/>
  <c r="S503" i="1" s="1"/>
  <c r="AX33" i="1"/>
  <c r="AN33" i="1" s="1"/>
  <c r="S33" i="1" s="1"/>
  <c r="AX104" i="1"/>
  <c r="AN104" i="1" s="1"/>
  <c r="S104" i="1" s="1"/>
  <c r="AX496" i="1"/>
  <c r="AN496" i="1" s="1"/>
  <c r="S496" i="1" s="1"/>
  <c r="AX397" i="1"/>
  <c r="AN397" i="1" s="1"/>
  <c r="S397" i="1" s="1"/>
  <c r="AX406" i="1"/>
  <c r="AN406" i="1" s="1"/>
  <c r="S406" i="1" s="1"/>
  <c r="AX103" i="1"/>
  <c r="AN103" i="1" s="1"/>
  <c r="S103" i="1" s="1"/>
  <c r="AX125" i="1"/>
  <c r="AN125" i="1" s="1"/>
  <c r="S125" i="1" s="1"/>
  <c r="AX293" i="1"/>
  <c r="AN293" i="1" s="1"/>
  <c r="S293" i="1" s="1"/>
  <c r="AX23" i="1"/>
  <c r="AN23" i="1" s="1"/>
  <c r="S23" i="1" s="1"/>
  <c r="AX19" i="1"/>
  <c r="AN19" i="1" s="1"/>
  <c r="S19" i="1" s="1"/>
  <c r="AX257" i="1"/>
  <c r="AN257" i="1" s="1"/>
  <c r="S257" i="1" s="1"/>
  <c r="AX351" i="1"/>
  <c r="AN351" i="1" s="1"/>
  <c r="S351" i="1" s="1"/>
  <c r="AX26" i="1"/>
  <c r="AN26" i="1" s="1"/>
  <c r="S26" i="1" s="1"/>
  <c r="AX22" i="1"/>
  <c r="AN22" i="1" s="1"/>
  <c r="S22" i="1" s="1"/>
  <c r="AX18" i="1"/>
  <c r="AN18" i="1" s="1"/>
  <c r="S18" i="1" s="1"/>
  <c r="AX352" i="1"/>
  <c r="AN352" i="1" s="1"/>
  <c r="S352" i="1" s="1"/>
  <c r="AX294" i="1"/>
  <c r="AN294" i="1" s="1"/>
  <c r="S294" i="1" s="1"/>
  <c r="AX424" i="1"/>
  <c r="AN424" i="1" s="1"/>
  <c r="S424" i="1" s="1"/>
  <c r="AX124" i="1"/>
  <c r="AN124" i="1" s="1"/>
  <c r="S124" i="1" s="1"/>
  <c r="AX17" i="1"/>
  <c r="AN17" i="1" s="1"/>
  <c r="S17" i="1" s="1"/>
  <c r="AX478" i="1"/>
  <c r="AN478" i="1" s="1"/>
  <c r="S478" i="1" s="1"/>
  <c r="AX353" i="1"/>
  <c r="AN353" i="1" s="1"/>
  <c r="S353" i="1" s="1"/>
  <c r="AX24" i="1"/>
  <c r="AN24" i="1" s="1"/>
  <c r="S24" i="1" s="1"/>
  <c r="AX31" i="1"/>
  <c r="AN31" i="1" s="1"/>
  <c r="S31" i="1" s="1"/>
  <c r="AX221" i="1"/>
  <c r="AN221" i="1" s="1"/>
  <c r="S221" i="1" s="1"/>
  <c r="AX16" i="1"/>
  <c r="AN16" i="1" s="1"/>
  <c r="S16" i="1" s="1"/>
  <c r="AX509" i="1"/>
  <c r="AN509" i="1" s="1"/>
  <c r="S509" i="1" s="1"/>
  <c r="AX279" i="1"/>
  <c r="AN279" i="1" s="1"/>
  <c r="S279" i="1" s="1"/>
  <c r="AX425" i="1"/>
  <c r="AN425" i="1" s="1"/>
  <c r="S425" i="1" s="1"/>
  <c r="AX382" i="1"/>
  <c r="AN382" i="1" s="1"/>
  <c r="S382" i="1" s="1"/>
  <c r="AX113" i="1"/>
  <c r="AN113" i="1" s="1"/>
  <c r="S113" i="1" s="1"/>
  <c r="AX136" i="1"/>
  <c r="AN136" i="1" s="1"/>
  <c r="S136" i="1" s="1"/>
  <c r="AX70" i="1"/>
  <c r="AN70" i="1" s="1"/>
  <c r="S70" i="1" s="1"/>
  <c r="AX308" i="1"/>
  <c r="AN308" i="1" s="1"/>
  <c r="S308" i="1" s="1"/>
  <c r="AX301" i="1"/>
  <c r="AN301" i="1" s="1"/>
  <c r="S301" i="1" s="1"/>
  <c r="AX95" i="1"/>
  <c r="AN95" i="1" s="1"/>
  <c r="S95" i="1" s="1"/>
  <c r="AX366" i="1"/>
  <c r="AN366" i="1" s="1"/>
  <c r="S366" i="1" s="1"/>
  <c r="AX39" i="1"/>
  <c r="AN39" i="1" s="1"/>
  <c r="S39" i="1" s="1"/>
  <c r="AX362" i="1"/>
  <c r="AN362" i="1" s="1"/>
  <c r="S362" i="1" s="1"/>
  <c r="AX6" i="1"/>
  <c r="AN6" i="1" s="1"/>
  <c r="S6" i="1" s="1"/>
  <c r="AX280" i="1"/>
  <c r="AN280" i="1" s="1"/>
  <c r="S280" i="1" s="1"/>
  <c r="AX356" i="1"/>
  <c r="AN356" i="1" s="1"/>
  <c r="S356" i="1" s="1"/>
  <c r="AX12" i="1"/>
  <c r="AN12" i="1" s="1"/>
  <c r="S12" i="1" s="1"/>
  <c r="AX450" i="1"/>
  <c r="AN450" i="1" s="1"/>
  <c r="S450" i="1" s="1"/>
  <c r="AX365" i="1"/>
  <c r="AN365" i="1" s="1"/>
  <c r="S365" i="1" s="1"/>
  <c r="AX381" i="1"/>
  <c r="AN381" i="1" s="1"/>
  <c r="S381" i="1" s="1"/>
  <c r="AX185" i="1"/>
  <c r="AN185" i="1" s="1"/>
  <c r="S185" i="1" s="1"/>
  <c r="AX137" i="1"/>
  <c r="AN137" i="1" s="1"/>
  <c r="S137" i="1" s="1"/>
  <c r="AX253" i="1"/>
  <c r="AN253" i="1" s="1"/>
  <c r="S253" i="1" s="1"/>
  <c r="AX69" i="1"/>
  <c r="AN69" i="1" s="1"/>
  <c r="S69" i="1" s="1"/>
  <c r="AX298" i="1"/>
  <c r="AN298" i="1" s="1"/>
  <c r="S298" i="1" s="1"/>
  <c r="AX249" i="1"/>
  <c r="AN249" i="1" s="1"/>
  <c r="S249" i="1" s="1"/>
  <c r="AX427" i="1"/>
  <c r="AN427" i="1" s="1"/>
  <c r="S427" i="1" s="1"/>
  <c r="AX40" i="1"/>
  <c r="AN40" i="1" s="1"/>
  <c r="S40" i="1" s="1"/>
  <c r="AX7" i="1"/>
  <c r="AN7" i="1" s="1"/>
  <c r="S7" i="1" s="1"/>
  <c r="AX361" i="1"/>
  <c r="AN361" i="1" s="1"/>
  <c r="S361" i="1" s="1"/>
  <c r="AX143" i="1"/>
  <c r="AN143" i="1" s="1"/>
  <c r="S143" i="1" s="1"/>
  <c r="AX426" i="1"/>
  <c r="AN426" i="1" s="1"/>
  <c r="S426" i="1" s="1"/>
  <c r="AX451" i="1"/>
  <c r="AN451" i="1" s="1"/>
  <c r="S451" i="1" s="1"/>
  <c r="AX11" i="1"/>
  <c r="AN11" i="1" s="1"/>
  <c r="S11" i="1" s="1"/>
  <c r="AX357" i="1"/>
  <c r="AN357" i="1" s="1"/>
  <c r="S357" i="1" s="1"/>
  <c r="AX283" i="1"/>
  <c r="AN283" i="1" s="1"/>
  <c r="S283" i="1" s="1"/>
  <c r="AX227" i="1"/>
  <c r="AN227" i="1" s="1"/>
  <c r="S227" i="1" s="1"/>
  <c r="AX325" i="1"/>
  <c r="AN325" i="1" s="1"/>
  <c r="S325" i="1" s="1"/>
  <c r="AX38" i="1"/>
  <c r="AN38" i="1" s="1"/>
  <c r="S38" i="1" s="1"/>
  <c r="AX291" i="1"/>
  <c r="AN291" i="1" s="1"/>
  <c r="S291" i="1" s="1"/>
  <c r="AX224" i="1"/>
  <c r="AN224" i="1" s="1"/>
  <c r="S224" i="1" s="1"/>
  <c r="AX419" i="1"/>
  <c r="AN419" i="1" s="1"/>
  <c r="S419" i="1" s="1"/>
  <c r="AX155" i="1"/>
  <c r="AN155" i="1" s="1"/>
  <c r="S155" i="1" s="1"/>
  <c r="AX384" i="1"/>
  <c r="AN384" i="1" s="1"/>
  <c r="S384" i="1" s="1"/>
  <c r="AX383" i="1"/>
  <c r="AN383" i="1" s="1"/>
  <c r="S383" i="1" s="1"/>
  <c r="AX350" i="1"/>
  <c r="AN350" i="1" s="1"/>
  <c r="S350" i="1" s="1"/>
  <c r="AX236" i="1"/>
  <c r="AN236" i="1" s="1"/>
  <c r="S236" i="1" s="1"/>
  <c r="AX235" i="1"/>
  <c r="AN235" i="1" s="1"/>
  <c r="S235" i="1" s="1"/>
  <c r="AX394" i="1"/>
  <c r="AN394" i="1" s="1"/>
  <c r="S394" i="1" s="1"/>
  <c r="AX393" i="1"/>
  <c r="AN393" i="1" s="1"/>
  <c r="S393" i="1" s="1"/>
  <c r="AX323" i="1"/>
  <c r="AN323" i="1" s="1"/>
  <c r="S323" i="1" s="1"/>
  <c r="AX322" i="1"/>
  <c r="AN322" i="1" s="1"/>
  <c r="S322" i="1" s="1"/>
  <c r="AX368" i="1"/>
  <c r="AN368" i="1" s="1"/>
  <c r="S368" i="1" s="1"/>
  <c r="AX367" i="1"/>
  <c r="AN367" i="1" s="1"/>
  <c r="S367" i="1" s="1"/>
  <c r="AX164" i="1"/>
  <c r="AN164" i="1" s="1"/>
  <c r="S164" i="1" s="1"/>
  <c r="AX163" i="1"/>
  <c r="AN163" i="1" s="1"/>
  <c r="S163" i="1" s="1"/>
  <c r="AX348" i="1"/>
  <c r="AN348" i="1" s="1"/>
  <c r="S348" i="1" s="1"/>
  <c r="AX347" i="1"/>
  <c r="AN347" i="1" s="1"/>
  <c r="S347" i="1" s="1"/>
  <c r="AX455" i="1"/>
  <c r="AN455" i="1" s="1"/>
  <c r="S455" i="1" s="1"/>
  <c r="AX454" i="1"/>
  <c r="AN454" i="1" s="1"/>
  <c r="S454" i="1" s="1"/>
  <c r="AX198" i="1"/>
  <c r="AN198" i="1" s="1"/>
  <c r="S198" i="1" s="1"/>
  <c r="AX212" i="1"/>
  <c r="AN212" i="1" s="1"/>
  <c r="S212" i="1" s="1"/>
  <c r="AX488" i="1"/>
  <c r="AN488" i="1" s="1"/>
  <c r="S488" i="1" s="1"/>
  <c r="AX435" i="1"/>
  <c r="AN435" i="1" s="1"/>
  <c r="S435" i="1" s="1"/>
  <c r="AX411" i="1"/>
  <c r="AN411" i="1" s="1"/>
  <c r="S411" i="1" s="1"/>
  <c r="AX453" i="1"/>
  <c r="AN453" i="1" s="1"/>
  <c r="S453" i="1" s="1"/>
  <c r="AX452" i="1"/>
  <c r="AN452" i="1" s="1"/>
  <c r="S452" i="1" s="1"/>
  <c r="AX481" i="1"/>
  <c r="AN481" i="1" s="1"/>
  <c r="S481" i="1" s="1"/>
  <c r="AX480" i="1"/>
  <c r="AN480" i="1" s="1"/>
  <c r="S480" i="1" s="1"/>
  <c r="AX479" i="1"/>
  <c r="AN479" i="1" s="1"/>
  <c r="S479" i="1" s="1"/>
  <c r="AX449" i="1"/>
  <c r="AN449" i="1" s="1"/>
  <c r="S449" i="1" s="1"/>
  <c r="AX161" i="1"/>
  <c r="AN161" i="1" s="1"/>
  <c r="S161" i="1" s="1"/>
  <c r="AX374" i="1"/>
  <c r="AN374" i="1" s="1"/>
  <c r="S374" i="1" s="1"/>
  <c r="AX458" i="1"/>
  <c r="AN458" i="1" s="1"/>
  <c r="S458" i="1" s="1"/>
  <c r="AX410" i="1"/>
  <c r="AN410" i="1" s="1"/>
  <c r="S410" i="1" s="1"/>
  <c r="AX468" i="1"/>
  <c r="AN468" i="1" s="1"/>
  <c r="S468" i="1" s="1"/>
  <c r="AX418" i="1"/>
  <c r="AN418" i="1" s="1"/>
  <c r="S418" i="1" s="1"/>
  <c r="AX501" i="1"/>
  <c r="AN501" i="1" s="1"/>
  <c r="S501" i="1" s="1"/>
  <c r="AX500" i="1"/>
  <c r="AN500" i="1" s="1"/>
  <c r="S500" i="1" s="1"/>
  <c r="AX499" i="1"/>
  <c r="AN499" i="1" s="1"/>
  <c r="S499" i="1" s="1"/>
  <c r="AX329" i="1"/>
  <c r="AN329" i="1" s="1"/>
  <c r="S329" i="1" s="1"/>
  <c r="AX179" i="1"/>
  <c r="AN179" i="1" s="1"/>
  <c r="S179" i="1" s="1"/>
  <c r="AX346" i="1"/>
  <c r="AN346" i="1" s="1"/>
  <c r="S346" i="1" s="1"/>
  <c r="AX345" i="1"/>
  <c r="AN345" i="1" s="1"/>
  <c r="S345" i="1" s="1"/>
  <c r="AX446" i="1"/>
  <c r="AN446" i="1" s="1"/>
  <c r="S446" i="1" s="1"/>
  <c r="AX445" i="1"/>
  <c r="AN445" i="1" s="1"/>
  <c r="S445" i="1" s="1"/>
  <c r="AX408" i="1"/>
  <c r="AN408" i="1" s="1"/>
  <c r="S408" i="1" s="1"/>
  <c r="AX409" i="1"/>
  <c r="AN409" i="1" s="1"/>
  <c r="S409" i="1" s="1"/>
  <c r="AX290" i="1"/>
  <c r="AN290" i="1" s="1"/>
  <c r="S290" i="1" s="1"/>
  <c r="AX289" i="1"/>
  <c r="AN289" i="1" s="1"/>
  <c r="S289" i="1" s="1"/>
  <c r="AX273" i="1"/>
  <c r="AN273" i="1" s="1"/>
  <c r="S273" i="1" s="1"/>
  <c r="AX272" i="1"/>
  <c r="AN272" i="1" s="1"/>
  <c r="S272" i="1" s="1"/>
  <c r="AX508" i="1"/>
  <c r="AN508" i="1" s="1"/>
  <c r="S508" i="1" s="1"/>
  <c r="AX507" i="1"/>
  <c r="AN507" i="1" s="1"/>
  <c r="S507" i="1" s="1"/>
  <c r="AX506" i="1"/>
  <c r="AN506" i="1" s="1"/>
  <c r="S506" i="1" s="1"/>
  <c r="AX120" i="1"/>
  <c r="AN120" i="1" s="1"/>
  <c r="S120" i="1" s="1"/>
  <c r="AX460" i="1"/>
  <c r="AN460" i="1" s="1"/>
  <c r="S460" i="1" s="1"/>
  <c r="AX471" i="1"/>
  <c r="AN471" i="1" s="1"/>
  <c r="S471" i="1" s="1"/>
  <c r="AX470" i="1"/>
  <c r="AN470" i="1" s="1"/>
  <c r="S470" i="1" s="1"/>
  <c r="AX459" i="1"/>
  <c r="AN459" i="1" s="1"/>
  <c r="S459" i="1" s="1"/>
  <c r="AX463" i="1"/>
  <c r="AN463" i="1" s="1"/>
  <c r="S463" i="1" s="1"/>
  <c r="AX434" i="1"/>
  <c r="AN434" i="1" s="1"/>
  <c r="S434" i="1" s="1"/>
  <c r="AX193" i="1"/>
  <c r="AN193" i="1" s="1"/>
  <c r="S193" i="1" s="1"/>
  <c r="AX34" i="1"/>
  <c r="AN34" i="1" s="1"/>
  <c r="S34" i="1" s="1"/>
  <c r="AX191" i="1"/>
  <c r="AN191" i="1" s="1"/>
  <c r="S191" i="1" s="1"/>
  <c r="AX494" i="1"/>
  <c r="AN494" i="1" s="1"/>
  <c r="S494" i="1" s="1"/>
  <c r="AX493" i="1"/>
  <c r="AN493" i="1" s="1"/>
  <c r="S493" i="1" s="1"/>
  <c r="AX139" i="1"/>
  <c r="AN139" i="1" s="1"/>
  <c r="S139" i="1" s="1"/>
  <c r="AX340" i="1"/>
  <c r="AN340" i="1" s="1"/>
  <c r="S340" i="1" s="1"/>
  <c r="AX183" i="1"/>
  <c r="AN183" i="1" s="1"/>
  <c r="S183" i="1" s="1"/>
  <c r="AX326" i="1"/>
  <c r="AN326" i="1" s="1"/>
  <c r="S326" i="1" s="1"/>
  <c r="AX303" i="1"/>
  <c r="AN303" i="1" s="1"/>
  <c r="S303" i="1" s="1"/>
  <c r="AX302" i="1"/>
  <c r="AN302" i="1" s="1"/>
  <c r="S302" i="1" s="1"/>
  <c r="AX474" i="1"/>
  <c r="AN474" i="1" s="1"/>
  <c r="S474" i="1" s="1"/>
  <c r="AX364" i="1"/>
  <c r="AN364" i="1" s="1"/>
  <c r="S364" i="1" s="1"/>
  <c r="AX363" i="1"/>
  <c r="AN363" i="1" s="1"/>
  <c r="S363" i="1" s="1"/>
  <c r="AX360" i="1"/>
  <c r="AN360" i="1" s="1"/>
  <c r="S360" i="1" s="1"/>
  <c r="AX359" i="1"/>
  <c r="AN359" i="1" s="1"/>
  <c r="S359" i="1" s="1"/>
  <c r="AX423" i="1"/>
  <c r="AN423" i="1" s="1"/>
  <c r="S423" i="1" s="1"/>
  <c r="AX422" i="1"/>
  <c r="AN422" i="1" s="1"/>
  <c r="S422" i="1" s="1"/>
  <c r="AX207" i="1"/>
  <c r="AN207" i="1" s="1"/>
  <c r="S207" i="1" s="1"/>
  <c r="AX436" i="1"/>
  <c r="AN436" i="1" s="1"/>
  <c r="S436" i="1" s="1"/>
  <c r="AX437" i="1"/>
  <c r="AN437" i="1" s="1"/>
  <c r="S437" i="1" s="1"/>
  <c r="AX447" i="1"/>
  <c r="AN447" i="1" s="1"/>
  <c r="S447" i="1" s="1"/>
  <c r="AX448" i="1"/>
  <c r="AN448" i="1" s="1"/>
  <c r="S448" i="1" s="1"/>
  <c r="AX284" i="1"/>
  <c r="AN284" i="1" s="1"/>
  <c r="S284" i="1" s="1"/>
  <c r="AX433" i="1"/>
  <c r="AN433" i="1" s="1"/>
  <c r="S433" i="1" s="1"/>
  <c r="AX25" i="1"/>
  <c r="AN25" i="1" s="1"/>
  <c r="S25" i="1" s="1"/>
  <c r="AX57" i="1"/>
  <c r="AN57" i="1" s="1"/>
  <c r="S57" i="1" s="1"/>
  <c r="AX56" i="1"/>
  <c r="AN56" i="1" s="1"/>
  <c r="S56" i="1" s="1"/>
  <c r="AX315" i="1"/>
  <c r="AN315" i="1" s="1"/>
  <c r="S315" i="1" s="1"/>
  <c r="AX63" i="1"/>
  <c r="AN63" i="1" s="1"/>
  <c r="S63" i="1" s="1"/>
  <c r="AX62" i="1"/>
  <c r="AN62" i="1" s="1"/>
  <c r="S62" i="1" s="1"/>
  <c r="AX335" i="1"/>
  <c r="AX469" i="1"/>
  <c r="AN469" i="1" s="1"/>
  <c r="S469" i="1" s="1"/>
  <c r="AX334" i="1"/>
  <c r="AX467" i="1"/>
  <c r="AN467" i="1" s="1"/>
  <c r="S467" i="1" s="1"/>
  <c r="AX466" i="1"/>
  <c r="AN466" i="1" s="1"/>
  <c r="S466" i="1" s="1"/>
  <c r="AX404" i="1"/>
  <c r="AN404" i="1" s="1"/>
  <c r="S404" i="1" s="1"/>
  <c r="AX277" i="1"/>
  <c r="AN277" i="1" s="1"/>
  <c r="S277" i="1" s="1"/>
  <c r="AX72" i="1"/>
  <c r="AN72" i="1" s="1"/>
  <c r="S72" i="1" s="1"/>
  <c r="AX71" i="1"/>
  <c r="AN71" i="1" s="1"/>
  <c r="S71" i="1" s="1"/>
  <c r="AX376" i="1"/>
  <c r="AN376" i="1" s="1"/>
  <c r="S376" i="1" s="1"/>
  <c r="AX375" i="1"/>
  <c r="AN375" i="1" s="1"/>
  <c r="S375" i="1" s="1"/>
  <c r="AX135" i="1"/>
  <c r="AN135" i="1" s="1"/>
  <c r="S135" i="1" s="1"/>
  <c r="AX134" i="1"/>
  <c r="AN134" i="1" s="1"/>
  <c r="S134" i="1" s="1"/>
  <c r="AX152" i="1"/>
  <c r="AN152" i="1" s="1"/>
  <c r="S152" i="1" s="1"/>
  <c r="AX310" i="1"/>
  <c r="AN310" i="1" s="1"/>
  <c r="S310" i="1" s="1"/>
  <c r="AX75" i="1"/>
  <c r="AN75" i="1" s="1"/>
  <c r="S75" i="1" s="1"/>
  <c r="AX515" i="1"/>
  <c r="AN515" i="1" s="1"/>
  <c r="S515" i="1" s="1"/>
  <c r="AX380" i="1"/>
  <c r="AN380" i="1" s="1"/>
  <c r="S380" i="1" s="1"/>
  <c r="AX377" i="1"/>
  <c r="AN377" i="1" s="1"/>
  <c r="S377" i="1" s="1"/>
  <c r="AX379" i="1"/>
  <c r="AN379" i="1" s="1"/>
  <c r="S379" i="1" s="1"/>
  <c r="AX378" i="1"/>
  <c r="AN378" i="1" s="1"/>
  <c r="S378" i="1" s="1"/>
  <c r="AX189" i="1"/>
  <c r="AN189" i="1" s="1"/>
  <c r="S189" i="1" s="1"/>
  <c r="AX402" i="1"/>
  <c r="AN402" i="1" s="1"/>
  <c r="S402" i="1" s="1"/>
  <c r="AX35" i="1"/>
  <c r="AN35" i="1" s="1"/>
  <c r="S35" i="1" s="1"/>
  <c r="AX176" i="1"/>
  <c r="AN176" i="1" s="1"/>
  <c r="S176" i="1" s="1"/>
  <c r="AX175" i="1"/>
  <c r="AN175" i="1" s="1"/>
  <c r="S175" i="1" s="1"/>
  <c r="AX174" i="1"/>
  <c r="AN174" i="1" s="1"/>
  <c r="S174" i="1" s="1"/>
  <c r="AX37" i="1"/>
  <c r="AN37" i="1" s="1"/>
  <c r="S37" i="1" s="1"/>
  <c r="AX84" i="1"/>
  <c r="AN84" i="1" s="1"/>
  <c r="S84" i="1" s="1"/>
  <c r="AX83" i="1"/>
  <c r="AN83" i="1" s="1"/>
  <c r="S83" i="1" s="1"/>
  <c r="AX82" i="1"/>
  <c r="AN82" i="1" s="1"/>
  <c r="S82" i="1" s="1"/>
  <c r="AX99" i="1"/>
  <c r="AN99" i="1" s="1"/>
  <c r="S99" i="1" s="1"/>
  <c r="AX8" i="1"/>
  <c r="AN8" i="1" s="1"/>
  <c r="S8" i="1" s="1"/>
  <c r="AX162" i="1"/>
  <c r="AN162" i="1" s="1"/>
  <c r="S162" i="1" s="1"/>
  <c r="AX230" i="1"/>
  <c r="AN230" i="1" s="1"/>
  <c r="S230" i="1" s="1"/>
  <c r="AX231" i="1"/>
  <c r="AN231" i="1" s="1"/>
  <c r="S231" i="1" s="1"/>
  <c r="AX112" i="1"/>
  <c r="AN112" i="1" s="1"/>
  <c r="S112" i="1" s="1"/>
  <c r="AX184" i="1"/>
  <c r="AN184" i="1" s="1"/>
  <c r="S184" i="1" s="1"/>
  <c r="AX288" i="1"/>
  <c r="AN288" i="1" s="1"/>
  <c r="S288" i="1" s="1"/>
  <c r="AX27" i="1"/>
  <c r="AN27" i="1" s="1"/>
  <c r="S27" i="1" s="1"/>
  <c r="AX199" i="1"/>
  <c r="AN199" i="1" s="1"/>
  <c r="S199" i="1" s="1"/>
  <c r="AX206" i="1"/>
  <c r="AN206" i="1" s="1"/>
  <c r="S206" i="1" s="1"/>
  <c r="AX244" i="1"/>
  <c r="AN244" i="1" s="1"/>
  <c r="S244" i="1" s="1"/>
  <c r="AX245" i="1"/>
  <c r="AN245" i="1" s="1"/>
  <c r="S245" i="1" s="1"/>
  <c r="AX109" i="1"/>
  <c r="AN109" i="1" s="1"/>
  <c r="S109" i="1" s="1"/>
  <c r="AX254" i="1"/>
  <c r="AN254" i="1" s="1"/>
  <c r="S254" i="1" s="1"/>
  <c r="AX255" i="1"/>
  <c r="AN255" i="1" s="1"/>
  <c r="S255" i="1" s="1"/>
  <c r="AX256" i="1"/>
  <c r="AN256" i="1" s="1"/>
  <c r="S256" i="1" s="1"/>
  <c r="AX159" i="1"/>
  <c r="AN159" i="1" s="1"/>
  <c r="S159" i="1" s="1"/>
  <c r="AX160" i="1"/>
  <c r="AN160" i="1" s="1"/>
  <c r="S160" i="1" s="1"/>
  <c r="AX138" i="1"/>
  <c r="AN138" i="1" s="1"/>
  <c r="S138" i="1" s="1"/>
  <c r="AX156" i="1"/>
  <c r="AN156" i="1" s="1"/>
  <c r="S156" i="1" s="1"/>
  <c r="AX327" i="1"/>
  <c r="AN327" i="1" s="1"/>
  <c r="S327" i="1" s="1"/>
  <c r="AX250" i="1"/>
  <c r="AN250" i="1" s="1"/>
  <c r="S250" i="1" s="1"/>
  <c r="AX215" i="1"/>
  <c r="AN215" i="1" s="1"/>
  <c r="S215" i="1" s="1"/>
  <c r="AX233" i="1"/>
  <c r="AN233" i="1" s="1"/>
  <c r="S233" i="1" s="1"/>
  <c r="AX489" i="1"/>
  <c r="AN489" i="1" s="1"/>
  <c r="S489" i="1" s="1"/>
  <c r="AX490" i="1"/>
  <c r="AN490" i="1" s="1"/>
  <c r="S490" i="1" s="1"/>
  <c r="AX53" i="1"/>
  <c r="AN53" i="1" s="1"/>
  <c r="S53" i="1" s="1"/>
  <c r="AX32" i="1"/>
  <c r="AN32" i="1" s="1"/>
  <c r="S32" i="1" s="1"/>
  <c r="AX320" i="1"/>
  <c r="AN320" i="1" s="1"/>
  <c r="S320" i="1" s="1"/>
  <c r="AX146" i="1"/>
  <c r="AN146" i="1" s="1"/>
  <c r="S146" i="1" s="1"/>
  <c r="AX180" i="1"/>
  <c r="AN180" i="1" s="1"/>
  <c r="S180" i="1" s="1"/>
  <c r="AX504" i="1"/>
  <c r="AN504" i="1" s="1"/>
  <c r="S504" i="1" s="1"/>
  <c r="AX505" i="1"/>
  <c r="AN505" i="1" s="1"/>
  <c r="S505" i="1" s="1"/>
  <c r="AX4" i="1"/>
  <c r="AN4" i="1" s="1"/>
  <c r="S4" i="1" s="1"/>
  <c r="AX102" i="1"/>
  <c r="AN102" i="1" s="1"/>
  <c r="S102" i="1" s="1"/>
  <c r="AX100" i="1"/>
  <c r="AN100" i="1" s="1"/>
  <c r="S100" i="1" s="1"/>
  <c r="AX295" i="1"/>
  <c r="AN295" i="1" s="1"/>
  <c r="S295" i="1" s="1"/>
  <c r="AX305" i="1"/>
  <c r="AN305" i="1" s="1"/>
  <c r="S305" i="1" s="1"/>
  <c r="AX228" i="1"/>
  <c r="AN228" i="1" s="1"/>
  <c r="S228" i="1" s="1"/>
  <c r="AX132" i="1"/>
  <c r="AN132" i="1" s="1"/>
  <c r="S132" i="1" s="1"/>
  <c r="AX76" i="1"/>
  <c r="AN76" i="1" s="1"/>
  <c r="S76" i="1" s="1"/>
  <c r="AX59" i="1"/>
  <c r="AN59" i="1" s="1"/>
  <c r="S59" i="1" s="1"/>
  <c r="AX60" i="1"/>
  <c r="AN60" i="1" s="1"/>
  <c r="S60" i="1" s="1"/>
  <c r="AX15" i="1"/>
  <c r="AN15" i="1" s="1"/>
  <c r="S15" i="1" s="1"/>
  <c r="AX168" i="1"/>
  <c r="AN168" i="1" s="1"/>
  <c r="S168" i="1" s="1"/>
  <c r="AX169" i="1"/>
  <c r="AN169" i="1" s="1"/>
  <c r="S169" i="1" s="1"/>
  <c r="AX50" i="1"/>
  <c r="AN50" i="1" s="1"/>
  <c r="S50" i="1" s="1"/>
  <c r="AX51" i="1"/>
  <c r="AN51" i="1" s="1"/>
  <c r="S51" i="1" s="1"/>
  <c r="AX318" i="1"/>
  <c r="AN318" i="1" s="1"/>
  <c r="S318" i="1" s="1"/>
  <c r="AX319" i="1"/>
  <c r="AN319" i="1" s="1"/>
  <c r="S319" i="1" s="1"/>
  <c r="AX306" i="1"/>
  <c r="AN306" i="1" s="1"/>
  <c r="S306" i="1" s="1"/>
  <c r="AX307" i="1"/>
  <c r="AN307" i="1" s="1"/>
  <c r="S307" i="1" s="1"/>
  <c r="AX117" i="1"/>
  <c r="AN117" i="1" s="1"/>
  <c r="S117" i="1" s="1"/>
  <c r="AX118" i="1"/>
  <c r="AN118" i="1" s="1"/>
  <c r="S118" i="1" s="1"/>
  <c r="AX170" i="1"/>
  <c r="AN170" i="1" s="1"/>
  <c r="S170" i="1" s="1"/>
  <c r="AX171" i="1"/>
  <c r="AN171" i="1" s="1"/>
  <c r="S171" i="1" s="1"/>
  <c r="AX229" i="1"/>
  <c r="AN229" i="1" s="1"/>
  <c r="S229" i="1" s="1"/>
  <c r="AX260" i="1"/>
  <c r="AN260" i="1" s="1"/>
  <c r="S260" i="1" s="1"/>
  <c r="AX261" i="1"/>
  <c r="AN261" i="1" s="1"/>
  <c r="S261" i="1" s="1"/>
  <c r="AX262" i="1"/>
  <c r="AN262" i="1" s="1"/>
  <c r="S262" i="1" s="1"/>
  <c r="AX263" i="1"/>
  <c r="AN263" i="1" s="1"/>
  <c r="S263" i="1" s="1"/>
  <c r="AX264" i="1"/>
  <c r="AN264" i="1" s="1"/>
  <c r="S264" i="1" s="1"/>
  <c r="AX265" i="1"/>
  <c r="AN265" i="1" s="1"/>
  <c r="S265" i="1" s="1"/>
  <c r="AX266" i="1"/>
  <c r="AN266" i="1" s="1"/>
  <c r="S266" i="1" s="1"/>
  <c r="AX43" i="1"/>
  <c r="AN43" i="1" s="1"/>
  <c r="S43" i="1" s="1"/>
  <c r="AX269" i="1"/>
  <c r="AN269" i="1" s="1"/>
  <c r="S269" i="1" s="1"/>
  <c r="AX270" i="1"/>
  <c r="AN270" i="1" s="1"/>
  <c r="S270" i="1" s="1"/>
  <c r="AX216" i="1"/>
  <c r="AN216" i="1" s="1"/>
  <c r="S216" i="1" s="1"/>
  <c r="AX217" i="1"/>
  <c r="AN217" i="1" s="1"/>
  <c r="S217" i="1" s="1"/>
  <c r="AX218" i="1"/>
  <c r="AN218" i="1" s="1"/>
  <c r="S218" i="1" s="1"/>
  <c r="AX271" i="1"/>
  <c r="AN271" i="1" s="1"/>
  <c r="S271" i="1" s="1"/>
  <c r="AX321" i="1"/>
  <c r="AN321" i="1" s="1"/>
  <c r="S321" i="1" s="1"/>
  <c r="AX78" i="1"/>
  <c r="AN78" i="1" s="1"/>
  <c r="S78" i="1" s="1"/>
  <c r="AX79" i="1"/>
  <c r="AN79" i="1" s="1"/>
  <c r="S79" i="1" s="1"/>
  <c r="AX80" i="1"/>
  <c r="AN80" i="1" s="1"/>
  <c r="S80" i="1" s="1"/>
  <c r="AX93" i="1"/>
  <c r="AN93" i="1" s="1"/>
  <c r="S93" i="1" s="1"/>
  <c r="AX94" i="1"/>
  <c r="AN94" i="1" s="1"/>
  <c r="S94" i="1" s="1"/>
  <c r="AX232" i="1"/>
  <c r="AN232" i="1" s="1"/>
  <c r="S232" i="1" s="1"/>
  <c r="AX314" i="1"/>
  <c r="AN314" i="1" s="1"/>
  <c r="S314" i="1" s="1"/>
  <c r="AX46" i="1"/>
  <c r="AN46" i="1" s="1"/>
  <c r="S46" i="1" s="1"/>
  <c r="AX274" i="1"/>
  <c r="AN274" i="1" s="1"/>
  <c r="S274" i="1" s="1"/>
  <c r="AX275" i="1"/>
  <c r="AN275" i="1" s="1"/>
  <c r="S275" i="1" s="1"/>
  <c r="AX276" i="1"/>
  <c r="AN276" i="1" s="1"/>
  <c r="S276" i="1" s="1"/>
  <c r="AX73" i="1"/>
  <c r="AN73" i="1" s="1"/>
  <c r="S73" i="1" s="1"/>
  <c r="AX74" i="1"/>
  <c r="AN74" i="1" s="1"/>
  <c r="S74" i="1" s="1"/>
  <c r="AX311" i="1"/>
  <c r="AN311" i="1" s="1"/>
  <c r="S311" i="1" s="1"/>
  <c r="AX312" i="1"/>
  <c r="AN312" i="1" s="1"/>
  <c r="S312" i="1" s="1"/>
  <c r="AX195" i="1"/>
  <c r="AN195" i="1" s="1"/>
  <c r="S195" i="1" s="1"/>
  <c r="AX196" i="1"/>
  <c r="AN196" i="1" s="1"/>
  <c r="S196" i="1" s="1"/>
  <c r="AX197" i="1"/>
  <c r="AN197" i="1" s="1"/>
  <c r="S197" i="1" s="1"/>
  <c r="AX5" i="1"/>
  <c r="AN5" i="1" s="1"/>
  <c r="S5" i="1" s="1"/>
  <c r="AX108" i="1"/>
  <c r="AN108" i="1" s="1"/>
  <c r="S108" i="1" s="1"/>
  <c r="AX97" i="1"/>
  <c r="AN97" i="1" s="1"/>
  <c r="S97" i="1" s="1"/>
  <c r="AX190" i="1"/>
  <c r="AN190" i="1" s="1"/>
  <c r="S190" i="1" s="1"/>
  <c r="AX29" i="1"/>
  <c r="AN29" i="1" s="1"/>
  <c r="S29" i="1" s="1"/>
  <c r="AX28" i="1"/>
  <c r="AN28" i="1" s="1"/>
  <c r="S28" i="1" s="1"/>
  <c r="AX150" i="1"/>
  <c r="AN150" i="1" s="1"/>
  <c r="S150" i="1" s="1"/>
  <c r="AX151" i="1"/>
  <c r="AN151" i="1" s="1"/>
  <c r="S151" i="1" s="1"/>
  <c r="AX158" i="1"/>
  <c r="AN158" i="1" s="1"/>
  <c r="S158" i="1" s="1"/>
  <c r="AX209" i="1"/>
  <c r="AN209" i="1" s="1"/>
  <c r="S209" i="1" s="1"/>
  <c r="AX210" i="1"/>
  <c r="AN210" i="1" s="1"/>
  <c r="S210" i="1" s="1"/>
  <c r="AX211" i="1"/>
  <c r="AN211" i="1" s="1"/>
  <c r="S211" i="1" s="1"/>
  <c r="AX242" i="1"/>
  <c r="AN242" i="1" s="1"/>
  <c r="S242" i="1" s="1"/>
  <c r="AX243" i="1"/>
  <c r="AN243" i="1" s="1"/>
  <c r="S243" i="1" s="1"/>
  <c r="AX336" i="1"/>
  <c r="AN336" i="1" s="1"/>
  <c r="S336" i="1" s="1"/>
  <c r="AX337" i="1"/>
  <c r="AN337" i="1" s="1"/>
  <c r="S337" i="1" s="1"/>
  <c r="AX344" i="1"/>
  <c r="AN344" i="1" s="1"/>
  <c r="S344" i="1" s="1"/>
  <c r="AX186" i="1"/>
  <c r="AN186" i="1" s="1"/>
  <c r="S186" i="1" s="1"/>
  <c r="AX47" i="1"/>
  <c r="AN47" i="1" s="1"/>
  <c r="S47" i="1" s="1"/>
  <c r="AX48" i="1"/>
  <c r="AN48" i="1" s="1"/>
  <c r="S48" i="1" s="1"/>
  <c r="AX49" i="1"/>
  <c r="AN49" i="1" s="1"/>
  <c r="S49" i="1" s="1"/>
  <c r="AX65" i="1"/>
  <c r="AN65" i="1" s="1"/>
  <c r="S65" i="1" s="1"/>
  <c r="AX208" i="1"/>
  <c r="AN208" i="1" s="1"/>
  <c r="S208" i="1" s="1"/>
  <c r="AX122" i="1"/>
  <c r="AN122" i="1" s="1"/>
  <c r="S122" i="1" s="1"/>
  <c r="AX285" i="1"/>
  <c r="AN285" i="1" s="1"/>
  <c r="S285" i="1" s="1"/>
  <c r="AX399" i="1"/>
  <c r="AN399" i="1" s="1"/>
  <c r="S399" i="1" s="1"/>
  <c r="AX400" i="1"/>
  <c r="AN400" i="1" s="1"/>
  <c r="S400" i="1" s="1"/>
  <c r="AX187" i="1"/>
  <c r="AN187" i="1" s="1"/>
  <c r="S187" i="1" s="1"/>
  <c r="AX188" i="1"/>
  <c r="AN188" i="1" s="1"/>
  <c r="S188" i="1" s="1"/>
  <c r="AX401" i="1"/>
  <c r="AN401" i="1" s="1"/>
  <c r="S401" i="1" s="1"/>
  <c r="AX403" i="1"/>
  <c r="AN403" i="1" s="1"/>
  <c r="S403" i="1" s="1"/>
  <c r="AX141" i="1"/>
  <c r="AN141" i="1" s="1"/>
  <c r="S141" i="1" s="1"/>
  <c r="AX142" i="1"/>
  <c r="AN142" i="1" s="1"/>
  <c r="S142" i="1" s="1"/>
  <c r="AX278" i="1"/>
  <c r="AN278" i="1" s="1"/>
  <c r="S278" i="1" s="1"/>
  <c r="AX204" i="1"/>
  <c r="AN204" i="1" s="1"/>
  <c r="S204" i="1" s="1"/>
  <c r="AX405" i="1"/>
  <c r="AN405" i="1" s="1"/>
  <c r="S405" i="1" s="1"/>
  <c r="AX144" i="1"/>
  <c r="AN144" i="1" s="1"/>
  <c r="S144" i="1" s="1"/>
  <c r="AX145" i="1"/>
  <c r="AN145" i="1" s="1"/>
  <c r="S145" i="1" s="1"/>
  <c r="AX133" i="1"/>
  <c r="AN133" i="1" s="1"/>
  <c r="S133" i="1" s="1"/>
  <c r="AX251" i="1"/>
  <c r="AN251" i="1" s="1"/>
  <c r="S251" i="1" s="1"/>
  <c r="AX213" i="1"/>
  <c r="AN213" i="1" s="1"/>
  <c r="S213" i="1" s="1"/>
  <c r="AX258" i="1"/>
  <c r="AN258" i="1" s="1"/>
  <c r="S258" i="1" s="1"/>
  <c r="AX259" i="1"/>
  <c r="AN259" i="1" s="1"/>
  <c r="S259" i="1" s="1"/>
  <c r="AX148" i="1"/>
  <c r="AN148" i="1" s="1"/>
  <c r="S148" i="1" s="1"/>
  <c r="AX149" i="1"/>
  <c r="AN149" i="1" s="1"/>
  <c r="S149" i="1" s="1"/>
  <c r="AX13" i="1"/>
  <c r="AN13" i="1" s="1"/>
  <c r="S13" i="1" s="1"/>
  <c r="AX14" i="1"/>
  <c r="AN14" i="1" s="1"/>
  <c r="S14" i="1" s="1"/>
  <c r="AX66" i="1"/>
  <c r="AN66" i="1" s="1"/>
  <c r="S66" i="1" s="1"/>
  <c r="AX67" i="1"/>
  <c r="AN67" i="1" s="1"/>
  <c r="S67" i="1" s="1"/>
  <c r="AX324" i="1"/>
  <c r="AN324" i="1" s="1"/>
  <c r="S324" i="1" s="1"/>
  <c r="AX234" i="1"/>
  <c r="AN234" i="1" s="1"/>
  <c r="S234" i="1" s="1"/>
  <c r="AX54" i="1"/>
  <c r="AN54" i="1" s="1"/>
  <c r="S54" i="1" s="1"/>
  <c r="AX55" i="1"/>
  <c r="AN55" i="1" s="1"/>
  <c r="S55" i="1" s="1"/>
  <c r="AX105" i="1"/>
  <c r="AN105" i="1" s="1"/>
  <c r="S105" i="1" s="1"/>
  <c r="AX106" i="1"/>
  <c r="AN106" i="1" s="1"/>
  <c r="S106" i="1" s="1"/>
  <c r="AX282" i="1"/>
  <c r="AN282" i="1" s="1"/>
  <c r="S282" i="1" s="1"/>
  <c r="AX240" i="1"/>
  <c r="AN240" i="1" s="1"/>
  <c r="S240" i="1" s="1"/>
  <c r="AX241" i="1"/>
  <c r="AN241" i="1" s="1"/>
  <c r="S241" i="1" s="1"/>
  <c r="AX205" i="1"/>
  <c r="AN205" i="1" s="1"/>
  <c r="S205" i="1" s="1"/>
  <c r="AX101" i="1"/>
  <c r="AN101" i="1" s="1"/>
  <c r="S101" i="1" s="1"/>
  <c r="AX292" i="1"/>
  <c r="AN292" i="1" s="1"/>
  <c r="S292" i="1" s="1"/>
  <c r="AX328" i="1"/>
  <c r="AN328" i="1" s="1"/>
  <c r="S328" i="1" s="1"/>
  <c r="AX128" i="1"/>
  <c r="AN128" i="1" s="1"/>
  <c r="S128" i="1" s="1"/>
  <c r="AX129" i="1"/>
  <c r="AN129" i="1" s="1"/>
  <c r="S129" i="1" s="1"/>
  <c r="AX194" i="1"/>
  <c r="AN194" i="1" s="1"/>
  <c r="S194" i="1" s="1"/>
  <c r="AX226" i="1"/>
  <c r="AN226" i="1" s="1"/>
  <c r="S226" i="1" s="1"/>
  <c r="AX107" i="1"/>
  <c r="AN107" i="1" s="1"/>
  <c r="S107" i="1" s="1"/>
  <c r="AX96" i="1"/>
  <c r="AN96" i="1" s="1"/>
  <c r="S96" i="1" s="1"/>
  <c r="AX61" i="1"/>
  <c r="AN61" i="1" s="1"/>
  <c r="S61" i="1" s="1"/>
  <c r="AX52" i="1"/>
  <c r="AN52" i="1" s="1"/>
  <c r="S52" i="1" s="1"/>
  <c r="AX247" i="1"/>
  <c r="AN247" i="1" s="1"/>
  <c r="S247" i="1" s="1"/>
  <c r="AX248" i="1"/>
  <c r="AN248" i="1" s="1"/>
  <c r="S248" i="1" s="1"/>
  <c r="AX111" i="1"/>
  <c r="AN111" i="1" s="1"/>
  <c r="S111" i="1" s="1"/>
  <c r="AX10" i="1"/>
  <c r="AN10" i="1" s="1"/>
  <c r="S10" i="1" s="1"/>
  <c r="AX9" i="1"/>
  <c r="AN9" i="1" s="1"/>
  <c r="S9" i="1" s="1"/>
  <c r="AV116" i="1" l="1"/>
  <c r="AW116" i="1" s="1"/>
  <c r="AP116" i="1"/>
  <c r="AO116" i="1"/>
  <c r="AT116" i="1"/>
  <c r="AU116" i="1" s="1"/>
  <c r="AV473" i="1"/>
  <c r="AW473" i="1" s="1"/>
  <c r="AO473" i="1"/>
  <c r="AT473" i="1"/>
  <c r="AU473" i="1" s="1"/>
  <c r="AV519" i="1"/>
  <c r="AW519" i="1" s="1"/>
  <c r="AP519" i="1"/>
  <c r="AO519" i="1"/>
  <c r="AT519" i="1"/>
  <c r="AU519" i="1" s="1"/>
  <c r="AV173" i="1"/>
  <c r="AW173" i="1" s="1"/>
  <c r="AP173" i="1"/>
  <c r="AO173" i="1"/>
  <c r="AT173" i="1"/>
  <c r="AU173" i="1" s="1"/>
  <c r="AV98" i="1"/>
  <c r="AW98" i="1" s="1"/>
  <c r="AP98" i="1"/>
  <c r="AO98" i="1"/>
  <c r="AT98" i="1"/>
  <c r="AU98" i="1" s="1"/>
  <c r="AV87" i="1"/>
  <c r="AW87" i="1" s="1"/>
  <c r="AO87" i="1"/>
  <c r="AP87" i="1"/>
  <c r="AT87" i="1"/>
  <c r="AU87" i="1" s="1"/>
  <c r="AV462" i="1"/>
  <c r="AW462" i="1" s="1"/>
  <c r="AO462" i="1"/>
  <c r="AT462" i="1"/>
  <c r="AU462" i="1" s="1"/>
  <c r="AV309" i="1"/>
  <c r="AW309" i="1" s="1"/>
  <c r="AP309" i="1"/>
  <c r="AO309" i="1"/>
  <c r="AT309" i="1"/>
  <c r="AU309" i="1" s="1"/>
  <c r="AV165" i="1"/>
  <c r="AW165" i="1" s="1"/>
  <c r="AP165" i="1"/>
  <c r="AO165" i="1"/>
  <c r="AT165" i="1"/>
  <c r="AU165" i="1" s="1"/>
  <c r="AV86" i="1"/>
  <c r="AW86" i="1" s="1"/>
  <c r="AO86" i="1"/>
  <c r="AP86" i="1"/>
  <c r="AT86" i="1"/>
  <c r="AU86" i="1" s="1"/>
  <c r="AV465" i="1"/>
  <c r="AW465" i="1" s="1"/>
  <c r="AO465" i="1"/>
  <c r="AT465" i="1"/>
  <c r="AU465" i="1" s="1"/>
  <c r="AV370" i="1"/>
  <c r="AW370" i="1" s="1"/>
  <c r="AO370" i="1"/>
  <c r="AT370" i="1"/>
  <c r="AU370" i="1" s="1"/>
  <c r="AV391" i="1"/>
  <c r="AW391" i="1" s="1"/>
  <c r="AO391" i="1"/>
  <c r="AT391" i="1"/>
  <c r="AU391" i="1" s="1"/>
  <c r="AV123" i="1"/>
  <c r="AW123" i="1" s="1"/>
  <c r="AP123" i="1"/>
  <c r="AO123" i="1"/>
  <c r="AT123" i="1"/>
  <c r="AU123" i="1" s="1"/>
  <c r="AV432" i="1"/>
  <c r="AW432" i="1" s="1"/>
  <c r="AO432" i="1"/>
  <c r="AT432" i="1"/>
  <c r="AU432" i="1" s="1"/>
  <c r="AV371" i="1"/>
  <c r="AW371" i="1" s="1"/>
  <c r="AO371" i="1"/>
  <c r="AT371" i="1"/>
  <c r="AU371" i="1" s="1"/>
  <c r="AV140" i="1"/>
  <c r="AW140" i="1" s="1"/>
  <c r="AO140" i="1"/>
  <c r="AP140" i="1"/>
  <c r="AT140" i="1"/>
  <c r="AU140" i="1" s="1"/>
  <c r="AV472" i="1"/>
  <c r="AW472" i="1" s="1"/>
  <c r="AT472" i="1"/>
  <c r="AU472" i="1" s="1"/>
  <c r="AO472" i="1"/>
  <c r="AV354" i="1"/>
  <c r="AW354" i="1" s="1"/>
  <c r="AO354" i="1"/>
  <c r="AT354" i="1"/>
  <c r="AU354" i="1" s="1"/>
  <c r="AV518" i="1"/>
  <c r="AW518" i="1" s="1"/>
  <c r="AP518" i="1"/>
  <c r="AO518" i="1"/>
  <c r="AT518" i="1"/>
  <c r="AU518" i="1" s="1"/>
  <c r="AV431" i="1"/>
  <c r="AW431" i="1" s="1"/>
  <c r="AO431" i="1"/>
  <c r="AT431" i="1"/>
  <c r="AU431" i="1" s="1"/>
  <c r="AV157" i="1"/>
  <c r="AW157" i="1" s="1"/>
  <c r="AO157" i="1"/>
  <c r="AP157" i="1"/>
  <c r="AT157" i="1"/>
  <c r="AU157" i="1" s="1"/>
  <c r="AV341" i="1"/>
  <c r="AW341" i="1" s="1"/>
  <c r="AO341" i="1"/>
  <c r="AP341" i="1"/>
  <c r="AT341" i="1"/>
  <c r="AU341" i="1" s="1"/>
  <c r="AV464" i="1"/>
  <c r="AW464" i="1" s="1"/>
  <c r="AO464" i="1"/>
  <c r="AT464" i="1"/>
  <c r="AU464" i="1" s="1"/>
  <c r="AV355" i="1"/>
  <c r="AW355" i="1" s="1"/>
  <c r="AO355" i="1"/>
  <c r="AT355" i="1"/>
  <c r="AU355" i="1" s="1"/>
  <c r="AV392" i="1"/>
  <c r="AW392" i="1" s="1"/>
  <c r="AO392" i="1"/>
  <c r="AT392" i="1"/>
  <c r="AU392" i="1" s="1"/>
  <c r="AV115" i="1"/>
  <c r="AW115" i="1" s="1"/>
  <c r="AT115" i="1"/>
  <c r="AU115" i="1" s="1"/>
  <c r="AP115" i="1"/>
  <c r="AO115" i="1"/>
  <c r="AV85" i="1"/>
  <c r="AW85" i="1" s="1"/>
  <c r="AO85" i="1"/>
  <c r="AP85" i="1"/>
  <c r="AT85" i="1"/>
  <c r="AU85" i="1" s="1"/>
  <c r="AV246" i="1"/>
  <c r="AW246" i="1" s="1"/>
  <c r="AO246" i="1"/>
  <c r="AP246" i="1"/>
  <c r="AT246" i="1"/>
  <c r="AU246" i="1" s="1"/>
  <c r="AV88" i="1"/>
  <c r="AW88" i="1" s="1"/>
  <c r="AP88" i="1"/>
  <c r="AO88" i="1"/>
  <c r="AT88" i="1"/>
  <c r="AU88" i="1" s="1"/>
  <c r="AV41" i="1"/>
  <c r="AW41" i="1" s="1"/>
  <c r="AP41" i="1"/>
  <c r="AO41" i="1"/>
  <c r="AT41" i="1"/>
  <c r="AU41" i="1" s="1"/>
  <c r="AV358" i="1"/>
  <c r="AW358" i="1" s="1"/>
  <c r="AO358" i="1"/>
  <c r="AT358" i="1"/>
  <c r="AU358" i="1" s="1"/>
  <c r="AV461" i="1"/>
  <c r="AW461" i="1" s="1"/>
  <c r="AO461" i="1"/>
  <c r="AT461" i="1"/>
  <c r="AU461" i="1" s="1"/>
  <c r="AV237" i="1"/>
  <c r="AW237" i="1" s="1"/>
  <c r="AO237" i="1"/>
  <c r="AP237" i="1"/>
  <c r="AT237" i="1"/>
  <c r="AU237" i="1" s="1"/>
  <c r="AV92" i="1"/>
  <c r="AW92" i="1" s="1"/>
  <c r="AP92" i="1"/>
  <c r="AO92" i="1"/>
  <c r="AT92" i="1"/>
  <c r="AU92" i="1" s="1"/>
  <c r="AV413" i="1"/>
  <c r="AW413" i="1" s="1"/>
  <c r="AO413" i="1"/>
  <c r="AT413" i="1"/>
  <c r="AU413" i="1" s="1"/>
  <c r="AV440" i="1"/>
  <c r="AW440" i="1" s="1"/>
  <c r="AO440" i="1"/>
  <c r="AT440" i="1"/>
  <c r="AU440" i="1" s="1"/>
  <c r="AV119" i="1"/>
  <c r="AW119" i="1" s="1"/>
  <c r="AO119" i="1"/>
  <c r="AP119" i="1"/>
  <c r="AT119" i="1"/>
  <c r="AU119" i="1" s="1"/>
  <c r="AV172" i="1"/>
  <c r="AW172" i="1" s="1"/>
  <c r="AO172" i="1"/>
  <c r="AP172" i="1"/>
  <c r="AT172" i="1"/>
  <c r="AU172" i="1" s="1"/>
  <c r="AV201" i="1"/>
  <c r="AW201" i="1" s="1"/>
  <c r="AO201" i="1"/>
  <c r="AP201" i="1"/>
  <c r="AT201" i="1"/>
  <c r="AU201" i="1" s="1"/>
  <c r="AV441" i="1"/>
  <c r="AW441" i="1" s="1"/>
  <c r="AO441" i="1"/>
  <c r="AT441" i="1"/>
  <c r="AU441" i="1" s="1"/>
  <c r="AV147" i="1"/>
  <c r="AW147" i="1" s="1"/>
  <c r="AO147" i="1"/>
  <c r="AP147" i="1"/>
  <c r="AT147" i="1"/>
  <c r="AU147" i="1" s="1"/>
  <c r="AV483" i="1"/>
  <c r="AW483" i="1" s="1"/>
  <c r="AO483" i="1"/>
  <c r="AT483" i="1"/>
  <c r="AU483" i="1" s="1"/>
  <c r="AV252" i="1"/>
  <c r="AW252" i="1" s="1"/>
  <c r="AP252" i="1"/>
  <c r="AO252" i="1"/>
  <c r="AT252" i="1"/>
  <c r="AU252" i="1" s="1"/>
  <c r="AV442" i="1"/>
  <c r="AW442" i="1" s="1"/>
  <c r="AT442" i="1"/>
  <c r="AU442" i="1" s="1"/>
  <c r="AO442" i="1"/>
  <c r="AV203" i="1"/>
  <c r="AW203" i="1" s="1"/>
  <c r="AP203" i="1"/>
  <c r="AO203" i="1"/>
  <c r="AT203" i="1"/>
  <c r="AU203" i="1" s="1"/>
  <c r="AV222" i="1"/>
  <c r="AW222" i="1" s="1"/>
  <c r="AO222" i="1"/>
  <c r="AP222" i="1"/>
  <c r="AT222" i="1"/>
  <c r="AU222" i="1" s="1"/>
  <c r="AV77" i="1"/>
  <c r="AW77" i="1" s="1"/>
  <c r="AP77" i="1"/>
  <c r="AO77" i="1"/>
  <c r="AT77" i="1"/>
  <c r="AU77" i="1" s="1"/>
  <c r="AV90" i="1"/>
  <c r="AW90" i="1" s="1"/>
  <c r="AP90" i="1"/>
  <c r="AO90" i="1"/>
  <c r="AT90" i="1"/>
  <c r="AU90" i="1" s="1"/>
  <c r="AV36" i="1"/>
  <c r="AW36" i="1" s="1"/>
  <c r="AP36" i="1"/>
  <c r="AO36" i="1"/>
  <c r="AT36" i="1"/>
  <c r="AU36" i="1" s="1"/>
  <c r="AV439" i="1"/>
  <c r="AW439" i="1" s="1"/>
  <c r="AO439" i="1"/>
  <c r="AT439" i="1"/>
  <c r="AU439" i="1" s="1"/>
  <c r="AV349" i="1"/>
  <c r="AW349" i="1" s="1"/>
  <c r="AO349" i="1"/>
  <c r="AP349" i="1"/>
  <c r="AT349" i="1"/>
  <c r="AU349" i="1" s="1"/>
  <c r="AV512" i="1"/>
  <c r="AW512" i="1" s="1"/>
  <c r="AO512" i="1"/>
  <c r="AT512" i="1"/>
  <c r="AU512" i="1" s="1"/>
  <c r="AV178" i="1"/>
  <c r="AW178" i="1" s="1"/>
  <c r="AO178" i="1"/>
  <c r="AP178" i="1"/>
  <c r="AT178" i="1"/>
  <c r="AU178" i="1" s="1"/>
  <c r="AV166" i="1"/>
  <c r="AW166" i="1" s="1"/>
  <c r="AO166" i="1"/>
  <c r="AP166" i="1"/>
  <c r="AT166" i="1"/>
  <c r="AU166" i="1" s="1"/>
  <c r="AV154" i="1"/>
  <c r="AW154" i="1" s="1"/>
  <c r="AO154" i="1"/>
  <c r="AP154" i="1"/>
  <c r="AT154" i="1"/>
  <c r="AU154" i="1" s="1"/>
  <c r="AV444" i="1"/>
  <c r="AW444" i="1" s="1"/>
  <c r="AO444" i="1"/>
  <c r="AT444" i="1"/>
  <c r="AU444" i="1" s="1"/>
  <c r="AV64" i="1"/>
  <c r="AW64" i="1" s="1"/>
  <c r="AO64" i="1"/>
  <c r="AP64" i="1"/>
  <c r="AT64" i="1"/>
  <c r="AU64" i="1" s="1"/>
  <c r="AV429" i="1"/>
  <c r="AW429" i="1" s="1"/>
  <c r="AO429" i="1"/>
  <c r="AT429" i="1"/>
  <c r="AU429" i="1" s="1"/>
  <c r="AV177" i="1"/>
  <c r="AW177" i="1" s="1"/>
  <c r="AP177" i="1"/>
  <c r="AO177" i="1"/>
  <c r="AT177" i="1"/>
  <c r="AU177" i="1" s="1"/>
  <c r="AV167" i="1"/>
  <c r="AW167" i="1" s="1"/>
  <c r="AP167" i="1"/>
  <c r="AO167" i="1"/>
  <c r="AT167" i="1"/>
  <c r="AU167" i="1" s="1"/>
  <c r="AV58" i="1"/>
  <c r="AW58" i="1" s="1"/>
  <c r="AO58" i="1"/>
  <c r="AP58" i="1"/>
  <c r="AT58" i="1"/>
  <c r="AU58" i="1" s="1"/>
  <c r="AV443" i="1"/>
  <c r="AW443" i="1" s="1"/>
  <c r="AO443" i="1"/>
  <c r="AT443" i="1"/>
  <c r="AU443" i="1" s="1"/>
  <c r="AV114" i="1"/>
  <c r="AW114" i="1" s="1"/>
  <c r="AP114" i="1"/>
  <c r="AO114" i="1"/>
  <c r="AT114" i="1"/>
  <c r="AU114" i="1" s="1"/>
  <c r="AV416" i="1"/>
  <c r="AW416" i="1" s="1"/>
  <c r="AT416" i="1"/>
  <c r="AU416" i="1" s="1"/>
  <c r="AO416" i="1"/>
  <c r="AV131" i="1"/>
  <c r="AW131" i="1" s="1"/>
  <c r="AO131" i="1"/>
  <c r="AP131" i="1"/>
  <c r="AT131" i="1"/>
  <c r="AU131" i="1" s="1"/>
  <c r="AV3" i="1"/>
  <c r="AW3" i="1" s="1"/>
  <c r="AO3" i="1"/>
  <c r="AP3" i="1"/>
  <c r="AT3" i="1"/>
  <c r="AU3" i="1" s="1"/>
  <c r="AV313" i="1"/>
  <c r="AW313" i="1" s="1"/>
  <c r="AO313" i="1"/>
  <c r="AP313" i="1"/>
  <c r="AT313" i="1"/>
  <c r="AU313" i="1" s="1"/>
  <c r="AV181" i="1"/>
  <c r="AW181" i="1" s="1"/>
  <c r="AP181" i="1"/>
  <c r="AO181" i="1"/>
  <c r="AT181" i="1"/>
  <c r="AU181" i="1" s="1"/>
  <c r="AV42" i="1"/>
  <c r="AW42" i="1" s="1"/>
  <c r="AO42" i="1"/>
  <c r="AP42" i="1"/>
  <c r="AT42" i="1"/>
  <c r="AU42" i="1" s="1"/>
  <c r="AV300" i="1"/>
  <c r="AW300" i="1" s="1"/>
  <c r="AO300" i="1"/>
  <c r="AP300" i="1"/>
  <c r="AT300" i="1"/>
  <c r="AU300" i="1" s="1"/>
  <c r="AV516" i="1"/>
  <c r="AW516" i="1" s="1"/>
  <c r="AP516" i="1"/>
  <c r="AO516" i="1"/>
  <c r="AT516" i="1"/>
  <c r="AU516" i="1" s="1"/>
  <c r="AV192" i="1"/>
  <c r="AW192" i="1" s="1"/>
  <c r="AO192" i="1"/>
  <c r="AP192" i="1"/>
  <c r="AT192" i="1"/>
  <c r="AU192" i="1" s="1"/>
  <c r="AV121" i="1"/>
  <c r="AW121" i="1" s="1"/>
  <c r="AP121" i="1"/>
  <c r="AO121" i="1"/>
  <c r="AT121" i="1"/>
  <c r="AU121" i="1" s="1"/>
  <c r="AV238" i="1"/>
  <c r="AW238" i="1" s="1"/>
  <c r="AP238" i="1"/>
  <c r="AO238" i="1"/>
  <c r="AT238" i="1"/>
  <c r="AU238" i="1" s="1"/>
  <c r="AV428" i="1"/>
  <c r="AW428" i="1" s="1"/>
  <c r="AO428" i="1"/>
  <c r="AT428" i="1"/>
  <c r="AU428" i="1" s="1"/>
  <c r="AV223" i="1"/>
  <c r="AW223" i="1" s="1"/>
  <c r="AO223" i="1"/>
  <c r="AP223" i="1"/>
  <c r="AT223" i="1"/>
  <c r="AU223" i="1" s="1"/>
  <c r="AV30" i="1"/>
  <c r="AW30" i="1" s="1"/>
  <c r="AP30" i="1"/>
  <c r="AO30" i="1"/>
  <c r="AT30" i="1"/>
  <c r="AU30" i="1" s="1"/>
  <c r="AV296" i="1"/>
  <c r="AW296" i="1" s="1"/>
  <c r="AT296" i="1"/>
  <c r="AU296" i="1" s="1"/>
  <c r="AO296" i="1"/>
  <c r="AP296" i="1"/>
  <c r="AV415" i="1"/>
  <c r="AW415" i="1" s="1"/>
  <c r="AO415" i="1"/>
  <c r="AT415" i="1"/>
  <c r="AU415" i="1" s="1"/>
  <c r="AV438" i="1"/>
  <c r="AW438" i="1" s="1"/>
  <c r="AO438" i="1"/>
  <c r="AT438" i="1"/>
  <c r="AU438" i="1" s="1"/>
  <c r="AV395" i="1"/>
  <c r="AW395" i="1" s="1"/>
  <c r="AO395" i="1"/>
  <c r="AT395" i="1"/>
  <c r="AU395" i="1" s="1"/>
  <c r="AV45" i="1"/>
  <c r="AW45" i="1" s="1"/>
  <c r="AO45" i="1"/>
  <c r="AP45" i="1"/>
  <c r="AT45" i="1"/>
  <c r="AU45" i="1" s="1"/>
  <c r="AV21" i="1"/>
  <c r="AW21" i="1" s="1"/>
  <c r="AO21" i="1"/>
  <c r="AP21" i="1"/>
  <c r="AT21" i="1"/>
  <c r="AU21" i="1" s="1"/>
  <c r="AV297" i="1"/>
  <c r="AW297" i="1" s="1"/>
  <c r="AP297" i="1"/>
  <c r="AO297" i="1"/>
  <c r="AT297" i="1"/>
  <c r="AU297" i="1" s="1"/>
  <c r="AV510" i="1"/>
  <c r="AW510" i="1" s="1"/>
  <c r="AO510" i="1"/>
  <c r="AT510" i="1"/>
  <c r="AU510" i="1" s="1"/>
  <c r="AV182" i="1"/>
  <c r="AW182" i="1" s="1"/>
  <c r="AO182" i="1"/>
  <c r="AP182" i="1"/>
  <c r="AT182" i="1"/>
  <c r="AU182" i="1" s="1"/>
  <c r="AV369" i="1"/>
  <c r="AW369" i="1" s="1"/>
  <c r="AO369" i="1"/>
  <c r="AT369" i="1"/>
  <c r="AU369" i="1" s="1"/>
  <c r="AV339" i="1"/>
  <c r="AW339" i="1" s="1"/>
  <c r="AP339" i="1"/>
  <c r="AO339" i="1"/>
  <c r="AT339" i="1"/>
  <c r="AU339" i="1" s="1"/>
  <c r="AV517" i="1"/>
  <c r="AW517" i="1" s="1"/>
  <c r="AP517" i="1"/>
  <c r="AO517" i="1"/>
  <c r="AT517" i="1"/>
  <c r="AU517" i="1" s="1"/>
  <c r="AV153" i="1"/>
  <c r="AW153" i="1" s="1"/>
  <c r="AO153" i="1"/>
  <c r="AP153" i="1"/>
  <c r="AT153" i="1"/>
  <c r="AU153" i="1" s="1"/>
  <c r="AV304" i="1"/>
  <c r="AW304" i="1" s="1"/>
  <c r="AO304" i="1"/>
  <c r="AP304" i="1"/>
  <c r="AT304" i="1"/>
  <c r="AU304" i="1" s="1"/>
  <c r="AV239" i="1"/>
  <c r="AW239" i="1" s="1"/>
  <c r="AO239" i="1"/>
  <c r="AP239" i="1"/>
  <c r="AT239" i="1"/>
  <c r="AU239" i="1" s="1"/>
  <c r="AV485" i="1"/>
  <c r="AW485" i="1" s="1"/>
  <c r="AO485" i="1"/>
  <c r="AT485" i="1"/>
  <c r="AU485" i="1" s="1"/>
  <c r="AV412" i="1"/>
  <c r="AW412" i="1" s="1"/>
  <c r="AO412" i="1"/>
  <c r="AT412" i="1"/>
  <c r="AU412" i="1" s="1"/>
  <c r="AV430" i="1"/>
  <c r="AW430" i="1" s="1"/>
  <c r="AO430" i="1"/>
  <c r="AT430" i="1"/>
  <c r="AU430" i="1" s="1"/>
  <c r="AV484" i="1"/>
  <c r="AW484" i="1" s="1"/>
  <c r="AO484" i="1"/>
  <c r="AT484" i="1"/>
  <c r="AU484" i="1" s="1"/>
  <c r="AV225" i="1"/>
  <c r="AW225" i="1" s="1"/>
  <c r="AO225" i="1"/>
  <c r="AP225" i="1"/>
  <c r="AT225" i="1"/>
  <c r="AU225" i="1" s="1"/>
  <c r="AV396" i="1"/>
  <c r="AW396" i="1" s="1"/>
  <c r="AO396" i="1"/>
  <c r="AT396" i="1"/>
  <c r="AU396" i="1" s="1"/>
  <c r="AV44" i="1"/>
  <c r="AW44" i="1" s="1"/>
  <c r="AO44" i="1"/>
  <c r="AP44" i="1"/>
  <c r="AT44" i="1"/>
  <c r="AU44" i="1" s="1"/>
  <c r="AV299" i="1"/>
  <c r="AW299" i="1" s="1"/>
  <c r="AO299" i="1"/>
  <c r="AP299" i="1"/>
  <c r="AT299" i="1"/>
  <c r="AU299" i="1" s="1"/>
  <c r="AV373" i="1"/>
  <c r="AW373" i="1" s="1"/>
  <c r="AO373" i="1"/>
  <c r="AT373" i="1"/>
  <c r="AU373" i="1" s="1"/>
  <c r="AV89" i="1"/>
  <c r="AW89" i="1" s="1"/>
  <c r="AP89" i="1"/>
  <c r="AO89" i="1"/>
  <c r="AT89" i="1"/>
  <c r="AU89" i="1" s="1"/>
  <c r="AV482" i="1"/>
  <c r="AW482" i="1" s="1"/>
  <c r="AO482" i="1"/>
  <c r="AT482" i="1"/>
  <c r="AU482" i="1" s="1"/>
  <c r="AV476" i="1"/>
  <c r="AW476" i="1" s="1"/>
  <c r="AO476" i="1"/>
  <c r="AT476" i="1"/>
  <c r="AU476" i="1" s="1"/>
  <c r="AV492" i="1"/>
  <c r="AW492" i="1" s="1"/>
  <c r="AO492" i="1"/>
  <c r="AT492" i="1"/>
  <c r="AU492" i="1" s="1"/>
  <c r="AV386" i="1"/>
  <c r="AW386" i="1" s="1"/>
  <c r="AO386" i="1"/>
  <c r="AT386" i="1"/>
  <c r="AU386" i="1" s="1"/>
  <c r="AV200" i="1"/>
  <c r="AW200" i="1" s="1"/>
  <c r="AO200" i="1"/>
  <c r="AP200" i="1"/>
  <c r="AT200" i="1"/>
  <c r="AU200" i="1" s="1"/>
  <c r="AV372" i="1"/>
  <c r="AW372" i="1" s="1"/>
  <c r="AO372" i="1"/>
  <c r="AT372" i="1"/>
  <c r="AU372" i="1" s="1"/>
  <c r="AV2" i="1"/>
  <c r="AW2" i="1" s="1"/>
  <c r="AO2" i="1"/>
  <c r="AP2" i="1"/>
  <c r="AT2" i="1"/>
  <c r="AU2" i="1" s="1"/>
  <c r="AV475" i="1"/>
  <c r="AW475" i="1" s="1"/>
  <c r="AO475" i="1"/>
  <c r="AT475" i="1"/>
  <c r="AU475" i="1" s="1"/>
  <c r="AV491" i="1"/>
  <c r="AW491" i="1" s="1"/>
  <c r="AO491" i="1"/>
  <c r="AT491" i="1"/>
  <c r="AU491" i="1" s="1"/>
  <c r="AV20" i="1"/>
  <c r="AW20" i="1" s="1"/>
  <c r="AP20" i="1"/>
  <c r="AO20" i="1"/>
  <c r="AT20" i="1"/>
  <c r="AU20" i="1" s="1"/>
  <c r="AV338" i="1"/>
  <c r="AW338" i="1" s="1"/>
  <c r="AO338" i="1"/>
  <c r="AP338" i="1"/>
  <c r="AT338" i="1"/>
  <c r="AU338" i="1" s="1"/>
  <c r="AV91" i="1"/>
  <c r="AW91" i="1" s="1"/>
  <c r="AO91" i="1"/>
  <c r="AP91" i="1"/>
  <c r="AT91" i="1"/>
  <c r="AU91" i="1" s="1"/>
  <c r="AV281" i="1"/>
  <c r="AW281" i="1" s="1"/>
  <c r="AO281" i="1"/>
  <c r="AP281" i="1"/>
  <c r="AT281" i="1"/>
  <c r="AU281" i="1" s="1"/>
  <c r="AV487" i="1"/>
  <c r="AW487" i="1" s="1"/>
  <c r="AO487" i="1"/>
  <c r="AT487" i="1"/>
  <c r="AU487" i="1" s="1"/>
  <c r="AV110" i="1"/>
  <c r="AW110" i="1" s="1"/>
  <c r="AP110" i="1"/>
  <c r="AO110" i="1"/>
  <c r="AT110" i="1"/>
  <c r="AU110" i="1" s="1"/>
  <c r="AV511" i="1"/>
  <c r="AW511" i="1" s="1"/>
  <c r="AO511" i="1"/>
  <c r="AT511" i="1"/>
  <c r="AU511" i="1" s="1"/>
  <c r="AV130" i="1"/>
  <c r="AW130" i="1" s="1"/>
  <c r="AO130" i="1"/>
  <c r="AP130" i="1"/>
  <c r="AT130" i="1"/>
  <c r="AU130" i="1" s="1"/>
  <c r="AV68" i="1"/>
  <c r="AW68" i="1" s="1"/>
  <c r="AP68" i="1"/>
  <c r="AO68" i="1"/>
  <c r="AT68" i="1"/>
  <c r="AU68" i="1" s="1"/>
  <c r="AV385" i="1"/>
  <c r="AW385" i="1" s="1"/>
  <c r="AO385" i="1"/>
  <c r="AT385" i="1"/>
  <c r="AU385" i="1" s="1"/>
  <c r="AV486" i="1"/>
  <c r="AW486" i="1" s="1"/>
  <c r="AO486" i="1"/>
  <c r="AT486" i="1"/>
  <c r="AU486" i="1" s="1"/>
  <c r="AV202" i="1"/>
  <c r="AW202" i="1" s="1"/>
  <c r="AO202" i="1"/>
  <c r="AP202" i="1"/>
  <c r="AT202" i="1"/>
  <c r="AU202" i="1" s="1"/>
  <c r="AV417" i="1"/>
  <c r="AW417" i="1" s="1"/>
  <c r="AO417" i="1"/>
  <c r="AT417" i="1"/>
  <c r="AU417" i="1" s="1"/>
  <c r="AV414" i="1"/>
  <c r="AW414" i="1" s="1"/>
  <c r="AO414" i="1"/>
  <c r="AT414" i="1"/>
  <c r="AU414" i="1" s="1"/>
  <c r="AV81" i="1"/>
  <c r="AW81" i="1" s="1"/>
  <c r="AT81" i="1"/>
  <c r="AU81" i="1" s="1"/>
  <c r="AN334" i="1"/>
  <c r="AN332" i="1"/>
  <c r="AN335" i="1"/>
  <c r="AN343" i="1"/>
  <c r="AN330" i="1"/>
  <c r="AP330" i="1" s="1"/>
  <c r="AT342" i="1"/>
  <c r="AU342" i="1" s="1"/>
  <c r="AP342" i="1"/>
  <c r="AV342" i="1"/>
  <c r="AW342" i="1" s="1"/>
  <c r="AO342" i="1"/>
  <c r="AO331" i="1"/>
  <c r="AP331" i="1"/>
  <c r="AT331" i="1"/>
  <c r="AU331" i="1" s="1"/>
  <c r="AV331" i="1"/>
  <c r="AW331" i="1" s="1"/>
  <c r="AV103" i="1"/>
  <c r="AW103" i="1" s="1"/>
  <c r="AP103" i="1"/>
  <c r="AO103" i="1"/>
  <c r="AT103" i="1"/>
  <c r="AU103" i="1" s="1"/>
  <c r="AV104" i="1"/>
  <c r="AW104" i="1" s="1"/>
  <c r="AO104" i="1"/>
  <c r="AP104" i="1"/>
  <c r="AT104" i="1"/>
  <c r="AU104" i="1" s="1"/>
  <c r="AV421" i="1"/>
  <c r="AW421" i="1" s="1"/>
  <c r="AO421" i="1"/>
  <c r="AT421" i="1"/>
  <c r="AU421" i="1" s="1"/>
  <c r="AV498" i="1"/>
  <c r="AW498" i="1" s="1"/>
  <c r="AO498" i="1"/>
  <c r="AT498" i="1"/>
  <c r="AU498" i="1" s="1"/>
  <c r="AV514" i="1"/>
  <c r="AW514" i="1" s="1"/>
  <c r="AO514" i="1"/>
  <c r="AT514" i="1"/>
  <c r="AU514" i="1" s="1"/>
  <c r="AV126" i="1"/>
  <c r="AW126" i="1" s="1"/>
  <c r="AP126" i="1"/>
  <c r="AO126" i="1"/>
  <c r="AT126" i="1"/>
  <c r="AU126" i="1" s="1"/>
  <c r="AV390" i="1"/>
  <c r="AW390" i="1" s="1"/>
  <c r="AO390" i="1"/>
  <c r="AT390" i="1"/>
  <c r="AU390" i="1" s="1"/>
  <c r="AV477" i="1"/>
  <c r="AW477" i="1" s="1"/>
  <c r="AO477" i="1"/>
  <c r="AT477" i="1"/>
  <c r="AU477" i="1" s="1"/>
  <c r="AV214" i="1"/>
  <c r="AW214" i="1" s="1"/>
  <c r="AP214" i="1"/>
  <c r="AO214" i="1"/>
  <c r="AT214" i="1"/>
  <c r="AU214" i="1" s="1"/>
  <c r="AV406" i="1"/>
  <c r="AW406" i="1" s="1"/>
  <c r="AO406" i="1"/>
  <c r="AT406" i="1"/>
  <c r="AU406" i="1" s="1"/>
  <c r="AT33" i="1"/>
  <c r="AU33" i="1" s="1"/>
  <c r="AV33" i="1"/>
  <c r="AW33" i="1" s="1"/>
  <c r="AO33" i="1"/>
  <c r="AP33" i="1"/>
  <c r="AV219" i="1"/>
  <c r="AW219" i="1" s="1"/>
  <c r="AP219" i="1"/>
  <c r="AO219" i="1"/>
  <c r="AT219" i="1"/>
  <c r="AU219" i="1" s="1"/>
  <c r="AV457" i="1"/>
  <c r="AW457" i="1" s="1"/>
  <c r="AO457" i="1"/>
  <c r="AT457" i="1"/>
  <c r="AU457" i="1" s="1"/>
  <c r="AT495" i="1"/>
  <c r="AU495" i="1" s="1"/>
  <c r="AV495" i="1"/>
  <c r="AW495" i="1" s="1"/>
  <c r="AO495" i="1"/>
  <c r="AV502" i="1"/>
  <c r="AW502" i="1" s="1"/>
  <c r="AO502" i="1"/>
  <c r="AT502" i="1"/>
  <c r="AU502" i="1" s="1"/>
  <c r="AV127" i="1"/>
  <c r="AW127" i="1" s="1"/>
  <c r="AO127" i="1"/>
  <c r="AP127" i="1"/>
  <c r="AT127" i="1"/>
  <c r="AU127" i="1" s="1"/>
  <c r="AT497" i="1"/>
  <c r="AU497" i="1" s="1"/>
  <c r="AV497" i="1"/>
  <c r="AW497" i="1" s="1"/>
  <c r="AO497" i="1"/>
  <c r="AV286" i="1"/>
  <c r="AW286" i="1" s="1"/>
  <c r="AP286" i="1"/>
  <c r="AO286" i="1"/>
  <c r="AT286" i="1"/>
  <c r="AU286" i="1" s="1"/>
  <c r="AV397" i="1"/>
  <c r="AW397" i="1" s="1"/>
  <c r="AO397" i="1"/>
  <c r="AT397" i="1"/>
  <c r="AU397" i="1" s="1"/>
  <c r="AV503" i="1"/>
  <c r="AW503" i="1" s="1"/>
  <c r="AO503" i="1"/>
  <c r="AT503" i="1"/>
  <c r="AU503" i="1" s="1"/>
  <c r="AV387" i="1"/>
  <c r="AW387" i="1" s="1"/>
  <c r="AO387" i="1"/>
  <c r="AT387" i="1"/>
  <c r="AU387" i="1" s="1"/>
  <c r="AV220" i="1"/>
  <c r="AW220" i="1" s="1"/>
  <c r="AO220" i="1"/>
  <c r="AP220" i="1"/>
  <c r="AT220" i="1"/>
  <c r="AU220" i="1" s="1"/>
  <c r="AV268" i="1"/>
  <c r="AW268" i="1" s="1"/>
  <c r="AP268" i="1"/>
  <c r="AO268" i="1"/>
  <c r="AT268" i="1"/>
  <c r="AU268" i="1" s="1"/>
  <c r="AV407" i="1"/>
  <c r="AW407" i="1" s="1"/>
  <c r="AO407" i="1"/>
  <c r="AT407" i="1"/>
  <c r="AU407" i="1" s="1"/>
  <c r="AV398" i="1"/>
  <c r="AW398" i="1" s="1"/>
  <c r="AO398" i="1"/>
  <c r="AT398" i="1"/>
  <c r="AU398" i="1" s="1"/>
  <c r="AV267" i="1"/>
  <c r="AW267" i="1" s="1"/>
  <c r="AT267" i="1"/>
  <c r="AU267" i="1" s="1"/>
  <c r="AO267" i="1"/>
  <c r="AP267" i="1"/>
  <c r="AV333" i="1"/>
  <c r="AW333" i="1" s="1"/>
  <c r="AP333" i="1"/>
  <c r="AO333" i="1"/>
  <c r="AT333" i="1"/>
  <c r="AU333" i="1" s="1"/>
  <c r="AV125" i="1"/>
  <c r="AW125" i="1" s="1"/>
  <c r="AO125" i="1"/>
  <c r="AP125" i="1"/>
  <c r="AT125" i="1"/>
  <c r="AU125" i="1" s="1"/>
  <c r="AV496" i="1"/>
  <c r="AW496" i="1" s="1"/>
  <c r="AO496" i="1"/>
  <c r="AT496" i="1"/>
  <c r="AU496" i="1" s="1"/>
  <c r="AV456" i="1"/>
  <c r="AW456" i="1" s="1"/>
  <c r="AT456" i="1"/>
  <c r="AU456" i="1" s="1"/>
  <c r="AO456" i="1"/>
  <c r="AV317" i="1"/>
  <c r="AW317" i="1" s="1"/>
  <c r="AP317" i="1"/>
  <c r="AO317" i="1"/>
  <c r="AT317" i="1"/>
  <c r="AU317" i="1" s="1"/>
  <c r="AV388" i="1"/>
  <c r="AW388" i="1" s="1"/>
  <c r="AO388" i="1"/>
  <c r="AT388" i="1"/>
  <c r="AU388" i="1" s="1"/>
  <c r="AV389" i="1"/>
  <c r="AW389" i="1" s="1"/>
  <c r="AO389" i="1"/>
  <c r="AT389" i="1"/>
  <c r="AU389" i="1" s="1"/>
  <c r="AV420" i="1"/>
  <c r="AW420" i="1" s="1"/>
  <c r="AO420" i="1"/>
  <c r="AT420" i="1"/>
  <c r="AU420" i="1" s="1"/>
  <c r="AV316" i="1"/>
  <c r="AW316" i="1" s="1"/>
  <c r="AP316" i="1"/>
  <c r="AO316" i="1"/>
  <c r="AT316" i="1"/>
  <c r="AU316" i="1" s="1"/>
  <c r="AT513" i="1"/>
  <c r="AU513" i="1" s="1"/>
  <c r="AV513" i="1"/>
  <c r="AW513" i="1" s="1"/>
  <c r="AO513" i="1"/>
  <c r="AV287" i="1"/>
  <c r="AW287" i="1" s="1"/>
  <c r="AO287" i="1"/>
  <c r="AP287" i="1"/>
  <c r="AT287" i="1"/>
  <c r="AU287" i="1" s="1"/>
  <c r="AV40" i="1"/>
  <c r="AW40" i="1" s="1"/>
  <c r="AO40" i="1"/>
  <c r="AP40" i="1"/>
  <c r="AT40" i="1"/>
  <c r="AU40" i="1" s="1"/>
  <c r="AV362" i="1"/>
  <c r="AW362" i="1" s="1"/>
  <c r="AO362" i="1"/>
  <c r="AT362" i="1"/>
  <c r="AU362" i="1" s="1"/>
  <c r="AV24" i="1"/>
  <c r="AW24" i="1" s="1"/>
  <c r="AT24" i="1"/>
  <c r="AU24" i="1" s="1"/>
  <c r="AO24" i="1"/>
  <c r="AP24" i="1"/>
  <c r="AV257" i="1"/>
  <c r="AW257" i="1" s="1"/>
  <c r="AP257" i="1"/>
  <c r="AO257" i="1"/>
  <c r="AT257" i="1"/>
  <c r="AU257" i="1" s="1"/>
  <c r="AV381" i="1"/>
  <c r="AW381" i="1" s="1"/>
  <c r="AT381" i="1"/>
  <c r="AU381" i="1" s="1"/>
  <c r="AO381" i="1"/>
  <c r="AV113" i="1"/>
  <c r="AW113" i="1" s="1"/>
  <c r="AP113" i="1"/>
  <c r="AO113" i="1"/>
  <c r="AT113" i="1"/>
  <c r="AU113" i="1" s="1"/>
  <c r="AV124" i="1"/>
  <c r="AW124" i="1" s="1"/>
  <c r="AP124" i="1"/>
  <c r="AO124" i="1"/>
  <c r="AT124" i="1"/>
  <c r="AU124" i="1" s="1"/>
  <c r="AV11" i="1"/>
  <c r="AW11" i="1" s="1"/>
  <c r="AT11" i="1"/>
  <c r="AU11" i="1" s="1"/>
  <c r="AP11" i="1"/>
  <c r="AO11" i="1"/>
  <c r="AV427" i="1"/>
  <c r="AW427" i="1" s="1"/>
  <c r="AO427" i="1"/>
  <c r="AT427" i="1"/>
  <c r="AU427" i="1" s="1"/>
  <c r="AV365" i="1"/>
  <c r="AW365" i="1" s="1"/>
  <c r="AO365" i="1"/>
  <c r="AT365" i="1"/>
  <c r="AU365" i="1" s="1"/>
  <c r="AV39" i="1"/>
  <c r="AW39" i="1" s="1"/>
  <c r="AP39" i="1"/>
  <c r="AO39" i="1"/>
  <c r="AT39" i="1"/>
  <c r="AU39" i="1" s="1"/>
  <c r="AV382" i="1"/>
  <c r="AW382" i="1" s="1"/>
  <c r="AO382" i="1"/>
  <c r="AT382" i="1"/>
  <c r="AU382" i="1" s="1"/>
  <c r="AV353" i="1"/>
  <c r="AW353" i="1" s="1"/>
  <c r="AO353" i="1"/>
  <c r="AT353" i="1"/>
  <c r="AU353" i="1" s="1"/>
  <c r="AV22" i="1"/>
  <c r="AW22" i="1" s="1"/>
  <c r="AP22" i="1"/>
  <c r="AO22" i="1"/>
  <c r="AT22" i="1"/>
  <c r="AU22" i="1" s="1"/>
  <c r="AV451" i="1"/>
  <c r="AW451" i="1" s="1"/>
  <c r="AO451" i="1"/>
  <c r="AT451" i="1"/>
  <c r="AU451" i="1" s="1"/>
  <c r="AV361" i="1"/>
  <c r="AW361" i="1" s="1"/>
  <c r="AT361" i="1"/>
  <c r="AU361" i="1" s="1"/>
  <c r="AO361" i="1"/>
  <c r="AV249" i="1"/>
  <c r="AW249" i="1" s="1"/>
  <c r="AP249" i="1"/>
  <c r="AO249" i="1"/>
  <c r="AT249" i="1"/>
  <c r="AU249" i="1" s="1"/>
  <c r="AV137" i="1"/>
  <c r="AW137" i="1" s="1"/>
  <c r="AO137" i="1"/>
  <c r="AP137" i="1"/>
  <c r="AT137" i="1"/>
  <c r="AU137" i="1" s="1"/>
  <c r="AV450" i="1"/>
  <c r="AW450" i="1" s="1"/>
  <c r="AO450" i="1"/>
  <c r="AT450" i="1"/>
  <c r="AU450" i="1" s="1"/>
  <c r="AV280" i="1"/>
  <c r="AW280" i="1" s="1"/>
  <c r="AP280" i="1"/>
  <c r="AO280" i="1"/>
  <c r="AT280" i="1"/>
  <c r="AU280" i="1" s="1"/>
  <c r="AV366" i="1"/>
  <c r="AW366" i="1" s="1"/>
  <c r="AO366" i="1"/>
  <c r="AT366" i="1"/>
  <c r="AU366" i="1" s="1"/>
  <c r="AV70" i="1"/>
  <c r="AW70" i="1" s="1"/>
  <c r="AO70" i="1"/>
  <c r="AP70" i="1"/>
  <c r="AT70" i="1"/>
  <c r="AU70" i="1" s="1"/>
  <c r="AV425" i="1"/>
  <c r="AW425" i="1" s="1"/>
  <c r="AO425" i="1"/>
  <c r="AT425" i="1"/>
  <c r="AU425" i="1" s="1"/>
  <c r="AV221" i="1"/>
  <c r="AW221" i="1" s="1"/>
  <c r="AO221" i="1"/>
  <c r="AP221" i="1"/>
  <c r="AT221" i="1"/>
  <c r="AU221" i="1" s="1"/>
  <c r="AV478" i="1"/>
  <c r="AW478" i="1" s="1"/>
  <c r="AO478" i="1"/>
  <c r="AT478" i="1"/>
  <c r="AU478" i="1" s="1"/>
  <c r="AV294" i="1"/>
  <c r="AW294" i="1" s="1"/>
  <c r="AP294" i="1"/>
  <c r="AO294" i="1"/>
  <c r="AT294" i="1"/>
  <c r="AU294" i="1" s="1"/>
  <c r="AV26" i="1"/>
  <c r="AW26" i="1" s="1"/>
  <c r="AP26" i="1"/>
  <c r="AO26" i="1"/>
  <c r="AT26" i="1"/>
  <c r="AU26" i="1" s="1"/>
  <c r="AV23" i="1"/>
  <c r="AW23" i="1" s="1"/>
  <c r="AP23" i="1"/>
  <c r="AO23" i="1"/>
  <c r="AT23" i="1"/>
  <c r="AU23" i="1" s="1"/>
  <c r="AV426" i="1"/>
  <c r="AW426" i="1" s="1"/>
  <c r="AO426" i="1"/>
  <c r="AT426" i="1"/>
  <c r="AU426" i="1" s="1"/>
  <c r="AV69" i="1"/>
  <c r="AW69" i="1" s="1"/>
  <c r="AP69" i="1"/>
  <c r="AO69" i="1"/>
  <c r="AT69" i="1"/>
  <c r="AU69" i="1" s="1"/>
  <c r="AV356" i="1"/>
  <c r="AW356" i="1" s="1"/>
  <c r="AO356" i="1"/>
  <c r="AT356" i="1"/>
  <c r="AU356" i="1" s="1"/>
  <c r="AV301" i="1"/>
  <c r="AW301" i="1" s="1"/>
  <c r="AO301" i="1"/>
  <c r="AP301" i="1"/>
  <c r="AT301" i="1"/>
  <c r="AU301" i="1" s="1"/>
  <c r="AV509" i="1"/>
  <c r="AW509" i="1" s="1"/>
  <c r="AO509" i="1"/>
  <c r="AT509" i="1"/>
  <c r="AU509" i="1" s="1"/>
  <c r="AV18" i="1"/>
  <c r="AW18" i="1" s="1"/>
  <c r="AP18" i="1"/>
  <c r="AO18" i="1"/>
  <c r="AT18" i="1"/>
  <c r="AU18" i="1" s="1"/>
  <c r="AV143" i="1"/>
  <c r="AW143" i="1" s="1"/>
  <c r="AP143" i="1"/>
  <c r="AO143" i="1"/>
  <c r="AT143" i="1"/>
  <c r="AU143" i="1" s="1"/>
  <c r="AV253" i="1"/>
  <c r="AW253" i="1" s="1"/>
  <c r="AP253" i="1"/>
  <c r="AO253" i="1"/>
  <c r="AT253" i="1"/>
  <c r="AU253" i="1" s="1"/>
  <c r="AV308" i="1"/>
  <c r="AW308" i="1" s="1"/>
  <c r="AO308" i="1"/>
  <c r="AP308" i="1"/>
  <c r="AT308" i="1"/>
  <c r="AU308" i="1" s="1"/>
  <c r="AV16" i="1"/>
  <c r="AW16" i="1" s="1"/>
  <c r="AO16" i="1"/>
  <c r="AP16" i="1"/>
  <c r="AT16" i="1"/>
  <c r="AU16" i="1" s="1"/>
  <c r="AV424" i="1"/>
  <c r="AW424" i="1" s="1"/>
  <c r="AO424" i="1"/>
  <c r="AT424" i="1"/>
  <c r="AU424" i="1" s="1"/>
  <c r="AV19" i="1"/>
  <c r="AW19" i="1" s="1"/>
  <c r="AP19" i="1"/>
  <c r="AO19" i="1"/>
  <c r="AT19" i="1"/>
  <c r="AU19" i="1" s="1"/>
  <c r="AV7" i="1"/>
  <c r="AW7" i="1" s="1"/>
  <c r="AO7" i="1"/>
  <c r="AP7" i="1"/>
  <c r="AT7" i="1"/>
  <c r="AU7" i="1" s="1"/>
  <c r="AV298" i="1"/>
  <c r="AW298" i="1" s="1"/>
  <c r="AP298" i="1"/>
  <c r="AO298" i="1"/>
  <c r="AT298" i="1"/>
  <c r="AU298" i="1" s="1"/>
  <c r="AV185" i="1"/>
  <c r="AW185" i="1" s="1"/>
  <c r="AP185" i="1"/>
  <c r="AO185" i="1"/>
  <c r="AT185" i="1"/>
  <c r="AU185" i="1" s="1"/>
  <c r="AV12" i="1"/>
  <c r="AW12" i="1" s="1"/>
  <c r="AP12" i="1"/>
  <c r="AO12" i="1"/>
  <c r="AT12" i="1"/>
  <c r="AU12" i="1" s="1"/>
  <c r="AV6" i="1"/>
  <c r="AW6" i="1" s="1"/>
  <c r="AO6" i="1"/>
  <c r="AP6" i="1"/>
  <c r="AT6" i="1"/>
  <c r="AU6" i="1" s="1"/>
  <c r="AT95" i="1"/>
  <c r="AU95" i="1" s="1"/>
  <c r="AV95" i="1"/>
  <c r="AW95" i="1" s="1"/>
  <c r="AO95" i="1"/>
  <c r="AP95" i="1"/>
  <c r="AV136" i="1"/>
  <c r="AW136" i="1" s="1"/>
  <c r="AP136" i="1"/>
  <c r="AO136" i="1"/>
  <c r="AT136" i="1"/>
  <c r="AU136" i="1" s="1"/>
  <c r="AV279" i="1"/>
  <c r="AW279" i="1" s="1"/>
  <c r="AO279" i="1"/>
  <c r="AP279" i="1"/>
  <c r="AT279" i="1"/>
  <c r="AU279" i="1" s="1"/>
  <c r="AV31" i="1"/>
  <c r="AW31" i="1" s="1"/>
  <c r="AP31" i="1"/>
  <c r="AO31" i="1"/>
  <c r="AT31" i="1"/>
  <c r="AU31" i="1" s="1"/>
  <c r="AV17" i="1"/>
  <c r="AW17" i="1" s="1"/>
  <c r="AP17" i="1"/>
  <c r="AO17" i="1"/>
  <c r="AT17" i="1"/>
  <c r="AU17" i="1" s="1"/>
  <c r="AV352" i="1"/>
  <c r="AW352" i="1" s="1"/>
  <c r="AO352" i="1"/>
  <c r="AT352" i="1"/>
  <c r="AU352" i="1" s="1"/>
  <c r="AV351" i="1"/>
  <c r="AW351" i="1" s="1"/>
  <c r="AO351" i="1"/>
  <c r="AT351" i="1"/>
  <c r="AU351" i="1" s="1"/>
  <c r="AV293" i="1"/>
  <c r="AW293" i="1" s="1"/>
  <c r="AP293" i="1"/>
  <c r="AO293" i="1"/>
  <c r="AT293" i="1"/>
  <c r="AU293" i="1" s="1"/>
  <c r="AO467" i="1"/>
  <c r="AV377" i="1"/>
  <c r="AW377" i="1" s="1"/>
  <c r="AT447" i="1"/>
  <c r="AU447" i="1" s="1"/>
  <c r="AT380" i="1"/>
  <c r="AU380" i="1" s="1"/>
  <c r="AO404" i="1"/>
  <c r="AV433" i="1"/>
  <c r="AW433" i="1" s="1"/>
  <c r="AV38" i="1"/>
  <c r="AW38" i="1" s="1"/>
  <c r="AO38" i="1"/>
  <c r="AP38" i="1"/>
  <c r="AT38" i="1"/>
  <c r="AU38" i="1" s="1"/>
  <c r="AV291" i="1"/>
  <c r="AW291" i="1" s="1"/>
  <c r="AO291" i="1"/>
  <c r="AP291" i="1"/>
  <c r="AT291" i="1"/>
  <c r="AU291" i="1" s="1"/>
  <c r="AV283" i="1"/>
  <c r="AW283" i="1" s="1"/>
  <c r="AO283" i="1"/>
  <c r="AP283" i="1"/>
  <c r="AT283" i="1"/>
  <c r="AU283" i="1" s="1"/>
  <c r="AV419" i="1"/>
  <c r="AW419" i="1" s="1"/>
  <c r="AO419" i="1"/>
  <c r="AT419" i="1"/>
  <c r="AU419" i="1" s="1"/>
  <c r="AV155" i="1"/>
  <c r="AW155" i="1" s="1"/>
  <c r="AO155" i="1"/>
  <c r="AP155" i="1"/>
  <c r="AT155" i="1"/>
  <c r="AU155" i="1" s="1"/>
  <c r="AV357" i="1"/>
  <c r="AW357" i="1" s="1"/>
  <c r="AO357" i="1"/>
  <c r="AT357" i="1"/>
  <c r="AU357" i="1" s="1"/>
  <c r="AV224" i="1"/>
  <c r="AW224" i="1" s="1"/>
  <c r="AO224" i="1"/>
  <c r="AP224" i="1"/>
  <c r="AT224" i="1"/>
  <c r="AU224" i="1" s="1"/>
  <c r="AV227" i="1"/>
  <c r="AW227" i="1" s="1"/>
  <c r="AO227" i="1"/>
  <c r="AP227" i="1"/>
  <c r="AT227" i="1"/>
  <c r="AU227" i="1" s="1"/>
  <c r="AV325" i="1"/>
  <c r="AW325" i="1" s="1"/>
  <c r="AO325" i="1"/>
  <c r="AP325" i="1"/>
  <c r="AT325" i="1"/>
  <c r="AU325" i="1" s="1"/>
  <c r="AO384" i="1"/>
  <c r="AV384" i="1"/>
  <c r="AW384" i="1" s="1"/>
  <c r="AT384" i="1"/>
  <c r="AU384" i="1" s="1"/>
  <c r="AO383" i="1"/>
  <c r="AV383" i="1"/>
  <c r="AW383" i="1" s="1"/>
  <c r="AT383" i="1"/>
  <c r="AU383" i="1" s="1"/>
  <c r="AV350" i="1"/>
  <c r="AW350" i="1" s="1"/>
  <c r="AO350" i="1"/>
  <c r="AT350" i="1"/>
  <c r="AU350" i="1" s="1"/>
  <c r="AV347" i="1"/>
  <c r="AW347" i="1" s="1"/>
  <c r="AO347" i="1"/>
  <c r="AP347" i="1"/>
  <c r="AT347" i="1"/>
  <c r="AU347" i="1" s="1"/>
  <c r="AV348" i="1"/>
  <c r="AW348" i="1" s="1"/>
  <c r="AO348" i="1"/>
  <c r="AP348" i="1"/>
  <c r="AT348" i="1"/>
  <c r="AU348" i="1" s="1"/>
  <c r="AV163" i="1"/>
  <c r="AW163" i="1" s="1"/>
  <c r="AO163" i="1"/>
  <c r="AP163" i="1"/>
  <c r="AT163" i="1"/>
  <c r="AU163" i="1" s="1"/>
  <c r="AV164" i="1"/>
  <c r="AW164" i="1" s="1"/>
  <c r="AO164" i="1"/>
  <c r="AP164" i="1"/>
  <c r="AT164" i="1"/>
  <c r="AU164" i="1" s="1"/>
  <c r="AV367" i="1"/>
  <c r="AW367" i="1" s="1"/>
  <c r="AO367" i="1"/>
  <c r="AT367" i="1"/>
  <c r="AU367" i="1" s="1"/>
  <c r="AV368" i="1"/>
  <c r="AW368" i="1" s="1"/>
  <c r="AO368" i="1"/>
  <c r="AT368" i="1"/>
  <c r="AU368" i="1" s="1"/>
  <c r="AV322" i="1"/>
  <c r="AW322" i="1" s="1"/>
  <c r="AO322" i="1"/>
  <c r="AP322" i="1"/>
  <c r="AT322" i="1"/>
  <c r="AU322" i="1" s="1"/>
  <c r="AV323" i="1"/>
  <c r="AW323" i="1" s="1"/>
  <c r="AO323" i="1"/>
  <c r="AP323" i="1"/>
  <c r="AT323" i="1"/>
  <c r="AU323" i="1" s="1"/>
  <c r="AO393" i="1"/>
  <c r="AV393" i="1"/>
  <c r="AW393" i="1" s="1"/>
  <c r="AT393" i="1"/>
  <c r="AU393" i="1" s="1"/>
  <c r="AO394" i="1"/>
  <c r="AV394" i="1"/>
  <c r="AW394" i="1" s="1"/>
  <c r="AT394" i="1"/>
  <c r="AU394" i="1" s="1"/>
  <c r="AP235" i="1"/>
  <c r="AO235" i="1"/>
  <c r="AV235" i="1"/>
  <c r="AW235" i="1" s="1"/>
  <c r="AT235" i="1"/>
  <c r="AU235" i="1" s="1"/>
  <c r="AP236" i="1"/>
  <c r="AO236" i="1"/>
  <c r="AV236" i="1"/>
  <c r="AW236" i="1" s="1"/>
  <c r="AT236" i="1"/>
  <c r="AU236" i="1" s="1"/>
  <c r="AV418" i="1"/>
  <c r="AW418" i="1" s="1"/>
  <c r="AO418" i="1"/>
  <c r="AT418" i="1"/>
  <c r="AU418" i="1" s="1"/>
  <c r="AV468" i="1"/>
  <c r="AW468" i="1" s="1"/>
  <c r="AO468" i="1"/>
  <c r="AT468" i="1"/>
  <c r="AU468" i="1" s="1"/>
  <c r="AT410" i="1"/>
  <c r="AU410" i="1" s="1"/>
  <c r="AV410" i="1"/>
  <c r="AW410" i="1" s="1"/>
  <c r="AO410" i="1"/>
  <c r="AV458" i="1"/>
  <c r="AW458" i="1" s="1"/>
  <c r="AO458" i="1"/>
  <c r="AT458" i="1"/>
  <c r="AU458" i="1" s="1"/>
  <c r="AV374" i="1"/>
  <c r="AW374" i="1" s="1"/>
  <c r="AO374" i="1"/>
  <c r="AT374" i="1"/>
  <c r="AU374" i="1" s="1"/>
  <c r="AV161" i="1"/>
  <c r="AW161" i="1" s="1"/>
  <c r="AO161" i="1"/>
  <c r="AP161" i="1"/>
  <c r="AT161" i="1"/>
  <c r="AU161" i="1" s="1"/>
  <c r="AV449" i="1"/>
  <c r="AW449" i="1" s="1"/>
  <c r="AO449" i="1"/>
  <c r="AT449" i="1"/>
  <c r="AU449" i="1" s="1"/>
  <c r="AV479" i="1"/>
  <c r="AW479" i="1" s="1"/>
  <c r="AO479" i="1"/>
  <c r="AT479" i="1"/>
  <c r="AU479" i="1" s="1"/>
  <c r="AV480" i="1"/>
  <c r="AW480" i="1" s="1"/>
  <c r="AO480" i="1"/>
  <c r="AT480" i="1"/>
  <c r="AU480" i="1" s="1"/>
  <c r="AV481" i="1"/>
  <c r="AW481" i="1" s="1"/>
  <c r="AO481" i="1"/>
  <c r="AT481" i="1"/>
  <c r="AU481" i="1" s="1"/>
  <c r="AV452" i="1"/>
  <c r="AW452" i="1" s="1"/>
  <c r="AO452" i="1"/>
  <c r="AT452" i="1"/>
  <c r="AU452" i="1" s="1"/>
  <c r="AV453" i="1"/>
  <c r="AW453" i="1" s="1"/>
  <c r="AO453" i="1"/>
  <c r="AT453" i="1"/>
  <c r="AU453" i="1" s="1"/>
  <c r="AV411" i="1"/>
  <c r="AW411" i="1" s="1"/>
  <c r="AO411" i="1"/>
  <c r="AT411" i="1"/>
  <c r="AU411" i="1" s="1"/>
  <c r="AV435" i="1"/>
  <c r="AW435" i="1" s="1"/>
  <c r="AO435" i="1"/>
  <c r="AT435" i="1"/>
  <c r="AU435" i="1" s="1"/>
  <c r="AV488" i="1"/>
  <c r="AW488" i="1" s="1"/>
  <c r="AO488" i="1"/>
  <c r="AT488" i="1"/>
  <c r="AU488" i="1" s="1"/>
  <c r="AV212" i="1"/>
  <c r="AW212" i="1" s="1"/>
  <c r="AO212" i="1"/>
  <c r="AP212" i="1"/>
  <c r="AT212" i="1"/>
  <c r="AU212" i="1" s="1"/>
  <c r="AV198" i="1"/>
  <c r="AW198" i="1" s="1"/>
  <c r="AO198" i="1"/>
  <c r="AP198" i="1"/>
  <c r="AT198" i="1"/>
  <c r="AU198" i="1" s="1"/>
  <c r="AV454" i="1"/>
  <c r="AW454" i="1" s="1"/>
  <c r="AO454" i="1"/>
  <c r="AT454" i="1"/>
  <c r="AU454" i="1" s="1"/>
  <c r="AV455" i="1"/>
  <c r="AW455" i="1" s="1"/>
  <c r="AO455" i="1"/>
  <c r="AT455" i="1"/>
  <c r="AU455" i="1" s="1"/>
  <c r="AV207" i="1"/>
  <c r="AW207" i="1" s="1"/>
  <c r="AO207" i="1"/>
  <c r="AP207" i="1"/>
  <c r="AT207" i="1"/>
  <c r="AU207" i="1" s="1"/>
  <c r="AV422" i="1"/>
  <c r="AW422" i="1" s="1"/>
  <c r="AO422" i="1"/>
  <c r="AT422" i="1"/>
  <c r="AU422" i="1" s="1"/>
  <c r="AV423" i="1"/>
  <c r="AW423" i="1" s="1"/>
  <c r="AO423" i="1"/>
  <c r="AT423" i="1"/>
  <c r="AU423" i="1" s="1"/>
  <c r="AV359" i="1"/>
  <c r="AW359" i="1" s="1"/>
  <c r="AO359" i="1"/>
  <c r="AT359" i="1"/>
  <c r="AU359" i="1" s="1"/>
  <c r="AV360" i="1"/>
  <c r="AW360" i="1" s="1"/>
  <c r="AO360" i="1"/>
  <c r="AT360" i="1"/>
  <c r="AU360" i="1" s="1"/>
  <c r="AT363" i="1"/>
  <c r="AU363" i="1" s="1"/>
  <c r="AV363" i="1"/>
  <c r="AW363" i="1" s="1"/>
  <c r="AO363" i="1"/>
  <c r="AT364" i="1"/>
  <c r="AU364" i="1" s="1"/>
  <c r="AV364" i="1"/>
  <c r="AW364" i="1" s="1"/>
  <c r="AO364" i="1"/>
  <c r="AV474" i="1"/>
  <c r="AW474" i="1" s="1"/>
  <c r="AO474" i="1"/>
  <c r="AT474" i="1"/>
  <c r="AU474" i="1" s="1"/>
  <c r="AV302" i="1"/>
  <c r="AW302" i="1" s="1"/>
  <c r="AO302" i="1"/>
  <c r="AP302" i="1"/>
  <c r="AT302" i="1"/>
  <c r="AU302" i="1" s="1"/>
  <c r="AV303" i="1"/>
  <c r="AW303" i="1" s="1"/>
  <c r="AO303" i="1"/>
  <c r="AP303" i="1"/>
  <c r="AT303" i="1"/>
  <c r="AU303" i="1" s="1"/>
  <c r="AV326" i="1"/>
  <c r="AW326" i="1" s="1"/>
  <c r="AO326" i="1"/>
  <c r="AP326" i="1"/>
  <c r="AT326" i="1"/>
  <c r="AU326" i="1" s="1"/>
  <c r="AV183" i="1"/>
  <c r="AW183" i="1" s="1"/>
  <c r="AO183" i="1"/>
  <c r="AP183" i="1"/>
  <c r="AT183" i="1"/>
  <c r="AU183" i="1" s="1"/>
  <c r="AV340" i="1"/>
  <c r="AW340" i="1" s="1"/>
  <c r="AO340" i="1"/>
  <c r="AP340" i="1"/>
  <c r="AT340" i="1"/>
  <c r="AU340" i="1" s="1"/>
  <c r="AV139" i="1"/>
  <c r="AW139" i="1" s="1"/>
  <c r="AO139" i="1"/>
  <c r="AP139" i="1"/>
  <c r="AT139" i="1"/>
  <c r="AU139" i="1" s="1"/>
  <c r="AV493" i="1"/>
  <c r="AW493" i="1" s="1"/>
  <c r="AO493" i="1"/>
  <c r="AT493" i="1"/>
  <c r="AU493" i="1" s="1"/>
  <c r="AV494" i="1"/>
  <c r="AW494" i="1" s="1"/>
  <c r="AO494" i="1"/>
  <c r="AT494" i="1"/>
  <c r="AU494" i="1" s="1"/>
  <c r="AV191" i="1"/>
  <c r="AW191" i="1" s="1"/>
  <c r="AO191" i="1"/>
  <c r="AP191" i="1"/>
  <c r="AT191" i="1"/>
  <c r="AU191" i="1" s="1"/>
  <c r="AV34" i="1"/>
  <c r="AW34" i="1" s="1"/>
  <c r="AO34" i="1"/>
  <c r="AP34" i="1"/>
  <c r="AT34" i="1"/>
  <c r="AU34" i="1" s="1"/>
  <c r="AV193" i="1"/>
  <c r="AW193" i="1" s="1"/>
  <c r="AO193" i="1"/>
  <c r="AP193" i="1"/>
  <c r="AT193" i="1"/>
  <c r="AU193" i="1" s="1"/>
  <c r="AV434" i="1"/>
  <c r="AW434" i="1" s="1"/>
  <c r="AO434" i="1"/>
  <c r="AT434" i="1"/>
  <c r="AU434" i="1" s="1"/>
  <c r="AV463" i="1"/>
  <c r="AW463" i="1" s="1"/>
  <c r="AO463" i="1"/>
  <c r="AT463" i="1"/>
  <c r="AU463" i="1" s="1"/>
  <c r="AT459" i="1"/>
  <c r="AU459" i="1" s="1"/>
  <c r="AV459" i="1"/>
  <c r="AW459" i="1" s="1"/>
  <c r="AO459" i="1"/>
  <c r="AV470" i="1"/>
  <c r="AW470" i="1" s="1"/>
  <c r="AO470" i="1"/>
  <c r="AT470" i="1"/>
  <c r="AU470" i="1" s="1"/>
  <c r="AV471" i="1"/>
  <c r="AW471" i="1" s="1"/>
  <c r="AO471" i="1"/>
  <c r="AT471" i="1"/>
  <c r="AU471" i="1" s="1"/>
  <c r="AT460" i="1"/>
  <c r="AU460" i="1" s="1"/>
  <c r="AV460" i="1"/>
  <c r="AW460" i="1" s="1"/>
  <c r="AO460" i="1"/>
  <c r="AV120" i="1"/>
  <c r="AW120" i="1" s="1"/>
  <c r="AO120" i="1"/>
  <c r="AP120" i="1"/>
  <c r="AT120" i="1"/>
  <c r="AU120" i="1" s="1"/>
  <c r="AV506" i="1"/>
  <c r="AW506" i="1" s="1"/>
  <c r="AO506" i="1"/>
  <c r="AT506" i="1"/>
  <c r="AU506" i="1" s="1"/>
  <c r="AV507" i="1"/>
  <c r="AW507" i="1" s="1"/>
  <c r="AO507" i="1"/>
  <c r="AT507" i="1"/>
  <c r="AU507" i="1" s="1"/>
  <c r="AV508" i="1"/>
  <c r="AW508" i="1" s="1"/>
  <c r="AO508" i="1"/>
  <c r="AT508" i="1"/>
  <c r="AU508" i="1" s="1"/>
  <c r="AV272" i="1"/>
  <c r="AW272" i="1" s="1"/>
  <c r="AO272" i="1"/>
  <c r="AP272" i="1"/>
  <c r="AT272" i="1"/>
  <c r="AU272" i="1" s="1"/>
  <c r="AV273" i="1"/>
  <c r="AW273" i="1" s="1"/>
  <c r="AO273" i="1"/>
  <c r="AP273" i="1"/>
  <c r="AT273" i="1"/>
  <c r="AU273" i="1" s="1"/>
  <c r="AV289" i="1"/>
  <c r="AW289" i="1" s="1"/>
  <c r="AO289" i="1"/>
  <c r="AP289" i="1"/>
  <c r="AT289" i="1"/>
  <c r="AU289" i="1" s="1"/>
  <c r="AV290" i="1"/>
  <c r="AW290" i="1" s="1"/>
  <c r="AO290" i="1"/>
  <c r="AP290" i="1"/>
  <c r="AT290" i="1"/>
  <c r="AU290" i="1" s="1"/>
  <c r="AV409" i="1"/>
  <c r="AW409" i="1" s="1"/>
  <c r="AO409" i="1"/>
  <c r="AT409" i="1"/>
  <c r="AU409" i="1" s="1"/>
  <c r="AV408" i="1"/>
  <c r="AW408" i="1" s="1"/>
  <c r="AO408" i="1"/>
  <c r="AT408" i="1"/>
  <c r="AU408" i="1" s="1"/>
  <c r="AV445" i="1"/>
  <c r="AW445" i="1" s="1"/>
  <c r="AO445" i="1"/>
  <c r="AT445" i="1"/>
  <c r="AU445" i="1" s="1"/>
  <c r="AV446" i="1"/>
  <c r="AW446" i="1" s="1"/>
  <c r="AO446" i="1"/>
  <c r="AT446" i="1"/>
  <c r="AU446" i="1" s="1"/>
  <c r="AV345" i="1"/>
  <c r="AW345" i="1" s="1"/>
  <c r="AO345" i="1"/>
  <c r="AP345" i="1"/>
  <c r="AT345" i="1"/>
  <c r="AU345" i="1" s="1"/>
  <c r="AV346" i="1"/>
  <c r="AW346" i="1" s="1"/>
  <c r="AO346" i="1"/>
  <c r="AP346" i="1"/>
  <c r="AT346" i="1"/>
  <c r="AU346" i="1" s="1"/>
  <c r="AV179" i="1"/>
  <c r="AW179" i="1" s="1"/>
  <c r="AO179" i="1"/>
  <c r="AP179" i="1"/>
  <c r="AT179" i="1"/>
  <c r="AU179" i="1" s="1"/>
  <c r="AV329" i="1"/>
  <c r="AW329" i="1" s="1"/>
  <c r="AO329" i="1"/>
  <c r="AP329" i="1"/>
  <c r="AT329" i="1"/>
  <c r="AU329" i="1" s="1"/>
  <c r="AV499" i="1"/>
  <c r="AW499" i="1" s="1"/>
  <c r="AO499" i="1"/>
  <c r="AT499" i="1"/>
  <c r="AU499" i="1" s="1"/>
  <c r="AV500" i="1"/>
  <c r="AW500" i="1" s="1"/>
  <c r="AO500" i="1"/>
  <c r="AT500" i="1"/>
  <c r="AU500" i="1" s="1"/>
  <c r="AV501" i="1"/>
  <c r="AW501" i="1" s="1"/>
  <c r="AO501" i="1"/>
  <c r="AT501" i="1"/>
  <c r="AU501" i="1" s="1"/>
  <c r="AV9" i="1"/>
  <c r="AV10" i="1"/>
  <c r="AV111" i="1"/>
  <c r="AP99" i="1"/>
  <c r="AP174" i="1"/>
  <c r="AO174" i="1"/>
  <c r="AP175" i="1"/>
  <c r="AP176" i="1"/>
  <c r="AP35" i="1"/>
  <c r="AP189" i="1"/>
  <c r="AP515" i="1"/>
  <c r="AP75" i="1"/>
  <c r="AP310" i="1"/>
  <c r="AP152" i="1"/>
  <c r="AP134" i="1"/>
  <c r="AP135" i="1"/>
  <c r="AP71" i="1"/>
  <c r="AP72" i="1"/>
  <c r="AP277" i="1"/>
  <c r="AP62" i="1"/>
  <c r="AP315" i="1"/>
  <c r="AP56" i="1"/>
  <c r="AP284" i="1"/>
  <c r="AO437" i="1"/>
  <c r="AT437" i="1"/>
  <c r="AU437" i="1" s="1"/>
  <c r="AV437" i="1"/>
  <c r="AW437" i="1" s="1"/>
  <c r="AO436" i="1"/>
  <c r="AT436" i="1"/>
  <c r="AU436" i="1" s="1"/>
  <c r="AV436" i="1"/>
  <c r="AW436" i="1" s="1"/>
  <c r="AO448" i="1"/>
  <c r="AT448" i="1"/>
  <c r="AU448" i="1" s="1"/>
  <c r="AV448" i="1"/>
  <c r="AW448" i="1" s="1"/>
  <c r="AO62" i="1"/>
  <c r="AO469" i="1"/>
  <c r="AT469" i="1"/>
  <c r="AU469" i="1" s="1"/>
  <c r="AV469" i="1"/>
  <c r="AW469" i="1" s="1"/>
  <c r="AO466" i="1"/>
  <c r="AT466" i="1"/>
  <c r="AU466" i="1" s="1"/>
  <c r="AV466" i="1"/>
  <c r="AW466" i="1" s="1"/>
  <c r="AO376" i="1"/>
  <c r="AT376" i="1"/>
  <c r="AU376" i="1" s="1"/>
  <c r="AV376" i="1"/>
  <c r="AW376" i="1" s="1"/>
  <c r="AO375" i="1"/>
  <c r="AT375" i="1"/>
  <c r="AU375" i="1" s="1"/>
  <c r="AV375" i="1"/>
  <c r="AW375" i="1" s="1"/>
  <c r="AO378" i="1"/>
  <c r="AT378" i="1"/>
  <c r="AU378" i="1" s="1"/>
  <c r="AV378" i="1"/>
  <c r="AW378" i="1" s="1"/>
  <c r="AO379" i="1"/>
  <c r="AT379" i="1"/>
  <c r="AU379" i="1" s="1"/>
  <c r="AV379" i="1"/>
  <c r="AW379" i="1" s="1"/>
  <c r="AO402" i="1"/>
  <c r="AT402" i="1"/>
  <c r="AU402" i="1" s="1"/>
  <c r="AV402" i="1"/>
  <c r="AW402" i="1" s="1"/>
  <c r="AP82" i="1"/>
  <c r="AO82" i="1"/>
  <c r="AT82" i="1"/>
  <c r="AU82" i="1" s="1"/>
  <c r="AV82" i="1"/>
  <c r="AW82" i="1" s="1"/>
  <c r="AP83" i="1"/>
  <c r="AO83" i="1"/>
  <c r="AT83" i="1"/>
  <c r="AU83" i="1" s="1"/>
  <c r="AV83" i="1"/>
  <c r="AW83" i="1" s="1"/>
  <c r="AP84" i="1"/>
  <c r="AO84" i="1"/>
  <c r="AT84" i="1"/>
  <c r="AU84" i="1" s="1"/>
  <c r="AV84" i="1"/>
  <c r="AW84" i="1" s="1"/>
  <c r="AV248" i="1"/>
  <c r="AW248" i="1" s="1"/>
  <c r="AO248" i="1"/>
  <c r="AP248" i="1"/>
  <c r="AT248" i="1"/>
  <c r="AU248" i="1" s="1"/>
  <c r="AV247" i="1"/>
  <c r="AW247" i="1" s="1"/>
  <c r="AO247" i="1"/>
  <c r="AP247" i="1"/>
  <c r="AT247" i="1"/>
  <c r="AU247" i="1" s="1"/>
  <c r="AV52" i="1"/>
  <c r="AW52" i="1" s="1"/>
  <c r="AO52" i="1"/>
  <c r="AP52" i="1"/>
  <c r="AT52" i="1"/>
  <c r="AU52" i="1" s="1"/>
  <c r="AV61" i="1"/>
  <c r="AO61" i="1"/>
  <c r="AP61" i="1"/>
  <c r="AV96" i="1"/>
  <c r="AW96" i="1" s="1"/>
  <c r="AO96" i="1"/>
  <c r="AP96" i="1"/>
  <c r="AT96" i="1"/>
  <c r="AU96" i="1" s="1"/>
  <c r="AV107" i="1"/>
  <c r="AW107" i="1" s="1"/>
  <c r="AO107" i="1"/>
  <c r="AP107" i="1"/>
  <c r="AT107" i="1"/>
  <c r="AU107" i="1" s="1"/>
  <c r="AV226" i="1"/>
  <c r="AW226" i="1" s="1"/>
  <c r="AO226" i="1"/>
  <c r="AP226" i="1"/>
  <c r="AT226" i="1"/>
  <c r="AU226" i="1" s="1"/>
  <c r="AV194" i="1"/>
  <c r="AW194" i="1" s="1"/>
  <c r="AO194" i="1"/>
  <c r="AP194" i="1"/>
  <c r="AT194" i="1"/>
  <c r="AU194" i="1" s="1"/>
  <c r="AV129" i="1"/>
  <c r="AW129" i="1" s="1"/>
  <c r="AO129" i="1"/>
  <c r="AP129" i="1"/>
  <c r="AT129" i="1"/>
  <c r="AU129" i="1" s="1"/>
  <c r="AV128" i="1"/>
  <c r="AO128" i="1"/>
  <c r="AP128" i="1"/>
  <c r="AV328" i="1"/>
  <c r="AO328" i="1"/>
  <c r="AP328" i="1"/>
  <c r="AV292" i="1"/>
  <c r="AW292" i="1" s="1"/>
  <c r="AO292" i="1"/>
  <c r="AP292" i="1"/>
  <c r="AT292" i="1"/>
  <c r="AU292" i="1" s="1"/>
  <c r="AV101" i="1"/>
  <c r="AO101" i="1"/>
  <c r="AP101" i="1"/>
  <c r="AV205" i="1"/>
  <c r="AW205" i="1" s="1"/>
  <c r="AO205" i="1"/>
  <c r="AP205" i="1"/>
  <c r="AT205" i="1"/>
  <c r="AU205" i="1" s="1"/>
  <c r="AV241" i="1"/>
  <c r="AW241" i="1" s="1"/>
  <c r="AO241" i="1"/>
  <c r="AP241" i="1"/>
  <c r="AT241" i="1"/>
  <c r="AU241" i="1" s="1"/>
  <c r="AV240" i="1"/>
  <c r="AW240" i="1" s="1"/>
  <c r="AO240" i="1"/>
  <c r="AP240" i="1"/>
  <c r="AT240" i="1"/>
  <c r="AU240" i="1" s="1"/>
  <c r="AV282" i="1"/>
  <c r="AW282" i="1" s="1"/>
  <c r="AO282" i="1"/>
  <c r="AP282" i="1"/>
  <c r="AT282" i="1"/>
  <c r="AU282" i="1" s="1"/>
  <c r="AV106" i="1"/>
  <c r="AW106" i="1" s="1"/>
  <c r="AO106" i="1"/>
  <c r="AP106" i="1"/>
  <c r="AT106" i="1"/>
  <c r="AU106" i="1" s="1"/>
  <c r="AV105" i="1"/>
  <c r="AW105" i="1" s="1"/>
  <c r="AO105" i="1"/>
  <c r="AP105" i="1"/>
  <c r="AT105" i="1"/>
  <c r="AU105" i="1" s="1"/>
  <c r="AV55" i="1"/>
  <c r="AW55" i="1" s="1"/>
  <c r="AO55" i="1"/>
  <c r="AP55" i="1"/>
  <c r="AT55" i="1"/>
  <c r="AU55" i="1" s="1"/>
  <c r="AV54" i="1"/>
  <c r="AW54" i="1" s="1"/>
  <c r="AO54" i="1"/>
  <c r="AP54" i="1"/>
  <c r="AT54" i="1"/>
  <c r="AU54" i="1" s="1"/>
  <c r="AV234" i="1"/>
  <c r="AW234" i="1" s="1"/>
  <c r="AO234" i="1"/>
  <c r="AP234" i="1"/>
  <c r="AT234" i="1"/>
  <c r="AU234" i="1" s="1"/>
  <c r="AV324" i="1"/>
  <c r="AW324" i="1" s="1"/>
  <c r="AO324" i="1"/>
  <c r="AP324" i="1"/>
  <c r="AT324" i="1"/>
  <c r="AU324" i="1" s="1"/>
  <c r="AV67" i="1"/>
  <c r="AO67" i="1"/>
  <c r="AP67" i="1"/>
  <c r="AV66" i="1"/>
  <c r="AO66" i="1"/>
  <c r="AP66" i="1"/>
  <c r="AV14" i="1"/>
  <c r="AW14" i="1" s="1"/>
  <c r="AO14" i="1"/>
  <c r="AP14" i="1"/>
  <c r="AT14" i="1"/>
  <c r="AU14" i="1" s="1"/>
  <c r="AV13" i="1"/>
  <c r="AW13" i="1" s="1"/>
  <c r="AO13" i="1"/>
  <c r="AP13" i="1"/>
  <c r="AT13" i="1"/>
  <c r="AU13" i="1" s="1"/>
  <c r="AV149" i="1"/>
  <c r="AW149" i="1" s="1"/>
  <c r="AO149" i="1"/>
  <c r="AP149" i="1"/>
  <c r="AT149" i="1"/>
  <c r="AU149" i="1" s="1"/>
  <c r="AV148" i="1"/>
  <c r="AW148" i="1" s="1"/>
  <c r="AO148" i="1"/>
  <c r="AP148" i="1"/>
  <c r="AT148" i="1"/>
  <c r="AU148" i="1" s="1"/>
  <c r="AV259" i="1"/>
  <c r="AW259" i="1" s="1"/>
  <c r="AO259" i="1"/>
  <c r="AP259" i="1"/>
  <c r="AT259" i="1"/>
  <c r="AU259" i="1" s="1"/>
  <c r="AV258" i="1"/>
  <c r="AW258" i="1" s="1"/>
  <c r="AO258" i="1"/>
  <c r="AP258" i="1"/>
  <c r="AT258" i="1"/>
  <c r="AU258" i="1" s="1"/>
  <c r="AV213" i="1"/>
  <c r="AW213" i="1" s="1"/>
  <c r="AO213" i="1"/>
  <c r="AP213" i="1"/>
  <c r="AT213" i="1"/>
  <c r="AU213" i="1" s="1"/>
  <c r="AO81" i="1"/>
  <c r="AP81" i="1"/>
  <c r="AV251" i="1"/>
  <c r="AW251" i="1" s="1"/>
  <c r="AO251" i="1"/>
  <c r="AP251" i="1"/>
  <c r="AT251" i="1"/>
  <c r="AU251" i="1" s="1"/>
  <c r="AV133" i="1"/>
  <c r="AW133" i="1" s="1"/>
  <c r="AO133" i="1"/>
  <c r="AP133" i="1"/>
  <c r="AT133" i="1"/>
  <c r="AU133" i="1" s="1"/>
  <c r="AV145" i="1"/>
  <c r="AW145" i="1" s="1"/>
  <c r="AO145" i="1"/>
  <c r="AP145" i="1"/>
  <c r="AT145" i="1"/>
  <c r="AU145" i="1" s="1"/>
  <c r="AV144" i="1"/>
  <c r="AW144" i="1" s="1"/>
  <c r="AO144" i="1"/>
  <c r="AP144" i="1"/>
  <c r="AT144" i="1"/>
  <c r="AU144" i="1" s="1"/>
  <c r="AV405" i="1"/>
  <c r="AW405" i="1" s="1"/>
  <c r="AO405" i="1"/>
  <c r="AP405" i="1"/>
  <c r="AT405" i="1"/>
  <c r="AU405" i="1" s="1"/>
  <c r="AV204" i="1"/>
  <c r="AO204" i="1"/>
  <c r="AP204" i="1"/>
  <c r="AV278" i="1"/>
  <c r="AW278" i="1" s="1"/>
  <c r="AO278" i="1"/>
  <c r="AP278" i="1"/>
  <c r="AT278" i="1"/>
  <c r="AU278" i="1" s="1"/>
  <c r="AV142" i="1"/>
  <c r="AO142" i="1"/>
  <c r="AP142" i="1"/>
  <c r="AV141" i="1"/>
  <c r="AO141" i="1"/>
  <c r="AP141" i="1"/>
  <c r="AV403" i="1"/>
  <c r="AW403" i="1" s="1"/>
  <c r="AO403" i="1"/>
  <c r="AT403" i="1"/>
  <c r="AU403" i="1" s="1"/>
  <c r="AV401" i="1"/>
  <c r="AW401" i="1" s="1"/>
  <c r="AO401" i="1"/>
  <c r="AT401" i="1"/>
  <c r="AU401" i="1" s="1"/>
  <c r="AV188" i="1"/>
  <c r="AW188" i="1" s="1"/>
  <c r="AO188" i="1"/>
  <c r="AP188" i="1"/>
  <c r="AT188" i="1"/>
  <c r="AU188" i="1" s="1"/>
  <c r="AV187" i="1"/>
  <c r="AW187" i="1" s="1"/>
  <c r="AO187" i="1"/>
  <c r="AP187" i="1"/>
  <c r="AT187" i="1"/>
  <c r="AU187" i="1" s="1"/>
  <c r="AV400" i="1"/>
  <c r="AW400" i="1" s="1"/>
  <c r="AO400" i="1"/>
  <c r="AT400" i="1"/>
  <c r="AU400" i="1" s="1"/>
  <c r="AV399" i="1"/>
  <c r="AW399" i="1" s="1"/>
  <c r="AO399" i="1"/>
  <c r="AT399" i="1"/>
  <c r="AU399" i="1" s="1"/>
  <c r="AV285" i="1"/>
  <c r="AW285" i="1" s="1"/>
  <c r="AO285" i="1"/>
  <c r="AP285" i="1"/>
  <c r="AT285" i="1"/>
  <c r="AU285" i="1" s="1"/>
  <c r="AV122" i="1"/>
  <c r="AW122" i="1" s="1"/>
  <c r="AO122" i="1"/>
  <c r="AP122" i="1"/>
  <c r="AT122" i="1"/>
  <c r="AU122" i="1" s="1"/>
  <c r="AV208" i="1"/>
  <c r="AW208" i="1" s="1"/>
  <c r="AO208" i="1"/>
  <c r="AP208" i="1"/>
  <c r="AT208" i="1"/>
  <c r="AU208" i="1" s="1"/>
  <c r="AV65" i="1"/>
  <c r="AW65" i="1" s="1"/>
  <c r="AO65" i="1"/>
  <c r="AP65" i="1"/>
  <c r="AT65" i="1"/>
  <c r="AU65" i="1" s="1"/>
  <c r="AV49" i="1"/>
  <c r="AW49" i="1" s="1"/>
  <c r="AO49" i="1"/>
  <c r="AP49" i="1"/>
  <c r="AT49" i="1"/>
  <c r="AU49" i="1" s="1"/>
  <c r="AV48" i="1"/>
  <c r="AW48" i="1" s="1"/>
  <c r="AO48" i="1"/>
  <c r="AP48" i="1"/>
  <c r="AT48" i="1"/>
  <c r="AU48" i="1" s="1"/>
  <c r="AV47" i="1"/>
  <c r="AW47" i="1" s="1"/>
  <c r="AO47" i="1"/>
  <c r="AP47" i="1"/>
  <c r="AT47" i="1"/>
  <c r="AU47" i="1" s="1"/>
  <c r="AV186" i="1"/>
  <c r="AW186" i="1" s="1"/>
  <c r="AO186" i="1"/>
  <c r="AP186" i="1"/>
  <c r="AT186" i="1"/>
  <c r="AU186" i="1" s="1"/>
  <c r="AV344" i="1"/>
  <c r="AW344" i="1" s="1"/>
  <c r="AO344" i="1"/>
  <c r="AP344" i="1"/>
  <c r="AT344" i="1"/>
  <c r="AU344" i="1" s="1"/>
  <c r="AV337" i="1"/>
  <c r="AW337" i="1" s="1"/>
  <c r="AO337" i="1"/>
  <c r="AP337" i="1"/>
  <c r="AT337" i="1"/>
  <c r="AU337" i="1" s="1"/>
  <c r="AV336" i="1"/>
  <c r="AW336" i="1" s="1"/>
  <c r="AO336" i="1"/>
  <c r="AP336" i="1"/>
  <c r="AT336" i="1"/>
  <c r="AU336" i="1" s="1"/>
  <c r="AV243" i="1"/>
  <c r="AW243" i="1" s="1"/>
  <c r="AO243" i="1"/>
  <c r="AP243" i="1"/>
  <c r="AT243" i="1"/>
  <c r="AU243" i="1" s="1"/>
  <c r="AV242" i="1"/>
  <c r="AW242" i="1" s="1"/>
  <c r="AO242" i="1"/>
  <c r="AP242" i="1"/>
  <c r="AT242" i="1"/>
  <c r="AU242" i="1" s="1"/>
  <c r="AV211" i="1"/>
  <c r="AO211" i="1"/>
  <c r="AP211" i="1"/>
  <c r="AV210" i="1"/>
  <c r="AW210" i="1" s="1"/>
  <c r="AO210" i="1"/>
  <c r="AP210" i="1"/>
  <c r="AT210" i="1"/>
  <c r="AU210" i="1" s="1"/>
  <c r="AV209" i="1"/>
  <c r="AO209" i="1"/>
  <c r="AP209" i="1"/>
  <c r="AV158" i="1"/>
  <c r="AW158" i="1" s="1"/>
  <c r="AO158" i="1"/>
  <c r="AP158" i="1"/>
  <c r="AT158" i="1"/>
  <c r="AU158" i="1" s="1"/>
  <c r="AV151" i="1"/>
  <c r="AW151" i="1" s="1"/>
  <c r="AO151" i="1"/>
  <c r="AP151" i="1"/>
  <c r="AT151" i="1"/>
  <c r="AU151" i="1" s="1"/>
  <c r="AV150" i="1"/>
  <c r="AW150" i="1" s="1"/>
  <c r="AO150" i="1"/>
  <c r="AP150" i="1"/>
  <c r="AT150" i="1"/>
  <c r="AU150" i="1" s="1"/>
  <c r="AV28" i="1"/>
  <c r="AO28" i="1"/>
  <c r="AP28" i="1"/>
  <c r="AV29" i="1"/>
  <c r="AO29" i="1"/>
  <c r="AP29" i="1"/>
  <c r="AV190" i="1"/>
  <c r="AW190" i="1" s="1"/>
  <c r="AO190" i="1"/>
  <c r="AP190" i="1"/>
  <c r="AT190" i="1"/>
  <c r="AU190" i="1" s="1"/>
  <c r="AV97" i="1"/>
  <c r="AW97" i="1" s="1"/>
  <c r="AO97" i="1"/>
  <c r="AP97" i="1"/>
  <c r="AT97" i="1"/>
  <c r="AU97" i="1" s="1"/>
  <c r="AV108" i="1"/>
  <c r="AW108" i="1" s="1"/>
  <c r="AO108" i="1"/>
  <c r="AP108" i="1"/>
  <c r="AT108" i="1"/>
  <c r="AU108" i="1" s="1"/>
  <c r="AV5" i="1"/>
  <c r="AW5" i="1" s="1"/>
  <c r="AO5" i="1"/>
  <c r="AP5" i="1"/>
  <c r="AT5" i="1"/>
  <c r="AU5" i="1" s="1"/>
  <c r="AV197" i="1"/>
  <c r="AO197" i="1"/>
  <c r="AP197" i="1"/>
  <c r="AV196" i="1"/>
  <c r="AW196" i="1" s="1"/>
  <c r="AO196" i="1"/>
  <c r="AP196" i="1"/>
  <c r="AT196" i="1"/>
  <c r="AU196" i="1" s="1"/>
  <c r="AV195" i="1"/>
  <c r="AO195" i="1"/>
  <c r="AP195" i="1"/>
  <c r="AV312" i="1"/>
  <c r="AW312" i="1" s="1"/>
  <c r="AO312" i="1"/>
  <c r="AP312" i="1"/>
  <c r="AT312" i="1"/>
  <c r="AU312" i="1" s="1"/>
  <c r="AV311" i="1"/>
  <c r="AW311" i="1" s="1"/>
  <c r="AO311" i="1"/>
  <c r="AP311" i="1"/>
  <c r="AT311" i="1"/>
  <c r="AU311" i="1" s="1"/>
  <c r="AV74" i="1"/>
  <c r="AW74" i="1" s="1"/>
  <c r="AO74" i="1"/>
  <c r="AP74" i="1"/>
  <c r="AT74" i="1"/>
  <c r="AU74" i="1" s="1"/>
  <c r="AV73" i="1"/>
  <c r="AW73" i="1" s="1"/>
  <c r="AO73" i="1"/>
  <c r="AP73" i="1"/>
  <c r="AT73" i="1"/>
  <c r="AU73" i="1" s="1"/>
  <c r="AV276" i="1"/>
  <c r="AO276" i="1"/>
  <c r="AP276" i="1"/>
  <c r="AV275" i="1"/>
  <c r="AW275" i="1" s="1"/>
  <c r="AO275" i="1"/>
  <c r="AP275" i="1"/>
  <c r="AT275" i="1"/>
  <c r="AU275" i="1" s="1"/>
  <c r="AV274" i="1"/>
  <c r="AO274" i="1"/>
  <c r="AP274" i="1"/>
  <c r="AV46" i="1"/>
  <c r="AW46" i="1" s="1"/>
  <c r="AO46" i="1"/>
  <c r="AP46" i="1"/>
  <c r="AT46" i="1"/>
  <c r="AU46" i="1" s="1"/>
  <c r="AV314" i="1"/>
  <c r="AW314" i="1" s="1"/>
  <c r="AO314" i="1"/>
  <c r="AP314" i="1"/>
  <c r="AT314" i="1"/>
  <c r="AU314" i="1" s="1"/>
  <c r="AV232" i="1"/>
  <c r="AW232" i="1" s="1"/>
  <c r="AO232" i="1"/>
  <c r="AP232" i="1"/>
  <c r="AT232" i="1"/>
  <c r="AU232" i="1" s="1"/>
  <c r="AV94" i="1"/>
  <c r="AO94" i="1"/>
  <c r="AP94" i="1"/>
  <c r="AV93" i="1"/>
  <c r="AO93" i="1"/>
  <c r="AP93" i="1"/>
  <c r="AV80" i="1"/>
  <c r="AO80" i="1"/>
  <c r="AP80" i="1"/>
  <c r="AV79" i="1"/>
  <c r="AW79" i="1" s="1"/>
  <c r="AO79" i="1"/>
  <c r="AP79" i="1"/>
  <c r="AT79" i="1"/>
  <c r="AU79" i="1" s="1"/>
  <c r="AV78" i="1"/>
  <c r="AO78" i="1"/>
  <c r="AP78" i="1"/>
  <c r="AV321" i="1"/>
  <c r="AO321" i="1"/>
  <c r="AP321" i="1"/>
  <c r="AV271" i="1"/>
  <c r="AO271" i="1"/>
  <c r="AP271" i="1"/>
  <c r="AV218" i="1"/>
  <c r="AW218" i="1" s="1"/>
  <c r="AO218" i="1"/>
  <c r="AP218" i="1"/>
  <c r="AT218" i="1"/>
  <c r="AU218" i="1" s="1"/>
  <c r="AV217" i="1"/>
  <c r="AO217" i="1"/>
  <c r="AP217" i="1"/>
  <c r="AV216" i="1"/>
  <c r="AO216" i="1"/>
  <c r="AP216" i="1"/>
  <c r="AV270" i="1"/>
  <c r="AW270" i="1" s="1"/>
  <c r="AO270" i="1"/>
  <c r="AP270" i="1"/>
  <c r="AT270" i="1"/>
  <c r="AU270" i="1" s="1"/>
  <c r="AV269" i="1"/>
  <c r="AO269" i="1"/>
  <c r="AP269" i="1"/>
  <c r="AV43" i="1"/>
  <c r="AW43" i="1" s="1"/>
  <c r="AO43" i="1"/>
  <c r="AP43" i="1"/>
  <c r="AT43" i="1"/>
  <c r="AU43" i="1" s="1"/>
  <c r="AV266" i="1"/>
  <c r="AW266" i="1" s="1"/>
  <c r="AO266" i="1"/>
  <c r="AP266" i="1"/>
  <c r="AT266" i="1"/>
  <c r="AU266" i="1" s="1"/>
  <c r="AV265" i="1"/>
  <c r="AW265" i="1" s="1"/>
  <c r="AO265" i="1"/>
  <c r="AP265" i="1"/>
  <c r="AT265" i="1"/>
  <c r="AU265" i="1" s="1"/>
  <c r="AV264" i="1"/>
  <c r="AW264" i="1" s="1"/>
  <c r="AO264" i="1"/>
  <c r="AP264" i="1"/>
  <c r="AT264" i="1"/>
  <c r="AU264" i="1" s="1"/>
  <c r="AV263" i="1"/>
  <c r="AW263" i="1" s="1"/>
  <c r="AO263" i="1"/>
  <c r="AP263" i="1"/>
  <c r="AT263" i="1"/>
  <c r="AU263" i="1" s="1"/>
  <c r="AV262" i="1"/>
  <c r="AO262" i="1"/>
  <c r="AP262" i="1"/>
  <c r="AV261" i="1"/>
  <c r="AO261" i="1"/>
  <c r="AP261" i="1"/>
  <c r="AV260" i="1"/>
  <c r="AW260" i="1" s="1"/>
  <c r="AO260" i="1"/>
  <c r="AP260" i="1"/>
  <c r="AT260" i="1"/>
  <c r="AU260" i="1" s="1"/>
  <c r="AV229" i="1"/>
  <c r="AW229" i="1" s="1"/>
  <c r="AO229" i="1"/>
  <c r="AP229" i="1"/>
  <c r="AT229" i="1"/>
  <c r="AU229" i="1" s="1"/>
  <c r="AV171" i="1"/>
  <c r="AW171" i="1" s="1"/>
  <c r="AO171" i="1"/>
  <c r="AP171" i="1"/>
  <c r="AT171" i="1"/>
  <c r="AU171" i="1" s="1"/>
  <c r="AV170" i="1"/>
  <c r="AW170" i="1" s="1"/>
  <c r="AO170" i="1"/>
  <c r="AP170" i="1"/>
  <c r="AT170" i="1"/>
  <c r="AU170" i="1" s="1"/>
  <c r="AV118" i="1"/>
  <c r="AO118" i="1"/>
  <c r="AP118" i="1"/>
  <c r="AV117" i="1"/>
  <c r="AO117" i="1"/>
  <c r="AP117" i="1"/>
  <c r="AV307" i="1"/>
  <c r="AW307" i="1" s="1"/>
  <c r="AO307" i="1"/>
  <c r="AP307" i="1"/>
  <c r="AT307" i="1"/>
  <c r="AU307" i="1" s="1"/>
  <c r="AV306" i="1"/>
  <c r="AO306" i="1"/>
  <c r="AP306" i="1"/>
  <c r="AV319" i="1"/>
  <c r="AW319" i="1" s="1"/>
  <c r="AO319" i="1"/>
  <c r="AP319" i="1"/>
  <c r="AT319" i="1"/>
  <c r="AU319" i="1" s="1"/>
  <c r="AV318" i="1"/>
  <c r="AW318" i="1" s="1"/>
  <c r="AO318" i="1"/>
  <c r="AP318" i="1"/>
  <c r="AT318" i="1"/>
  <c r="AU318" i="1" s="1"/>
  <c r="AV51" i="1"/>
  <c r="AW51" i="1" s="1"/>
  <c r="AO51" i="1"/>
  <c r="AP51" i="1"/>
  <c r="AT51" i="1"/>
  <c r="AU51" i="1" s="1"/>
  <c r="AV50" i="1"/>
  <c r="AW50" i="1" s="1"/>
  <c r="AO50" i="1"/>
  <c r="AP50" i="1"/>
  <c r="AT50" i="1"/>
  <c r="AU50" i="1" s="1"/>
  <c r="AV169" i="1"/>
  <c r="AW169" i="1" s="1"/>
  <c r="AO169" i="1"/>
  <c r="AP169" i="1"/>
  <c r="AT169" i="1"/>
  <c r="AU169" i="1" s="1"/>
  <c r="AV168" i="1"/>
  <c r="AW168" i="1" s="1"/>
  <c r="AO168" i="1"/>
  <c r="AP168" i="1"/>
  <c r="AT168" i="1"/>
  <c r="AU168" i="1" s="1"/>
  <c r="AV15" i="1"/>
  <c r="AW15" i="1" s="1"/>
  <c r="AO15" i="1"/>
  <c r="AP15" i="1"/>
  <c r="AT15" i="1"/>
  <c r="AU15" i="1" s="1"/>
  <c r="AV60" i="1"/>
  <c r="AW60" i="1" s="1"/>
  <c r="AO60" i="1"/>
  <c r="AP60" i="1"/>
  <c r="AT60" i="1"/>
  <c r="AU60" i="1" s="1"/>
  <c r="AV59" i="1"/>
  <c r="AW59" i="1" s="1"/>
  <c r="AO59" i="1"/>
  <c r="AP59" i="1"/>
  <c r="AT59" i="1"/>
  <c r="AU59" i="1" s="1"/>
  <c r="AV76" i="1"/>
  <c r="AO76" i="1"/>
  <c r="AP76" i="1"/>
  <c r="AV132" i="1"/>
  <c r="AW132" i="1" s="1"/>
  <c r="AO132" i="1"/>
  <c r="AP132" i="1"/>
  <c r="AT132" i="1"/>
  <c r="AU132" i="1" s="1"/>
  <c r="AV228" i="1"/>
  <c r="AO228" i="1"/>
  <c r="AP228" i="1"/>
  <c r="AV305" i="1"/>
  <c r="AW305" i="1" s="1"/>
  <c r="AO305" i="1"/>
  <c r="AP305" i="1"/>
  <c r="AT305" i="1"/>
  <c r="AU305" i="1" s="1"/>
  <c r="AV295" i="1"/>
  <c r="AO295" i="1"/>
  <c r="AP295" i="1"/>
  <c r="AV100" i="1"/>
  <c r="AW100" i="1" s="1"/>
  <c r="AO100" i="1"/>
  <c r="AP100" i="1"/>
  <c r="AT100" i="1"/>
  <c r="AU100" i="1" s="1"/>
  <c r="AV102" i="1"/>
  <c r="AW102" i="1" s="1"/>
  <c r="AO102" i="1"/>
  <c r="AP102" i="1"/>
  <c r="AT102" i="1"/>
  <c r="AU102" i="1" s="1"/>
  <c r="AV4" i="1"/>
  <c r="AW4" i="1" s="1"/>
  <c r="AO4" i="1"/>
  <c r="AP4" i="1"/>
  <c r="AT4" i="1"/>
  <c r="AU4" i="1" s="1"/>
  <c r="AV505" i="1"/>
  <c r="AW505" i="1" s="1"/>
  <c r="AO505" i="1"/>
  <c r="AT505" i="1"/>
  <c r="AU505" i="1" s="1"/>
  <c r="AV504" i="1"/>
  <c r="AW504" i="1" s="1"/>
  <c r="AO504" i="1"/>
  <c r="AT504" i="1"/>
  <c r="AU504" i="1" s="1"/>
  <c r="AV180" i="1"/>
  <c r="AW180" i="1" s="1"/>
  <c r="AO180" i="1"/>
  <c r="AP180" i="1"/>
  <c r="AT180" i="1"/>
  <c r="AU180" i="1" s="1"/>
  <c r="AV146" i="1"/>
  <c r="AW146" i="1" s="1"/>
  <c r="AO146" i="1"/>
  <c r="AP146" i="1"/>
  <c r="AT146" i="1"/>
  <c r="AU146" i="1" s="1"/>
  <c r="AV320" i="1"/>
  <c r="AW320" i="1" s="1"/>
  <c r="AO320" i="1"/>
  <c r="AP320" i="1"/>
  <c r="AT320" i="1"/>
  <c r="AU320" i="1" s="1"/>
  <c r="AV32" i="1"/>
  <c r="AW32" i="1" s="1"/>
  <c r="AO32" i="1"/>
  <c r="AP32" i="1"/>
  <c r="AT32" i="1"/>
  <c r="AU32" i="1" s="1"/>
  <c r="AV53" i="1"/>
  <c r="AW53" i="1" s="1"/>
  <c r="AO53" i="1"/>
  <c r="AP53" i="1"/>
  <c r="AT53" i="1"/>
  <c r="AU53" i="1" s="1"/>
  <c r="AV490" i="1"/>
  <c r="AW490" i="1" s="1"/>
  <c r="AO490" i="1"/>
  <c r="AT490" i="1"/>
  <c r="AU490" i="1" s="1"/>
  <c r="AV489" i="1"/>
  <c r="AW489" i="1" s="1"/>
  <c r="AO489" i="1"/>
  <c r="AT489" i="1"/>
  <c r="AU489" i="1" s="1"/>
  <c r="AV233" i="1"/>
  <c r="AW233" i="1" s="1"/>
  <c r="AO233" i="1"/>
  <c r="AP233" i="1"/>
  <c r="AT233" i="1"/>
  <c r="AU233" i="1" s="1"/>
  <c r="AV215" i="1"/>
  <c r="AO215" i="1"/>
  <c r="AP215" i="1"/>
  <c r="AV250" i="1"/>
  <c r="AW250" i="1" s="1"/>
  <c r="AO250" i="1"/>
  <c r="AP250" i="1"/>
  <c r="AT250" i="1"/>
  <c r="AU250" i="1" s="1"/>
  <c r="AV327" i="1"/>
  <c r="AW327" i="1" s="1"/>
  <c r="AO327" i="1"/>
  <c r="AP327" i="1"/>
  <c r="AT327" i="1"/>
  <c r="AU327" i="1" s="1"/>
  <c r="AV156" i="1"/>
  <c r="AW156" i="1" s="1"/>
  <c r="AO156" i="1"/>
  <c r="AP156" i="1"/>
  <c r="AT156" i="1"/>
  <c r="AU156" i="1" s="1"/>
  <c r="AV138" i="1"/>
  <c r="AO138" i="1"/>
  <c r="AP138" i="1"/>
  <c r="AV160" i="1"/>
  <c r="AW160" i="1" s="1"/>
  <c r="AO160" i="1"/>
  <c r="AP160" i="1"/>
  <c r="AT160" i="1"/>
  <c r="AU160" i="1" s="1"/>
  <c r="AV159" i="1"/>
  <c r="AW159" i="1" s="1"/>
  <c r="AO159" i="1"/>
  <c r="AP159" i="1"/>
  <c r="AT159" i="1"/>
  <c r="AU159" i="1" s="1"/>
  <c r="AV256" i="1"/>
  <c r="AO256" i="1"/>
  <c r="AP256" i="1"/>
  <c r="AV255" i="1"/>
  <c r="AW255" i="1" s="1"/>
  <c r="AO255" i="1"/>
  <c r="AP255" i="1"/>
  <c r="AT255" i="1"/>
  <c r="AU255" i="1" s="1"/>
  <c r="AV254" i="1"/>
  <c r="AO254" i="1"/>
  <c r="AP254" i="1"/>
  <c r="AV109" i="1"/>
  <c r="AW109" i="1" s="1"/>
  <c r="AO109" i="1"/>
  <c r="AP109" i="1"/>
  <c r="AT109" i="1"/>
  <c r="AU109" i="1" s="1"/>
  <c r="AV245" i="1"/>
  <c r="AW245" i="1" s="1"/>
  <c r="AO245" i="1"/>
  <c r="AP245" i="1"/>
  <c r="AT245" i="1"/>
  <c r="AU245" i="1" s="1"/>
  <c r="AV244" i="1"/>
  <c r="AW244" i="1" s="1"/>
  <c r="AO244" i="1"/>
  <c r="AP244" i="1"/>
  <c r="AT244" i="1"/>
  <c r="AU244" i="1" s="1"/>
  <c r="AV206" i="1"/>
  <c r="AW206" i="1" s="1"/>
  <c r="AO206" i="1"/>
  <c r="AP206" i="1"/>
  <c r="AT206" i="1"/>
  <c r="AU206" i="1" s="1"/>
  <c r="AV199" i="1"/>
  <c r="AW199" i="1" s="1"/>
  <c r="AO199" i="1"/>
  <c r="AP199" i="1"/>
  <c r="AT199" i="1"/>
  <c r="AU199" i="1" s="1"/>
  <c r="AV27" i="1"/>
  <c r="AW27" i="1" s="1"/>
  <c r="AO27" i="1"/>
  <c r="AP27" i="1"/>
  <c r="AT27" i="1"/>
  <c r="AU27" i="1" s="1"/>
  <c r="AV288" i="1"/>
  <c r="AW288" i="1" s="1"/>
  <c r="AO288" i="1"/>
  <c r="AP288" i="1"/>
  <c r="AT288" i="1"/>
  <c r="AU288" i="1" s="1"/>
  <c r="AV184" i="1"/>
  <c r="AW184" i="1" s="1"/>
  <c r="AO184" i="1"/>
  <c r="AP184" i="1"/>
  <c r="AT184" i="1"/>
  <c r="AU184" i="1" s="1"/>
  <c r="AV112" i="1"/>
  <c r="AO112" i="1"/>
  <c r="AP112" i="1"/>
  <c r="AV231" i="1"/>
  <c r="AW231" i="1" s="1"/>
  <c r="AO231" i="1"/>
  <c r="AP231" i="1"/>
  <c r="AT231" i="1"/>
  <c r="AU231" i="1" s="1"/>
  <c r="AV230" i="1"/>
  <c r="AW230" i="1" s="1"/>
  <c r="AO230" i="1"/>
  <c r="AP230" i="1"/>
  <c r="AT230" i="1"/>
  <c r="AU230" i="1" s="1"/>
  <c r="AV162" i="1"/>
  <c r="AW162" i="1" s="1"/>
  <c r="AO162" i="1"/>
  <c r="AP162" i="1"/>
  <c r="AT162" i="1"/>
  <c r="AU162" i="1" s="1"/>
  <c r="AV8" i="1"/>
  <c r="AO8" i="1"/>
  <c r="AP8" i="1"/>
  <c r="AO330" i="1" l="1"/>
  <c r="S330" i="1"/>
  <c r="AP334" i="1"/>
  <c r="S334" i="1"/>
  <c r="AP343" i="1"/>
  <c r="S343" i="1"/>
  <c r="AV335" i="1"/>
  <c r="AW335" i="1" s="1"/>
  <c r="S335" i="1"/>
  <c r="AT332" i="1"/>
  <c r="AU332" i="1" s="1"/>
  <c r="S332" i="1"/>
  <c r="AT334" i="1"/>
  <c r="AU334" i="1" s="1"/>
  <c r="AO334" i="1"/>
  <c r="AV334" i="1"/>
  <c r="AW334" i="1" s="1"/>
  <c r="AT330" i="1"/>
  <c r="AU330" i="1" s="1"/>
  <c r="AV330" i="1"/>
  <c r="AW330" i="1" s="1"/>
  <c r="AT335" i="1"/>
  <c r="AU335" i="1" s="1"/>
  <c r="AO343" i="1"/>
  <c r="AV332" i="1"/>
  <c r="AW332" i="1" s="1"/>
  <c r="AV343" i="1"/>
  <c r="AW343" i="1" s="1"/>
  <c r="AO335" i="1"/>
  <c r="AP335" i="1"/>
  <c r="AO332" i="1"/>
  <c r="AT343" i="1"/>
  <c r="AU343" i="1" s="1"/>
  <c r="AP332" i="1"/>
  <c r="AT467" i="1"/>
  <c r="AU467" i="1" s="1"/>
  <c r="AV467" i="1"/>
  <c r="AW467" i="1" s="1"/>
  <c r="AT377" i="1"/>
  <c r="AU377" i="1" s="1"/>
  <c r="AV404" i="1"/>
  <c r="AW404" i="1" s="1"/>
  <c r="AT404" i="1"/>
  <c r="AU404" i="1" s="1"/>
  <c r="AO433" i="1"/>
  <c r="AO377" i="1"/>
  <c r="AT433" i="1"/>
  <c r="AU433" i="1" s="1"/>
  <c r="AO380" i="1"/>
  <c r="AV380" i="1"/>
  <c r="AW380" i="1" s="1"/>
  <c r="AO447" i="1"/>
  <c r="AV447" i="1"/>
  <c r="AW447" i="1" s="1"/>
  <c r="AV310" i="1"/>
  <c r="AW310" i="1" s="1"/>
  <c r="AO135" i="1"/>
  <c r="AO71" i="1"/>
  <c r="AO9" i="1"/>
  <c r="AT176" i="1"/>
  <c r="AU176" i="1" s="1"/>
  <c r="AO75" i="1"/>
  <c r="AO99" i="1"/>
  <c r="AV75" i="1"/>
  <c r="AW75" i="1" s="1"/>
  <c r="AV515" i="1"/>
  <c r="AW515" i="1" s="1"/>
  <c r="AV35" i="1"/>
  <c r="AW35" i="1" s="1"/>
  <c r="AO35" i="1"/>
  <c r="AO189" i="1"/>
  <c r="AO310" i="1"/>
  <c r="AV71" i="1"/>
  <c r="AW71" i="1" s="1"/>
  <c r="AT71" i="1"/>
  <c r="AU71" i="1" s="1"/>
  <c r="AP10" i="1"/>
  <c r="AO10" i="1"/>
  <c r="AT35" i="1"/>
  <c r="AU35" i="1" s="1"/>
  <c r="AT310" i="1"/>
  <c r="AU310" i="1" s="1"/>
  <c r="AO277" i="1"/>
  <c r="AO175" i="1"/>
  <c r="AT515" i="1"/>
  <c r="AU515" i="1" s="1"/>
  <c r="AO134" i="1"/>
  <c r="AV135" i="1"/>
  <c r="AW135" i="1" s="1"/>
  <c r="AV62" i="1"/>
  <c r="AW62" i="1" s="1"/>
  <c r="AT174" i="1"/>
  <c r="AU174" i="1" s="1"/>
  <c r="AO72" i="1"/>
  <c r="AV99" i="1"/>
  <c r="AW99" i="1" s="1"/>
  <c r="AO152" i="1"/>
  <c r="AO111" i="1"/>
  <c r="AV189" i="1"/>
  <c r="AW189" i="1" s="1"/>
  <c r="AV152" i="1"/>
  <c r="AW152" i="1" s="1"/>
  <c r="AT175" i="1"/>
  <c r="AU175" i="1" s="1"/>
  <c r="AT134" i="1"/>
  <c r="AU134" i="1" s="1"/>
  <c r="AT277" i="1"/>
  <c r="AU277" i="1" s="1"/>
  <c r="AO315" i="1"/>
  <c r="AV72" i="1"/>
  <c r="AW72" i="1" s="1"/>
  <c r="AT99" i="1"/>
  <c r="AU99" i="1" s="1"/>
  <c r="AT111" i="1"/>
  <c r="AV175" i="1"/>
  <c r="AW175" i="1" s="1"/>
  <c r="AO515" i="1"/>
  <c r="AV134" i="1"/>
  <c r="AW134" i="1" s="1"/>
  <c r="AV277" i="1"/>
  <c r="AW277" i="1" s="1"/>
  <c r="AP111" i="1"/>
  <c r="AV174" i="1"/>
  <c r="AW174" i="1" s="1"/>
  <c r="AO176" i="1"/>
  <c r="AT189" i="1"/>
  <c r="AU189" i="1" s="1"/>
  <c r="AT75" i="1"/>
  <c r="AU75" i="1" s="1"/>
  <c r="AT135" i="1"/>
  <c r="AU135" i="1" s="1"/>
  <c r="AT72" i="1"/>
  <c r="AU72" i="1" s="1"/>
  <c r="AT315" i="1"/>
  <c r="AU315" i="1" s="1"/>
  <c r="AV284" i="1"/>
  <c r="AW284" i="1" s="1"/>
  <c r="AP9" i="1"/>
  <c r="AV176" i="1"/>
  <c r="AW176" i="1" s="1"/>
  <c r="AT152" i="1"/>
  <c r="AU152" i="1" s="1"/>
  <c r="AT62" i="1"/>
  <c r="AU62" i="1" s="1"/>
  <c r="AO56" i="1"/>
  <c r="AV315" i="1"/>
  <c r="AW315" i="1" s="1"/>
  <c r="AT56" i="1"/>
  <c r="AU56" i="1" s="1"/>
  <c r="AO284" i="1"/>
  <c r="AV56" i="1"/>
  <c r="AW56" i="1" s="1"/>
  <c r="AT284" i="1"/>
  <c r="AU284" i="1" s="1"/>
  <c r="AO25" i="1"/>
  <c r="AT25" i="1"/>
  <c r="AU25" i="1" s="1"/>
  <c r="AV25" i="1"/>
  <c r="AW25" i="1" s="1"/>
  <c r="AO57" i="1"/>
  <c r="AT57" i="1"/>
  <c r="AU57" i="1" s="1"/>
  <c r="AV57" i="1"/>
  <c r="AW57" i="1" s="1"/>
  <c r="AO63" i="1"/>
  <c r="AT63" i="1"/>
  <c r="AU63" i="1" s="1"/>
  <c r="AV63" i="1"/>
  <c r="AW63" i="1" s="1"/>
  <c r="AO37" i="1"/>
  <c r="AT37" i="1"/>
  <c r="AU37" i="1" s="1"/>
  <c r="AV37" i="1"/>
  <c r="AW37" i="1" s="1"/>
  <c r="AP25" i="1"/>
  <c r="AP57" i="1"/>
  <c r="AP63" i="1"/>
  <c r="AP37" i="1"/>
  <c r="AK111" i="1"/>
  <c r="AK9" i="1"/>
  <c r="AK10" i="1"/>
  <c r="AS181" i="1" l="1"/>
  <c r="AS152" i="1"/>
  <c r="AS72" i="1"/>
  <c r="AS135" i="1"/>
  <c r="AS25" i="1"/>
  <c r="AS62" i="1"/>
  <c r="AS75" i="1"/>
  <c r="AS433" i="1"/>
  <c r="AS335" i="1"/>
  <c r="AS465" i="1"/>
  <c r="AS115" i="1"/>
  <c r="AS483" i="1"/>
  <c r="AS416" i="1"/>
  <c r="AS510" i="1"/>
  <c r="AS372" i="1"/>
  <c r="AS68" i="1"/>
  <c r="AS126" i="1"/>
  <c r="AS333" i="1"/>
  <c r="AS113" i="1"/>
  <c r="AS366" i="1"/>
  <c r="AS351" i="1"/>
  <c r="AS224" i="1"/>
  <c r="AS418" i="1"/>
  <c r="AS481" i="1"/>
  <c r="AS191" i="1"/>
  <c r="AS460" i="1"/>
  <c r="AS436" i="1"/>
  <c r="AS149" i="1"/>
  <c r="AS213" i="1"/>
  <c r="AS260" i="1"/>
  <c r="AS462" i="1"/>
  <c r="AS432" i="1"/>
  <c r="AS358" i="1"/>
  <c r="AS178" i="1"/>
  <c r="AS3" i="1"/>
  <c r="AS315" i="1"/>
  <c r="AS189" i="1"/>
  <c r="AS277" i="1"/>
  <c r="AS310" i="1"/>
  <c r="AS71" i="1"/>
  <c r="AS377" i="1"/>
  <c r="AS343" i="1"/>
  <c r="AS334" i="1"/>
  <c r="AS371" i="1"/>
  <c r="AS461" i="1"/>
  <c r="AS252" i="1"/>
  <c r="AS428" i="1"/>
  <c r="AS182" i="1"/>
  <c r="AS2" i="1"/>
  <c r="AS414" i="1"/>
  <c r="AS457" i="1"/>
  <c r="AS125" i="1"/>
  <c r="AS124" i="1"/>
  <c r="AS70" i="1"/>
  <c r="AS293" i="1"/>
  <c r="AS227" i="1"/>
  <c r="AS410" i="1"/>
  <c r="AS435" i="1"/>
  <c r="AS34" i="1"/>
  <c r="AS507" i="1"/>
  <c r="AS375" i="1"/>
  <c r="AS148" i="1"/>
  <c r="AS400" i="1"/>
  <c r="AS229" i="1"/>
  <c r="AS309" i="1"/>
  <c r="AS431" i="1"/>
  <c r="AS441" i="1"/>
  <c r="AS166" i="1"/>
  <c r="AS313" i="1"/>
  <c r="AS56" i="1"/>
  <c r="AS284" i="1"/>
  <c r="AS99" i="1"/>
  <c r="AS134" i="1"/>
  <c r="AS174" i="1"/>
  <c r="AS515" i="1"/>
  <c r="AS35" i="1"/>
  <c r="AS330" i="1"/>
  <c r="AS140" i="1"/>
  <c r="AS237" i="1"/>
  <c r="AS444" i="1"/>
  <c r="AS223" i="1"/>
  <c r="AS430" i="1"/>
  <c r="AS511" i="1"/>
  <c r="AS342" i="1"/>
  <c r="AS397" i="1"/>
  <c r="AS389" i="1"/>
  <c r="AS353" i="1"/>
  <c r="AS356" i="1"/>
  <c r="AS380" i="1"/>
  <c r="AS325" i="1"/>
  <c r="AS374" i="1"/>
  <c r="AS422" i="1"/>
  <c r="AS193" i="1"/>
  <c r="AS445" i="1"/>
  <c r="AS14" i="1"/>
  <c r="AS259" i="1"/>
  <c r="AS275" i="1"/>
  <c r="AS171" i="1"/>
  <c r="AS165" i="1"/>
  <c r="AS157" i="1"/>
  <c r="AS147" i="1"/>
  <c r="AS154" i="1"/>
  <c r="AS57" i="1"/>
  <c r="AS63" i="1"/>
  <c r="AS37" i="1"/>
  <c r="AS27" i="1"/>
  <c r="AS266" i="1"/>
  <c r="AS106" i="1"/>
  <c r="AS305" i="1"/>
  <c r="AS46" i="1"/>
  <c r="AS190" i="1"/>
  <c r="AS337" i="1"/>
  <c r="AS206" i="1"/>
  <c r="AS210" i="1"/>
  <c r="AS240" i="1"/>
  <c r="AS247" i="1"/>
  <c r="AS499" i="1"/>
  <c r="AS139" i="1"/>
  <c r="AS303" i="1"/>
  <c r="AS4" i="1"/>
  <c r="AS251" i="1"/>
  <c r="AS250" i="1"/>
  <c r="AS51" i="1"/>
  <c r="AS312" i="1"/>
  <c r="AS187" i="1"/>
  <c r="AS129" i="1"/>
  <c r="AS264" i="1"/>
  <c r="AS282" i="1"/>
  <c r="AS60" i="1"/>
  <c r="AS218" i="1"/>
  <c r="AS53" i="1"/>
  <c r="AS180" i="1"/>
  <c r="AS48" i="1"/>
  <c r="AS122" i="1"/>
  <c r="AS378" i="1"/>
  <c r="AS179" i="1"/>
  <c r="AS290" i="1"/>
  <c r="AS508" i="1"/>
  <c r="AS488" i="1"/>
  <c r="AS323" i="1"/>
  <c r="AS447" i="1"/>
  <c r="AS253" i="1"/>
  <c r="AS221" i="1"/>
  <c r="AS381" i="1"/>
  <c r="AS496" i="1"/>
  <c r="AS104" i="1"/>
  <c r="AS476" i="1"/>
  <c r="AS304" i="1"/>
  <c r="AS369" i="1"/>
  <c r="AS177" i="1"/>
  <c r="AS77" i="1"/>
  <c r="AS355" i="1"/>
  <c r="AS363" i="1"/>
  <c r="AS479" i="1"/>
  <c r="AS291" i="1"/>
  <c r="AS279" i="1"/>
  <c r="AS185" i="1"/>
  <c r="AS424" i="1"/>
  <c r="AS478" i="1"/>
  <c r="AS365" i="1"/>
  <c r="AS317" i="1"/>
  <c r="AS387" i="1"/>
  <c r="AS214" i="1"/>
  <c r="AS81" i="1"/>
  <c r="AS91" i="1"/>
  <c r="AS492" i="1"/>
  <c r="AS485" i="1"/>
  <c r="AS443" i="1"/>
  <c r="AS201" i="1"/>
  <c r="AS41" i="1"/>
  <c r="AS392" i="1"/>
  <c r="AS123" i="1"/>
  <c r="AS173" i="1"/>
  <c r="AS226" i="1"/>
  <c r="AS83" i="1"/>
  <c r="AS437" i="1"/>
  <c r="AS493" i="1"/>
  <c r="AS455" i="1"/>
  <c r="AS236" i="1"/>
  <c r="AS163" i="1"/>
  <c r="AS155" i="1"/>
  <c r="AS426" i="1"/>
  <c r="AS382" i="1"/>
  <c r="AS456" i="1"/>
  <c r="AS219" i="1"/>
  <c r="AS110" i="1"/>
  <c r="AS89" i="1"/>
  <c r="AS21" i="1"/>
  <c r="AS121" i="1"/>
  <c r="AS245" i="1"/>
  <c r="AS403" i="1"/>
  <c r="AS230" i="1"/>
  <c r="AS270" i="1"/>
  <c r="AS5" i="1"/>
  <c r="AS242" i="1"/>
  <c r="AS344" i="1"/>
  <c r="AS109" i="1"/>
  <c r="AS144" i="1"/>
  <c r="AS241" i="1"/>
  <c r="AS248" i="1"/>
  <c r="AS409" i="1"/>
  <c r="AS340" i="1"/>
  <c r="AS302" i="1"/>
  <c r="AS307" i="1"/>
  <c r="AS55" i="1"/>
  <c r="AS59" i="1"/>
  <c r="AS319" i="1"/>
  <c r="AS150" i="1"/>
  <c r="AS188" i="1"/>
  <c r="AS199" i="1"/>
  <c r="AS196" i="1"/>
  <c r="AS231" i="1"/>
  <c r="AS168" i="1"/>
  <c r="AS74" i="1"/>
  <c r="AS32" i="1"/>
  <c r="AS504" i="1"/>
  <c r="AS49" i="1"/>
  <c r="AS285" i="1"/>
  <c r="AS469" i="1"/>
  <c r="AS346" i="1"/>
  <c r="AS289" i="1"/>
  <c r="AS471" i="1"/>
  <c r="AS423" i="1"/>
  <c r="AS452" i="1"/>
  <c r="AS322" i="1"/>
  <c r="AS95" i="1"/>
  <c r="AS143" i="1"/>
  <c r="AS425" i="1"/>
  <c r="AS24" i="1"/>
  <c r="AS503" i="1"/>
  <c r="AS103" i="1"/>
  <c r="AS225" i="1"/>
  <c r="AS153" i="1"/>
  <c r="AS415" i="1"/>
  <c r="AS429" i="1"/>
  <c r="AS222" i="1"/>
  <c r="AS370" i="1"/>
  <c r="AS359" i="1"/>
  <c r="AS393" i="1"/>
  <c r="AS38" i="1"/>
  <c r="AS136" i="1"/>
  <c r="AS298" i="1"/>
  <c r="AS23" i="1"/>
  <c r="AS137" i="1"/>
  <c r="AS11" i="1"/>
  <c r="AS267" i="1"/>
  <c r="AS127" i="1"/>
  <c r="AS477" i="1"/>
  <c r="AS202" i="1"/>
  <c r="AS338" i="1"/>
  <c r="AS299" i="1"/>
  <c r="AS438" i="1"/>
  <c r="AS349" i="1"/>
  <c r="AS172" i="1"/>
  <c r="AS88" i="1"/>
  <c r="AS518" i="1"/>
  <c r="AS391" i="1"/>
  <c r="AS519" i="1"/>
  <c r="AS107" i="1"/>
  <c r="AS82" i="1"/>
  <c r="AS500" i="1"/>
  <c r="AS364" i="1"/>
  <c r="AS411" i="1"/>
  <c r="AS235" i="1"/>
  <c r="AS348" i="1"/>
  <c r="AS419" i="1"/>
  <c r="AS280" i="1"/>
  <c r="AS257" i="1"/>
  <c r="AS407" i="1"/>
  <c r="AS406" i="1"/>
  <c r="AS487" i="1"/>
  <c r="AS373" i="1"/>
  <c r="AS45" i="1"/>
  <c r="AS192" i="1"/>
  <c r="AS489" i="1"/>
  <c r="AS133" i="1"/>
  <c r="AS255" i="1"/>
  <c r="AS232" i="1"/>
  <c r="AS108" i="1"/>
  <c r="AS243" i="1"/>
  <c r="AS186" i="1"/>
  <c r="AS102" i="1"/>
  <c r="AS324" i="1"/>
  <c r="AS205" i="1"/>
  <c r="AS379" i="1"/>
  <c r="AS120" i="1"/>
  <c r="AS183" i="1"/>
  <c r="AS288" i="1"/>
  <c r="AS43" i="1"/>
  <c r="AS162" i="1"/>
  <c r="AS15" i="1"/>
  <c r="AS73" i="1"/>
  <c r="AS151" i="1"/>
  <c r="AS401" i="1"/>
  <c r="AS233" i="1"/>
  <c r="AS145" i="1"/>
  <c r="AS327" i="1"/>
  <c r="AS50" i="1"/>
  <c r="AS159" i="1"/>
  <c r="AS320" i="1"/>
  <c r="AS132" i="1"/>
  <c r="AS65" i="1"/>
  <c r="AS399" i="1"/>
  <c r="AS448" i="1"/>
  <c r="AS345" i="1"/>
  <c r="AS273" i="1"/>
  <c r="AS459" i="1"/>
  <c r="AS198" i="1"/>
  <c r="AS449" i="1"/>
  <c r="AS368" i="1"/>
  <c r="AS16" i="1"/>
  <c r="AS18" i="1"/>
  <c r="AS451" i="1"/>
  <c r="AS316" i="1"/>
  <c r="AS497" i="1"/>
  <c r="AS385" i="1"/>
  <c r="AS484" i="1"/>
  <c r="AS517" i="1"/>
  <c r="AS58" i="1"/>
  <c r="AS36" i="1"/>
  <c r="AS203" i="1"/>
  <c r="AS116" i="1"/>
  <c r="AS454" i="1"/>
  <c r="AS383" i="1"/>
  <c r="AS17" i="1"/>
  <c r="AS6" i="1"/>
  <c r="AS7" i="1"/>
  <c r="AS26" i="1"/>
  <c r="AS249" i="1"/>
  <c r="AS40" i="1"/>
  <c r="AS268" i="1"/>
  <c r="AS502" i="1"/>
  <c r="AS421" i="1"/>
  <c r="AS486" i="1"/>
  <c r="AS20" i="1"/>
  <c r="AS44" i="1"/>
  <c r="AS296" i="1"/>
  <c r="AS439" i="1"/>
  <c r="AS119" i="1"/>
  <c r="AS246" i="1"/>
  <c r="AS354" i="1"/>
  <c r="AS87" i="1"/>
  <c r="AS473" i="1"/>
  <c r="AS96" i="1"/>
  <c r="AS402" i="1"/>
  <c r="AS408" i="1"/>
  <c r="AS360" i="1"/>
  <c r="AS480" i="1"/>
  <c r="AS394" i="1"/>
  <c r="AS347" i="1"/>
  <c r="AS352" i="1"/>
  <c r="AS450" i="1"/>
  <c r="AS362" i="1"/>
  <c r="AS286" i="1"/>
  <c r="AS498" i="1"/>
  <c r="AS200" i="1"/>
  <c r="AS412" i="1"/>
  <c r="AS395" i="1"/>
  <c r="AS516" i="1"/>
  <c r="AS263" i="1"/>
  <c r="AS54" i="1"/>
  <c r="AS490" i="1"/>
  <c r="AS314" i="1"/>
  <c r="AS97" i="1"/>
  <c r="AS336" i="1"/>
  <c r="AS184" i="1"/>
  <c r="AS265" i="1"/>
  <c r="AS105" i="1"/>
  <c r="AS52" i="1"/>
  <c r="AS466" i="1"/>
  <c r="AS463" i="1"/>
  <c r="AS326" i="1"/>
  <c r="AS244" i="1"/>
  <c r="AS405" i="1"/>
  <c r="AS156" i="1"/>
  <c r="AS169" i="1"/>
  <c r="AS311" i="1"/>
  <c r="AS158" i="1"/>
  <c r="AS278" i="1"/>
  <c r="AS100" i="1"/>
  <c r="AS234" i="1"/>
  <c r="AS505" i="1"/>
  <c r="AS318" i="1"/>
  <c r="AS160" i="1"/>
  <c r="AS146" i="1"/>
  <c r="AS47" i="1"/>
  <c r="AS208" i="1"/>
  <c r="AS292" i="1"/>
  <c r="AS329" i="1"/>
  <c r="AS446" i="1"/>
  <c r="AS272" i="1"/>
  <c r="AS434" i="1"/>
  <c r="AS212" i="1"/>
  <c r="AS468" i="1"/>
  <c r="AS384" i="1"/>
  <c r="AS308" i="1"/>
  <c r="AS509" i="1"/>
  <c r="AS427" i="1"/>
  <c r="AS420" i="1"/>
  <c r="AS390" i="1"/>
  <c r="AS475" i="1"/>
  <c r="AS239" i="1"/>
  <c r="AS339" i="1"/>
  <c r="AS167" i="1"/>
  <c r="AS90" i="1"/>
  <c r="AS413" i="1"/>
  <c r="AS474" i="1"/>
  <c r="AS453" i="1"/>
  <c r="AS283" i="1"/>
  <c r="AS31" i="1"/>
  <c r="AS12" i="1"/>
  <c r="AS19" i="1"/>
  <c r="AS294" i="1"/>
  <c r="AS39" i="1"/>
  <c r="AS287" i="1"/>
  <c r="AS220" i="1"/>
  <c r="AS33" i="1"/>
  <c r="AS331" i="1"/>
  <c r="AS281" i="1"/>
  <c r="AS491" i="1"/>
  <c r="AS396" i="1"/>
  <c r="AS114" i="1"/>
  <c r="AS442" i="1"/>
  <c r="AS440" i="1"/>
  <c r="AS85" i="1"/>
  <c r="AS472" i="1"/>
  <c r="AS98" i="1"/>
  <c r="AS194" i="1"/>
  <c r="AS84" i="1"/>
  <c r="AS376" i="1"/>
  <c r="AS506" i="1"/>
  <c r="AS207" i="1"/>
  <c r="AS458" i="1"/>
  <c r="AS164" i="1"/>
  <c r="AS350" i="1"/>
  <c r="AS69" i="1"/>
  <c r="AS361" i="1"/>
  <c r="AS388" i="1"/>
  <c r="AS495" i="1"/>
  <c r="AS417" i="1"/>
  <c r="AS386" i="1"/>
  <c r="AS297" i="1"/>
  <c r="AS238" i="1"/>
  <c r="AS300" i="1"/>
  <c r="AS175" i="1"/>
  <c r="AS176" i="1"/>
  <c r="AS404" i="1"/>
  <c r="AS467" i="1"/>
  <c r="AS332" i="1"/>
  <c r="AS464" i="1"/>
  <c r="AS92" i="1"/>
  <c r="AS64" i="1"/>
  <c r="AS30" i="1"/>
  <c r="AS482" i="1"/>
  <c r="AS130" i="1"/>
  <c r="AS514" i="1"/>
  <c r="AS398" i="1"/>
  <c r="AS513" i="1"/>
  <c r="AS22" i="1"/>
  <c r="AS301" i="1"/>
  <c r="AS357" i="1"/>
  <c r="AS367" i="1"/>
  <c r="AS161" i="1"/>
  <c r="AS494" i="1"/>
  <c r="AS470" i="1"/>
  <c r="AS501" i="1"/>
  <c r="AS13" i="1"/>
  <c r="AS258" i="1"/>
  <c r="AS79" i="1"/>
  <c r="AS170" i="1"/>
  <c r="AS86" i="1"/>
  <c r="AS341" i="1"/>
  <c r="AS512" i="1"/>
  <c r="AS131" i="1"/>
  <c r="AS42" i="1"/>
  <c r="AW61" i="1"/>
  <c r="AT61" i="1"/>
  <c r="AU61" i="1" s="1"/>
  <c r="AS61" i="1" s="1"/>
  <c r="AW9" i="1" l="1"/>
  <c r="AT9" i="1"/>
  <c r="AW10" i="1"/>
  <c r="AT10" i="1"/>
  <c r="AU10" i="1" s="1"/>
  <c r="AS10" i="1" s="1"/>
  <c r="AW8" i="1"/>
  <c r="AT8" i="1"/>
  <c r="AU8" i="1" s="1"/>
  <c r="AS8" i="1" s="1"/>
  <c r="AW112" i="1"/>
  <c r="AT112" i="1"/>
  <c r="AU112" i="1" s="1"/>
  <c r="AS112" i="1" s="1"/>
  <c r="AW254" i="1"/>
  <c r="AT254" i="1"/>
  <c r="AU254" i="1" s="1"/>
  <c r="AS254" i="1" s="1"/>
  <c r="AW256" i="1"/>
  <c r="AT256" i="1"/>
  <c r="AU256" i="1" s="1"/>
  <c r="AS256" i="1" s="1"/>
  <c r="AW138" i="1"/>
  <c r="AT138" i="1"/>
  <c r="AU138" i="1" s="1"/>
  <c r="AS138" i="1" s="1"/>
  <c r="AW215" i="1"/>
  <c r="AT215" i="1"/>
  <c r="AU215" i="1" s="1"/>
  <c r="AS215" i="1" s="1"/>
  <c r="AW295" i="1"/>
  <c r="AT295" i="1"/>
  <c r="AU295" i="1" s="1"/>
  <c r="AS295" i="1" s="1"/>
  <c r="AW228" i="1"/>
  <c r="AT228" i="1"/>
  <c r="AU228" i="1" s="1"/>
  <c r="AS228" i="1" s="1"/>
  <c r="AW76" i="1"/>
  <c r="AT76" i="1"/>
  <c r="AU76" i="1" s="1"/>
  <c r="AS76" i="1" s="1"/>
  <c r="AW117" i="1"/>
  <c r="AT117" i="1"/>
  <c r="AU117" i="1" s="1"/>
  <c r="AS117" i="1" s="1"/>
  <c r="AW118" i="1"/>
  <c r="AT118" i="1"/>
  <c r="AU118" i="1" s="1"/>
  <c r="AS118" i="1" s="1"/>
  <c r="AW261" i="1"/>
  <c r="AT261" i="1"/>
  <c r="AU261" i="1" s="1"/>
  <c r="AS261" i="1" s="1"/>
  <c r="AW262" i="1"/>
  <c r="AT262" i="1"/>
  <c r="AU262" i="1" s="1"/>
  <c r="AS262" i="1" s="1"/>
  <c r="AW269" i="1"/>
  <c r="AT269" i="1"/>
  <c r="AU269" i="1" s="1"/>
  <c r="AS269" i="1" s="1"/>
  <c r="AW216" i="1"/>
  <c r="AT216" i="1"/>
  <c r="AU216" i="1" s="1"/>
  <c r="AS216" i="1" s="1"/>
  <c r="AW217" i="1"/>
  <c r="AT217" i="1"/>
  <c r="AU217" i="1" s="1"/>
  <c r="AS217" i="1" s="1"/>
  <c r="AW271" i="1"/>
  <c r="AT271" i="1"/>
  <c r="AU271" i="1" s="1"/>
  <c r="AS271" i="1" s="1"/>
  <c r="AW321" i="1"/>
  <c r="AT321" i="1"/>
  <c r="AU321" i="1" s="1"/>
  <c r="AS321" i="1" s="1"/>
  <c r="AW78" i="1"/>
  <c r="AT78" i="1"/>
  <c r="AU78" i="1" s="1"/>
  <c r="AS78" i="1" s="1"/>
  <c r="AW80" i="1"/>
  <c r="AT80" i="1"/>
  <c r="AU80" i="1" s="1"/>
  <c r="AS80" i="1" s="1"/>
  <c r="AW93" i="1"/>
  <c r="AT93" i="1"/>
  <c r="AU93" i="1" s="1"/>
  <c r="AS93" i="1" s="1"/>
  <c r="AW94" i="1"/>
  <c r="AT94" i="1"/>
  <c r="AU94" i="1" s="1"/>
  <c r="AS94" i="1" s="1"/>
  <c r="AW274" i="1"/>
  <c r="AT274" i="1"/>
  <c r="AU274" i="1" s="1"/>
  <c r="AS274" i="1" s="1"/>
  <c r="AW276" i="1"/>
  <c r="AT276" i="1"/>
  <c r="AU276" i="1" s="1"/>
  <c r="AS276" i="1" s="1"/>
  <c r="AW195" i="1"/>
  <c r="AT195" i="1"/>
  <c r="AU195" i="1" s="1"/>
  <c r="AS195" i="1" s="1"/>
  <c r="AW197" i="1"/>
  <c r="AT197" i="1"/>
  <c r="AU197" i="1" s="1"/>
  <c r="AS197" i="1" s="1"/>
  <c r="AW28" i="1"/>
  <c r="AT28" i="1"/>
  <c r="AU28" i="1" s="1"/>
  <c r="AS28" i="1" s="1"/>
  <c r="AW209" i="1"/>
  <c r="AT209" i="1"/>
  <c r="AU209" i="1" s="1"/>
  <c r="AS209" i="1" s="1"/>
  <c r="AW211" i="1"/>
  <c r="AT211" i="1"/>
  <c r="AU211" i="1" s="1"/>
  <c r="AS211" i="1" s="1"/>
  <c r="AW141" i="1"/>
  <c r="AT141" i="1"/>
  <c r="AU141" i="1" s="1"/>
  <c r="AS141" i="1" s="1"/>
  <c r="AW142" i="1"/>
  <c r="AT142" i="1"/>
  <c r="AU142" i="1" s="1"/>
  <c r="AS142" i="1" s="1"/>
  <c r="AW204" i="1"/>
  <c r="AT204" i="1"/>
  <c r="AU204" i="1" s="1"/>
  <c r="AS204" i="1" s="1"/>
  <c r="AW66" i="1"/>
  <c r="AT66" i="1"/>
  <c r="AU66" i="1" s="1"/>
  <c r="AS66" i="1" s="1"/>
  <c r="AW67" i="1"/>
  <c r="AT67" i="1"/>
  <c r="AU67" i="1" s="1"/>
  <c r="AS67" i="1" s="1"/>
  <c r="AW101" i="1"/>
  <c r="AT101" i="1"/>
  <c r="AU101" i="1" s="1"/>
  <c r="AS101" i="1" s="1"/>
  <c r="AW328" i="1"/>
  <c r="AT328" i="1"/>
  <c r="AU328" i="1" s="1"/>
  <c r="AS328" i="1" s="1"/>
  <c r="AW128" i="1"/>
  <c r="AT128" i="1"/>
  <c r="AU128" i="1" s="1"/>
  <c r="AS128" i="1" s="1"/>
  <c r="AW306" i="1"/>
  <c r="AT306" i="1"/>
  <c r="AU306" i="1" s="1"/>
  <c r="AS306" i="1" s="1"/>
  <c r="AU111" i="1"/>
  <c r="AS111" i="1" s="1"/>
  <c r="AW111" i="1"/>
  <c r="AT29" i="1"/>
  <c r="AU9" i="1"/>
  <c r="AS9" i="1" s="1"/>
  <c r="AU29" i="1" l="1"/>
  <c r="AS29" i="1" s="1"/>
  <c r="AW29" i="1"/>
  <c r="K11" i="19"/>
  <c r="L11" i="19" s="1"/>
  <c r="H12" i="19" l="1"/>
  <c r="H13" i="19"/>
  <c r="H14" i="19"/>
  <c r="H15" i="19"/>
  <c r="H16" i="19"/>
  <c r="H17" i="19"/>
  <c r="H18" i="19"/>
  <c r="H19" i="19"/>
  <c r="H20" i="19"/>
  <c r="H21" i="19"/>
  <c r="H22" i="19"/>
  <c r="H23" i="19"/>
  <c r="K23" i="19" s="1"/>
  <c r="H25" i="19" l="1"/>
  <c r="L23" i="19"/>
  <c r="H24" i="19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PITI3.SA&amp;f=nol1hgd1" htmlTables="1" htmlFormat="all"/>
  </connection>
  <connection id="2" name="Conexão1" type="4" refreshedVersion="0" background="1" saveData="1">
    <webPr url="http://download.finance.yahoo.com/d/quotes.csv?s=PITI3.SA&amp;f=nol1hgd1" htmlTables="1" htmlFormat="all"/>
  </connection>
  <connection id="3" name="Conexão10" type="4" refreshedVersion="3" background="1" saveData="1">
    <webPr xl2000="1" url="http://download.finance.yahoo.com/d/quotes.csv?s=IDVL3.SA+IDVL4.SA+BMEB3.SA+BMEB4.SA+BPNM3.SA+BPNM4.SA&amp;f=nol1hgd1" htmlFormat="all"/>
  </connection>
  <connection id="4" name="Conexão10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" name="Conexão1001" type="4" refreshedVersion="3" deleted="1" background="1" saveData="1">
    <webPr xl2000="1" htmlTables="1" htmlFormat="all"/>
  </connection>
  <connection id="6" name="Conexão10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" name="Conexão1010" type="4" refreshedVersion="3" background="1" saveData="1">
    <webPr xl2000="1" url="http://download.finance.yahoo.com/d/quotes.csv?s=IDVL3.SA+IDVL4.SA+BMEB3.SA+BMEB4.SA+BPNM3.SA+BPNM4.SA&amp;f=nol1hgd1" htmlFormat="all"/>
  </connection>
  <connection id="8" name="Conexão10101" type="4" refreshedVersion="3" background="1" saveData="1">
    <webPr xl2000="1" url="http://download.finance.yahoo.com/d/quotes.csv?s=IDVL3.SA+IDVL4.SA+BMEB3.SA+BMEB4.SA+BPNM3.SA+BPNM4.SA&amp;f=nol1hgd1" htmlFormat="all"/>
  </connection>
  <connection id="9" name="Conexão1011" type="4" refreshedVersion="0" deleted="1" background="1" saveData="1">
    <webPr htmlTables="1" htmlFormat="all"/>
  </connection>
  <connection id="10" name="Conexão10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1" name="Conexão10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2" name="Conexão10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3" name="Conexão10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4" name="Conexão10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5" name="Conexão10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6" name="Conexão103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7" name="Conexão10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8" name="Conexão10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9" name="Conexão10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0" name="Conexão10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1" name="Conexão104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2" name="Conexão10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3" name="Conexão10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4" name="Conexão10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5" name="Conexão10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6" name="Conexão10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7" name="Conexão10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8" name="Conexão10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9" name="Conexão10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0" name="Conexão10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1" name="Conexão10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2" name="Conexão10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3" name="Conexão10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4" name="Conexão10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5" name="Conexão10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6" name="Conexão10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7" name="Conexão10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8" name="Conexão10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9" name="Conexão10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0" name="Conexão10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1" name="Conexão10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2" name="Conexão10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3" name="Conexão10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4" name="Conexão10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5" name="Conexão11" type="4" refreshedVersion="0" background="1" saveData="1">
    <webPr url="http://download.finance.yahoo.com/d/quotes.csv?s=IDVL3.SA+IDVL4.SA+BMEB3.SA+BMEB4.SA+BPNM3.SA+BPNM4.SA+BPAT33.SA&amp;f=nol1hgd1" htmlTables="1" htmlFormat="all"/>
  </connection>
  <connection id="46" name="Conexão11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7" name="Conexão11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8" name="Conexão11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9" name="Conexão11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0" name="Conexão11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1" name="Conexão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2" name="Conexão1110" type="4" refreshedVersion="0" background="1" saveData="1">
    <webPr url="http://download.finance.yahoo.com/d/quotes.csv?s=IDVL3.SA+IDVL4.SA+BMEB3.SA+BMEB4.SA+BPNM3.SA+BPNM4.SA+BPAT33.SA&amp;f=nol1hgd1" htmlTables="1" htmlFormat="all"/>
  </connection>
  <connection id="53" name="Conexão11101" type="4" refreshedVersion="0" background="1" saveData="1">
    <webPr url="http://download.finance.yahoo.com/d/quotes.csv?s=IDVL3.SA+IDVL4.SA+BMEB3.SA+BMEB4.SA+BPNM3.SA+BPNM4.SA+BPAT33.SA&amp;f=nol1hgd1" htmlTables="1" htmlFormat="all"/>
  </connection>
  <connection id="54" name="Conexão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5" name="Conexão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6" name="Conexão1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7" name="Conexão11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8" name="Conexão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59" name="Conexão11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0" name="Conexão11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1" name="Conexão112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2" name="Conexão11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3" name="Conexão1131" type="4" refreshedVersion="0" deleted="1" background="1" saveData="1">
    <webPr htmlTables="1" htmlFormat="all"/>
  </connection>
  <connection id="64" name="Conexão11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65" name="Conexão1141" type="4" refreshedVersion="0" deleted="1" background="1" saveData="1">
    <webPr htmlTables="1" htmlFormat="all"/>
  </connection>
  <connection id="66" name="Conexão11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7" name="Conexão11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8" name="Conexão11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9" name="Conexão11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0" name="Conexão11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1" name="Conexão11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2" name="Conexão1161" type="4" refreshedVersion="0" deleted="1" background="1" saveData="1">
    <webPr htmlTables="1" htmlFormat="all"/>
  </connection>
  <connection id="73" name="Conexão11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4" name="Conexão1171" type="4" refreshedVersion="0" deleted="1" background="1" saveData="1">
    <webPr htmlTables="1" htmlFormat="all"/>
  </connection>
  <connection id="75" name="Conexão11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6" name="Conexão11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7" name="Conexão11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8" name="Conexão11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9" name="Conexão11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80" name="Conexão119" type="4" refreshedVersion="0" background="1" saveData="1">
    <webPr url="http://download.finance.yahoo.com/d/quotes.csv?s=PITI3.SA&amp;f=nol1hgd1" htmlTables="1" htmlFormat="all"/>
  </connection>
  <connection id="81" name="Conexão1191" type="4" refreshedVersion="0" background="1" saveData="1">
    <webPr url="http://download.finance.yahoo.com/d/quotes.csv?s=PITI3.SA&amp;f=nol1hgd1" htmlTables="1" htmlFormat="all"/>
  </connection>
  <connection id="82" name="Conexão12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3" name="Conexão120" type="4" refreshedVersion="0" background="1" saveData="1">
    <webPr url="http://download.finance.yahoo.com/d/quotes.csv?s=PITI3.SA&amp;f=nol1hgd1" htmlTables="1" htmlFormat="all"/>
  </connection>
  <connection id="84" name="Conexão1201" type="4" refreshedVersion="0" background="1" saveData="1">
    <webPr url="http://download.finance.yahoo.com/d/quotes.csv?s=PITI3.SA&amp;f=nol1hgd1" htmlTables="1" htmlFormat="all"/>
  </connection>
  <connection id="85" name="Conexão12011" type="4" refreshedVersion="0" background="1" saveData="1">
    <webPr url="http://download.finance.yahoo.com/d/quotes.csv?s=PITI3.SA&amp;f=nol1hgd1" htmlTables="1" htmlFormat="all"/>
  </connection>
  <connection id="86" name="Conexão12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7" name="Conexão12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8" name="Conexão121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9" name="Conexão122" type="4" refreshedVersion="0" deleted="1" background="1" saveData="1">
    <webPr htmlTables="1" htmlFormat="all"/>
  </connection>
  <connection id="90" name="Conexão1221" type="4" refreshedVersion="0" deleted="1" background="1" saveData="1">
    <webPr htmlTables="1" htmlFormat="all"/>
  </connection>
  <connection id="91" name="Conexão123" type="4" refreshedVersion="3" deleted="1" background="1" saveData="1">
    <webPr xl2000="1" htmlTables="1" htmlFormat="all"/>
  </connection>
  <connection id="92" name="Conexão1231" type="4" refreshedVersion="3" deleted="1" background="1" saveData="1">
    <webPr xl2000="1" htmlTables="1" htmlFormat="all"/>
  </connection>
  <connection id="93" name="Conexão124" type="4" refreshedVersion="3" deleted="1" background="1" saveData="1">
    <webPr xl2000="1" htmlTables="1" htmlFormat="all"/>
  </connection>
  <connection id="94" name="Conexão1241" type="4" refreshedVersion="3" deleted="1" background="1" saveData="1">
    <webPr xl2000="1" htmlTables="1" htmlFormat="all"/>
  </connection>
  <connection id="95" name="Conexão125" type="4" refreshedVersion="3" deleted="1" background="1" saveData="1">
    <webPr xl2000="1" htmlTables="1" htmlFormat="all"/>
  </connection>
  <connection id="96" name="Conexão1251" type="4" refreshedVersion="3" deleted="1" background="1" saveData="1">
    <webPr xl2000="1" htmlTables="1" htmlFormat="all"/>
  </connection>
  <connection id="97" name="Conexão126" type="4" refreshedVersion="3" deleted="1" background="1" saveData="1">
    <webPr xl2000="1" htmlTables="1" htmlFormat="all"/>
  </connection>
  <connection id="98" name="Conexão1261" type="4" refreshedVersion="3" deleted="1" background="1" saveData="1">
    <webPr xl2000="1" htmlTables="1" htmlFormat="all"/>
  </connection>
  <connection id="99" name="Conexão127" type="4" refreshedVersion="3" deleted="1" background="1" saveData="1">
    <webPr xl2000="1" htmlTables="1" htmlFormat="all"/>
  </connection>
  <connection id="100" name="Conexão1271" type="4" refreshedVersion="3" deleted="1" background="1" saveData="1">
    <webPr xl2000="1" htmlTables="1" htmlFormat="all"/>
  </connection>
  <connection id="101" name="Conexão128" type="4" refreshedVersion="3" deleted="1" background="1" saveData="1">
    <webPr xl2000="1" htmlTables="1" htmlFormat="all"/>
  </connection>
  <connection id="102" name="Conexão129" type="4" refreshedVersion="3" deleted="1" background="1" saveData="1">
    <webPr xl2000="1" htmlTables="1" htmlFormat="all"/>
  </connection>
  <connection id="103" name="Conexão13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04" name="Conexão130" type="4" refreshedVersion="3" deleted="1" background="1" saveData="1">
    <webPr xl2000="1" htmlTables="1" htmlFormat="all"/>
  </connection>
  <connection id="105" name="Conexão1301" type="4" refreshedVersion="3" deleted="1" background="1" saveData="1">
    <webPr xl2000="1" htmlTables="1" htmlFormat="all"/>
  </connection>
  <connection id="106" name="Conexão131" type="4" refreshedVersion="0" deleted="1" background="1" saveData="1">
    <webPr htmlTables="1" htmlFormat="all"/>
  </connection>
  <connection id="107" name="Conexão1311" type="4" refreshedVersion="0" deleted="1" background="1" saveData="1">
    <webPr htmlTables="1" htmlFormat="all"/>
  </connection>
  <connection id="108" name="Conexão132" type="4" refreshedVersion="0" deleted="1" background="1" saveData="1">
    <webPr htmlTables="1" htmlFormat="all"/>
  </connection>
  <connection id="109" name="Conexão1321" type="4" refreshedVersion="0" deleted="1" background="1" saveData="1">
    <webPr htmlTables="1" htmlFormat="all"/>
  </connection>
  <connection id="110" name="Conexão133" type="4" refreshedVersion="3" deleted="1" background="1" saveData="1">
    <webPr xl2000="1" htmlTables="1" htmlFormat="all"/>
  </connection>
  <connection id="111" name="Conexão134" type="4" refreshedVersion="3" deleted="1" background="1" saveData="1">
    <webPr xl2000="1" htmlTables="1" htmlFormat="all"/>
  </connection>
  <connection id="112" name="Conexão1341" type="4" refreshedVersion="3" deleted="1" background="1" saveData="1">
    <webPr xl2000="1" htmlTables="1" htmlFormat="all"/>
  </connection>
  <connection id="113" name="Conexão135" type="4" refreshedVersion="3" deleted="1" background="1" saveData="1">
    <webPr xl2000="1" htmlTables="1" htmlFormat="all"/>
  </connection>
  <connection id="114" name="Conexão1351" type="4" refreshedVersion="3" deleted="1" background="1" saveData="1">
    <webPr xl2000="1" htmlTables="1" htmlFormat="all"/>
  </connection>
  <connection id="115" name="Conexão136" type="4" refreshedVersion="3" deleted="1" background="1" saveData="1">
    <webPr xl2000="1" htmlTables="1" htmlFormat="all"/>
  </connection>
  <connection id="116" name="Conexão137" type="4" refreshedVersion="3" deleted="1" background="1" saveData="1">
    <webPr xl2000="1" htmlTables="1" htmlFormat="all"/>
  </connection>
  <connection id="117" name="Conexão138" type="4" refreshedVersion="3" deleted="1" background="1" saveData="1">
    <webPr xl2000="1" htmlTables="1" htmlFormat="all"/>
  </connection>
  <connection id="118" name="Conexão1381" type="4" refreshedVersion="3" deleted="1" background="1" saveData="1">
    <webPr xl2000="1" htmlTables="1" htmlFormat="all"/>
  </connection>
  <connection id="119" name="Conexão139" type="4" refreshedVersion="3" deleted="1" background="1" saveData="1">
    <webPr xl2000="1" htmlTables="1" htmlFormat="all"/>
  </connection>
  <connection id="120" name="Conexão14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21" name="Conexão140" type="4" refreshedVersion="3" deleted="1" background="1" saveData="1">
    <webPr xl2000="1" htmlTables="1" htmlFormat="all"/>
  </connection>
  <connection id="122" name="Conexão141" type="4" refreshedVersion="0" deleted="1" background="1" saveData="1">
    <webPr htmlTables="1" htmlFormat="all"/>
  </connection>
  <connection id="123" name="Conexão1411" type="4" refreshedVersion="0" deleted="1" background="1" saveData="1">
    <webPr htmlTables="1" htmlFormat="all"/>
  </connection>
  <connection id="124" name="Conexão142" type="4" refreshedVersion="0" deleted="1" background="1" saveData="1">
    <webPr htmlTables="1" htmlFormat="all"/>
  </connection>
  <connection id="125" name="Conexão1421" type="4" refreshedVersion="0" deleted="1" background="1" saveData="1">
    <webPr htmlTables="1" htmlFormat="all"/>
  </connection>
  <connection id="126" name="Conexão143" type="4" refreshedVersion="3" deleted="1" background="1" saveData="1">
    <webPr xl2000="1" htmlTables="1" htmlFormat="all"/>
  </connection>
  <connection id="127" name="Conexão1431" type="4" refreshedVersion="3" deleted="1" background="1" saveData="1">
    <webPr xl2000="1" htmlTables="1" htmlFormat="all"/>
  </connection>
  <connection id="128" name="Conexão144" type="4" refreshedVersion="3" deleted="1" background="1" saveData="1">
    <webPr xl2000="1" htmlTables="1" htmlFormat="all"/>
  </connection>
  <connection id="129" name="Conexão145" type="4" refreshedVersion="3" deleted="1" background="1" saveData="1">
    <webPr xl2000="1" htmlTables="1" htmlFormat="all"/>
  </connection>
  <connection id="130" name="Conexão1451" type="4" refreshedVersion="3" deleted="1" background="1" saveData="1">
    <webPr xl2000="1" htmlTables="1" htmlFormat="all"/>
  </connection>
  <connection id="131" name="Conexão146" type="4" refreshedVersion="3" deleted="1" background="1" saveData="1">
    <webPr xl2000="1" htmlTables="1" htmlFormat="all"/>
  </connection>
  <connection id="132" name="Conexão147" type="4" refreshedVersion="3" deleted="1" background="1" saveData="1">
    <webPr xl2000="1" htmlTables="1" htmlFormat="all"/>
  </connection>
  <connection id="133" name="Conexão1471" type="4" refreshedVersion="3" deleted="1" background="1" saveData="1">
    <webPr xl2000="1" htmlTables="1" htmlFormat="all"/>
  </connection>
  <connection id="134" name="Conexão148" type="4" refreshedVersion="3" deleted="1" background="1" saveData="1">
    <webPr xl2000="1" htmlTables="1" htmlFormat="all"/>
  </connection>
  <connection id="135" name="Conexão149" type="4" refreshedVersion="3" deleted="1" background="1" saveData="1">
    <webPr xl2000="1" htmlTables="1" htmlFormat="all"/>
  </connection>
  <connection id="136" name="Conexão1491" type="4" refreshedVersion="3" deleted="1" background="1" saveData="1">
    <webPr xl2000="1" htmlTables="1" htmlFormat="all"/>
  </connection>
  <connection id="137" name="Conexão15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38" name="Conexão150" type="4" refreshedVersion="3" deleted="1" background="1" saveData="1">
    <webPr xl2000="1" htmlTables="1" htmlFormat="all"/>
  </connection>
  <connection id="139" name="Conexão1501" type="4" refreshedVersion="3" deleted="1" background="1" saveData="1">
    <webPr xl2000="1" htmlTables="1" htmlFormat="all"/>
  </connection>
  <connection id="140" name="Conexão151" type="4" refreshedVersion="0" deleted="1" background="1" saveData="1">
    <webPr htmlTables="1" htmlFormat="all"/>
  </connection>
  <connection id="141" name="Conexão1511" type="4" refreshedVersion="0" deleted="1" background="1" saveData="1">
    <webPr htmlTables="1" htmlFormat="all"/>
  </connection>
  <connection id="142" name="Conexão152" type="4" refreshedVersion="0" deleted="1" background="1" saveData="1">
    <webPr htmlTables="1" htmlFormat="all"/>
  </connection>
  <connection id="143" name="Conexão1521" type="4" refreshedVersion="0" deleted="1" background="1" saveData="1">
    <webPr htmlTables="1" htmlFormat="all"/>
  </connection>
  <connection id="144" name="Conexão153" type="4" refreshedVersion="3" deleted="1" background="1" saveData="1">
    <webPr xl2000="1" htmlTables="1" htmlFormat="all"/>
  </connection>
  <connection id="145" name="Conexão1531" type="4" refreshedVersion="3" deleted="1" background="1" saveData="1">
    <webPr xl2000="1" htmlTables="1" htmlFormat="all"/>
  </connection>
  <connection id="146" name="Conexão154" type="4" refreshedVersion="3" deleted="1" background="1" saveData="1">
    <webPr xl2000="1" htmlTables="1" htmlFormat="all"/>
  </connection>
  <connection id="147" name="Conexão1541" type="4" refreshedVersion="3" deleted="1" background="1" saveData="1">
    <webPr xl2000="1" htmlTables="1" htmlFormat="all"/>
  </connection>
  <connection id="148" name="Conexão155" type="4" refreshedVersion="3" deleted="1" background="1" saveData="1">
    <webPr xl2000="1" htmlTables="1" htmlFormat="all"/>
  </connection>
  <connection id="149" name="Conexão1551" type="4" refreshedVersion="3" deleted="1" background="1" saveData="1">
    <webPr xl2000="1" htmlTables="1" htmlFormat="all"/>
  </connection>
  <connection id="150" name="Conexão156" type="4" refreshedVersion="3" deleted="1" background="1" saveData="1">
    <webPr xl2000="1" htmlTables="1" htmlFormat="all"/>
  </connection>
  <connection id="151" name="Conexão1561" type="4" refreshedVersion="3" deleted="1" background="1" saveData="1">
    <webPr xl2000="1" htmlTables="1" htmlFormat="all"/>
  </connection>
  <connection id="152" name="Conexão157" type="4" refreshedVersion="3" deleted="1" background="1" saveData="1">
    <webPr xl2000="1" htmlTables="1" htmlFormat="all"/>
  </connection>
  <connection id="153" name="Conexão1571" type="4" refreshedVersion="3" deleted="1" background="1" saveData="1">
    <webPr xl2000="1" htmlTables="1" htmlFormat="all"/>
  </connection>
  <connection id="154" name="Conexão158" type="4" refreshedVersion="3" deleted="1" background="1" saveData="1">
    <webPr xl2000="1" htmlTables="1" htmlFormat="all"/>
  </connection>
  <connection id="155" name="Conexão1581" type="4" refreshedVersion="3" deleted="1" background="1" saveData="1">
    <webPr xl2000="1" htmlTables="1" htmlFormat="all"/>
  </connection>
  <connection id="156" name="Conexão159" type="4" refreshedVersion="3" deleted="1" background="1" saveData="1">
    <webPr xl2000="1" htmlTables="1" htmlFormat="all"/>
  </connection>
  <connection id="157" name="Conexão1591" type="4" refreshedVersion="3" deleted="1" background="1" saveData="1">
    <webPr xl2000="1" htmlTables="1" htmlFormat="all"/>
  </connection>
  <connection id="158" name="Conexão16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59" name="Conexão160" type="4" refreshedVersion="3" deleted="1" background="1" saveData="1">
    <webPr xl2000="1" htmlTables="1" htmlFormat="all"/>
  </connection>
  <connection id="160" name="Conexão1601" type="4" refreshedVersion="3" deleted="1" background="1" saveData="1">
    <webPr xl2000="1" htmlTables="1" htmlFormat="all"/>
  </connection>
  <connection id="161" name="Conexão161" type="4" refreshedVersion="0" deleted="1" background="1" saveData="1">
    <webPr htmlTables="1" htmlFormat="all"/>
  </connection>
  <connection id="162" name="Conexão1611" type="4" refreshedVersion="0" deleted="1" background="1" saveData="1">
    <webPr htmlTables="1" htmlFormat="all"/>
  </connection>
  <connection id="163" name="Conexão162" type="4" refreshedVersion="0" deleted="1" background="1" saveData="1">
    <webPr htmlTables="1" htmlFormat="all"/>
  </connection>
  <connection id="164" name="Conexão1621" type="4" refreshedVersion="0" deleted="1" background="1" saveData="1">
    <webPr htmlTables="1" htmlFormat="all"/>
  </connection>
  <connection id="165" name="Conexão163" type="4" refreshedVersion="3" deleted="1" background="1" saveData="1">
    <webPr xl2000="1" htmlTables="1" htmlFormat="all"/>
  </connection>
  <connection id="166" name="Conexão1631" type="4" refreshedVersion="3" deleted="1" background="1" saveData="1">
    <webPr xl2000="1" htmlTables="1" htmlFormat="all"/>
  </connection>
  <connection id="167" name="Conexão164" type="4" refreshedVersion="3" deleted="1" background="1" saveData="1">
    <webPr xl2000="1" htmlTables="1" htmlFormat="all"/>
  </connection>
  <connection id="168" name="Conexão1641" type="4" refreshedVersion="3" deleted="1" background="1" saveData="1">
    <webPr xl2000="1" htmlTables="1" htmlFormat="all"/>
  </connection>
  <connection id="169" name="Conexão165" type="4" refreshedVersion="3" deleted="1" background="1" saveData="1">
    <webPr xl2000="1" htmlTables="1" htmlFormat="all"/>
  </connection>
  <connection id="170" name="Conexão166" type="4" refreshedVersion="3" deleted="1" background="1" saveData="1">
    <webPr xl2000="1" htmlTables="1" htmlFormat="all"/>
  </connection>
  <connection id="171" name="Conexão1661" type="4" refreshedVersion="3" deleted="1" background="1" saveData="1">
    <webPr xl2000="1" htmlTables="1" htmlFormat="all"/>
  </connection>
  <connection id="172" name="Conexão168" type="4" refreshedVersion="3" deleted="1" background="1" saveData="1">
    <webPr xl2000="1" htmlTables="1" htmlFormat="all"/>
  </connection>
  <connection id="173" name="Conexão1681" type="4" refreshedVersion="3" deleted="1" background="1" saveData="1">
    <webPr xl2000="1" htmlTables="1" htmlFormat="all"/>
  </connection>
  <connection id="174" name="Conexão169" type="4" refreshedVersion="3" deleted="1" background="1" saveData="1">
    <webPr xl2000="1" htmlTables="1" htmlFormat="all"/>
  </connection>
  <connection id="175" name="Conexão17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76" name="Conexão170" type="4" refreshedVersion="3" deleted="1" background="1" saveData="1">
    <webPr xl2000="1" htmlTables="1" htmlFormat="all"/>
  </connection>
  <connection id="177" name="Conexão171" type="4" refreshedVersion="0" deleted="1" background="1" saveData="1">
    <webPr htmlTables="1" htmlFormat="all"/>
  </connection>
  <connection id="178" name="Conexão1711" type="4" refreshedVersion="0" deleted="1" background="1" saveData="1">
    <webPr htmlTables="1" htmlFormat="all"/>
  </connection>
  <connection id="179" name="Conexão172" type="4" refreshedVersion="0" deleted="1" background="1" saveData="1">
    <webPr htmlTables="1" htmlFormat="all"/>
  </connection>
  <connection id="180" name="Conexão1721" type="4" refreshedVersion="0" deleted="1" background="1" saveData="1">
    <webPr htmlTables="1" htmlFormat="all"/>
  </connection>
  <connection id="181" name="Conexão173" type="4" refreshedVersion="3" deleted="1" background="1" saveData="1">
    <webPr xl2000="1" htmlTables="1" htmlFormat="all"/>
  </connection>
  <connection id="182" name="Conexão1731" type="4" refreshedVersion="3" deleted="1" background="1" saveData="1">
    <webPr xl2000="1" htmlTables="1" htmlFormat="all"/>
  </connection>
  <connection id="183" name="Conexão174" type="4" refreshedVersion="3" deleted="1" background="1" saveData="1">
    <webPr xl2000="1" htmlTables="1" htmlFormat="all"/>
  </connection>
  <connection id="184" name="Conexão175" type="4" refreshedVersion="3" deleted="1" background="1" saveData="1">
    <webPr xl2000="1" htmlTables="1" htmlFormat="all"/>
  </connection>
  <connection id="185" name="Conexão1751" type="4" refreshedVersion="3" deleted="1" background="1" saveData="1">
    <webPr xl2000="1" htmlTables="1" htmlFormat="all"/>
  </connection>
  <connection id="186" name="Conexão176" type="4" refreshedVersion="3" deleted="1" background="1" saveData="1">
    <webPr xl2000="1" htmlTables="1" htmlFormat="all"/>
  </connection>
  <connection id="187" name="Conexão1761" type="4" refreshedVersion="3" deleted="1" background="1" saveData="1">
    <webPr xl2000="1" htmlTables="1" htmlFormat="all"/>
  </connection>
  <connection id="188" name="Conexão177" type="4" refreshedVersion="3" deleted="1" background="1" saveData="1">
    <webPr xl2000="1" htmlTables="1" htmlFormat="all"/>
  </connection>
  <connection id="189" name="Conexão1771" type="4" refreshedVersion="3" deleted="1" background="1" saveData="1">
    <webPr xl2000="1" htmlTables="1" htmlFormat="all"/>
  </connection>
  <connection id="190" name="Conexão178" type="4" refreshedVersion="3" deleted="1" background="1" saveData="1">
    <webPr xl2000="1" htmlTables="1" htmlFormat="all"/>
  </connection>
  <connection id="191" name="Conexão1781" type="4" refreshedVersion="3" deleted="1" background="1" saveData="1">
    <webPr xl2000="1" htmlTables="1" htmlFormat="all"/>
  </connection>
  <connection id="192" name="Conexão179" type="4" refreshedVersion="3" deleted="1" background="1" saveData="1">
    <webPr xl2000="1" htmlTables="1" htmlFormat="all"/>
  </connection>
  <connection id="193" name="Conexão1791" type="4" refreshedVersion="3" deleted="1" background="1" saveData="1">
    <webPr xl2000="1" htmlTables="1" htmlFormat="all"/>
  </connection>
  <connection id="194" name="Conexão18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5" name="Conexão18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6" name="Conexão18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7" name="Conexão181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8" name="Conexão182" type="4" refreshedVersion="0" deleted="1" background="1" saveData="1">
    <webPr htmlTables="1" htmlFormat="all"/>
  </connection>
  <connection id="199" name="Conexão1821" type="4" refreshedVersion="0" deleted="1" background="1" saveData="1">
    <webPr htmlTables="1" htmlFormat="all"/>
  </connection>
  <connection id="200" name="Conexão183" type="4" refreshedVersion="3" deleted="1" background="1" saveData="1">
    <webPr xl2000="1" htmlTables="1" htmlFormat="all"/>
  </connection>
  <connection id="201" name="Conexão1831" type="4" refreshedVersion="3" deleted="1" background="1" saveData="1">
    <webPr xl2000="1" htmlTables="1" htmlFormat="all"/>
  </connection>
  <connection id="202" name="Conexão184" type="4" refreshedVersion="3" deleted="1" background="1" saveData="1">
    <webPr xl2000="1" htmlTables="1" htmlFormat="all"/>
  </connection>
  <connection id="203" name="Conexão1841" type="4" refreshedVersion="3" deleted="1" background="1" saveData="1">
    <webPr xl2000="1" htmlTables="1" htmlFormat="all"/>
  </connection>
  <connection id="204" name="Conexão185" type="4" refreshedVersion="3" deleted="1" background="1" saveData="1">
    <webPr xl2000="1" htmlTables="1" htmlFormat="all"/>
  </connection>
  <connection id="205" name="Conexão1851" type="4" refreshedVersion="3" deleted="1" background="1" saveData="1">
    <webPr xl2000="1" htmlTables="1" htmlFormat="all"/>
  </connection>
  <connection id="206" name="Conexão186" type="4" refreshedVersion="3" deleted="1" background="1" saveData="1">
    <webPr xl2000="1" htmlTables="1" htmlFormat="all"/>
  </connection>
  <connection id="207" name="Conexão1861" type="4" refreshedVersion="3" deleted="1" background="1" saveData="1">
    <webPr xl2000="1" htmlTables="1" htmlFormat="all"/>
  </connection>
  <connection id="208" name="Conexão189" type="4" refreshedVersion="3" deleted="1" background="1" saveData="1">
    <webPr xl2000="1" htmlTables="1" htmlFormat="all"/>
  </connection>
  <connection id="209" name="Conexão1891" type="4" refreshedVersion="3" deleted="1" background="1" saveData="1">
    <webPr xl2000="1" htmlTables="1" htmlFormat="all"/>
  </connection>
  <connection id="210" name="Conexão19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1" name="Conexão190" type="4" refreshedVersion="3" deleted="1" background="1" saveData="1">
    <webPr xl2000="1" htmlTables="1" htmlFormat="all"/>
  </connection>
  <connection id="212" name="Conexão1901" type="4" refreshedVersion="3" deleted="1" background="1" saveData="1">
    <webPr xl2000="1" htmlTables="1" htmlFormat="all"/>
  </connection>
  <connection id="213" name="Conexão19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4" name="Conexão19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5" name="Conexão192" type="4" refreshedVersion="0" deleted="1" background="1" saveData="1">
    <webPr htmlTables="1" htmlFormat="all"/>
  </connection>
  <connection id="216" name="Conexão1921" type="4" refreshedVersion="0" deleted="1" background="1" saveData="1">
    <webPr htmlTables="1" htmlFormat="all"/>
  </connection>
  <connection id="217" name="Conexão193" type="4" refreshedVersion="3" deleted="1" background="1" saveData="1">
    <webPr xl2000="1" htmlTables="1" htmlFormat="all"/>
  </connection>
  <connection id="218" name="Conexão1931" type="4" refreshedVersion="3" deleted="1" background="1" saveData="1">
    <webPr xl2000="1" htmlTables="1" htmlFormat="all"/>
  </connection>
  <connection id="219" name="Conexão195" type="4" refreshedVersion="3" deleted="1" background="1" saveData="1">
    <webPr xl2000="1" htmlTables="1" htmlFormat="all"/>
  </connection>
  <connection id="220" name="Conexão1951" type="4" refreshedVersion="3" deleted="1" background="1" saveData="1">
    <webPr xl2000="1" htmlTables="1" htmlFormat="all"/>
  </connection>
  <connection id="221" name="Conexão196" type="4" refreshedVersion="3" deleted="1" background="1" saveData="1">
    <webPr xl2000="1" htmlTables="1" htmlFormat="all"/>
  </connection>
  <connection id="222" name="Conexão1961" type="4" refreshedVersion="3" deleted="1" background="1" saveData="1">
    <webPr xl2000="1" htmlTables="1" htmlFormat="all"/>
  </connection>
  <connection id="223" name="Conexão197" type="4" refreshedVersion="3" deleted="1" background="1" saveData="1">
    <webPr xl2000="1" htmlTables="1" htmlFormat="all"/>
  </connection>
  <connection id="224" name="Conexão1971" type="4" refreshedVersion="3" deleted="1" background="1" saveData="1">
    <webPr xl2000="1" htmlTables="1" htmlFormat="all"/>
  </connection>
  <connection id="225" name="Conexão199" type="4" refreshedVersion="3" deleted="1" background="1" saveData="1">
    <webPr xl2000="1" htmlTables="1" htmlFormat="all"/>
  </connection>
  <connection id="226" name="Conexão2" type="4" refreshedVersion="0" background="1" saveData="1">
    <webPr url="http://download.finance.yahoo.com/d/quotes.csv?s=PITI3.SA+BPAC3.SA+BPAC5.SA&amp;f=nol1hgd1" htmlTables="1" htmlFormat="all"/>
  </connection>
  <connection id="227" name="Conexão20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28" name="Conexão200" type="4" refreshedVersion="3" deleted="1" background="1" saveData="1">
    <webPr xl2000="1" htmlTables="1" htmlFormat="all"/>
  </connection>
  <connection id="229" name="Conexão2001" type="4" refreshedVersion="3" deleted="1" background="1" saveData="1">
    <webPr xl2000="1" htmlTables="1" htmlFormat="all"/>
  </connection>
  <connection id="230" name="Conexão20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1" name="Conexão201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2" name="Conexão202" type="4" refreshedVersion="0" deleted="1" background="1" saveData="1">
    <webPr htmlTables="1" htmlFormat="all"/>
  </connection>
  <connection id="233" name="Conexão2021" type="4" refreshedVersion="0" deleted="1" background="1" saveData="1">
    <webPr htmlTables="1" htmlFormat="all"/>
  </connection>
  <connection id="234" name="Conexão203" type="4" refreshedVersion="3" deleted="1" background="1" saveData="1">
    <webPr xl2000="1" htmlTables="1" htmlFormat="all"/>
  </connection>
  <connection id="235" name="Conexão2031" type="4" refreshedVersion="3" deleted="1" background="1" saveData="1">
    <webPr xl2000="1" htmlTables="1" htmlFormat="all"/>
  </connection>
  <connection id="236" name="Conexão204" type="4" refreshedVersion="3" deleted="1" background="1" saveData="1">
    <webPr xl2000="1" htmlTables="1" htmlFormat="all"/>
  </connection>
  <connection id="237" name="Conexão205" type="4" refreshedVersion="3" deleted="1" background="1" saveData="1">
    <webPr xl2000="1" htmlTables="1" htmlFormat="all"/>
  </connection>
  <connection id="238" name="Conexão206" type="4" refreshedVersion="3" deleted="1" background="1" saveData="1">
    <webPr xl2000="1" htmlTables="1" htmlFormat="all"/>
  </connection>
  <connection id="239" name="Conexão2061" type="4" refreshedVersion="3" deleted="1" background="1" saveData="1">
    <webPr xl2000="1" htmlTables="1" htmlFormat="all"/>
  </connection>
  <connection id="240" name="Conexão207" type="4" refreshedVersion="3" deleted="1" background="1" saveData="1">
    <webPr xl2000="1" htmlTables="1" htmlFormat="all"/>
  </connection>
  <connection id="241" name="Conexão208" type="4" refreshedVersion="3" deleted="1" background="1" saveData="1">
    <webPr xl2000="1" htmlTables="1" htmlFormat="all"/>
  </connection>
  <connection id="242" name="Conexão2081" type="4" refreshedVersion="3" deleted="1" background="1" saveData="1">
    <webPr xl2000="1" htmlTables="1" htmlFormat="all"/>
  </connection>
  <connection id="243" name="Conexão209" type="4" refreshedVersion="3" deleted="1" background="1" saveData="1">
    <webPr xl2000="1" htmlTables="1" htmlFormat="all"/>
  </connection>
  <connection id="244" name="Conexão2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45" name="Conexão210" type="4" refreshedVersion="0" background="1" saveData="1">
    <webPr url="http://download.finance.yahoo.com/d/quotes.csv?s=PITI3.SA+BPAC3.SA+BPAC5.SA&amp;f=nol1hgd1" htmlTables="1" htmlFormat="all"/>
  </connection>
  <connection id="246" name="Conexão2101" type="4" refreshedVersion="0" background="1" saveData="1">
    <webPr url="http://download.finance.yahoo.com/d/quotes.csv?s=PITI3.SA+BPAC3.SA+BPAC5.SA&amp;f=nol1hgd1" htmlTables="1" htmlFormat="all"/>
  </connection>
  <connection id="247" name="Conexão21011" type="4" refreshedVersion="0" background="1" saveData="1">
    <webPr url="http://download.finance.yahoo.com/d/quotes.csv?s=PITI3.SA+BPAC3.SA+BPAC5.SA&amp;f=nol1hgd1" htmlTables="1" htmlFormat="all"/>
  </connection>
  <connection id="248" name="Conexão2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49" name="Conexão21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0" name="Conexão212" type="4" refreshedVersion="0" deleted="1" background="1" saveData="1">
    <webPr htmlTables="1" htmlFormat="all"/>
  </connection>
  <connection id="251" name="Conexão2121" type="4" refreshedVersion="0" deleted="1" background="1" saveData="1">
    <webPr htmlTables="1" htmlFormat="all"/>
  </connection>
  <connection id="252" name="Conexão213" type="4" refreshedVersion="0" deleted="1" background="1" saveData="1">
    <webPr htmlTables="1" htmlFormat="all"/>
  </connection>
  <connection id="253" name="Conexão2131" type="4" refreshedVersion="0" deleted="1" background="1" saveData="1">
    <webPr htmlTables="1" htmlFormat="all"/>
  </connection>
  <connection id="254" name="Conexão214" type="4" refreshedVersion="0" deleted="1" background="1" saveData="1">
    <webPr htmlTables="1" htmlFormat="all"/>
  </connection>
  <connection id="255" name="Conexão2141" type="4" refreshedVersion="0" deleted="1" background="1" saveData="1">
    <webPr htmlTables="1" htmlFormat="all"/>
  </connection>
  <connection id="256" name="Conexão215" type="4" refreshedVersion="0" deleted="1" background="1" saveData="1">
    <webPr htmlTables="1" htmlFormat="all"/>
  </connection>
  <connection id="257" name="Conexão2151" type="4" refreshedVersion="0" deleted="1" background="1" saveData="1">
    <webPr htmlTables="1" htmlFormat="all"/>
  </connection>
  <connection id="258" name="Conexão216" type="4" refreshedVersion="0" deleted="1" background="1" saveData="1">
    <webPr htmlTables="1" htmlFormat="all"/>
  </connection>
  <connection id="259" name="Conexão2161" type="4" refreshedVersion="0" deleted="1" background="1" saveData="1">
    <webPr htmlTables="1" htmlFormat="all"/>
  </connection>
  <connection id="260" name="Conexão217" type="4" refreshedVersion="3" deleted="1" background="1" saveData="1">
    <webPr xl2000="1" htmlTables="1" htmlFormat="all"/>
  </connection>
  <connection id="261" name="Conexão2171" type="4" refreshedVersion="3" deleted="1" background="1" saveData="1">
    <webPr xl2000="1" htmlTables="1" htmlFormat="all"/>
  </connection>
  <connection id="262" name="Conexão218" type="4" refreshedVersion="3" deleted="1" background="1" saveData="1">
    <webPr xl2000="1" htmlTables="1" htmlFormat="all"/>
  </connection>
  <connection id="263" name="Conexão22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64" name="Conexão220" type="4" refreshedVersion="3" deleted="1" background="1" saveData="1">
    <webPr xl2000="1" htmlTables="1" htmlFormat="all"/>
  </connection>
  <connection id="265" name="Conexão2201" type="4" refreshedVersion="3" deleted="1" background="1" saveData="1">
    <webPr xl2000="1" htmlTables="1" htmlFormat="all"/>
  </connection>
  <connection id="266" name="Conexão22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67" name="Conexão221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68" name="Conexão222" type="4" refreshedVersion="0" deleted="1" background="1" saveData="1">
    <webPr htmlTables="1" htmlFormat="all"/>
  </connection>
  <connection id="269" name="Conexão2221" type="4" refreshedVersion="0" deleted="1" background="1" saveData="1">
    <webPr htmlTables="1" htmlFormat="all"/>
  </connection>
  <connection id="270" name="Conexão223" type="4" refreshedVersion="3" deleted="1" background="1" saveData="1">
    <webPr xl2000="1" htmlTables="1" htmlFormat="all"/>
  </connection>
  <connection id="271" name="Conexão226" type="4" refreshedVersion="3" deleted="1" background="1" saveData="1">
    <webPr xl2000="1" htmlTables="1" htmlFormat="all"/>
  </connection>
  <connection id="272" name="Conexão2261" type="4" refreshedVersion="3" deleted="1" background="1" saveData="1">
    <webPr xl2000="1" htmlTables="1" htmlFormat="all"/>
  </connection>
  <connection id="273" name="Conexão227" type="4" refreshedVersion="3" deleted="1" background="1" saveData="1">
    <webPr xl2000="1" htmlTables="1" htmlFormat="all"/>
  </connection>
  <connection id="274" name="Conexão2271" type="4" refreshedVersion="3" deleted="1" background="1" saveData="1">
    <webPr xl2000="1" htmlTables="1" htmlFormat="all"/>
  </connection>
  <connection id="275" name="Conexão228" type="4" refreshedVersion="3" deleted="1" background="1" saveData="1">
    <webPr xl2000="1" htmlTables="1" htmlFormat="all"/>
  </connection>
  <connection id="276" name="Conexão23" type="4" refreshedVersion="0" background="1" saveData="1">
    <webPr url="http://download.finance.yahoo.com/d/quotes.csv?s=IDVL3.SA+IDVL4.SA+BMEB3.SA+BMEB4.SA+BPNM3.SA+BPNM4.SA+BPAT33.SA+SANB11.SA+SANB3.SA+SANB4.SA+SFSA3.SA+IDNT3.SA+LINX3.SA+TELB3.SA+TELB4.SA+SNSL3M.SA&amp;f=nol1hgd1" htmlTables="1" htmlFormat="all"/>
  </connection>
  <connection id="277" name="Conexão230" type="4" refreshedVersion="3" deleted="1" background="1" saveData="1">
    <webPr xl2000="1" htmlTables="1" htmlFormat="all"/>
  </connection>
  <connection id="278" name="Conexão231" type="4" refreshedVersion="0" deleted="1" background="1" saveData="1">
    <webPr htmlTables="1" htmlFormat="all"/>
  </connection>
  <connection id="279" name="Conexão2311" type="4" refreshedVersion="0" deleted="1" background="1" saveData="1">
    <webPr htmlTables="1" htmlFormat="all"/>
  </connection>
  <connection id="280" name="Conexão232" type="4" refreshedVersion="0" deleted="1" background="1" saveData="1">
    <webPr htmlTables="1" htmlFormat="all"/>
  </connection>
  <connection id="281" name="Conexão2321" type="4" refreshedVersion="0" deleted="1" background="1" saveData="1">
    <webPr htmlTables="1" htmlFormat="all"/>
  </connection>
  <connection id="282" name="Conexão233" type="4" refreshedVersion="3" deleted="1" background="1" saveData="1">
    <webPr xl2000="1" htmlTables="1" htmlFormat="all"/>
  </connection>
  <connection id="283" name="Conexão2331" type="4" refreshedVersion="3" deleted="1" background="1" saveData="1">
    <webPr xl2000="1" htmlTables="1" htmlFormat="all"/>
  </connection>
  <connection id="284" name="Conexão235" type="4" refreshedVersion="3" deleted="1" background="1" saveData="1">
    <webPr xl2000="1" htmlTables="1" htmlFormat="all"/>
  </connection>
  <connection id="285" name="Conexão2351" type="4" refreshedVersion="3" deleted="1" background="1" saveData="1">
    <webPr xl2000="1" htmlTables="1" htmlFormat="all"/>
  </connection>
  <connection id="286" name="Conexão238" type="4" refreshedVersion="3" deleted="1" background="1" saveData="1">
    <webPr xl2000="1" htmlTables="1" htmlFormat="all"/>
  </connection>
  <connection id="287" name="Conexão2381" type="4" refreshedVersion="3" deleted="1" background="1" saveData="1">
    <webPr xl2000="1" htmlTables="1" htmlFormat="all"/>
  </connection>
  <connection id="288" name="Conexão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89" name="Conexão240" type="4" refreshedVersion="3" deleted="1" background="1" saveData="1">
    <webPr xl2000="1" htmlTables="1" htmlFormat="all"/>
  </connection>
  <connection id="290" name="Conexão2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91" name="Conexão2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92" name="Conexão242" type="4" refreshedVersion="0" deleted="1" background="1" saveData="1">
    <webPr htmlTables="1" htmlFormat="all"/>
  </connection>
  <connection id="293" name="Conexão2421" type="4" refreshedVersion="0" deleted="1" background="1" saveData="1">
    <webPr htmlTables="1" htmlFormat="all"/>
  </connection>
  <connection id="294" name="Conexão243" type="4" refreshedVersion="3" deleted="1" background="1" saveData="1">
    <webPr xl2000="1" htmlTables="1" htmlFormat="all"/>
  </connection>
  <connection id="295" name="Conexão2431" type="4" refreshedVersion="3" deleted="1" background="1" saveData="1">
    <webPr xl2000="1" htmlTables="1" htmlFormat="all"/>
  </connection>
  <connection id="296" name="Conexão244" type="4" refreshedVersion="3" deleted="1" background="1" saveData="1">
    <webPr xl2000="1" htmlTables="1" htmlFormat="all"/>
  </connection>
  <connection id="297" name="Conexão245" type="4" refreshedVersion="3" deleted="1" background="1" saveData="1">
    <webPr xl2000="1" htmlTables="1" htmlFormat="all"/>
  </connection>
  <connection id="298" name="Conexão246" type="4" refreshedVersion="3" deleted="1" background="1" saveData="1">
    <webPr xl2000="1" htmlTables="1" htmlFormat="all"/>
  </connection>
  <connection id="299" name="Conexão2461" type="4" refreshedVersion="3" deleted="1" background="1" saveData="1">
    <webPr xl2000="1" htmlTables="1" htmlFormat="all"/>
  </connection>
  <connection id="300" name="Conexão248" type="4" refreshedVersion="3" deleted="1" background="1" saveData="1">
    <webPr xl2000="1" htmlTables="1" htmlFormat="all"/>
  </connection>
  <connection id="301" name="Conexão249" type="4" refreshedVersion="3" deleted="1" background="1" saveData="1">
    <webPr xl2000="1" htmlTables="1" htmlFormat="all"/>
  </connection>
  <connection id="302" name="Conexão2491" type="4" refreshedVersion="3" deleted="1" background="1" saveData="1">
    <webPr xl2000="1" htmlTables="1" htmlFormat="all"/>
  </connection>
  <connection id="303" name="Conexão2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04" name="Conexão250" type="4" refreshedVersion="3" deleted="1" background="1" saveData="1">
    <webPr xl2000="1" htmlTables="1" htmlFormat="all"/>
  </connection>
  <connection id="305" name="Conexão251" type="4" refreshedVersion="0" deleted="1" background="1" saveData="1">
    <webPr htmlTables="1" htmlFormat="all"/>
  </connection>
  <connection id="306" name="Conexão2511" type="4" refreshedVersion="0" deleted="1" background="1" saveData="1">
    <webPr htmlTables="1" htmlFormat="all"/>
  </connection>
  <connection id="307" name="Conexão252" type="4" refreshedVersion="0" deleted="1" background="1" saveData="1">
    <webPr htmlTables="1" htmlFormat="all"/>
  </connection>
  <connection id="308" name="Conexão2521" type="4" refreshedVersion="0" deleted="1" background="1" saveData="1">
    <webPr htmlTables="1" htmlFormat="all"/>
  </connection>
  <connection id="309" name="Conexão253" type="4" refreshedVersion="3" deleted="1" background="1" saveData="1">
    <webPr xl2000="1" htmlTables="1" htmlFormat="all"/>
  </connection>
  <connection id="310" name="Conexão2531" type="4" refreshedVersion="3" deleted="1" background="1" saveData="1">
    <webPr xl2000="1" htmlTables="1" htmlFormat="all"/>
  </connection>
  <connection id="311" name="Conexão254" type="4" refreshedVersion="3" deleted="1" background="1" saveData="1">
    <webPr xl2000="1" htmlTables="1" htmlFormat="all"/>
  </connection>
  <connection id="312" name="Conexão255" type="4" refreshedVersion="3" deleted="1" background="1" saveData="1">
    <webPr xl2000="1" htmlTables="1" htmlFormat="all"/>
  </connection>
  <connection id="313" name="Conexão2551" type="4" refreshedVersion="3" deleted="1" background="1" saveData="1">
    <webPr xl2000="1" htmlTables="1" htmlFormat="all"/>
  </connection>
  <connection id="314" name="Conexão256" type="4" refreshedVersion="3" deleted="1" background="1" saveData="1">
    <webPr xl2000="1" htmlTables="1" htmlFormat="all"/>
  </connection>
  <connection id="315" name="Conexão257" type="4" refreshedVersion="3" deleted="1" background="1" saveData="1">
    <webPr xl2000="1" htmlTables="1" htmlFormat="all"/>
  </connection>
  <connection id="316" name="Conexão2571" type="4" refreshedVersion="3" deleted="1" background="1" saveData="1">
    <webPr xl2000="1" htmlTables="1" htmlFormat="all"/>
  </connection>
  <connection id="317" name="Conexão258" type="4" refreshedVersion="3" deleted="1" background="1" saveData="1">
    <webPr xl2000="1" htmlTables="1" htmlFormat="all"/>
  </connection>
  <connection id="318" name="Conexão259" type="4" refreshedVersion="3" deleted="1" background="1" saveData="1">
    <webPr xl2000="1" htmlTables="1" htmlFormat="all"/>
  </connection>
  <connection id="319" name="Conexão2591" type="4" refreshedVersion="3" deleted="1" background="1" saveData="1">
    <webPr xl2000="1" htmlTables="1" htmlFormat="all"/>
  </connection>
  <connection id="320" name="Conexão2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21" name="Conexão260" type="4" refreshedVersion="3" deleted="1" background="1" saveData="1">
    <webPr xl2000="1" htmlTables="1" htmlFormat="all"/>
  </connection>
  <connection id="322" name="Conexão261" type="4" refreshedVersion="0" deleted="1" background="1" saveData="1">
    <webPr htmlTables="1" htmlFormat="all"/>
  </connection>
  <connection id="323" name="Conexão2611" type="4" refreshedVersion="0" deleted="1" background="1" saveData="1">
    <webPr htmlTables="1" htmlFormat="all"/>
  </connection>
  <connection id="324" name="Conexão262" type="4" refreshedVersion="0" deleted="1" background="1" saveData="1">
    <webPr htmlTables="1" htmlFormat="all"/>
  </connection>
  <connection id="325" name="Conexão2621" type="4" refreshedVersion="0" deleted="1" background="1" saveData="1">
    <webPr htmlTables="1" htmlFormat="all"/>
  </connection>
  <connection id="326" name="Conexão264" type="4" refreshedVersion="3" deleted="1" background="1" saveData="1">
    <webPr xl2000="1" htmlTables="1" htmlFormat="all"/>
  </connection>
  <connection id="327" name="Conexão2641" type="4" refreshedVersion="3" deleted="1" background="1" saveData="1">
    <webPr xl2000="1" htmlTables="1" htmlFormat="all"/>
  </connection>
  <connection id="328" name="Conexão265" type="4" refreshedVersion="3" deleted="1" background="1" saveData="1">
    <webPr xl2000="1" htmlTables="1" htmlFormat="all"/>
  </connection>
  <connection id="329" name="Conexão266" type="4" refreshedVersion="3" deleted="1" background="1" saveData="1">
    <webPr xl2000="1" htmlTables="1" htmlFormat="all"/>
  </connection>
  <connection id="330" name="Conexão269" type="4" refreshedVersion="3" deleted="1" background="1" saveData="1">
    <webPr xl2000="1" htmlTables="1" htmlFormat="all"/>
  </connection>
  <connection id="331" name="Conexão2691" type="4" refreshedVersion="3" deleted="1" background="1" saveData="1">
    <webPr xl2000="1" htmlTables="1" htmlFormat="all"/>
  </connection>
  <connection id="332" name="Conexão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3" name="Conexão270" type="4" refreshedVersion="3" deleted="1" background="1" saveData="1">
    <webPr xl2000="1" htmlTables="1" htmlFormat="all"/>
  </connection>
  <connection id="334" name="Conexão2701" type="4" refreshedVersion="3" deleted="1" background="1" saveData="1">
    <webPr xl2000="1" htmlTables="1" htmlFormat="all"/>
  </connection>
  <connection id="335" name="Conexão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6" name="Conexão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7" name="Conexão27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8" name="Conexão272" type="4" refreshedVersion="0" deleted="1" background="1" saveData="1">
    <webPr htmlTables="1" htmlFormat="all"/>
  </connection>
  <connection id="339" name="Conexão2721" type="4" refreshedVersion="0" deleted="1" background="1" saveData="1">
    <webPr htmlTables="1" htmlFormat="all"/>
  </connection>
  <connection id="340" name="Conexão274" type="4" refreshedVersion="3" deleted="1" background="1" saveData="1">
    <webPr xl2000="1" htmlTables="1" htmlFormat="all"/>
  </connection>
  <connection id="341" name="Conexão275" type="4" refreshedVersion="3" deleted="1" background="1" saveData="1">
    <webPr xl2000="1" htmlTables="1" htmlFormat="all"/>
  </connection>
  <connection id="342" name="Conexão276" type="4" refreshedVersion="3" deleted="1" background="1" saveData="1">
    <webPr xl2000="1" htmlTables="1" htmlFormat="all"/>
  </connection>
  <connection id="343" name="Conexão2761" type="4" refreshedVersion="3" deleted="1" background="1" saveData="1">
    <webPr xl2000="1" htmlTables="1" htmlFormat="all"/>
  </connection>
  <connection id="344" name="Conexão277" type="4" refreshedVersion="3" deleted="1" background="1" saveData="1">
    <webPr xl2000="1" htmlTables="1" htmlFormat="all"/>
  </connection>
  <connection id="345" name="Conexão278" type="4" refreshedVersion="3" deleted="1" background="1" saveData="1">
    <webPr xl2000="1" htmlTables="1" htmlFormat="all"/>
  </connection>
  <connection id="346" name="Conexão2781" type="4" refreshedVersion="3" deleted="1" background="1" saveData="1">
    <webPr xl2000="1" htmlTables="1" htmlFormat="all"/>
  </connection>
  <connection id="347" name="Conexão2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48" name="Conexão280" type="4" refreshedVersion="3" deleted="1" background="1" saveData="1">
    <webPr xl2000="1" htmlTables="1" htmlFormat="all"/>
  </connection>
  <connection id="349" name="Conexão2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50" name="Conexão2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51" name="Conexão282" type="4" refreshedVersion="0" deleted="1" background="1" saveData="1">
    <webPr htmlTables="1" htmlFormat="all"/>
  </connection>
  <connection id="352" name="Conexão2821" type="4" refreshedVersion="0" deleted="1" background="1" saveData="1">
    <webPr htmlTables="1" htmlFormat="all"/>
  </connection>
  <connection id="353" name="Conexão283" type="4" refreshedVersion="3" deleted="1" background="1" saveData="1">
    <webPr xl2000="1" htmlTables="1" htmlFormat="all"/>
  </connection>
  <connection id="354" name="Conexão2831" type="4" refreshedVersion="3" deleted="1" background="1" saveData="1">
    <webPr xl2000="1" htmlTables="1" htmlFormat="all"/>
  </connection>
  <connection id="355" name="Conexão284" type="4" refreshedVersion="3" deleted="1" background="1" saveData="1">
    <webPr xl2000="1" htmlTables="1" htmlFormat="all"/>
  </connection>
  <connection id="356" name="Conexão287" type="4" refreshedVersion="3" deleted="1" background="1" saveData="1">
    <webPr xl2000="1" htmlTables="1" htmlFormat="all"/>
  </connection>
  <connection id="357" name="Conexão2871" type="4" refreshedVersion="3" deleted="1" background="1" saveData="1">
    <webPr xl2000="1" htmlTables="1" htmlFormat="all"/>
  </connection>
  <connection id="358" name="Conexão288" type="4" refreshedVersion="3" deleted="1" background="1" saveData="1">
    <webPr xl2000="1" htmlTables="1" htmlFormat="all"/>
  </connection>
  <connection id="359" name="Conexão289" type="4" refreshedVersion="3" deleted="1" background="1" saveData="1">
    <webPr xl2000="1" htmlTables="1" htmlFormat="all"/>
  </connection>
  <connection id="360" name="Conexão2891" type="4" refreshedVersion="3" deleted="1" background="1" saveData="1">
    <webPr xl2000="1" htmlTables="1" htmlFormat="all"/>
  </connection>
  <connection id="361" name="Conexão2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62" name="Conexão290" type="4" refreshedVersion="3" deleted="1" background="1" saveData="1">
    <webPr xl2000="1" htmlTables="1" htmlFormat="all"/>
  </connection>
  <connection id="363" name="Conexão291" type="4" refreshedVersion="0" deleted="1" background="1" saveData="1">
    <webPr htmlTables="1" htmlFormat="all"/>
  </connection>
  <connection id="364" name="Conexão2911" type="4" refreshedVersion="0" deleted="1" background="1" saveData="1">
    <webPr htmlTables="1" htmlFormat="all"/>
  </connection>
  <connection id="365" name="Conexão292" type="4" refreshedVersion="0" deleted="1" background="1" saveData="1">
    <webPr htmlTables="1" htmlFormat="all"/>
  </connection>
  <connection id="366" name="Conexão2921" type="4" refreshedVersion="0" deleted="1" background="1" saveData="1">
    <webPr htmlTables="1" htmlFormat="all"/>
  </connection>
  <connection id="367" name="Conexão293" type="4" refreshedVersion="3" deleted="1" background="1" saveData="1">
    <webPr xl2000="1" htmlTables="1" htmlFormat="all"/>
  </connection>
  <connection id="368" name="Conexão2931" type="4" refreshedVersion="3" deleted="1" background="1" saveData="1">
    <webPr xl2000="1" htmlTables="1" htmlFormat="all"/>
  </connection>
  <connection id="369" name="Conexão294" type="4" refreshedVersion="3" deleted="1" background="1" saveData="1">
    <webPr xl2000="1" htmlTables="1" htmlFormat="all"/>
  </connection>
  <connection id="370" name="Conexão295" type="4" refreshedVersion="3" deleted="1" background="1" saveData="1">
    <webPr xl2000="1" htmlTables="1" htmlFormat="all"/>
  </connection>
  <connection id="371" name="Conexão2951" type="4" refreshedVersion="3" deleted="1" background="1" saveData="1">
    <webPr xl2000="1" htmlTables="1" htmlFormat="all"/>
  </connection>
  <connection id="372" name="Conexão296" type="4" refreshedVersion="3" deleted="1" background="1" saveData="1">
    <webPr xl2000="1" htmlTables="1" htmlFormat="all"/>
  </connection>
  <connection id="373" name="Conexão297" type="4" refreshedVersion="3" deleted="1" background="1" saveData="1">
    <webPr xl2000="1" htmlTables="1" htmlFormat="all"/>
  </connection>
  <connection id="374" name="Conexão2971" type="4" refreshedVersion="3" deleted="1" background="1" saveData="1">
    <webPr xl2000="1" htmlTables="1" htmlFormat="all"/>
  </connection>
  <connection id="375" name="Conexão298" type="4" refreshedVersion="3" deleted="1" background="1" saveData="1">
    <webPr xl2000="1" htmlTables="1" htmlFormat="all"/>
  </connection>
  <connection id="376" name="Conexão2981" type="4" refreshedVersion="3" deleted="1" background="1" saveData="1">
    <webPr xl2000="1" htmlTables="1" htmlFormat="all"/>
  </connection>
  <connection id="377" name="Conexão3" type="4" refreshedVersion="3" background="1" saveData="1">
    <webPr xl2000="1" url="http://download.finance.yahoo.com/d/quotes.csv?s=PITI3.SA+BPAC3.SA+BPAC5.SA&amp;f=nol1hgd1" htmlFormat="all"/>
  </connection>
  <connection id="378" name="Conexão3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79" name="Conexão300" type="4" refreshedVersion="3" deleted="1" background="1" saveData="1">
    <webPr xl2000="1" htmlTables="1" htmlFormat="all"/>
  </connection>
  <connection id="380" name="Conexão3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81" name="Conexão3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82" name="Conexão302" type="4" refreshedVersion="0" deleted="1" background="1" saveData="1">
    <webPr htmlTables="1" htmlFormat="all"/>
  </connection>
  <connection id="383" name="Conexão3021" type="4" refreshedVersion="0" deleted="1" background="1" saveData="1">
    <webPr htmlTables="1" htmlFormat="all"/>
  </connection>
  <connection id="384" name="Conexão303" type="4" refreshedVersion="3" deleted="1" background="1" saveData="1">
    <webPr xl2000="1" htmlTables="1" htmlFormat="all"/>
  </connection>
  <connection id="385" name="Conexão3031" type="4" refreshedVersion="3" deleted="1" background="1" saveData="1">
    <webPr xl2000="1" htmlTables="1" htmlFormat="all"/>
  </connection>
  <connection id="386" name="Conexão305" type="4" refreshedVersion="3" deleted="1" background="1" saveData="1">
    <webPr xl2000="1" htmlTables="1" htmlFormat="all"/>
  </connection>
  <connection id="387" name="Conexão306" type="4" refreshedVersion="3" deleted="1" background="1" saveData="1">
    <webPr xl2000="1" htmlTables="1" htmlFormat="all"/>
  </connection>
  <connection id="388" name="Conexão3061" type="4" refreshedVersion="3" deleted="1" background="1" saveData="1">
    <webPr xl2000="1" htmlTables="1" htmlFormat="all"/>
  </connection>
  <connection id="389" name="Conexão307" type="4" refreshedVersion="3" deleted="1" background="1" saveData="1">
    <webPr xl2000="1" htmlTables="1" htmlFormat="all"/>
  </connection>
  <connection id="390" name="Conexão3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391" name="Conexão310" type="4" refreshedVersion="3" background="1" saveData="1">
    <webPr xl2000="1" url="http://download.finance.yahoo.com/d/quotes.csv?s=PITI3.SA+BPAC3.SA+BPAC5.SA&amp;f=nol1hgd1" htmlFormat="all"/>
  </connection>
  <connection id="392" name="Conexão3101" type="4" refreshedVersion="3" background="1" saveData="1">
    <webPr xl2000="1" url="http://download.finance.yahoo.com/d/quotes.csv?s=PITI3.SA+BPAC3.SA+BPAC5.SA&amp;f=nol1hgd1" htmlFormat="all"/>
  </connection>
  <connection id="393" name="Conexão31011" type="4" refreshedVersion="3" background="1" saveData="1">
    <webPr xl2000="1" url="http://download.finance.yahoo.com/d/quotes.csv?s=PITI3.SA+BPAC3.SA+BPAC5.SA&amp;f=nol1hgd1" htmlFormat="all"/>
  </connection>
  <connection id="394" name="Conexão3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395" name="Conexão3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396" name="Conexão312" type="4" refreshedVersion="0" deleted="1" background="1" saveData="1">
    <webPr htmlTables="1" htmlFormat="all"/>
  </connection>
  <connection id="397" name="Conexão3121" type="4" refreshedVersion="0" deleted="1" background="1" saveData="1">
    <webPr htmlTables="1" htmlFormat="all"/>
  </connection>
  <connection id="398" name="Conexão313" type="4" refreshedVersion="0" deleted="1" background="1" saveData="1">
    <webPr htmlTables="1" htmlFormat="all"/>
  </connection>
  <connection id="399" name="Conexão3131" type="4" refreshedVersion="0" deleted="1" background="1" saveData="1">
    <webPr htmlTables="1" htmlFormat="all"/>
  </connection>
  <connection id="400" name="Conexão314" type="4" refreshedVersion="0" deleted="1" background="1" saveData="1">
    <webPr htmlTables="1" htmlFormat="all"/>
  </connection>
  <connection id="401" name="Conexão3141" type="4" refreshedVersion="0" deleted="1" background="1" saveData="1">
    <webPr htmlTables="1" htmlFormat="all"/>
  </connection>
  <connection id="402" name="Conexão315" type="4" refreshedVersion="0" deleted="1" background="1" saveData="1">
    <webPr htmlTables="1" htmlFormat="all"/>
  </connection>
  <connection id="403" name="Conexão3151" type="4" refreshedVersion="0" deleted="1" background="1" saveData="1">
    <webPr htmlTables="1" htmlFormat="all"/>
  </connection>
  <connection id="404" name="Conexão318" type="4" refreshedVersion="3" deleted="1" background="1" saveData="1">
    <webPr xl2000="1" htmlTables="1" htmlFormat="all"/>
  </connection>
  <connection id="405" name="Conexão3181" type="4" refreshedVersion="3" deleted="1" background="1" saveData="1">
    <webPr xl2000="1" htmlTables="1" htmlFormat="all"/>
  </connection>
  <connection id="406" name="Conexão319" type="4" refreshedVersion="3" deleted="1" background="1" saveData="1">
    <webPr xl2000="1" htmlTables="1" htmlFormat="all"/>
  </connection>
  <connection id="407" name="Conexão3191" type="4" refreshedVersion="3" deleted="1" background="1" saveData="1">
    <webPr xl2000="1" htmlTables="1" htmlFormat="all"/>
  </connection>
  <connection id="408" name="Conexão3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09" name="Conexão3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10" name="Conexão3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11" name="Conexão322" type="4" refreshedVersion="0" deleted="1" background="1" saveData="1">
    <webPr htmlTables="1" htmlFormat="all"/>
  </connection>
  <connection id="412" name="Conexão3221" type="4" refreshedVersion="0" deleted="1" background="1" saveData="1">
    <webPr htmlTables="1" htmlFormat="all"/>
  </connection>
  <connection id="413" name="Conexão323" type="4" refreshedVersion="3" deleted="1" background="1" saveData="1">
    <webPr xl2000="1" htmlTables="1" htmlFormat="all"/>
  </connection>
  <connection id="414" name="Conexão325" type="4" refreshedVersion="3" deleted="1" background="1" saveData="1">
    <webPr xl2000="1" htmlTables="1" htmlFormat="all"/>
  </connection>
  <connection id="415" name="Conexão3251" type="4" refreshedVersion="3" deleted="1" background="1" saveData="1">
    <webPr xl2000="1" htmlTables="1" htmlFormat="all"/>
  </connection>
  <connection id="416" name="Conexão326" type="4" refreshedVersion="3" deleted="1" background="1" saveData="1">
    <webPr xl2000="1" htmlTables="1" htmlFormat="all"/>
  </connection>
  <connection id="417" name="Conexão327" type="4" refreshedVersion="3" deleted="1" background="1" saveData="1">
    <webPr xl2000="1" htmlTables="1" htmlFormat="all"/>
  </connection>
  <connection id="418" name="Conexão3271" type="4" refreshedVersion="3" deleted="1" background="1" saveData="1">
    <webPr xl2000="1" htmlTables="1" htmlFormat="all"/>
  </connection>
  <connection id="419" name="Conexão329" type="4" refreshedVersion="3" deleted="1" background="1" saveData="1">
    <webPr xl2000="1" htmlTables="1" htmlFormat="all"/>
  </connection>
  <connection id="420" name="Conexão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21" name="Conexão330" type="4" refreshedVersion="3" deleted="1" background="1" saveData="1">
    <webPr xl2000="1" htmlTables="1" htmlFormat="all"/>
  </connection>
  <connection id="422" name="Conexão3301" type="4" refreshedVersion="3" deleted="1" background="1" saveData="1">
    <webPr xl2000="1" htmlTables="1" htmlFormat="all"/>
  </connection>
  <connection id="423" name="Conexão3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24" name="Conexão3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25" name="Conexão332" type="4" refreshedVersion="0" deleted="1" background="1" saveData="1">
    <webPr htmlTables="1" htmlFormat="all"/>
  </connection>
  <connection id="426" name="Conexão3321" type="4" refreshedVersion="0" deleted="1" background="1" saveData="1">
    <webPr htmlTables="1" htmlFormat="all"/>
  </connection>
  <connection id="427" name="Conexão333" type="4" refreshedVersion="3" deleted="1" background="1" saveData="1">
    <webPr xl2000="1" htmlTables="1" htmlFormat="all"/>
  </connection>
  <connection id="428" name="Conexão334" type="4" refreshedVersion="3" deleted="1" background="1" saveData="1">
    <webPr xl2000="1" htmlTables="1" htmlFormat="all"/>
  </connection>
  <connection id="429" name="Conexão3341" type="4" refreshedVersion="3" deleted="1" background="1" saveData="1">
    <webPr xl2000="1" htmlTables="1" htmlFormat="all"/>
  </connection>
  <connection id="430" name="Conexão335" type="4" refreshedVersion="3" deleted="1" background="1" saveData="1">
    <webPr xl2000="1" htmlTables="1" htmlFormat="all"/>
  </connection>
  <connection id="431" name="Conexão3351" type="4" refreshedVersion="3" deleted="1" background="1" saveData="1">
    <webPr xl2000="1" htmlTables="1" htmlFormat="all"/>
  </connection>
  <connection id="432" name="Conexão336" type="4" refreshedVersion="3" deleted="1" background="1" saveData="1">
    <webPr xl2000="1" htmlTables="1" htmlFormat="all"/>
  </connection>
  <connection id="433" name="Conexão337" type="4" refreshedVersion="3" deleted="1" background="1" saveData="1">
    <webPr xl2000="1" htmlTables="1" htmlFormat="all"/>
  </connection>
  <connection id="434" name="Conexão3371" type="4" refreshedVersion="3" deleted="1" background="1" saveData="1">
    <webPr xl2000="1" htmlTables="1" htmlFormat="all"/>
  </connection>
  <connection id="435" name="Conexão338" type="4" refreshedVersion="3" deleted="1" background="1" saveData="1">
    <webPr xl2000="1" htmlTables="1" htmlFormat="all"/>
  </connection>
  <connection id="436" name="Conexão3381" type="4" refreshedVersion="3" deleted="1" background="1" saveData="1">
    <webPr xl2000="1" htmlTables="1" htmlFormat="all"/>
  </connection>
  <connection id="437" name="Conexão339" type="4" refreshedVersion="3" deleted="1" background="1" saveData="1">
    <webPr xl2000="1" htmlTables="1" htmlFormat="all"/>
  </connection>
  <connection id="438" name="Conexão3391" type="4" refreshedVersion="3" deleted="1" background="1" saveData="1">
    <webPr xl2000="1" htmlTables="1" htmlFormat="all"/>
  </connection>
  <connection id="439" name="Conexão3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0" name="Conexão340" type="4" refreshedVersion="3" deleted="1" background="1" saveData="1">
    <webPr xl2000="1" htmlTables="1" htmlFormat="all"/>
  </connection>
  <connection id="441" name="Conexão3401" type="4" refreshedVersion="3" deleted="1" background="1" saveData="1">
    <webPr xl2000="1" htmlTables="1" htmlFormat="all"/>
  </connection>
  <connection id="442" name="Conexão3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3" name="Conexão3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4" name="Conexão3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5" name="Conexão342" type="4" refreshedVersion="0" deleted="1" background="1" saveData="1">
    <webPr htmlTables="1" htmlFormat="all"/>
  </connection>
  <connection id="446" name="Conexão3421" type="4" refreshedVersion="0" deleted="1" background="1" saveData="1">
    <webPr htmlTables="1" htmlFormat="all"/>
  </connection>
  <connection id="447" name="Conexão343" type="4" refreshedVersion="3" deleted="1" background="1" saveData="1">
    <webPr xl2000="1" htmlTables="1" htmlFormat="all"/>
  </connection>
  <connection id="448" name="Conexão3431" type="4" refreshedVersion="3" deleted="1" background="1" saveData="1">
    <webPr xl2000="1" htmlTables="1" htmlFormat="all"/>
  </connection>
  <connection id="449" name="Conexão344" type="4" refreshedVersion="3" deleted="1" background="1" saveData="1">
    <webPr xl2000="1" htmlTables="1" htmlFormat="all"/>
  </connection>
  <connection id="450" name="Conexão3441" type="4" refreshedVersion="3" deleted="1" background="1" saveData="1">
    <webPr xl2000="1" htmlTables="1" htmlFormat="all"/>
  </connection>
  <connection id="451" name="Conexão346" type="4" refreshedVersion="3" deleted="1" background="1" saveData="1">
    <webPr xl2000="1" htmlTables="1" htmlFormat="all"/>
  </connection>
  <connection id="452" name="Conexão3461" type="4" refreshedVersion="3" deleted="1" background="1" saveData="1">
    <webPr xl2000="1" htmlTables="1" htmlFormat="all"/>
  </connection>
  <connection id="453" name="Conexão348" type="4" refreshedVersion="3" deleted="1" background="1" saveData="1">
    <webPr xl2000="1" htmlTables="1" htmlFormat="all"/>
  </connection>
  <connection id="454" name="Conexão3481" type="4" refreshedVersion="3" deleted="1" background="1" saveData="1">
    <webPr xl2000="1" htmlTables="1" htmlFormat="all"/>
  </connection>
  <connection id="455" name="Conexão349" type="4" refreshedVersion="3" deleted="1" background="1" saveData="1">
    <webPr xl2000="1" htmlTables="1" htmlFormat="all"/>
  </connection>
  <connection id="456" name="Conexão3491" type="4" refreshedVersion="3" deleted="1" background="1" saveData="1">
    <webPr xl2000="1" htmlTables="1" htmlFormat="all"/>
  </connection>
  <connection id="457" name="Conexão3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58" name="Conexão351" type="4" refreshedVersion="0" deleted="1" background="1" saveData="1">
    <webPr htmlTables="1" htmlFormat="all"/>
  </connection>
  <connection id="459" name="Conexão3511" type="4" refreshedVersion="0" deleted="1" background="1" saveData="1">
    <webPr htmlTables="1" htmlFormat="all"/>
  </connection>
  <connection id="460" name="Conexão352" type="4" refreshedVersion="0" deleted="1" background="1" saveData="1">
    <webPr htmlTables="1" htmlFormat="all"/>
  </connection>
  <connection id="461" name="Conexão3521" type="4" refreshedVersion="0" deleted="1" background="1" saveData="1">
    <webPr htmlTables="1" htmlFormat="all"/>
  </connection>
  <connection id="462" name="Conexão353" type="4" refreshedVersion="3" deleted="1" background="1" saveData="1">
    <webPr xl2000="1" htmlTables="1" htmlFormat="all"/>
  </connection>
  <connection id="463" name="Conexão3531" type="4" refreshedVersion="3" deleted="1" background="1" saveData="1">
    <webPr xl2000="1" htmlTables="1" htmlFormat="all"/>
  </connection>
  <connection id="464" name="Conexão354" type="4" refreshedVersion="3" deleted="1" background="1" saveData="1">
    <webPr xl2000="1" htmlTables="1" htmlFormat="all"/>
  </connection>
  <connection id="465" name="Conexão3541" type="4" refreshedVersion="3" deleted="1" background="1" saveData="1">
    <webPr xl2000="1" htmlTables="1" htmlFormat="all"/>
  </connection>
  <connection id="466" name="Conexão355" type="4" refreshedVersion="3" deleted="1" background="1" saveData="1">
    <webPr xl2000="1" htmlTables="1" htmlFormat="all"/>
  </connection>
  <connection id="467" name="Conexão3551" type="4" refreshedVersion="3" deleted="1" background="1" saveData="1">
    <webPr xl2000="1" htmlTables="1" htmlFormat="all"/>
  </connection>
  <connection id="468" name="Conexão357" type="4" refreshedVersion="3" deleted="1" background="1" saveData="1">
    <webPr xl2000="1" htmlTables="1" htmlFormat="all"/>
  </connection>
  <connection id="469" name="Conexão3571" type="4" refreshedVersion="3" deleted="1" background="1" saveData="1">
    <webPr xl2000="1" htmlTables="1" htmlFormat="all"/>
  </connection>
  <connection id="470" name="Conexão3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71" name="Conexão361" type="4" refreshedVersion="0" deleted="1" background="1" saveData="1">
    <webPr htmlTables="1" htmlFormat="all"/>
  </connection>
  <connection id="472" name="Conexão3611" type="4" refreshedVersion="0" deleted="1" background="1" saveData="1">
    <webPr htmlTables="1" htmlFormat="all"/>
  </connection>
  <connection id="473" name="Conexão362" type="4" refreshedVersion="0" deleted="1" background="1" saveData="1">
    <webPr htmlTables="1" htmlFormat="all"/>
  </connection>
  <connection id="474" name="Conexão3621" type="4" refreshedVersion="0" deleted="1" background="1" saveData="1">
    <webPr htmlTables="1" htmlFormat="all"/>
  </connection>
  <connection id="475" name="Conexão363" type="4" refreshedVersion="3" deleted="1" background="1" saveData="1">
    <webPr xl2000="1" htmlTables="1" htmlFormat="all"/>
  </connection>
  <connection id="476" name="Conexão3631" type="4" refreshedVersion="3" deleted="1" background="1" saveData="1">
    <webPr xl2000="1" htmlTables="1" htmlFormat="all"/>
  </connection>
  <connection id="477" name="Conexão365" type="4" refreshedVersion="3" deleted="1" background="1" saveData="1">
    <webPr xl2000="1" htmlTables="1" htmlFormat="all"/>
  </connection>
  <connection id="478" name="Conexão3651" type="4" refreshedVersion="3" deleted="1" background="1" saveData="1">
    <webPr xl2000="1" htmlTables="1" htmlFormat="all"/>
  </connection>
  <connection id="479" name="Conexão366" type="4" refreshedVersion="3" deleted="1" background="1" saveData="1">
    <webPr xl2000="1" htmlTables="1" htmlFormat="all"/>
  </connection>
  <connection id="480" name="Conexão3661" type="4" refreshedVersion="3" deleted="1" background="1" saveData="1">
    <webPr xl2000="1" htmlTables="1" htmlFormat="all"/>
  </connection>
  <connection id="481" name="Conexão368" type="4" refreshedVersion="3" deleted="1" background="1" saveData="1">
    <webPr xl2000="1" htmlTables="1" htmlFormat="all"/>
  </connection>
  <connection id="482" name="Conexão369" type="4" refreshedVersion="3" deleted="1" background="1" saveData="1">
    <webPr xl2000="1" htmlTables="1" htmlFormat="all"/>
  </connection>
  <connection id="483" name="Conexão3691" type="4" refreshedVersion="3" deleted="1" background="1" saveData="1">
    <webPr xl2000="1" htmlTables="1" htmlFormat="all"/>
  </connection>
  <connection id="484" name="Conexão3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85" name="Conexão370" type="4" refreshedVersion="3" deleted="1" background="1" saveData="1">
    <webPr xl2000="1" htmlTables="1" htmlFormat="all"/>
  </connection>
  <connection id="486" name="Conexão3701" type="4" refreshedVersion="3" deleted="1" background="1" saveData="1">
    <webPr xl2000="1" htmlTables="1" htmlFormat="all"/>
  </connection>
  <connection id="487" name="Conexão371" type="4" refreshedVersion="0" deleted="1" background="1" saveData="1">
    <webPr htmlTables="1" htmlFormat="all"/>
  </connection>
  <connection id="488" name="Conexão3711" type="4" refreshedVersion="0" deleted="1" background="1" saveData="1">
    <webPr htmlTables="1" htmlFormat="all"/>
  </connection>
  <connection id="489" name="Conexão372" type="4" refreshedVersion="0" deleted="1" background="1" saveData="1">
    <webPr htmlTables="1" htmlFormat="all"/>
  </connection>
  <connection id="490" name="Conexão3721" type="4" refreshedVersion="0" deleted="1" background="1" saveData="1">
    <webPr htmlTables="1" htmlFormat="all"/>
  </connection>
  <connection id="491" name="Conexão375" type="4" refreshedVersion="3" deleted="1" background="1" saveData="1">
    <webPr xl2000="1" htmlTables="1" htmlFormat="all"/>
  </connection>
  <connection id="492" name="Conexão3751" type="4" refreshedVersion="3" deleted="1" background="1" saveData="1">
    <webPr xl2000="1" htmlTables="1" htmlFormat="all"/>
  </connection>
  <connection id="493" name="Conexão376" type="4" refreshedVersion="3" deleted="1" background="1" saveData="1">
    <webPr xl2000="1" htmlTables="1" htmlFormat="all"/>
  </connection>
  <connection id="494" name="Conexão3761" type="4" refreshedVersion="3" deleted="1" background="1" saveData="1">
    <webPr xl2000="1" htmlTables="1" htmlFormat="all"/>
  </connection>
  <connection id="495" name="Conexão377" type="4" refreshedVersion="3" deleted="1" background="1" saveData="1">
    <webPr xl2000="1" htmlTables="1" htmlFormat="all"/>
  </connection>
  <connection id="496" name="Conexão3771" type="4" refreshedVersion="3" deleted="1" background="1" saveData="1">
    <webPr xl2000="1" htmlTables="1" htmlFormat="all"/>
  </connection>
  <connection id="497" name="Conexão378" type="4" refreshedVersion="3" deleted="1" background="1" saveData="1">
    <webPr xl2000="1" htmlTables="1" htmlFormat="all"/>
  </connection>
  <connection id="498" name="Conexão3781" type="4" refreshedVersion="3" deleted="1" background="1" saveData="1">
    <webPr xl2000="1" htmlTables="1" htmlFormat="all"/>
  </connection>
  <connection id="499" name="Conexão379" type="4" refreshedVersion="3" deleted="1" background="1" saveData="1">
    <webPr xl2000="1" htmlTables="1" htmlFormat="all"/>
  </connection>
  <connection id="500" name="Conexão3791" type="4" refreshedVersion="3" deleted="1" background="1" saveData="1">
    <webPr xl2000="1" htmlTables="1" htmlFormat="all"/>
  </connection>
  <connection id="501" name="Conexão3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2" name="Conexão380" type="4" refreshedVersion="3" deleted="1" background="1" saveData="1">
    <webPr xl2000="1" htmlTables="1" htmlFormat="all"/>
  </connection>
  <connection id="503" name="Conexão3801" type="4" refreshedVersion="3" deleted="1" background="1" saveData="1">
    <webPr xl2000="1" htmlTables="1" htmlFormat="all"/>
  </connection>
  <connection id="504" name="Conexão3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5" name="Conexão3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6" name="Conexão38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7" name="Conexão382" type="4" refreshedVersion="0" deleted="1" background="1" saveData="1">
    <webPr htmlTables="1" htmlFormat="all"/>
  </connection>
  <connection id="508" name="Conexão3821" type="4" refreshedVersion="0" deleted="1" background="1" saveData="1">
    <webPr htmlTables="1" htmlFormat="all"/>
  </connection>
  <connection id="509" name="Conexão383" type="4" refreshedVersion="3" deleted="1" background="1" saveData="1">
    <webPr xl2000="1" htmlTables="1" htmlFormat="all"/>
  </connection>
  <connection id="510" name="Conexão3831" type="4" refreshedVersion="3" deleted="1" background="1" saveData="1">
    <webPr xl2000="1" htmlTables="1" htmlFormat="all"/>
  </connection>
  <connection id="511" name="Conexão384" type="4" refreshedVersion="3" deleted="1" background="1" saveData="1">
    <webPr xl2000="1" htmlTables="1" htmlFormat="all"/>
  </connection>
  <connection id="512" name="Conexão3841" type="4" refreshedVersion="3" deleted="1" background="1" saveData="1">
    <webPr xl2000="1" htmlTables="1" htmlFormat="all"/>
  </connection>
  <connection id="513" name="Conexão385" type="4" refreshedVersion="3" deleted="1" background="1" saveData="1">
    <webPr xl2000="1" htmlTables="1" htmlFormat="all"/>
  </connection>
  <connection id="514" name="Conexão3851" type="4" refreshedVersion="3" deleted="1" background="1" saveData="1">
    <webPr xl2000="1" htmlTables="1" htmlFormat="all"/>
  </connection>
  <connection id="515" name="Conexão387" type="4" refreshedVersion="3" deleted="1" background="1" saveData="1">
    <webPr xl2000="1" htmlTables="1" htmlFormat="all"/>
  </connection>
  <connection id="516" name="Conexão3871" type="4" refreshedVersion="3" deleted="1" background="1" saveData="1">
    <webPr xl2000="1" htmlTables="1" htmlFormat="all"/>
  </connection>
  <connection id="517" name="Conexão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18" name="Conexão390" type="4" refreshedVersion="3" deleted="1" background="1" saveData="1">
    <webPr xl2000="1" htmlTables="1" htmlFormat="all"/>
  </connection>
  <connection id="519" name="Conexão3901" type="4" refreshedVersion="3" deleted="1" background="1" saveData="1">
    <webPr xl2000="1" htmlTables="1" htmlFormat="all"/>
  </connection>
  <connection id="520" name="Conexão3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1" name="Conexão3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2" name="Conexão3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3" name="Conexão392" type="4" refreshedVersion="0" deleted="1" background="1" saveData="1">
    <webPr htmlTables="1" htmlFormat="all"/>
  </connection>
  <connection id="524" name="Conexão3921" type="4" refreshedVersion="0" deleted="1" background="1" saveData="1">
    <webPr htmlTables="1" htmlFormat="all"/>
  </connection>
  <connection id="525" name="Conexão393" type="4" refreshedVersion="3" deleted="1" background="1" saveData="1">
    <webPr xl2000="1" htmlTables="1" htmlFormat="all"/>
  </connection>
  <connection id="526" name="Conexão3931" type="4" refreshedVersion="3" deleted="1" background="1" saveData="1">
    <webPr xl2000="1" htmlTables="1" htmlFormat="all"/>
  </connection>
  <connection id="527" name="Conexão394" type="4" refreshedVersion="3" deleted="1" background="1" saveData="1">
    <webPr xl2000="1" htmlTables="1" htmlFormat="all"/>
  </connection>
  <connection id="528" name="Conexão3941" type="4" refreshedVersion="3" deleted="1" background="1" saveData="1">
    <webPr xl2000="1" htmlTables="1" htmlFormat="all"/>
  </connection>
  <connection id="529" name="Conexão395" type="4" refreshedVersion="3" deleted="1" background="1" saveData="1">
    <webPr xl2000="1" htmlTables="1" htmlFormat="all"/>
  </connection>
  <connection id="530" name="Conexão3951" type="4" refreshedVersion="3" deleted="1" background="1" saveData="1">
    <webPr xl2000="1" htmlTables="1" htmlFormat="all"/>
  </connection>
  <connection id="531" name="Conexão398" type="4" refreshedVersion="3" deleted="1" background="1" saveData="1">
    <webPr xl2000="1" htmlTables="1" htmlFormat="all"/>
  </connection>
  <connection id="532" name="Conexão3981" type="4" refreshedVersion="3" deleted="1" background="1" saveData="1">
    <webPr xl2000="1" htmlTables="1" htmlFormat="all"/>
  </connection>
  <connection id="533" name="Conexão399" type="4" refreshedVersion="3" deleted="1" background="1" saveData="1">
    <webPr xl2000="1" htmlTables="1" htmlFormat="all"/>
  </connection>
  <connection id="534" name="Conexão3991" type="4" refreshedVersion="3" deleted="1" background="1" saveData="1">
    <webPr xl2000="1" htmlTables="1" htmlFormat="all"/>
  </connection>
  <connection id="535" name="Conexão4" type="4" refreshedVersion="3" background="1" saveData="1">
    <webPr xl2000="1" url="http://download.finance.yahoo.com/d/quotes.csv?s=PITI3.SA+BPAC3.SA+BPAC5.SA&amp;f=nol1hgd1" htmlFormat="all"/>
  </connection>
  <connection id="536" name="Conexão4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37" name="Conexão400" type="4" refreshedVersion="3" deleted="1" background="1" saveData="1">
    <webPr xl2000="1" htmlTables="1" htmlFormat="all"/>
  </connection>
  <connection id="538" name="Conexão4001" type="4" refreshedVersion="3" deleted="1" background="1" saveData="1">
    <webPr xl2000="1" htmlTables="1" htmlFormat="all"/>
  </connection>
  <connection id="539" name="Conexão4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0" name="Conexão4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1" name="Conexão40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2" name="Conexão402" type="4" refreshedVersion="0" deleted="1" background="1" saveData="1">
    <webPr htmlTables="1" htmlFormat="all"/>
  </connection>
  <connection id="543" name="Conexão4021" type="4" refreshedVersion="0" deleted="1" background="1" saveData="1">
    <webPr htmlTables="1" htmlFormat="all"/>
  </connection>
  <connection id="544" name="Conexão403" type="4" refreshedVersion="3" deleted="1" background="1" saveData="1">
    <webPr xl2000="1" htmlTables="1" htmlFormat="all"/>
  </connection>
  <connection id="545" name="Conexão4031" type="4" refreshedVersion="3" deleted="1" background="1" saveData="1">
    <webPr xl2000="1" htmlTables="1" htmlFormat="all"/>
  </connection>
  <connection id="546" name="Conexão407" type="4" refreshedVersion="3" deleted="1" background="1" saveData="1">
    <webPr xl2000="1" htmlTables="1" htmlFormat="all"/>
  </connection>
  <connection id="547" name="Conexão4071" type="4" refreshedVersion="3" deleted="1" background="1" saveData="1">
    <webPr xl2000="1" htmlTables="1" htmlFormat="all"/>
  </connection>
  <connection id="548" name="Conexão408" type="4" refreshedVersion="3" deleted="1" background="1" saveData="1">
    <webPr xl2000="1" htmlTables="1" htmlFormat="all"/>
  </connection>
  <connection id="549" name="Conexão4081" type="4" refreshedVersion="3" deleted="1" background="1" saveData="1">
    <webPr xl2000="1" htmlTables="1" htmlFormat="all"/>
  </connection>
  <connection id="550" name="Conexão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51" name="Conexão410" type="4" refreshedVersion="3" background="1" saveData="1">
    <webPr xl2000="1" url="http://download.finance.yahoo.com/d/quotes.csv?s=PITI3.SA+BPAC3.SA+BPAC5.SA&amp;f=nol1hgd1" htmlFormat="all"/>
  </connection>
  <connection id="552" name="Conexão4101" type="4" refreshedVersion="3" background="1" saveData="1">
    <webPr xl2000="1" url="http://download.finance.yahoo.com/d/quotes.csv?s=PITI3.SA+BPAC3.SA+BPAC5.SA&amp;f=nol1hgd1" htmlFormat="all"/>
  </connection>
  <connection id="553" name="Conexão41011" type="4" refreshedVersion="3" background="1" saveData="1">
    <webPr xl2000="1" url="http://download.finance.yahoo.com/d/quotes.csv?s=PITI3.SA+BPAC3.SA+BPAC5.SA&amp;f=nol1hgd1" htmlFormat="all"/>
  </connection>
  <connection id="554" name="Conexão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55" name="Conexão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56" name="Conexão412" type="4" refreshedVersion="0" deleted="1" background="1" saveData="1">
    <webPr htmlTables="1" htmlFormat="all"/>
  </connection>
  <connection id="557" name="Conexão4121" type="4" refreshedVersion="0" deleted="1" background="1" saveData="1">
    <webPr htmlTables="1" htmlFormat="all"/>
  </connection>
  <connection id="558" name="Conexão413" type="4" refreshedVersion="3" deleted="1" background="1" saveData="1">
    <webPr xl2000="1" htmlTables="1" htmlFormat="all"/>
  </connection>
  <connection id="559" name="Conexão4131" type="4" refreshedVersion="3" deleted="1" background="1" saveData="1">
    <webPr xl2000="1" htmlTables="1" htmlFormat="all"/>
  </connection>
  <connection id="560" name="Conexão414" type="4" refreshedVersion="3" deleted="1" background="1" saveData="1">
    <webPr xl2000="1" htmlTables="1" htmlFormat="all"/>
  </connection>
  <connection id="561" name="Conexão4141" type="4" refreshedVersion="3" deleted="1" background="1" saveData="1">
    <webPr xl2000="1" htmlTables="1" htmlFormat="all"/>
  </connection>
  <connection id="562" name="Conexão417" type="4" refreshedVersion="3" deleted="1" background="1" saveData="1">
    <webPr xl2000="1" htmlTables="1" htmlFormat="all"/>
  </connection>
  <connection id="563" name="Conexão4171" type="4" refreshedVersion="3" deleted="1" background="1" saveData="1">
    <webPr xl2000="1" htmlTables="1" htmlFormat="all"/>
  </connection>
  <connection id="564" name="Conexão419" type="4" refreshedVersion="3" deleted="1" background="1" saveData="1">
    <webPr xl2000="1" htmlTables="1" htmlFormat="all"/>
  </connection>
  <connection id="565" name="Conexão4191" type="4" refreshedVersion="3" deleted="1" background="1" saveData="1">
    <webPr xl2000="1" htmlTables="1" htmlFormat="all"/>
  </connection>
  <connection id="566" name="Conexão4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567" name="Conexão421" type="4" refreshedVersion="3" deleted="1" background="1" saveData="1">
    <webPr xl2000="1" htmlTables="1" htmlFormat="all"/>
  </connection>
  <connection id="568" name="Conexão4211" type="4" refreshedVersion="3" deleted="1" background="1" saveData="1">
    <webPr xl2000="1" htmlTables="1" htmlFormat="all"/>
  </connection>
  <connection id="569" name="Conexão422" type="4" refreshedVersion="3" deleted="1" background="1" saveData="1">
    <webPr xl2000="1" htmlTables="1" htmlFormat="all"/>
  </connection>
  <connection id="570" name="Conexão4221" type="4" refreshedVersion="3" deleted="1" background="1" saveData="1">
    <webPr xl2000="1" htmlTables="1" htmlFormat="all"/>
  </connection>
  <connection id="571" name="Conexão423" type="4" refreshedVersion="3" deleted="1" background="1" saveData="1">
    <webPr xl2000="1" htmlTables="1" htmlFormat="all"/>
  </connection>
  <connection id="572" name="Conexão4231" type="4" refreshedVersion="3" deleted="1" background="1" saveData="1">
    <webPr xl2000="1" htmlTables="1" htmlFormat="all"/>
  </connection>
  <connection id="573" name="Conexão424" type="4" refreshedVersion="3" deleted="1" background="1" saveData="1">
    <webPr xl2000="1" htmlTables="1" htmlFormat="all"/>
  </connection>
  <connection id="574" name="Conexão4241" type="4" refreshedVersion="3" deleted="1" background="1" saveData="1">
    <webPr xl2000="1" htmlTables="1" htmlFormat="all"/>
  </connection>
  <connection id="575" name="Conexão425" type="4" refreshedVersion="3" deleted="1" background="1" saveData="1">
    <webPr xl2000="1" htmlTables="1" htmlFormat="all"/>
  </connection>
  <connection id="576" name="Conexão4251" type="4" refreshedVersion="3" deleted="1" background="1" saveData="1">
    <webPr xl2000="1" htmlTables="1" htmlFormat="all"/>
  </connection>
  <connection id="577" name="Conexão427" type="4" refreshedVersion="3" deleted="1" background="1" saveData="1">
    <webPr xl2000="1" htmlTables="1" htmlFormat="all"/>
  </connection>
  <connection id="578" name="Conexão4271" type="4" refreshedVersion="3" deleted="1" background="1" saveData="1">
    <webPr xl2000="1" htmlTables="1" htmlFormat="all"/>
  </connection>
  <connection id="579" name="Conexão429" type="4" refreshedVersion="3" deleted="1" background="1" saveData="1">
    <webPr xl2000="1" htmlTables="1" htmlFormat="all"/>
  </connection>
  <connection id="580" name="Conexão4291" type="4" refreshedVersion="3" deleted="1" background="1" saveData="1">
    <webPr xl2000="1" htmlTables="1" htmlFormat="all"/>
  </connection>
  <connection id="581" name="Conexão4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582" name="Conexão431" type="4" refreshedVersion="3" deleted="1" background="1" saveData="1">
    <webPr xl2000="1" htmlTables="1" htmlFormat="all"/>
  </connection>
  <connection id="583" name="Conexão4311" type="4" refreshedVersion="3" deleted="1" background="1" saveData="1">
    <webPr xl2000="1" htmlTables="1" htmlFormat="all"/>
  </connection>
  <connection id="584" name="Conexão432" type="4" refreshedVersion="3" deleted="1" background="1" saveData="1">
    <webPr xl2000="1" htmlTables="1" htmlFormat="all"/>
  </connection>
  <connection id="585" name="Conexão4321" type="4" refreshedVersion="3" deleted="1" background="1" saveData="1">
    <webPr xl2000="1" htmlTables="1" htmlFormat="all"/>
  </connection>
  <connection id="586" name="Conexão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87" name="Conexão4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88" name="Conexão4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89" name="Conexão4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0" name="Conexão4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1" name="Conexão4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2" name="Conexão4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3" name="Conexão4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4" name="Conexão4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5" name="Conexão4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6" name="Conexão4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7" name="Conexão4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598" name="Conexão471" type="4" refreshedVersion="3" deleted="1" background="1" saveData="1">
    <webPr xl2000="1" htmlTables="1" htmlFormat="all"/>
  </connection>
  <connection id="599" name="Conexão4711" type="4" refreshedVersion="3" deleted="1" background="1" saveData="1">
    <webPr xl2000="1" htmlTables="1" htmlFormat="all"/>
  </connection>
  <connection id="600" name="Conexão4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01" name="Conexão481" type="4" refreshedVersion="3" deleted="1" background="1" saveData="1">
    <webPr xl2000="1" htmlTables="1" htmlFormat="all"/>
  </connection>
  <connection id="602" name="Conexão4811" type="4" refreshedVersion="3" deleted="1" background="1" saveData="1">
    <webPr xl2000="1" htmlTables="1" htmlFormat="all"/>
  </connection>
  <connection id="603" name="Conexão4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04" name="Conexão491" type="4" refreshedVersion="3" deleted="1" background="1" saveData="1">
    <webPr xl2000="1" htmlTables="1" htmlFormat="all"/>
  </connection>
  <connection id="605" name="Conexão4911" type="4" refreshedVersion="3" deleted="1" background="1" saveData="1">
    <webPr xl2000="1" htmlTables="1" htmlFormat="all"/>
  </connection>
  <connection id="606" name="Conexão5" type="4" refreshedVersion="0" background="1" saveData="1">
    <webPr url="http://download.finance.yahoo.com/d/quotes.csv?s=BPAR3.SA&amp;f=nol1hgd1" htmlTables="1" htmlFormat="all"/>
  </connection>
  <connection id="607" name="Conexão5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Tables="1" htmlFormat="all"/>
  </connection>
  <connection id="608" name="Conexão501" type="4" refreshedVersion="3" deleted="1" background="1" saveData="1">
    <webPr xl2000="1" htmlTables="1" htmlFormat="all"/>
  </connection>
  <connection id="609" name="Conexão5011" type="4" refreshedVersion="3" deleted="1" background="1" saveData="1">
    <webPr xl2000="1" htmlTables="1" htmlFormat="all"/>
  </connection>
  <connection id="610" name="Conexão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1" name="Conexão510" type="4" refreshedVersion="0" deleted="1" background="1" saveData="1">
    <webPr htmlTables="1" htmlFormat="all"/>
  </connection>
  <connection id="612" name="Conexão5101" type="4" refreshedVersion="0" deleted="1" background="1" saveData="1">
    <webPr htmlTables="1" htmlFormat="all"/>
  </connection>
  <connection id="613" name="Conexão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4" name="Conexão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5" name="Conexão5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6" name="Conexão512" type="4" refreshedVersion="0" deleted="1" background="1" saveData="1">
    <webPr htmlTables="1" htmlFormat="all"/>
  </connection>
  <connection id="617" name="Conexão5121" type="4" refreshedVersion="0" deleted="1" background="1" saveData="1">
    <webPr htmlTables="1" htmlFormat="all"/>
  </connection>
  <connection id="618" name="Conexão513" type="4" refreshedVersion="0" deleted="1" background="1" saveData="1">
    <webPr htmlTables="1" htmlFormat="all"/>
  </connection>
  <connection id="619" name="Conexão5131" type="4" refreshedVersion="0" deleted="1" background="1" saveData="1">
    <webPr htmlTables="1" htmlFormat="all"/>
  </connection>
  <connection id="620" name="Conexão5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621" name="Conexão521" type="4" refreshedVersion="3" deleted="1" background="1" saveData="1">
    <webPr xl2000="1" htmlTables="1" htmlFormat="all"/>
  </connection>
  <connection id="622" name="Conexão5211" type="4" refreshedVersion="3" deleted="1" background="1" saveData="1">
    <webPr xl2000="1" htmlTables="1" htmlFormat="all"/>
  </connection>
  <connection id="623" name="Conexão5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624" name="Conexão531" type="4" refreshedVersion="3" deleted="1" background="1" saveData="1">
    <webPr xl2000="1" htmlTables="1" htmlFormat="all"/>
  </connection>
  <connection id="625" name="Conexão5311" type="4" refreshedVersion="3" deleted="1" background="1" saveData="1">
    <webPr xl2000="1" htmlTables="1" htmlFormat="all"/>
  </connection>
  <connection id="626" name="Conexão5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27" name="Conexão5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28" name="Conexão5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29" name="Conexão5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Tables="1" htmlFormat="all"/>
  </connection>
  <connection id="630" name="Conexão551" type="4" refreshedVersion="3" deleted="1" background="1" saveData="1">
    <webPr xl2000="1" htmlTables="1" htmlFormat="all"/>
  </connection>
  <connection id="631" name="Conexão5511" type="4" refreshedVersion="3" deleted="1" background="1" saveData="1">
    <webPr xl2000="1" htmlTables="1" htmlFormat="all"/>
  </connection>
  <connection id="632" name="Conexão5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3" name="Conexão5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4" name="Conexão5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5" name="Conexão5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6" name="Conexão5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37" name="Conexão5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38" name="Conexão5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39" name="Conexão5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40" name="Conexão5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41" name="Conexão5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42" name="Conexão5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43" name="Conexão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4" name="Conexão5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5" name="Conexão5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6" name="Conexão5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7" name="Conexão6" type="4" refreshedVersion="0" background="1" saveData="1">
    <webPr url="http://download.finance.yahoo.com/d/quotes.csv?s=BPAR3.SA&amp;f=nol1hgd1" htmlTables="1" htmlFormat="all"/>
  </connection>
  <connection id="648" name="Conexão6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Tables="1" htmlFormat="all"/>
  </connection>
  <connection id="649" name="Conexão601" type="4" refreshedVersion="3" deleted="1" background="1" saveData="1">
    <webPr xl2000="1" htmlTables="1" htmlFormat="all"/>
  </connection>
  <connection id="650" name="Conexão6011" type="4" refreshedVersion="3" deleted="1" background="1" saveData="1">
    <webPr xl2000="1" htmlTables="1" htmlFormat="all"/>
  </connection>
  <connection id="651" name="Conexão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52" name="Conexão610" type="4" refreshedVersion="0" background="1" saveData="1">
    <webPr url="http://download.finance.yahoo.com/d/quotes.csv?s=BPAR3.SA&amp;f=nol1hgd1" htmlTables="1" htmlFormat="all"/>
  </connection>
  <connection id="653" name="Conexão6101" type="4" refreshedVersion="0" background="1" saveData="1">
    <webPr url="http://download.finance.yahoo.com/d/quotes.csv?s=BPAR3.SA&amp;f=nol1hgd1" htmlTables="1" htmlFormat="all"/>
  </connection>
  <connection id="654" name="Conexão61011" type="4" refreshedVersion="0" background="1" saveData="1">
    <webPr url="http://download.finance.yahoo.com/d/quotes.csv?s=BPAR3.SA&amp;f=nol1hgd1" htmlTables="1" htmlFormat="all"/>
  </connection>
  <connection id="655" name="Conexão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56" name="Conexão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57" name="Conexão612" type="4" refreshedVersion="0" deleted="1" background="1" saveData="1">
    <webPr htmlTables="1" htmlFormat="all"/>
  </connection>
  <connection id="658" name="Conexão6121" type="4" refreshedVersion="0" deleted="1" background="1" saveData="1">
    <webPr htmlTables="1" htmlFormat="all"/>
  </connection>
  <connection id="659" name="Conexão613" type="4" refreshedVersion="3" deleted="1" background="1" saveData="1">
    <webPr xl2000="1" htmlTables="1" htmlFormat="all"/>
  </connection>
  <connection id="660" name="Conexão6131" type="4" refreshedVersion="3" deleted="1" background="1" saveData="1">
    <webPr xl2000="1" htmlTables="1" htmlFormat="all"/>
  </connection>
  <connection id="661" name="Conexão6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662" name="Conexão621" type="4" refreshedVersion="3" deleted="1" background="1" saveData="1">
    <webPr xl2000="1" htmlTables="1" htmlFormat="all"/>
  </connection>
  <connection id="663" name="Conexão6211" type="4" refreshedVersion="3" deleted="1" background="1" saveData="1">
    <webPr xl2000="1" htmlTables="1" htmlFormat="all"/>
  </connection>
  <connection id="664" name="Conexão6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665" name="Conexão631" type="4" refreshedVersion="3" deleted="1" background="1" saveData="1">
    <webPr xl2000="1" htmlTables="1" htmlFormat="all"/>
  </connection>
  <connection id="666" name="Conexão6311" type="4" refreshedVersion="3" deleted="1" background="1" saveData="1">
    <webPr xl2000="1" htmlTables="1" htmlFormat="all"/>
  </connection>
  <connection id="667" name="Conexão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68" name="Conexão6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69" name="Conexão6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70" name="Conexão6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71" name="Conexão6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2" name="Conexão6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3" name="Conexão6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4" name="Conexão6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5" name="Conexão6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76" name="Conexão6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77" name="Conexão6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78" name="Conexão6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79" name="Conexão6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80" name="Conexão6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81" name="Conexão6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2" name="Conexão6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3" name="Conexão6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4" name="Conexão6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5" name="Conexão6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Tables="1" htmlFormat="all"/>
  </connection>
  <connection id="686" name="Conexão691" type="4" refreshedVersion="3" deleted="1" background="1" saveData="1">
    <webPr xl2000="1" htmlTables="1" htmlFormat="all"/>
  </connection>
  <connection id="687" name="Conexão6911" type="4" refreshedVersion="3" deleted="1" background="1" saveData="1">
    <webPr xl2000="1" htmlTables="1" htmlFormat="all"/>
  </connection>
  <connection id="688" name="Conexão7" type="4" refreshedVersion="0" background="1" saveData="1">
    <webPr url="http://download.finance.yahoo.com/d/quotes.csv?s=BPAR3.SA&amp;f=nol1hgd1" htmlTables="1" htmlFormat="all"/>
  </connection>
  <connection id="689" name="Conexão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0" name="Conexão7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1" name="Conexão7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2" name="Conexão7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3" name="Conexão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94" name="Conexão710" type="4" refreshedVersion="0" background="1" saveData="1">
    <webPr url="http://download.finance.yahoo.com/d/quotes.csv?s=BPAR3.SA&amp;f=nol1hgd1" htmlTables="1" htmlFormat="all"/>
  </connection>
  <connection id="695" name="Conexão7101" type="4" refreshedVersion="0" background="1" saveData="1">
    <webPr url="http://download.finance.yahoo.com/d/quotes.csv?s=BPAR3.SA&amp;f=nol1hgd1" htmlTables="1" htmlFormat="all"/>
  </connection>
  <connection id="696" name="Conexão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97" name="Conexão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98" name="Conexão7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99" name="Conexão712" type="4" refreshedVersion="3" deleted="1" background="1" saveData="1">
    <webPr xl2000="1" htmlTables="1" htmlFormat="all"/>
  </connection>
  <connection id="700" name="Conexão7121" type="4" refreshedVersion="3" deleted="1" background="1" saveData="1">
    <webPr xl2000="1" htmlTables="1" htmlFormat="all"/>
  </connection>
  <connection id="701" name="Conexão713" type="4" refreshedVersion="0" deleted="1" background="1" saveData="1">
    <webPr htmlTables="1" htmlFormat="all"/>
  </connection>
  <connection id="702" name="Conexão7131" type="4" refreshedVersion="0" deleted="1" background="1" saveData="1">
    <webPr htmlTables="1" htmlFormat="all"/>
  </connection>
  <connection id="703" name="Conexão7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4" name="Conexão7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5" name="Conexão7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6" name="Conexão72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7" name="Conexão7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08" name="Conexão7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09" name="Conexão7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10" name="Conexão73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11" name="Conexão7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2" name="Conexão7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3" name="Conexão7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4" name="Conexão7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5" name="Conexão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16" name="Conexão751" type="4" refreshedVersion="3" deleted="1" background="1" saveData="1">
    <webPr xl2000="1" htmlTables="1" htmlFormat="all"/>
  </connection>
  <connection id="717" name="Conexão7511" type="4" refreshedVersion="3" deleted="1" background="1" saveData="1">
    <webPr xl2000="1" htmlTables="1" htmlFormat="all"/>
  </connection>
  <connection id="718" name="Conexão7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719" name="Conexão761" type="4" refreshedVersion="3" deleted="1" background="1" saveData="1">
    <webPr xl2000="1" htmlTables="1" htmlFormat="all"/>
  </connection>
  <connection id="720" name="Conexão7611" type="4" refreshedVersion="3" deleted="1" background="1" saveData="1">
    <webPr xl2000="1" htmlTables="1" htmlFormat="all"/>
  </connection>
  <connection id="721" name="Conexão7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22" name="Conexão771" type="4" refreshedVersion="3" deleted="1" background="1" saveData="1">
    <webPr xl2000="1" htmlTables="1" htmlFormat="all"/>
  </connection>
  <connection id="723" name="Conexão7711" type="4" refreshedVersion="3" deleted="1" background="1" saveData="1">
    <webPr xl2000="1" htmlTables="1" htmlFormat="all"/>
  </connection>
  <connection id="724" name="Conexão7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25" name="Conexão781" type="4" refreshedVersion="3" deleted="1" background="1" saveData="1">
    <webPr xl2000="1" htmlTables="1" htmlFormat="all"/>
  </connection>
  <connection id="726" name="Conexão7811" type="4" refreshedVersion="3" deleted="1" background="1" saveData="1">
    <webPr xl2000="1" htmlTables="1" htmlFormat="all"/>
  </connection>
  <connection id="727" name="Conexão7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28" name="Conexão791" type="4" refreshedVersion="3" deleted="1" background="1" saveData="1">
    <webPr xl2000="1" htmlTables="1" htmlFormat="all"/>
  </connection>
  <connection id="729" name="Conexão7911" type="4" refreshedVersion="3" deleted="1" background="1" saveData="1">
    <webPr xl2000="1" htmlTables="1" htmlFormat="all"/>
  </connection>
  <connection id="730" name="Conexão8" type="4" refreshedVersion="0" background="1" saveData="1">
    <webPr url="http://download.finance.yahoo.com/d/quotes.csv?s=IDVL3.SA+IDVL4.SA+IDVL11.SA&amp;f=nol1hgd1" htmlTables="1" htmlFormat="all"/>
  </connection>
  <connection id="731" name="Conexão8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732" name="Conexão801" type="4" refreshedVersion="3" deleted="1" background="1" saveData="1">
    <webPr xl2000="1" htmlTables="1" htmlFormat="all"/>
  </connection>
  <connection id="733" name="Conexão8011" type="4" refreshedVersion="3" deleted="1" background="1" saveData="1">
    <webPr xl2000="1" htmlTables="1" htmlFormat="all"/>
  </connection>
  <connection id="734" name="Conexão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35" name="Conexão810" type="4" refreshedVersion="0" background="1" saveData="1">
    <webPr url="http://download.finance.yahoo.com/d/quotes.csv?s=IDVL3.SA+IDVL4.SA+IDVL11.SA&amp;f=nol1hgd1" htmlTables="1" htmlFormat="all"/>
  </connection>
  <connection id="736" name="Conexão8101" type="4" refreshedVersion="0" background="1" saveData="1">
    <webPr url="http://download.finance.yahoo.com/d/quotes.csv?s=IDVL3.SA+IDVL4.SA+IDVL11.SA&amp;f=nol1hgd1" htmlTables="1" htmlFormat="all"/>
  </connection>
  <connection id="737" name="Conexão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38" name="Conexão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39" name="Conexão8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40" name="Conexão812" type="4" refreshedVersion="3" deleted="1" background="1" saveData="1">
    <webPr xl2000="1" htmlTables="1" htmlFormat="all"/>
  </connection>
  <connection id="741" name="Conexão8121" type="4" refreshedVersion="3" deleted="1" background="1" saveData="1">
    <webPr xl2000="1" htmlTables="1" htmlFormat="all"/>
  </connection>
  <connection id="742" name="Conexão813" type="4" refreshedVersion="0" deleted="1" background="1" saveData="1">
    <webPr htmlTables="1" htmlFormat="all"/>
  </connection>
  <connection id="743" name="Conexão8131" type="4" refreshedVersion="0" deleted="1" background="1" saveData="1">
    <webPr htmlTables="1" htmlFormat="all"/>
  </connection>
  <connection id="744" name="Conexão814" type="4" refreshedVersion="0" deleted="1" background="1" saveData="1">
    <webPr htmlTables="1" htmlFormat="all"/>
  </connection>
  <connection id="745" name="Conexão8141" type="4" refreshedVersion="0" deleted="1" background="1" saveData="1">
    <webPr htmlTables="1" htmlFormat="all"/>
  </connection>
  <connection id="746" name="Conexão8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Tables="1" htmlFormat="all"/>
  </connection>
  <connection id="747" name="Conexão821" type="4" refreshedVersion="3" deleted="1" background="1" saveData="1">
    <webPr xl2000="1" htmlTables="1" htmlFormat="all"/>
  </connection>
  <connection id="748" name="Conexão8211" type="4" refreshedVersion="3" deleted="1" background="1" saveData="1">
    <webPr xl2000="1" htmlTables="1" htmlFormat="all"/>
  </connection>
  <connection id="749" name="Conexão8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750" name="Conexão8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751" name="Conexão8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752" name="Conexão8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53" name="Conexão8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54" name="Conexão8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55" name="Conexão8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56" name="Conexão8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57" name="Conexão8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58" name="Conexão8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59" name="Conexão8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60" name="Conexão8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61" name="Conexão8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762" name="Conexão871" type="4" refreshedVersion="3" deleted="1" background="1" saveData="1">
    <webPr xl2000="1" htmlTables="1" htmlFormat="all"/>
  </connection>
  <connection id="763" name="Conexão8711" type="4" refreshedVersion="3" deleted="1" background="1" saveData="1">
    <webPr xl2000="1" htmlTables="1" htmlFormat="all"/>
  </connection>
  <connection id="764" name="Conexão8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765" name="Conexão881" type="4" refreshedVersion="0" deleted="1" background="1" saveData="1">
    <webPr htmlTables="1" htmlFormat="all"/>
  </connection>
  <connection id="766" name="Conexão8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67" name="Conexão8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68" name="Conexão8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69" name="Conexão8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0" name="Conexão8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1" name="Conexão9" type="4" refreshedVersion="0" background="1" saveData="1">
    <webPr url="http://download.finance.yahoo.com/d/quotes.csv?s=IDVL3.SA+IDVL4.SA+BMEB3.SA+BMEB4.SA&amp;f=nol1hgd1" htmlTables="1" htmlFormat="all"/>
  </connection>
  <connection id="772" name="Conexão9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3" name="Conexão9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4" name="Conexão9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5" name="Conexão9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6" name="Conexão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77" name="Conexão910" type="4" refreshedVersion="0" background="1" saveData="1">
    <webPr url="http://download.finance.yahoo.com/d/quotes.csv?s=IDVL3.SA+IDVL4.SA+BMEB3.SA+BMEB4.SA&amp;f=nol1hgd1" htmlTables="1" htmlFormat="all"/>
  </connection>
  <connection id="778" name="Conexão9101" type="4" refreshedVersion="0" background="1" saveData="1">
    <webPr url="http://download.finance.yahoo.com/d/quotes.csv?s=IDVL3.SA+IDVL4.SA+BMEB3.SA+BMEB4.SA&amp;f=nol1hgd1" htmlTables="1" htmlFormat="all"/>
  </connection>
  <connection id="779" name="Conexão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0" name="Conexão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1" name="Conexão9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2" name="Conexão9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83" name="Conexão921" type="4" refreshedVersion="0" deleted="1" background="1" saveData="1">
    <webPr htmlTables="1" htmlFormat="all"/>
  </connection>
  <connection id="784" name="Conexão9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85" name="Conexão931" type="4" refreshedVersion="0" deleted="1" background="1" saveData="1">
    <webPr htmlTables="1" htmlFormat="all"/>
  </connection>
  <connection id="786" name="Conexão9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87" name="Conexão941" type="4" refreshedVersion="0" deleted="1" background="1" saveData="1">
    <webPr htmlTables="1" htmlFormat="all"/>
  </connection>
  <connection id="788" name="Conexão9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9" name="Conexão9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0" name="Conexão9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1" name="Conexão9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2" name="Conexão9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3" name="Conexão9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4" name="Conexão9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5" name="Conexão9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6" name="Conexão9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7" name="Conexão9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798" name="Conexão9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799" name="Conexão9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0" name="Conexão9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1" name="Conexão9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2" name="Conexão9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3" name="Conexão9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4" name="Conexão9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5" name="Conexão9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06" name="Conexão991" type="4" refreshedVersion="3" deleted="1" background="1" saveData="1">
    <webPr xl2000="1" htmlTables="1" htmlFormat="all"/>
  </connection>
  <connection id="807" name="Connection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08" name="Connection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09" name="Connection1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Tables="1" htmlFormat="all"/>
  </connection>
  <connection id="810" name="Connection10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811" name="Connection10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812" name="Connection1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3" name="Connection1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4" name="Connection1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5" name="Connection1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6" name="Connection10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17" name="Connection10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18" name="Connection10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19" name="Connection10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820" name="Connection10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821" name="Connection10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2" name="Connection10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3" name="Connection105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824" name="Connection106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825" name="Connection10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826" name="Connection10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7" name="Connection10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8" name="Connection10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829" name="Connection10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830" name="Connection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1" name="Connection11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32" name="Connection11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33" name="Connection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4" name="Connection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5" name="Connection1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6" name="Connection11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837" name="Connection11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38" name="Connection11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839" name="Connection11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840" name="Connection11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841" name="Connection11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842" name="Connection11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843" name="Connection11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844" name="Connection11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845" name="Connection11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846" name="Connection11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847" name="Connection11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848" name="Connection11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849" name="Connection11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850" name="Connection11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851" name="Connection11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852" name="Connection11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853" name="Connection1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Tables="1" htmlFormat="all"/>
  </connection>
  <connection id="854" name="Connection12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855" name="Connection12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856" name="Connection1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57" name="Connection1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58" name="Connection1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59" name="Connection1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60" name="Connection1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861" name="Connection12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862" name="Connection12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Tables="1" htmlFormat="all"/>
  </connection>
  <connection id="863" name="Connection12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864" name="Connection12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865" name="Connection12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866" name="Connection12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867" name="Connection12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868" name="Connection12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869" name="Connection12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870" name="Connection12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871" name="Connection12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872" name="Connection128" type="4" refreshedVersion="4" background="1" saveData="1">
    <webPr xl2000="1" url="http://download.finance.yahoo.com/d/quotes.csv?s=AZEV3.SA+AZEV4.SA+COBE3B.SA+COBE5B.SA+COBE6B.SA+LIXC3.SA+LIXC4.SA+SULT3.SA+SULT4.SA+MEND3.SA+MEND5.SA+MEND6.SA&amp;f=nol1hgd1" htmlFormat="all"/>
  </connection>
  <connection id="873" name="Connection129" type="4" refreshedVersion="4" background="1" saveData="1">
    <webPr xl2000="1" url="http://download.finance.yahoo.com/d/quotes.csv?s=AZEV3.SA+AZEV4.SA+MEND3.SA+MEND5.SA+MEND6.SA+LIXC3.SA+LIXC4.SA+SULT3.SA+SULT4.SA&amp;f=nol1hgd1" htmlFormat="all"/>
  </connection>
  <connection id="874" name="Connection1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Tables="1" htmlFormat="all"/>
  </connection>
  <connection id="875" name="Connection130" type="4" refreshedVersion="4" background="1" saveData="1">
    <webPr xl2000="1" url="http://download.finance.yahoo.com/d/quotes.csv?s=AZEV3.SA+AZEV4.SA+LIXC3.SA+LIXC4.SA+MEND3.SA+MEND5.SA+MEND6.SA+SULT3.SA+SULT4.SA&amp;f=nol1hgd1" htmlFormat="all"/>
  </connection>
  <connection id="876" name="Connection1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77" name="Connection1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78" name="Connection1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79" name="Connection1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80" name="Connection132" type="4" refreshedVersion="0" background="1" saveData="1">
    <webPr url="http://download.finance.yahoo.com/d/quotes.csv?s=AZEV3.SA+AZEV4.SA+LIXC3.SA+LIXC4.SA+MEND3.SA+MEND5.SA+MEND6.SA+SULT3.SA+SULT4.SA+SOND3.SA+SOND5.SA+SOND6.SA+TCNO3.SA+TCNO4.SA&amp;f=nol1hgd1" htmlTables="1" htmlFormat="all"/>
  </connection>
  <connection id="881" name="Connection13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&amp;f=nol1hgd1" htmlFormat="all"/>
  </connection>
  <connection id="882" name="Connection13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&amp;f=nol1hgd1" htmlFormat="all"/>
  </connection>
  <connection id="883" name="Connection13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884" name="Connection13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885" name="Connection13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&amp;f=nol1hgd1" htmlFormat="all"/>
  </connection>
  <connection id="886" name="Connection13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&amp;f=nol1hgd1" htmlFormat="all"/>
  </connection>
  <connection id="887" name="Connection13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&amp;f=nol1hgd1" htmlFormat="all"/>
  </connection>
  <connection id="888" name="Connection1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89" name="Connection14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&amp;f=nol1hgd1" htmlFormat="all"/>
  </connection>
  <connection id="890" name="Connection1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1" name="Connection1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2" name="Connection1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3" name="Connection1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4" name="Connection142" type="4" refreshedVersion="0" background="1" saveData="1">
    <webPr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&amp;f=nol1hgd1" htmlTables="1" htmlFormat="all"/>
  </connection>
  <connection id="895" name="Connection14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&amp;f=nol1hgd1" htmlFormat="all"/>
  </connection>
  <connection id="896" name="Connection14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&amp;f=nol1hgd1" htmlFormat="all"/>
  </connection>
  <connection id="897" name="Connection14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MMAQ3.SA+MMAQ4.SA+SGAS3.SA+SGAS4.SA&amp;f=nol1hgd1" htmlFormat="all"/>
  </connection>
  <connection id="898" name="Connection14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&amp;f=nol1hgd1" htmlFormat="all"/>
  </connection>
  <connection id="899" name="Connection14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00" name="Connection14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&amp;f=nol1hgd1" htmlFormat="all"/>
  </connection>
  <connection id="901" name="Connection14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&amp;f=nol1hgd1" htmlFormat="all"/>
  </connection>
  <connection id="902" name="Connection1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3" name="Connection15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&amp;f=nol1hgd1" htmlFormat="all"/>
  </connection>
  <connection id="904" name="Connection1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5" name="Connection1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6" name="Connection1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7" name="Connection1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8" name="Connection15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909" name="Connection1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10" name="Connection1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11" name="Connection1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12" name="Connection156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13" name="Connection15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914" name="Connection15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&amp;f=nol1hgd1" htmlFormat="all"/>
  </connection>
  <connection id="915" name="Connection15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&amp;f=nol1hgd1" htmlFormat="all"/>
  </connection>
  <connection id="916" name="Connection1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17" name="Connection16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&amp;f=nol1hgd1" htmlFormat="all"/>
  </connection>
  <connection id="918" name="Connection1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19" name="Connection1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0" name="Connection1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1" name="Connection1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2" name="Connection16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&amp;f=nol1hgd1" htmlFormat="all"/>
  </connection>
  <connection id="923" name="Connection16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KP3.SA+LEVE3.SA+POMO3.SA+RSUL3.SA+RSUL4.SA+PLAS3.SA+RAPT3.SA+RAPT4.SA+RCSL3.SA+TUPY3.SA+MWET3.SA+MWET4.SA&amp;f=nol1hgd1" htmlFormat="all"/>
  </connection>
  <connection id="924" name="Connection16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&amp;f=nol1hgd1" htmlFormat="all"/>
  </connection>
  <connection id="925" name="Connection16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&amp;f=nol1hgd1" htmlFormat="all"/>
  </connection>
  <connection id="926" name="Connection16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&amp;f=nol1hgd1" htmlFormat="all"/>
  </connection>
  <connection id="927" name="Connection16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28" name="Connection168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29" name="Connection169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30" name="Connection1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1" name="Connection17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32" name="Connection1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3" name="Connection1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4" name="Connection1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5" name="Connection1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6" name="Connection172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37" name="Connection17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38" name="Connection174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39" name="Connection175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40" name="Connection17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41" name="Connection17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42" name="Connection17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43" name="Connection1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4" name="Connection1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5" name="Connection1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6" name="Connection1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7" name="Connection1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8" name="Connection1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49" name="Connection1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0" name="Connection1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1" name="Connection1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2" name="Connection1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3" name="Connection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54" name="Connection2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5" name="Connection2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6" name="Connection2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7" name="Connection2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8" name="Connection2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9" name="Connection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0" name="Connection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1" name="Connection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2" name="Connection2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3" name="Connection21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4" name="Connection2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5" name="Connection2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6" name="Connection2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7" name="Connection2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8" name="Connection2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9" name="Connection2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0" name="Connection2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1" name="Connection2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2" name="Connection2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3" name="Connection2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4" name="Connection2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5" name="Connection2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6" name="Connection2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7" name="Connection2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8" name="Connection2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9" name="Connection2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0" name="Connection2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1" name="Connection2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2" name="Connection2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3" name="Connection2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4" name="Connection2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5" name="Connection2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6" name="Connection2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7" name="Connection2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8" name="Connection2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9" name="Connection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90" name="Connection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91" name="Connection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92" name="Connection28" type="4" refreshedVersion="4" background="1" saveData="1">
    <webPr xl2000="1" url="http://download.finance.yahoo.com/d/quotes.csv?s=IGUA3.SA+IGUA5.SA+IGUA6.SA&amp;f=nol1hgd1" htmlFormat="all"/>
  </connection>
  <connection id="993" name="Connection281" type="4" refreshedVersion="4" background="1" saveData="1">
    <webPr xl2000="1" url="http://download.finance.yahoo.com/d/quotes.csv?s=IGUA3.SA+IGUA5.SA+IGUA6.SA&amp;f=nol1hgd1" htmlFormat="all"/>
  </connection>
  <connection id="994" name="Connection29" type="4" refreshedVersion="4" background="1" saveData="1">
    <webPr xl2000="1" url="http://download.finance.yahoo.com/d/quotes.csv?s=IGUA3.SA+IGUA5.SA+IGUA6.SA+ODER3.SA+ODER4.SA&amp;f=nol1hgd1" htmlFormat="all"/>
  </connection>
  <connection id="995" name="Connection291" type="4" refreshedVersion="4" background="1" saveData="1">
    <webPr xl2000="1" url="http://download.finance.yahoo.com/d/quotes.csv?s=IGUA3.SA+IGUA5.SA+IGUA6.SA+ODER3.SA+ODER4.SA&amp;f=nol1hgd1" htmlFormat="all"/>
  </connection>
  <connection id="996" name="Connection2911" type="4" refreshedVersion="4" background="1" saveData="1">
    <webPr xl2000="1" url="http://download.finance.yahoo.com/d/quotes.csv?s=IGUA3.SA+IGUA5.SA+IGUA6.SA+ODER3.SA+ODER4.SA&amp;f=nol1hgd1" htmlFormat="all"/>
  </connection>
  <connection id="997" name="Connection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998" name="Connection30" type="4" refreshedVersion="4" background="1" saveData="1">
    <webPr xl2000="1" url="http://download.finance.yahoo.com/d/quotes.csv?s=IGUA3.SA+IGUA5.SA+IGUA6.SA+JOPA3.SA+JOPA4.SA&amp;f=nol1hgd1" htmlFormat="all"/>
  </connection>
  <connection id="999" name="Connection301" type="4" refreshedVersion="4" background="1" saveData="1">
    <webPr xl2000="1" url="http://download.finance.yahoo.com/d/quotes.csv?s=IGUA3.SA+IGUA5.SA+IGUA6.SA+JOPA3.SA+JOPA4.SA&amp;f=nol1hgd1" htmlFormat="all"/>
  </connection>
  <connection id="1000" name="Connection31" type="4" refreshedVersion="4" background="1" saveData="1">
    <webPr xl2000="1" url="http://download.finance.yahoo.com/d/quotes.csv?s=IGUA3.SA+IGUA5.SA+IGUA6.SA+JOPA3.SA+JOPA4.SA+SMTO3.SA&amp;f=nol1hgd1" htmlFormat="all"/>
  </connection>
  <connection id="1001" name="Connection311" type="4" refreshedVersion="4" background="1" saveData="1">
    <webPr xl2000="1" url="http://download.finance.yahoo.com/d/quotes.csv?s=IGUA3.SA+IGUA5.SA+IGUA6.SA+JOPA3.SA+JOPA4.SA+SMTO3.SA&amp;f=nol1hgd1" htmlFormat="all"/>
  </connection>
  <connection id="1002" name="Connection3111" type="4" refreshedVersion="4" background="1" saveData="1">
    <webPr xl2000="1" url="http://download.finance.yahoo.com/d/quotes.csv?s=IGUA3.SA+IGUA5.SA+IGUA6.SA+JOPA3.SA+JOPA4.SA+SMTO3.SA&amp;f=nol1hgd1" htmlFormat="all"/>
  </connection>
  <connection id="1003" name="Connection32" type="4" refreshedVersion="4" background="1" saveData="1">
    <webPr xl2000="1" url="http://download.finance.yahoo.com/d/quotes.csv?s=IGUA3.SA+IGUA5.SA+IGUA6.SA+JOPA3.SA+JOPA4.SA+SMTO3.SA+BSEV3.SA&amp;f=nol1hgd1" htmlFormat="all"/>
  </connection>
  <connection id="1004" name="Connection321" type="4" refreshedVersion="4" background="1" saveData="1">
    <webPr xl2000="1" url="http://download.finance.yahoo.com/d/quotes.csv?s=IGUA3.SA+IGUA5.SA+IGUA6.SA+JOPA3.SA+JOPA4.SA+SMTO3.SA+BSEV3.SA&amp;f=nol1hgd1" htmlFormat="all"/>
  </connection>
  <connection id="1005" name="Connection33" type="4" refreshedVersion="4" background="1" saveData="1">
    <webPr xl2000="1" url="http://download.finance.yahoo.com/d/quotes.csv?s=IGUA3.SA+IGUA5.SA+IGUA6.SA+JOPA3.SA+JOPA4.SA+SMTO3.SA+BSEV3.SA+VAGR3.SA&amp;f=nol1hgd1" htmlFormat="all"/>
  </connection>
  <connection id="1006" name="Connection331" type="4" refreshedVersion="4" background="1" saveData="1">
    <webPr xl2000="1" url="http://download.finance.yahoo.com/d/quotes.csv?s=IGUA3.SA+IGUA5.SA+IGUA6.SA+JOPA3.SA+JOPA4.SA+SMTO3.SA+BSEV3.SA+VAGR3.SA&amp;f=nol1hgd1" htmlFormat="all"/>
  </connection>
  <connection id="1007" name="Connection34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008" name="Connection341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009" name="Connection35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010" name="Connection351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011" name="Connection36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012" name="Connection361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013" name="Connection37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4" name="Connection37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5" name="Connection38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6" name="Connection38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7" name="Connection39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018" name="Connection391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019" name="Connection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20" name="Connection40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021" name="Connection401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022" name="Connection4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023" name="Connection41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024" name="Connection4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25" name="Connection4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26" name="Connection421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27" name="Connection4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028" name="Connection4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029" name="Connection4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030" name="Connection4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031" name="Connection4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032" name="Connection4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033" name="Connection4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034" name="Connection4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035" name="Connection4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036" name="Connection4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037" name="Connection4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038" name="Connection4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039" name="Connection4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040" name="Connection4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041" name="Connection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42" name="Connection5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043" name="Connection5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044" name="Connection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045" name="Connection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046" name="Connection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047" name="Connection5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048" name="Connection5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049" name="Connection5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050" name="Connection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51" name="Connection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52" name="Connection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3" name="Connection56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54" name="Connection57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55" name="Connection58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56" name="Connection5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7" name="Connection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Tables="1" htmlFormat="all"/>
  </connection>
  <connection id="1058" name="Connection6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59" name="Connection6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60" name="Connection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1" name="Connection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2" name="Connection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3" name="Connection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4" name="Connection6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65" name="Connection62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66" name="Connection63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67" name="Connection6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68" name="Connection6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69" name="Connection6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0" name="Connection66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71" name="Connection67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72" name="Connection6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73" name="Connection6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4" name="Connection6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5" name="Connection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Tables="1" htmlFormat="all"/>
  </connection>
  <connection id="1076" name="Connection70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77" name="Connection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78" name="Connection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79" name="Connection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80" name="Connection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81" name="Connection7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82" name="Connection72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83" name="Connection7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84" name="Connection7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85" name="Connection7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86" name="Connection7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087" name="Connection7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088" name="Connection7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089" name="Connection7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090" name="Connection7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091" name="Connection7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092" name="Connection7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093" name="Connection7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094" name="Connection7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095" name="Connection7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096" name="Connection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Tables="1" htmlFormat="all"/>
  </connection>
  <connection id="1097" name="Connection8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098" name="Connection8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099" name="Connection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0" name="Connection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1" name="Connection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2" name="Connection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3" name="Connection8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04" name="Connection8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05" name="Connection8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06" name="Connection8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107" name="Connection8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108" name="Connection8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109" name="Connection8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110" name="Connection8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111" name="Connection8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112" name="Connection8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113" name="Connection8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114" name="Connection8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115" name="Connection8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116" name="Connection8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117" name="Connection8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118" name="Connection8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119" name="Connection8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120" name="Connection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Tables="1" htmlFormat="all"/>
  </connection>
  <connection id="1121" name="Connection9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122" name="Connection9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123" name="Connection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4" name="Connection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5" name="Connection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6" name="Connection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7" name="Connection9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28" name="Connection9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29" name="Connection9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30" name="Connection9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131" name="Connection9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132" name="Connection9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133" name="Connection9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134" name="Connection9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135" name="Connection9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136" name="Connection9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137" name="Connection9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138" name="Connection9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139" name="Connection9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140" name="Connection9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141" name="Connection9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142" name="Connection9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  <connection id="1143" name="Connection9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</connections>
</file>

<file path=xl/sharedStrings.xml><?xml version="1.0" encoding="utf-8"?>
<sst xmlns="http://schemas.openxmlformats.org/spreadsheetml/2006/main" count="4325" uniqueCount="2076">
  <si>
    <t>Ativo</t>
  </si>
  <si>
    <t>ELPL4</t>
  </si>
  <si>
    <t>ELET3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</si>
  <si>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</si>
  <si>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</si>
  <si>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</si>
  <si>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</si>
  <si>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</si>
  <si>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</si>
  <si>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</si>
  <si>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</si>
  <si>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Valores</t>
  </si>
  <si>
    <t>Utilidade Pública / Energia Elétrica / Energia Elétrica</t>
  </si>
  <si>
    <t>Classificação Setorial</t>
  </si>
  <si>
    <t>Financeiro e Outros / Intermediários Financeiros / Bancos</t>
  </si>
  <si>
    <t>DAYC4</t>
  </si>
  <si>
    <t>ITSA4</t>
  </si>
  <si>
    <t>Rentabilidade</t>
  </si>
  <si>
    <t>SUZB5</t>
  </si>
  <si>
    <t>Materiais Básicos / Madeira e Papel / Papel e Celulose</t>
  </si>
  <si>
    <t>PETR3</t>
  </si>
  <si>
    <t>PETR4</t>
  </si>
  <si>
    <t>ABCB4</t>
  </si>
  <si>
    <t>BRSR6</t>
  </si>
  <si>
    <t>BBAS3</t>
  </si>
  <si>
    <t>BBSE3</t>
  </si>
  <si>
    <t>Financeiro e Outros / Previdência e Seguros / Seguradoras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</si>
  <si>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</si>
  <si>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</si>
  <si>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</si>
  <si>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</si>
  <si>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</si>
  <si>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</si>
  <si>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</si>
  <si>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</si>
  <si>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</si>
  <si>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</si>
  <si>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Utilidade Pública / Água e Saneamento / Água e Saneamento</t>
  </si>
  <si>
    <t>GEPA4</t>
  </si>
  <si>
    <t>UNIP6</t>
  </si>
  <si>
    <t>Materiais Básicos / Químicos / Petroquímicos</t>
  </si>
  <si>
    <t>Ativos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</si>
  <si>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</si>
  <si>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</si>
  <si>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</si>
  <si>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</si>
  <si>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</si>
  <si>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</si>
  <si>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</si>
  <si>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</si>
  <si>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</si>
  <si>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</si>
  <si>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</si>
  <si>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Líquido</t>
  </si>
  <si>
    <t>KLBN4</t>
  </si>
  <si>
    <t>LIGT3</t>
  </si>
  <si>
    <t>TAEE11</t>
  </si>
  <si>
    <t>SULA11</t>
  </si>
  <si>
    <t>BEES3</t>
  </si>
  <si>
    <t>BEES4</t>
  </si>
  <si>
    <t>Lucro Med A.A</t>
  </si>
  <si>
    <t>BMIN4</t>
  </si>
  <si>
    <t>BAZA3</t>
  </si>
  <si>
    <t>Ref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</si>
  <si>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</si>
  <si>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</si>
  <si>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</si>
  <si>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</si>
  <si>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</si>
  <si>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</si>
  <si>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</si>
  <si>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</si>
  <si>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</si>
  <si>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UNIP5</t>
  </si>
  <si>
    <t>PINE4</t>
  </si>
  <si>
    <t>SFSA4</t>
  </si>
  <si>
    <t>RPAD5</t>
  </si>
  <si>
    <t>BRGE6</t>
  </si>
  <si>
    <t>TERI3</t>
  </si>
  <si>
    <t>FESA4</t>
  </si>
  <si>
    <t>ITUB4</t>
  </si>
  <si>
    <t>COCE5</t>
  </si>
  <si>
    <t>PRBC4</t>
  </si>
  <si>
    <t>Exercício</t>
  </si>
  <si>
    <t>Lucro/Ação</t>
  </si>
  <si>
    <t>ENGI11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</si>
  <si>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</si>
  <si>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</si>
  <si>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</si>
  <si>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</si>
  <si>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</si>
  <si>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</si>
  <si>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</si>
  <si>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</si>
  <si>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</si>
  <si>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</si>
  <si>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</si>
  <si>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</si>
  <si>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</si>
  <si>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</si>
  <si>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</si>
  <si>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</si>
  <si>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 xml:space="preserve">ABC BRASIL  -PN  </t>
  </si>
  <si>
    <t>AES ELPA    -ON</t>
  </si>
  <si>
    <t>AMAZONIA    -ON</t>
  </si>
  <si>
    <t xml:space="preserve">BRASIL      -ON  </t>
  </si>
  <si>
    <t>9.00</t>
  </si>
  <si>
    <t xml:space="preserve">BICBANCO    -PN  </t>
  </si>
  <si>
    <t>MERC INVEST -PN</t>
  </si>
  <si>
    <t xml:space="preserve">BANRISUL    -PNB </t>
  </si>
  <si>
    <t>CEB         -ON</t>
  </si>
  <si>
    <t>CEB         -PNA</t>
  </si>
  <si>
    <t>CEB         -PNB</t>
  </si>
  <si>
    <t>32.01</t>
  </si>
  <si>
    <t>CELPE       -PNA</t>
  </si>
  <si>
    <t>CELPE       -PNB</t>
  </si>
  <si>
    <t xml:space="preserve">CESP        -ON  </t>
  </si>
  <si>
    <t xml:space="preserve">CESP        -PNA </t>
  </si>
  <si>
    <t xml:space="preserve">CESP        -PNB </t>
  </si>
  <si>
    <t xml:space="preserve">CELESC      -PN  </t>
  </si>
  <si>
    <t xml:space="preserve">CEMIG       -ON  </t>
  </si>
  <si>
    <t xml:space="preserve">CEMIG       -PN  </t>
  </si>
  <si>
    <t>COELCE      -ON</t>
  </si>
  <si>
    <t>COELCE      -PNA</t>
  </si>
  <si>
    <t xml:space="preserve">CPFL ENERGIA-ON  </t>
  </si>
  <si>
    <t xml:space="preserve">COPEL       -ON  </t>
  </si>
  <si>
    <t xml:space="preserve">COPEL       -PNA </t>
  </si>
  <si>
    <t>30.00</t>
  </si>
  <si>
    <t xml:space="preserve">COPEL       -PNB </t>
  </si>
  <si>
    <t>10.12</t>
  </si>
  <si>
    <t xml:space="preserve">DAYCOVAL    -PN  </t>
  </si>
  <si>
    <t xml:space="preserve">CEEE-GT     -ON  </t>
  </si>
  <si>
    <t xml:space="preserve">CEEE-GT     -PN  </t>
  </si>
  <si>
    <t xml:space="preserve">ELETROBRAS  -ON  </t>
  </si>
  <si>
    <t xml:space="preserve">ELETROBRAS  -PNB </t>
  </si>
  <si>
    <t xml:space="preserve">ELETROPAULO -PN  </t>
  </si>
  <si>
    <t>11.00</t>
  </si>
  <si>
    <t xml:space="preserve">ENERGIAS BR -ON  </t>
  </si>
  <si>
    <t>ENERGISA    -UNT</t>
  </si>
  <si>
    <t>ENERGISA    -PN</t>
  </si>
  <si>
    <t xml:space="preserve">CEMAR       -ON  </t>
  </si>
  <si>
    <t xml:space="preserve">EQUATORIAL  -ON  </t>
  </si>
  <si>
    <t>AES TIETE   -ON</t>
  </si>
  <si>
    <t>AES TIETE   -PN</t>
  </si>
  <si>
    <t xml:space="preserve">ITAUSA      -PN  </t>
  </si>
  <si>
    <t xml:space="preserve">ITAUUNIBANCO-PN  </t>
  </si>
  <si>
    <t xml:space="preserve">KLABIN S/A  -PN  </t>
  </si>
  <si>
    <t xml:space="preserve">LIGHT S/A   -ON  </t>
  </si>
  <si>
    <t xml:space="preserve">PINE        -PN  </t>
  </si>
  <si>
    <t xml:space="preserve">PARANA      -PN  </t>
  </si>
  <si>
    <t>REDENTOR    -ON</t>
  </si>
  <si>
    <t xml:space="preserve">SABESP      -ON  </t>
  </si>
  <si>
    <t xml:space="preserve">SOFISA      -PN  </t>
  </si>
  <si>
    <t xml:space="preserve">SUZANO PAPEL-PNA </t>
  </si>
  <si>
    <t xml:space="preserve">TAESA       -UNT </t>
  </si>
  <si>
    <t>UNIPAR      -PNA</t>
  </si>
  <si>
    <t>UNIPAR      -PNB</t>
  </si>
  <si>
    <t>TRPL3</t>
  </si>
  <si>
    <t>TRPL4</t>
  </si>
  <si>
    <t>4.12</t>
  </si>
  <si>
    <t xml:space="preserve">TRAN PAULIST-ON  </t>
  </si>
  <si>
    <t xml:space="preserve">TRAN PAULIST-PN  </t>
  </si>
  <si>
    <t>GEPA3</t>
  </si>
  <si>
    <t>62.04</t>
  </si>
  <si>
    <t>LIPR3</t>
  </si>
  <si>
    <t>ELETROPAR   -ON</t>
  </si>
  <si>
    <t>49.45</t>
  </si>
  <si>
    <t>ELPL3</t>
  </si>
  <si>
    <t xml:space="preserve">ELETROPAULO -ON  </t>
  </si>
  <si>
    <t>EMAE4</t>
  </si>
  <si>
    <t>EMAE        -PN</t>
  </si>
  <si>
    <t>ENGI3</t>
  </si>
  <si>
    <t>ENERGISA    -ON</t>
  </si>
  <si>
    <t>GTDP3B</t>
  </si>
  <si>
    <t>GTDP4B</t>
  </si>
  <si>
    <t xml:space="preserve">GTD PART    -ON  </t>
  </si>
  <si>
    <t xml:space="preserve">GTD PART    -PN  </t>
  </si>
  <si>
    <t>TBLE3</t>
  </si>
  <si>
    <t xml:space="preserve">TRACTEBEL   -ON  </t>
  </si>
  <si>
    <t>CASN3</t>
  </si>
  <si>
    <t>CASAN       -ON</t>
  </si>
  <si>
    <t>CSMG3</t>
  </si>
  <si>
    <t xml:space="preserve">COPASA      -ON  </t>
  </si>
  <si>
    <t>SAPR3</t>
  </si>
  <si>
    <t>8.19</t>
  </si>
  <si>
    <t>RANI3</t>
  </si>
  <si>
    <t>RANI4</t>
  </si>
  <si>
    <t>KLBN3</t>
  </si>
  <si>
    <t xml:space="preserve">KLABIN S/A  -ON  </t>
  </si>
  <si>
    <t>SUZB6</t>
  </si>
  <si>
    <t>4.00</t>
  </si>
  <si>
    <t xml:space="preserve">SUZANO PAPEL-PNB </t>
  </si>
  <si>
    <t>RPAD3</t>
  </si>
  <si>
    <t>RPAD6</t>
  </si>
  <si>
    <t>ALFA HOLDING-ON</t>
  </si>
  <si>
    <t>3.08</t>
  </si>
  <si>
    <t>ALFA HOLDING-PNB</t>
  </si>
  <si>
    <t>BRIV3</t>
  </si>
  <si>
    <t>BRIV4</t>
  </si>
  <si>
    <t>BBDC3</t>
  </si>
  <si>
    <t>BBDC4</t>
  </si>
  <si>
    <t xml:space="preserve">BRADESCO    -ON  </t>
  </si>
  <si>
    <t xml:space="preserve">BRADESCO    -PN  </t>
  </si>
  <si>
    <t>BGIP3</t>
  </si>
  <si>
    <t>BGIP4</t>
  </si>
  <si>
    <t>BRSR3</t>
  </si>
  <si>
    <t>BRSR5</t>
  </si>
  <si>
    <t xml:space="preserve">BANRISUL    -ON  </t>
  </si>
  <si>
    <t xml:space="preserve">BANRISUL    -PNA </t>
  </si>
  <si>
    <t>BICB3</t>
  </si>
  <si>
    <t xml:space="preserve">BICBANCO    -ON  </t>
  </si>
  <si>
    <t>BMIN3</t>
  </si>
  <si>
    <t>MERC INVEST -ON</t>
  </si>
  <si>
    <t>BNBR3</t>
  </si>
  <si>
    <t>BNBR4</t>
  </si>
  <si>
    <t>NORD BRASIL -ON</t>
  </si>
  <si>
    <t>NORD BRASIL -PN</t>
  </si>
  <si>
    <t>BSLI3</t>
  </si>
  <si>
    <t>BSLI4</t>
  </si>
  <si>
    <t>BRGE3</t>
  </si>
  <si>
    <t>BRGE5</t>
  </si>
  <si>
    <t>BRGE7</t>
  </si>
  <si>
    <t>BRGE8</t>
  </si>
  <si>
    <t>BRGE11</t>
  </si>
  <si>
    <t>BRGE12</t>
  </si>
  <si>
    <t>ALFA CONSORC-ON</t>
  </si>
  <si>
    <t>3.27</t>
  </si>
  <si>
    <t>3.60</t>
  </si>
  <si>
    <t>ALFA CONSORC-PNF</t>
  </si>
  <si>
    <t>ITUB3</t>
  </si>
  <si>
    <t xml:space="preserve">ITAUUNIBANCO-ON  </t>
  </si>
  <si>
    <t>ITSA3</t>
  </si>
  <si>
    <t xml:space="preserve">ITAUSA      -ON  </t>
  </si>
  <si>
    <t>PSSA3</t>
  </si>
  <si>
    <t xml:space="preserve">PORTO SEGURO-ON  </t>
  </si>
  <si>
    <t>19.00</t>
  </si>
  <si>
    <t>FESA3</t>
  </si>
  <si>
    <t xml:space="preserve">FERBASA     -PN  </t>
  </si>
  <si>
    <t xml:space="preserve">FERBASA     -ON  </t>
  </si>
  <si>
    <t>Materiais Básicos / Siderurgia e Metalurgia / Siderurgia</t>
  </si>
  <si>
    <t>PETROBRAS   -PN</t>
  </si>
  <si>
    <t>Cotação 1</t>
  </si>
  <si>
    <t>Cotação 2</t>
  </si>
  <si>
    <t>PETROBRAS   -ON</t>
  </si>
  <si>
    <t>Petróleo. Gás e Biocombustíveis / Petróleo. Gás e Biocombustíveis / Exploração e/ou Refino</t>
  </si>
  <si>
    <t>QGEP3</t>
  </si>
  <si>
    <t xml:space="preserve">QGEP PART   -ON  </t>
  </si>
  <si>
    <t xml:space="preserve">SUL AMERICA -UNT </t>
  </si>
  <si>
    <t>CSAB3</t>
  </si>
  <si>
    <t>CSAB4</t>
  </si>
  <si>
    <t>SEG AL BAHIA-ON</t>
  </si>
  <si>
    <t>30.01</t>
  </si>
  <si>
    <t>SEG AL BAHIA-PN</t>
  </si>
  <si>
    <t xml:space="preserve">BBSEGURIDADE-ON  </t>
  </si>
  <si>
    <t>JOPA3</t>
  </si>
  <si>
    <t>JOPA4</t>
  </si>
  <si>
    <t>JOSAPAR     -ON</t>
  </si>
  <si>
    <t>JOSAPAR     -PN</t>
  </si>
  <si>
    <t xml:space="preserve">TEREOS      -ON  </t>
  </si>
  <si>
    <t>Consumo não Cíclico / Alimentos Processados / Alimentos Diversos</t>
  </si>
  <si>
    <t>ELEK3</t>
  </si>
  <si>
    <t>ELEK4</t>
  </si>
  <si>
    <t>10.00</t>
  </si>
  <si>
    <t>BRKM3</t>
  </si>
  <si>
    <t>BRKM5</t>
  </si>
  <si>
    <t>BRKM6</t>
  </si>
  <si>
    <t xml:space="preserve">BRASKEM     -ON  </t>
  </si>
  <si>
    <t xml:space="preserve">BRASKEM     -PNA </t>
  </si>
  <si>
    <t xml:space="preserve">BRASKEM     -PNB </t>
  </si>
  <si>
    <t>Consumo não Cíclico / Alimentos Processados / Açucar e Alcool</t>
  </si>
  <si>
    <t>CSAN3</t>
  </si>
  <si>
    <t xml:space="preserve">COSAN       -ON  </t>
  </si>
  <si>
    <t>SMTO3</t>
  </si>
  <si>
    <t xml:space="preserve">SAO MARTINHO-ON  </t>
  </si>
  <si>
    <t>CIQU3</t>
  </si>
  <si>
    <t>CIQU4</t>
  </si>
  <si>
    <t>7.08</t>
  </si>
  <si>
    <t>Consumo não Cíclico / Alimentos Processados / Café</t>
  </si>
  <si>
    <t>BRFS3</t>
  </si>
  <si>
    <t>Consumo não Cíclico / Alimentos Processados / Carnes e Derivados</t>
  </si>
  <si>
    <t xml:space="preserve">BRF SA      -ON  </t>
  </si>
  <si>
    <t>JBSS3</t>
  </si>
  <si>
    <t xml:space="preserve">JBS         -ON  </t>
  </si>
  <si>
    <t>VIGR3</t>
  </si>
  <si>
    <t xml:space="preserve">VIGOR FOOD  -ON  </t>
  </si>
  <si>
    <t>Consumo não Cíclico / Alimentos Processados / Laticínios</t>
  </si>
  <si>
    <t>TIMP3</t>
  </si>
  <si>
    <t>Telecomunicações / Telefonia Móvel / Telefonia móvel</t>
  </si>
  <si>
    <t xml:space="preserve">TIM PART S/A-ON  </t>
  </si>
  <si>
    <t>OIBR3</t>
  </si>
  <si>
    <t>OIBR4</t>
  </si>
  <si>
    <t xml:space="preserve">OI          -ON  </t>
  </si>
  <si>
    <t xml:space="preserve">OI          -PN  </t>
  </si>
  <si>
    <t>Telecomunicações / Telefonia Fixa / Telefonia Fixa</t>
  </si>
  <si>
    <t>VIVT3</t>
  </si>
  <si>
    <t>VIVT4</t>
  </si>
  <si>
    <t>BRAP3</t>
  </si>
  <si>
    <t>BRAP4</t>
  </si>
  <si>
    <t>Financeiro e Outros / Holdings Diversificadas / Holdings Diversificadas</t>
  </si>
  <si>
    <t xml:space="preserve">BRADESPAR   -ON  </t>
  </si>
  <si>
    <t xml:space="preserve">BRADESPAR   -PN  </t>
  </si>
  <si>
    <t>% Yield</t>
  </si>
  <si>
    <t>HBTS5</t>
  </si>
  <si>
    <t>HABITASUL   -PNA</t>
  </si>
  <si>
    <t>MOAR3</t>
  </si>
  <si>
    <t>UGPA3</t>
  </si>
  <si>
    <t xml:space="preserve">ULTRAPAR    -ON  </t>
  </si>
  <si>
    <t>BAHI3</t>
  </si>
  <si>
    <t>BAHEMA      -ON</t>
  </si>
  <si>
    <t>Data Liquidação</t>
  </si>
  <si>
    <t>Taxas</t>
  </si>
  <si>
    <t>Resgates</t>
  </si>
  <si>
    <t>Aplicação</t>
  </si>
  <si>
    <t>Total</t>
  </si>
  <si>
    <t>Consumo Cíclico / Diversos / Aluguel de carros</t>
  </si>
  <si>
    <t>LCAM3</t>
  </si>
  <si>
    <t xml:space="preserve">LOCAMERICA  -ON  </t>
  </si>
  <si>
    <t>PTPA4</t>
  </si>
  <si>
    <t>Materiais Básicos / Embalagens / Embalagens</t>
  </si>
  <si>
    <t>DTEX3</t>
  </si>
  <si>
    <t>Materiais Básicos / Madeira e Papel / Madeira</t>
  </si>
  <si>
    <t xml:space="preserve">DURATEX     -ON  </t>
  </si>
  <si>
    <t>EUCA4</t>
  </si>
  <si>
    <t xml:space="preserve">EUCATEX     -PN  </t>
  </si>
  <si>
    <t>Materiais Básicos / Materiais Diversos / Materiais Diversos</t>
  </si>
  <si>
    <t>PRVI3</t>
  </si>
  <si>
    <t xml:space="preserve">PROVIDENCIA -ON  </t>
  </si>
  <si>
    <t>MAGG3</t>
  </si>
  <si>
    <t xml:space="preserve">MAGNESITA SA-ON  </t>
  </si>
  <si>
    <t>Materiais Básicos / Mineração / Minerais Metálicos</t>
  </si>
  <si>
    <t>VALE5</t>
  </si>
  <si>
    <t xml:space="preserve">VALE        -PNA </t>
  </si>
  <si>
    <t>NUTR3M</t>
  </si>
  <si>
    <t xml:space="preserve">NUTRIPLANT  -ON  </t>
  </si>
  <si>
    <t>PATI4</t>
  </si>
  <si>
    <t>Materiais Básicos / Siderurgia e Metalurgia / Artefatos de Ferro e Aço</t>
  </si>
  <si>
    <t>PANATLANTICA-PN</t>
  </si>
  <si>
    <t>TKNO4</t>
  </si>
  <si>
    <t>TEKNO       -PN</t>
  </si>
  <si>
    <t>ETER3</t>
  </si>
  <si>
    <t>Construção e Transporte / Construção e Engenharia / Materiais de Construção</t>
  </si>
  <si>
    <t xml:space="preserve">ETERNIT     -ON  </t>
  </si>
  <si>
    <t>9.50</t>
  </si>
  <si>
    <t>49.60</t>
  </si>
  <si>
    <t>GER PARANAP -ON</t>
  </si>
  <si>
    <t>GER PARANAP -PN</t>
  </si>
  <si>
    <t>Financeiro e Outros / Exploração de Imóveis / Exploração de Imóveis</t>
  </si>
  <si>
    <t>ALSC3</t>
  </si>
  <si>
    <t xml:space="preserve">ALIANSCE    -ON  </t>
  </si>
  <si>
    <t>BRML3</t>
  </si>
  <si>
    <t xml:space="preserve">BR MALLS PAR-ON  </t>
  </si>
  <si>
    <t>BRPR3</t>
  </si>
  <si>
    <t xml:space="preserve">BR PROPERT  -ON  </t>
  </si>
  <si>
    <t>CCPR3</t>
  </si>
  <si>
    <t xml:space="preserve">CYRE COM-CCP-ON  </t>
  </si>
  <si>
    <t>IGTA3</t>
  </si>
  <si>
    <t xml:space="preserve">IGUATEMI    -ON  </t>
  </si>
  <si>
    <t>MULT3</t>
  </si>
  <si>
    <t xml:space="preserve">MULTIPLAN   -ON  </t>
  </si>
  <si>
    <t>SSBR3</t>
  </si>
  <si>
    <t>SCAR3</t>
  </si>
  <si>
    <t xml:space="preserve">SIERRABRASIL-ON  </t>
  </si>
  <si>
    <t xml:space="preserve">SAO CARLOS  -ON  </t>
  </si>
  <si>
    <t>MERC3</t>
  </si>
  <si>
    <t>MERC4</t>
  </si>
  <si>
    <t>Financeiro e Outros / Intermediários Financeiros / Soc. Crédito e Financiamento</t>
  </si>
  <si>
    <t>MERC FINANC -ON</t>
  </si>
  <si>
    <t>8.55</t>
  </si>
  <si>
    <t>MERC FINANC -PN</t>
  </si>
  <si>
    <t>CRIV3</t>
  </si>
  <si>
    <t>CRIV4</t>
  </si>
  <si>
    <t>ALFA FINANC -ON</t>
  </si>
  <si>
    <t>BRIN3</t>
  </si>
  <si>
    <t>Financeiro e Outros / Previdência e Seguros / Corretoras de Seguros</t>
  </si>
  <si>
    <t xml:space="preserve">BR INSURANCE-ON  </t>
  </si>
  <si>
    <t>TRPN3</t>
  </si>
  <si>
    <t>Financeiro e Outros / Serviços Financeiros Diversos / Gestão de Recursos e Investimentos</t>
  </si>
  <si>
    <t xml:space="preserve">TARPON INV  -ON  </t>
  </si>
  <si>
    <t>BVMF3</t>
  </si>
  <si>
    <t>Financeiro e Outros / Serviços Financeiros Diversos / Serviços Financeiros Diversos</t>
  </si>
  <si>
    <t xml:space="preserve">BMFBOVESPA  -ON  </t>
  </si>
  <si>
    <t>CTIP3</t>
  </si>
  <si>
    <t>CIEL3</t>
  </si>
  <si>
    <t xml:space="preserve">CETIP       -ON  </t>
  </si>
  <si>
    <t xml:space="preserve">CIELO       -ON  </t>
  </si>
  <si>
    <t>0.46</t>
  </si>
  <si>
    <t>EBTP4</t>
  </si>
  <si>
    <t>EMBRATEL PAR-PN *</t>
  </si>
  <si>
    <t>Nome</t>
  </si>
  <si>
    <t>Quantidade</t>
  </si>
  <si>
    <t>Preço Médio</t>
  </si>
  <si>
    <t>Lucro p/ Ação</t>
  </si>
  <si>
    <t>Total Aplicado</t>
  </si>
  <si>
    <t>Total de Ativos</t>
  </si>
  <si>
    <t>Total Lucro p/ Ação</t>
  </si>
  <si>
    <t>% Rentabilidade</t>
  </si>
  <si>
    <t>Dia</t>
  </si>
  <si>
    <t>Mês</t>
  </si>
  <si>
    <t>Ano</t>
  </si>
  <si>
    <t>Dividendo</t>
  </si>
  <si>
    <t>JPC</t>
  </si>
  <si>
    <t>Total Dividendo</t>
  </si>
  <si>
    <t>Total JPC</t>
  </si>
  <si>
    <t>43.24</t>
  </si>
  <si>
    <t>43.25</t>
  </si>
  <si>
    <t>19.50</t>
  </si>
  <si>
    <t>BANESE      -ON</t>
  </si>
  <si>
    <t>BANESE      -PN</t>
  </si>
  <si>
    <t>0.50</t>
  </si>
  <si>
    <t>ELEKEIROZ   -ON</t>
  </si>
  <si>
    <t>ELEKEIROZ   -PN</t>
  </si>
  <si>
    <t>EVORA       -PN</t>
  </si>
  <si>
    <t>12.20</t>
  </si>
  <si>
    <t>15.00</t>
  </si>
  <si>
    <t>0.12</t>
  </si>
  <si>
    <t>20.00</t>
  </si>
  <si>
    <t>% A.A.</t>
  </si>
  <si>
    <t>Capital Social</t>
  </si>
  <si>
    <t>% PNA (PL)</t>
  </si>
  <si>
    <t>% PNA (CS)</t>
  </si>
  <si>
    <t>Div PNA (PL)</t>
  </si>
  <si>
    <t>Div PNA (CS)</t>
  </si>
  <si>
    <t>PATI3</t>
  </si>
  <si>
    <t>Ações</t>
  </si>
  <si>
    <t>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</t>
  </si>
  <si>
    <t>PANATLANTICA-ON</t>
  </si>
  <si>
    <t>Reserva Legal</t>
  </si>
  <si>
    <t>Lucro Distribuir</t>
  </si>
  <si>
    <t>Teto R. Legal</t>
  </si>
  <si>
    <t>Div. Mínimo</t>
  </si>
  <si>
    <t>Total Div. Pref.</t>
  </si>
  <si>
    <t>UNIP3</t>
  </si>
  <si>
    <t>UNIPAR      -ON</t>
  </si>
  <si>
    <t>% Pref. / ON</t>
  </si>
  <si>
    <t>27.00</t>
  </si>
  <si>
    <t>Lucro</t>
  </si>
  <si>
    <t>Lucro Dist./Ação</t>
  </si>
  <si>
    <t>PINE3</t>
  </si>
  <si>
    <t>0.49</t>
  </si>
  <si>
    <t>22.40</t>
  </si>
  <si>
    <t>25 % Div</t>
  </si>
  <si>
    <t>Div Base</t>
  </si>
  <si>
    <t>VN</t>
  </si>
  <si>
    <t>ABCB3</t>
  </si>
  <si>
    <t>21.00</t>
  </si>
  <si>
    <t xml:space="preserve">ABC BRASIL  -ON  </t>
  </si>
  <si>
    <t>N/A</t>
  </si>
  <si>
    <t>0.00</t>
  </si>
  <si>
    <t>%Div</t>
  </si>
  <si>
    <t>Unit ON</t>
  </si>
  <si>
    <t>Unit PN</t>
  </si>
  <si>
    <t>AFLU3</t>
  </si>
  <si>
    <t>AFLU5</t>
  </si>
  <si>
    <t>AFLU6</t>
  </si>
  <si>
    <t>AFLUENTE    -ON</t>
  </si>
  <si>
    <t>5.55</t>
  </si>
  <si>
    <t>AFLUENTE    -PNA</t>
  </si>
  <si>
    <t>AFLUENTE    -PNB</t>
  </si>
  <si>
    <t>AFLT3</t>
  </si>
  <si>
    <t>AFLUENTE T  -ON</t>
  </si>
  <si>
    <t>3.50</t>
  </si>
  <si>
    <t>ALUP11</t>
  </si>
  <si>
    <t>ALUP3</t>
  </si>
  <si>
    <t>ALUP4</t>
  </si>
  <si>
    <t xml:space="preserve">ALUPAR      -UNT </t>
  </si>
  <si>
    <t xml:space="preserve">ALUPAR      -ON  </t>
  </si>
  <si>
    <t xml:space="preserve">ALUPAR      -PN  </t>
  </si>
  <si>
    <t>CBEE3</t>
  </si>
  <si>
    <t>AMPLA ENERG -ON *</t>
  </si>
  <si>
    <t>elet5</t>
  </si>
  <si>
    <t xml:space="preserve">ELETROBRAS  -PNA </t>
  </si>
  <si>
    <t>23.01</t>
  </si>
  <si>
    <t>ELET5</t>
  </si>
  <si>
    <t>CLSC3</t>
  </si>
  <si>
    <t>clsc3</t>
  </si>
  <si>
    <t xml:space="preserve">CELESC      -ON  </t>
  </si>
  <si>
    <t>CELP3</t>
  </si>
  <si>
    <t>CELP5</t>
  </si>
  <si>
    <t>CELP6</t>
  </si>
  <si>
    <t>CELP7</t>
  </si>
  <si>
    <t>CELPA       -ON</t>
  </si>
  <si>
    <t>CELPA       -PNA</t>
  </si>
  <si>
    <t>1.00</t>
  </si>
  <si>
    <t>CELPA       -PNB</t>
  </si>
  <si>
    <t>0.75</t>
  </si>
  <si>
    <t>CELPA       -PNC</t>
  </si>
  <si>
    <t>GPAR3</t>
  </si>
  <si>
    <t>CELGPAR     -ON</t>
  </si>
  <si>
    <t>CEEB6</t>
  </si>
  <si>
    <t>CEPE3</t>
  </si>
  <si>
    <t>CELPE       -ON</t>
  </si>
  <si>
    <t>24.53</t>
  </si>
  <si>
    <t>COCE6</t>
  </si>
  <si>
    <t>COELCE      -PNB</t>
  </si>
  <si>
    <t>35.00</t>
  </si>
  <si>
    <t>ENMA5B</t>
  </si>
  <si>
    <t>ENMA6B</t>
  </si>
  <si>
    <t xml:space="preserve">CEMAR       -PNA </t>
  </si>
  <si>
    <t xml:space="preserve">CEMAR       -PNB </t>
  </si>
  <si>
    <t>CEED3</t>
  </si>
  <si>
    <t>CEED4</t>
  </si>
  <si>
    <t xml:space="preserve">CEEE-D      -ON  </t>
  </si>
  <si>
    <t xml:space="preserve">CEEE-D      -PN  </t>
  </si>
  <si>
    <t>1.60</t>
  </si>
  <si>
    <t>EKTR3</t>
  </si>
  <si>
    <t>EKTR4</t>
  </si>
  <si>
    <t>ELEKTRO     -ON</t>
  </si>
  <si>
    <t>ELEKTRO     -PN</t>
  </si>
  <si>
    <t>EMAE3</t>
  </si>
  <si>
    <t>ENEV3</t>
  </si>
  <si>
    <t xml:space="preserve">ENEVA       -ON  </t>
  </si>
  <si>
    <t>REDE3</t>
  </si>
  <si>
    <t>REDE4</t>
  </si>
  <si>
    <t>REDE ENERGIA-ON</t>
  </si>
  <si>
    <t>REDE ENERGIA-PN</t>
  </si>
  <si>
    <t>RNEW11</t>
  </si>
  <si>
    <t>RNEW3</t>
  </si>
  <si>
    <t>RNEW4</t>
  </si>
  <si>
    <t xml:space="preserve">RENOVA      -UNT </t>
  </si>
  <si>
    <t xml:space="preserve">RENOVA      -ON  </t>
  </si>
  <si>
    <t xml:space="preserve">RENOVA      -PN  </t>
  </si>
  <si>
    <t>TAEE3</t>
  </si>
  <si>
    <t>TAEE4</t>
  </si>
  <si>
    <t xml:space="preserve">TAESA       -ON  </t>
  </si>
  <si>
    <t xml:space="preserve">TAESA       -PN  </t>
  </si>
  <si>
    <t>CASN4</t>
  </si>
  <si>
    <t>CSAN4</t>
  </si>
  <si>
    <t>CSAN4.SA</t>
  </si>
  <si>
    <t>Utilidade Pública / Gás / Gás</t>
  </si>
  <si>
    <t>CGAS3</t>
  </si>
  <si>
    <t>CGAS5</t>
  </si>
  <si>
    <t>COMGAS      -ON</t>
  </si>
  <si>
    <t>COMGAS      -PNA</t>
  </si>
  <si>
    <t>CEGR3</t>
  </si>
  <si>
    <t>CEG         -ON *</t>
  </si>
  <si>
    <t>INET3</t>
  </si>
  <si>
    <t>INEPAR TEL  -ON</t>
  </si>
  <si>
    <t>0.18</t>
  </si>
  <si>
    <t>EBTP3</t>
  </si>
  <si>
    <t>EMBRATEL PAR-ON *</t>
  </si>
  <si>
    <t>MLFT3</t>
  </si>
  <si>
    <t>MLFT4</t>
  </si>
  <si>
    <t>JEREISSATI  -ON</t>
  </si>
  <si>
    <t>1.87</t>
  </si>
  <si>
    <t>JEREISSATI  -PN</t>
  </si>
  <si>
    <t>1.70</t>
  </si>
  <si>
    <t>LFFE3</t>
  </si>
  <si>
    <t>LFFE4</t>
  </si>
  <si>
    <t>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</t>
  </si>
  <si>
    <t>LA FONTE TEL-ON</t>
  </si>
  <si>
    <t>LA FONTE TEL-PN</t>
  </si>
  <si>
    <t>3.69</t>
  </si>
  <si>
    <t>Cotação 3</t>
  </si>
  <si>
    <t>DAYC3</t>
  </si>
  <si>
    <t>IDVL3</t>
  </si>
  <si>
    <t>IDVL4</t>
  </si>
  <si>
    <t xml:space="preserve">INDUSVAL    -ON  </t>
  </si>
  <si>
    <t>6.25</t>
  </si>
  <si>
    <t xml:space="preserve">INDUSVAL    -PN  </t>
  </si>
  <si>
    <t>BMEB3</t>
  </si>
  <si>
    <t>BMEB4</t>
  </si>
  <si>
    <t>MERC BRASIL -ON</t>
  </si>
  <si>
    <t>MERC BRASIL -PN</t>
  </si>
  <si>
    <t>BPNM3</t>
  </si>
  <si>
    <t>BPNM4</t>
  </si>
  <si>
    <t xml:space="preserve">PANAMERICANO-ON  </t>
  </si>
  <si>
    <t xml:space="preserve">PANAMERICANO-PN  </t>
  </si>
  <si>
    <t>BPMN3</t>
  </si>
  <si>
    <t>BPMN4</t>
  </si>
  <si>
    <t>BPAT33</t>
  </si>
  <si>
    <t>PATAGONIA   -DR3</t>
  </si>
  <si>
    <t>SANB11</t>
  </si>
  <si>
    <t>SANB3</t>
  </si>
  <si>
    <t>SANB4</t>
  </si>
  <si>
    <t xml:space="preserve">SANTANDER BR-UNT </t>
  </si>
  <si>
    <t xml:space="preserve">SANTANDER BR-ON  </t>
  </si>
  <si>
    <t>0.11</t>
  </si>
  <si>
    <t xml:space="preserve">SANTANDER BR-PN  </t>
  </si>
  <si>
    <t>SFSA3</t>
  </si>
  <si>
    <t xml:space="preserve">SOFISA      -ON  </t>
  </si>
  <si>
    <t>PRBC3</t>
  </si>
  <si>
    <t>IDNT3</t>
  </si>
  <si>
    <t xml:space="preserve">IDEIASNET   -ON  </t>
  </si>
  <si>
    <t>Tecnologia da Informação / Programas e Serviços / Programas e Serviços</t>
  </si>
  <si>
    <t>LINX3</t>
  </si>
  <si>
    <t>TELB3</t>
  </si>
  <si>
    <t>TELB4</t>
  </si>
  <si>
    <t xml:space="preserve">LINX        -ON  </t>
  </si>
  <si>
    <t>TELEBRAS    -ON</t>
  </si>
  <si>
    <t>TELEBRAS    -PN</t>
  </si>
  <si>
    <t>SNSL3M</t>
  </si>
  <si>
    <t xml:space="preserve">SENIOR SOL  -ON  </t>
  </si>
  <si>
    <t>TOTS3</t>
  </si>
  <si>
    <t xml:space="preserve">TOTVS       -ON  </t>
  </si>
  <si>
    <t>Tecnologia da Informação / Computadores e Equipamentos / Computadores e Equipamentos</t>
  </si>
  <si>
    <t>BEMA3</t>
  </si>
  <si>
    <t>ITEC3</t>
  </si>
  <si>
    <t>POSI3</t>
  </si>
  <si>
    <t xml:space="preserve">BEMATECH    -ON  </t>
  </si>
  <si>
    <t>ITAUTEC     -ON</t>
  </si>
  <si>
    <t xml:space="preserve">POSITIVO INF-ON  </t>
  </si>
  <si>
    <t>OGXP3</t>
  </si>
  <si>
    <t>RPMG3</t>
  </si>
  <si>
    <t>RPMG4</t>
  </si>
  <si>
    <t>PET MANGUINH-ON</t>
  </si>
  <si>
    <t>PET MANGUINH-PN</t>
  </si>
  <si>
    <t>Petróleo. Gás e Biocombustíveis / Petróleo. Gás e Biocombustíveis / Equipamentos e Serviços</t>
  </si>
  <si>
    <t>OSXB3</t>
  </si>
  <si>
    <t>CSNA3</t>
  </si>
  <si>
    <t>SID NACIONAL-ON</t>
  </si>
  <si>
    <t>USIM3</t>
  </si>
  <si>
    <t>USIM5</t>
  </si>
  <si>
    <t>USIM6</t>
  </si>
  <si>
    <t xml:space="preserve">USIMINAS    -ON  </t>
  </si>
  <si>
    <t xml:space="preserve">USIMINAS    -PNA </t>
  </si>
  <si>
    <t xml:space="preserve">USIMINAS    -PNB </t>
  </si>
  <si>
    <t>11.13</t>
  </si>
  <si>
    <t>GGBR3</t>
  </si>
  <si>
    <t>GGBR4</t>
  </si>
  <si>
    <t xml:space="preserve">GERDAU      -ON  </t>
  </si>
  <si>
    <t xml:space="preserve">GERDAU      -PN  </t>
  </si>
  <si>
    <t>GOAU3</t>
  </si>
  <si>
    <t>GOAU4</t>
  </si>
  <si>
    <t xml:space="preserve">GERDAU MET  -ON  </t>
  </si>
  <si>
    <t xml:space="preserve">GERDAU MET  -PN  </t>
  </si>
  <si>
    <t>FBMC3</t>
  </si>
  <si>
    <t>FBMC4</t>
  </si>
  <si>
    <t>FIBAM       -ON</t>
  </si>
  <si>
    <t>80.00</t>
  </si>
  <si>
    <t>FIBAM       -PN</t>
  </si>
  <si>
    <t>MGEL3</t>
  </si>
  <si>
    <t>MGEL4</t>
  </si>
  <si>
    <t xml:space="preserve">MANGELS INDL-ON  </t>
  </si>
  <si>
    <t>25.00</t>
  </si>
  <si>
    <t xml:space="preserve">MANGELS INDL-PN  </t>
  </si>
  <si>
    <t>DUQE3</t>
  </si>
  <si>
    <t>DUQE4</t>
  </si>
  <si>
    <t>MET DUQUE   -ON</t>
  </si>
  <si>
    <t>28.00</t>
  </si>
  <si>
    <t>MET DUQUE   -PN</t>
  </si>
  <si>
    <t>TKNO3</t>
  </si>
  <si>
    <t>PMAM3</t>
  </si>
  <si>
    <t xml:space="preserve">PARANAPANEMA-ON  </t>
  </si>
  <si>
    <t>Materiais Básicos / Siderurgia e Metalurgia / Artefatos de Cobre</t>
  </si>
  <si>
    <t>TIBR3</t>
  </si>
  <si>
    <t>TIBR5</t>
  </si>
  <si>
    <t>TIBR6</t>
  </si>
  <si>
    <t>Materiais Básicos / Químicos / Químicos Diversos</t>
  </si>
  <si>
    <t>MILLENNIUM  -ON</t>
  </si>
  <si>
    <t>MILLENNIUM  -PNA</t>
  </si>
  <si>
    <t>MILLENNIUM  -PNB</t>
  </si>
  <si>
    <t>17.00</t>
  </si>
  <si>
    <t>COELBA      -PNB</t>
  </si>
  <si>
    <t>CACIQUE     -ON</t>
  </si>
  <si>
    <t>CACIQUE     -PN</t>
  </si>
  <si>
    <t>60.00</t>
  </si>
  <si>
    <t>TELEF BRASIL-ON</t>
  </si>
  <si>
    <t>TELEF BRASIL-PN</t>
  </si>
  <si>
    <t>BANESTES    -ON</t>
  </si>
  <si>
    <t>BANESTES    -PN</t>
  </si>
  <si>
    <t>COELBA      -ON</t>
  </si>
  <si>
    <t>COELBA      -PNA</t>
  </si>
  <si>
    <t>COSERN      -ON</t>
  </si>
  <si>
    <t>COSERN      -PNA</t>
  </si>
  <si>
    <t>COSERN      -PNB</t>
  </si>
  <si>
    <t>SANEPAR     -ON</t>
  </si>
  <si>
    <t>SANEPAR     -PN</t>
  </si>
  <si>
    <t>GPCP3</t>
  </si>
  <si>
    <t>GPC PART    -ON</t>
  </si>
  <si>
    <t>RHDS3</t>
  </si>
  <si>
    <t>M G POLIEST -ON</t>
  </si>
  <si>
    <t>Materiais Básicos / Químicos / Fertilizantes e Defensivos</t>
  </si>
  <si>
    <t>FHER3</t>
  </si>
  <si>
    <t>Materiais Básicos / Mineração / Minerais Não Metálicos</t>
  </si>
  <si>
    <t>CCXC3</t>
  </si>
  <si>
    <t xml:space="preserve">CCX CARVAO  -ON  </t>
  </si>
  <si>
    <t>VALE3</t>
  </si>
  <si>
    <t>MMXM3</t>
  </si>
  <si>
    <t xml:space="preserve">MMX MINER   -ON  </t>
  </si>
  <si>
    <t>SNSY3</t>
  </si>
  <si>
    <t>SNSY5</t>
  </si>
  <si>
    <t>SNSY6</t>
  </si>
  <si>
    <t>0.61</t>
  </si>
  <si>
    <t>0.08</t>
  </si>
  <si>
    <t>SANSUY      -ON</t>
  </si>
  <si>
    <t>1.34</t>
  </si>
  <si>
    <t>2.00</t>
  </si>
  <si>
    <t>SANSUY      -PNA</t>
  </si>
  <si>
    <t>SANSUY      -PNB</t>
  </si>
  <si>
    <t>3.00</t>
  </si>
  <si>
    <t>MSPA3</t>
  </si>
  <si>
    <t>MSPA4</t>
  </si>
  <si>
    <t>MELHOR SP   -ON</t>
  </si>
  <si>
    <t>MELHOR SP   -PN</t>
  </si>
  <si>
    <t>FIBR3</t>
  </si>
  <si>
    <t xml:space="preserve">FIBRIA      -ON  </t>
  </si>
  <si>
    <t>KLBN11</t>
  </si>
  <si>
    <t xml:space="preserve">KLABIN S/A  -UNT </t>
  </si>
  <si>
    <t>SUZB3</t>
  </si>
  <si>
    <t xml:space="preserve">SUZANO PAPEL-ON  </t>
  </si>
  <si>
    <t>EUCA3</t>
  </si>
  <si>
    <t xml:space="preserve">EUCATEX     -ON  </t>
  </si>
  <si>
    <t>7.11</t>
  </si>
  <si>
    <t>PTPA3</t>
  </si>
  <si>
    <t>MTIG3</t>
  </si>
  <si>
    <t>MTIG4</t>
  </si>
  <si>
    <t>METAL IGUACU-ON</t>
  </si>
  <si>
    <t>METAL IGUACU-PN</t>
  </si>
  <si>
    <t>0.45</t>
  </si>
  <si>
    <t>PEAB3</t>
  </si>
  <si>
    <t>PEAB4</t>
  </si>
  <si>
    <t>1.51</t>
  </si>
  <si>
    <t>PAR AL BAHIA-ON</t>
  </si>
  <si>
    <t>PAR AL BAHIA-PN</t>
  </si>
  <si>
    <t>SULA3</t>
  </si>
  <si>
    <t>SULA4</t>
  </si>
  <si>
    <t xml:space="preserve">SUL AMERICA -ON  </t>
  </si>
  <si>
    <t xml:space="preserve">SUL AMERICA -PN  </t>
  </si>
  <si>
    <t>BTTL3</t>
  </si>
  <si>
    <t>BTTL4</t>
  </si>
  <si>
    <t>BATTISTELLA -ON</t>
  </si>
  <si>
    <t>BATTISTELLA -PN</t>
  </si>
  <si>
    <t>HBTS3</t>
  </si>
  <si>
    <t>HBTS6</t>
  </si>
  <si>
    <t>HABITASUL   -ON</t>
  </si>
  <si>
    <t>HABITASUL   -PNB</t>
  </si>
  <si>
    <t>DOCA3</t>
  </si>
  <si>
    <t>DOCA4</t>
  </si>
  <si>
    <t>DOCAS       -ON</t>
  </si>
  <si>
    <t>DOCAS       -PN</t>
  </si>
  <si>
    <t>5.01</t>
  </si>
  <si>
    <t>JBDU3</t>
  </si>
  <si>
    <t>JBDU4</t>
  </si>
  <si>
    <t>J B DUARTE  -ON</t>
  </si>
  <si>
    <t>J B DUARTE  -PN</t>
  </si>
  <si>
    <t>0.24</t>
  </si>
  <si>
    <t>4.90</t>
  </si>
  <si>
    <t>AGRO3</t>
  </si>
  <si>
    <t>CORR3</t>
  </si>
  <si>
    <t>CORR4</t>
  </si>
  <si>
    <t>10.30</t>
  </si>
  <si>
    <t>5.00</t>
  </si>
  <si>
    <t>0.23</t>
  </si>
  <si>
    <t xml:space="preserve">BRASILAGRO  -ON  </t>
  </si>
  <si>
    <t>COR RIBEIRO -ON</t>
  </si>
  <si>
    <t>COR RIBEIRO -PN</t>
  </si>
  <si>
    <t>210.01</t>
  </si>
  <si>
    <t>0.43</t>
  </si>
  <si>
    <t>6.61</t>
  </si>
  <si>
    <t>45.80</t>
  </si>
  <si>
    <t>10.15</t>
  </si>
  <si>
    <t>0.17</t>
  </si>
  <si>
    <t>GSHP3</t>
  </si>
  <si>
    <t xml:space="preserve">GENERALSHOPP-ON  </t>
  </si>
  <si>
    <t>MULT4</t>
  </si>
  <si>
    <t>MULT4.SA</t>
  </si>
  <si>
    <t>TEMP3</t>
  </si>
  <si>
    <t>Consumo não Cíclico / Saúde / Serv.Méd.Hospit..Análises e Diagnósticos</t>
  </si>
  <si>
    <t xml:space="preserve">TEMPO PART  -ON  </t>
  </si>
  <si>
    <t>DASA3</t>
  </si>
  <si>
    <t xml:space="preserve">DASA        -ON  </t>
  </si>
  <si>
    <t>FLRY3</t>
  </si>
  <si>
    <t xml:space="preserve">FLEURY      -ON  </t>
  </si>
  <si>
    <t>ODPV3</t>
  </si>
  <si>
    <t xml:space="preserve">ODONTOPREV  -ON  </t>
  </si>
  <si>
    <t>QUAL3</t>
  </si>
  <si>
    <t xml:space="preserve">QUALICORP   -ON  </t>
  </si>
  <si>
    <t>BIOM3M</t>
  </si>
  <si>
    <t xml:space="preserve">BIOMM       -ON  </t>
  </si>
  <si>
    <t>CREM3</t>
  </si>
  <si>
    <t xml:space="preserve">CREMER      -ON  </t>
  </si>
  <si>
    <t>Consumo não Cíclico / Saúde / Medicamentos e Outros Produtos</t>
  </si>
  <si>
    <t>5.50</t>
  </si>
  <si>
    <t>5.04</t>
  </si>
  <si>
    <t>12.40</t>
  </si>
  <si>
    <t>11.50</t>
  </si>
  <si>
    <t>23.00</t>
  </si>
  <si>
    <t>16.00</t>
  </si>
  <si>
    <t>25.99</t>
  </si>
  <si>
    <t>40.00</t>
  </si>
  <si>
    <t>7.21</t>
  </si>
  <si>
    <t>ALFA CONSORC-PNE</t>
  </si>
  <si>
    <t>ALFA CONSORC-PNA</t>
  </si>
  <si>
    <t>ALFA CONSORC-PNB</t>
  </si>
  <si>
    <t>5.96</t>
  </si>
  <si>
    <t>ALFA CONSORC-PNC</t>
  </si>
  <si>
    <t>ALFA CONSORC-PND</t>
  </si>
  <si>
    <t>3.78</t>
  </si>
  <si>
    <t>ALFA INVEST -ON</t>
  </si>
  <si>
    <t>ALFA INVEST -PN</t>
  </si>
  <si>
    <t>17.09</t>
  </si>
  <si>
    <t>17.60</t>
  </si>
  <si>
    <t>18.11</t>
  </si>
  <si>
    <t>1.79</t>
  </si>
  <si>
    <t>0.10</t>
  </si>
  <si>
    <t>12.52</t>
  </si>
  <si>
    <t>3.30</t>
  </si>
  <si>
    <t>ALFA HOLDING-PNA</t>
  </si>
  <si>
    <t>ALFA FINANC -PN</t>
  </si>
  <si>
    <t>7.02</t>
  </si>
  <si>
    <t>17.01</t>
  </si>
  <si>
    <t>156.00</t>
  </si>
  <si>
    <t>10.40</t>
  </si>
  <si>
    <t>10.17</t>
  </si>
  <si>
    <t>0.20</t>
  </si>
  <si>
    <t>9.75</t>
  </si>
  <si>
    <t>Row Labels</t>
  </si>
  <si>
    <t>Grand Total</t>
  </si>
  <si>
    <t>7.10</t>
  </si>
  <si>
    <t>1.01</t>
  </si>
  <si>
    <t>Consumo não Cíclico / Produtos de Uso Pessoal e de Limpeza / Produtos de Uso Pessoal</t>
  </si>
  <si>
    <t>NATU3</t>
  </si>
  <si>
    <t>3.90</t>
  </si>
  <si>
    <t>0.07</t>
  </si>
  <si>
    <t xml:space="preserve">NATURA      -ON  </t>
  </si>
  <si>
    <t>Consumo não Cíclico / Produtos de Uso Pessoal e de Limpeza / Produtos de Limpeza</t>
  </si>
  <si>
    <t>BOBR3</t>
  </si>
  <si>
    <t>BOBR4</t>
  </si>
  <si>
    <t>BOMBRIL     -ON</t>
  </si>
  <si>
    <t>BOMBRIL     -PN</t>
  </si>
  <si>
    <t>CRUZ3</t>
  </si>
  <si>
    <t>Consumo não Cíclico / Fumo / Cigarros e Fumo</t>
  </si>
  <si>
    <t>SOUZA CRUZ  -ON</t>
  </si>
  <si>
    <t>Consumo Cíclico / Comércio / Produtos Diversos</t>
  </si>
  <si>
    <t>LAME3</t>
  </si>
  <si>
    <t>LAME4</t>
  </si>
  <si>
    <t>LOJAS AMERIC-ON</t>
  </si>
  <si>
    <t>LOJAS AMERIC-PN</t>
  </si>
  <si>
    <t>BTOW3</t>
  </si>
  <si>
    <t xml:space="preserve">B2W DIGITAL -ON  </t>
  </si>
  <si>
    <t>HYPE3</t>
  </si>
  <si>
    <t xml:space="preserve">HYPERMARCAS -ON  </t>
  </si>
  <si>
    <t>RADL3</t>
  </si>
  <si>
    <t>Consumo não Cíclico / Comércio e Distribuição / Medicamentos</t>
  </si>
  <si>
    <t xml:space="preserve">RAIADROGASIL-ON  </t>
  </si>
  <si>
    <t>BPHA3</t>
  </si>
  <si>
    <t xml:space="preserve">BR PHARMA   -ON  </t>
  </si>
  <si>
    <t>PNVL3</t>
  </si>
  <si>
    <t>PNVL4</t>
  </si>
  <si>
    <t>DIMED       -ON</t>
  </si>
  <si>
    <t>DIMED       -PN</t>
  </si>
  <si>
    <t>188.00</t>
  </si>
  <si>
    <t>190.00</t>
  </si>
  <si>
    <t>PFRM3</t>
  </si>
  <si>
    <t xml:space="preserve">PROFARMA    -ON  </t>
  </si>
  <si>
    <t>Consumo não Cíclico / Comércio e Distribuição / Alimentos</t>
  </si>
  <si>
    <t>PCAR3</t>
  </si>
  <si>
    <t>PCAR4</t>
  </si>
  <si>
    <t xml:space="preserve">P.ACUCAR-CBD-ON  </t>
  </si>
  <si>
    <t>74.99</t>
  </si>
  <si>
    <t xml:space="preserve">P.ACUCAR-CBD-PN  </t>
  </si>
  <si>
    <t>Consumo não Cíclico / Bebidas / Cervejas e Refrigerantes</t>
  </si>
  <si>
    <t>ABEV3</t>
  </si>
  <si>
    <t>AMBEV S/A   -ON</t>
  </si>
  <si>
    <t>CLAN3</t>
  </si>
  <si>
    <t>CLAN4</t>
  </si>
  <si>
    <t>CLARION     -ON</t>
  </si>
  <si>
    <t>CLARION     -PN</t>
  </si>
  <si>
    <t>Consumo não Cíclico / Alimentos Processados / Grãos e Derivados</t>
  </si>
  <si>
    <t>MNPR3</t>
  </si>
  <si>
    <t>MINUPAR     -ON</t>
  </si>
  <si>
    <t>BAUH3</t>
  </si>
  <si>
    <t>BAUH4</t>
  </si>
  <si>
    <t>EXCELSIOR   -ON</t>
  </si>
  <si>
    <t>EXCELSIOR   -PN</t>
  </si>
  <si>
    <t>MRFG3</t>
  </si>
  <si>
    <t>BEEF3</t>
  </si>
  <si>
    <t xml:space="preserve">MINERVA     -ON  </t>
  </si>
  <si>
    <t xml:space="preserve">MARFRIG     -ON  </t>
  </si>
  <si>
    <t>CAFE3</t>
  </si>
  <si>
    <t>CAFE4</t>
  </si>
  <si>
    <t>CAF BRASILIA-ON *</t>
  </si>
  <si>
    <t>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</t>
  </si>
  <si>
    <t>CAF BRASILIA-PN *</t>
  </si>
  <si>
    <t>IGUA3</t>
  </si>
  <si>
    <t>IGUA5</t>
  </si>
  <si>
    <t>IGUA6</t>
  </si>
  <si>
    <t>IGUACU CAFE -ON</t>
  </si>
  <si>
    <t>3.75</t>
  </si>
  <si>
    <t>IGUACU CAFE -PNA</t>
  </si>
  <si>
    <t>IGUACU CAFE -PNB</t>
  </si>
  <si>
    <t>Cotação 4</t>
  </si>
  <si>
    <t>MDIA3</t>
  </si>
  <si>
    <t>BSEV3</t>
  </si>
  <si>
    <t xml:space="preserve">BIOSEV      -ON  </t>
  </si>
  <si>
    <t>VAGR3</t>
  </si>
  <si>
    <t>Consumo não Cíclico / Agropecuária / Agricultura</t>
  </si>
  <si>
    <t xml:space="preserve">V-AGRO      -ON  </t>
  </si>
  <si>
    <t>RNAR3</t>
  </si>
  <si>
    <t xml:space="preserve">RENAR       -ON  </t>
  </si>
  <si>
    <t>SLCE3</t>
  </si>
  <si>
    <t xml:space="preserve">SLC AGRICOLA-ON  </t>
  </si>
  <si>
    <t>Consumo Cíclico / Viagens e Lazer / Viagens e Turismo</t>
  </si>
  <si>
    <t>CVCB3</t>
  </si>
  <si>
    <t xml:space="preserve">CVC BRASIL  -ON  </t>
  </si>
  <si>
    <t>AHEB3</t>
  </si>
  <si>
    <t>AHEB5</t>
  </si>
  <si>
    <t>AHEB6</t>
  </si>
  <si>
    <t>SPTURIS     -ON</t>
  </si>
  <si>
    <t>SPTURIS     -PNA</t>
  </si>
  <si>
    <t>20.01</t>
  </si>
  <si>
    <t>SPTURIS     -PNB</t>
  </si>
  <si>
    <t>35.01</t>
  </si>
  <si>
    <t>Consumo Cíclico / Viagens e Lazer / Produção de Eventos e Shows</t>
  </si>
  <si>
    <t>SHOW3</t>
  </si>
  <si>
    <t xml:space="preserve">TIME FOR FUN-ON  </t>
  </si>
  <si>
    <t>BMKS3</t>
  </si>
  <si>
    <t>BIC MONARK  -ON</t>
  </si>
  <si>
    <t>350.00</t>
  </si>
  <si>
    <t>Consumo Cíclico / Viagens e Lazer / Bicicletas</t>
  </si>
  <si>
    <t>Consumo Cíclico / Utilidades Domésticas / Móveis</t>
  </si>
  <si>
    <t>UCAS3</t>
  </si>
  <si>
    <t xml:space="preserve">UNICASA     -ON  </t>
  </si>
  <si>
    <t>Consumo Cíclico / Utilidades Domésticas / Eletrodomésticos</t>
  </si>
  <si>
    <t>WHRL3</t>
  </si>
  <si>
    <t>WHRL4</t>
  </si>
  <si>
    <t>WHIRLPOOL   -ON</t>
  </si>
  <si>
    <t>WHIRLPOOL   -PN</t>
  </si>
  <si>
    <t>BMTO3</t>
  </si>
  <si>
    <t>BMTO4</t>
  </si>
  <si>
    <t>BRASMOTOR   -ON</t>
  </si>
  <si>
    <t>BRASMOTOR   -PN</t>
  </si>
  <si>
    <t>0.80</t>
  </si>
  <si>
    <t>MGLU3</t>
  </si>
  <si>
    <t xml:space="preserve">MAGAZ LUIZA -ON  </t>
  </si>
  <si>
    <t>VVAR11</t>
  </si>
  <si>
    <t>VVAR3</t>
  </si>
  <si>
    <t>VVAR4</t>
  </si>
  <si>
    <t xml:space="preserve">VIAVAREJO   -UNT </t>
  </si>
  <si>
    <t xml:space="preserve">VIAVAREJO   -ON  </t>
  </si>
  <si>
    <t xml:space="preserve">VIAVAREJO   -PN  </t>
  </si>
  <si>
    <t>IGBR3</t>
  </si>
  <si>
    <t>IGB S/A     -ON</t>
  </si>
  <si>
    <t>HGTX3</t>
  </si>
  <si>
    <t xml:space="preserve">CIA HERING  -ON  </t>
  </si>
  <si>
    <t>Consumo Cíclico / Tecidos. Vestuário e Calçados / Fios e Tecidos</t>
  </si>
  <si>
    <t>CEDO3</t>
  </si>
  <si>
    <t>CEDO4</t>
  </si>
  <si>
    <t xml:space="preserve">CEDRO       -ON  </t>
  </si>
  <si>
    <t xml:space="preserve">CEDRO       -PN  </t>
  </si>
  <si>
    <t>11.10</t>
  </si>
  <si>
    <t>0.42</t>
  </si>
  <si>
    <t>41.50</t>
  </si>
  <si>
    <t>9.30</t>
  </si>
  <si>
    <t>3.68</t>
  </si>
  <si>
    <t>12.50</t>
  </si>
  <si>
    <t>0.21</t>
  </si>
  <si>
    <t>7.00</t>
  </si>
  <si>
    <t>ID</t>
  </si>
  <si>
    <t>Aporte</t>
  </si>
  <si>
    <t>Papel</t>
  </si>
  <si>
    <t>Valor</t>
  </si>
  <si>
    <t>PETRB15</t>
  </si>
  <si>
    <t>Ação</t>
  </si>
  <si>
    <t>Gordura</t>
  </si>
  <si>
    <t>Target</t>
  </si>
  <si>
    <t>Objetivo</t>
  </si>
  <si>
    <t>% Obj</t>
  </si>
  <si>
    <t>VALEB31</t>
  </si>
  <si>
    <t>VALEB32</t>
  </si>
  <si>
    <t>12.00</t>
  </si>
  <si>
    <t>5.40</t>
  </si>
  <si>
    <t>18.50</t>
  </si>
  <si>
    <t>1.25</t>
  </si>
  <si>
    <t>4.15</t>
  </si>
  <si>
    <t>18.99</t>
  </si>
  <si>
    <t>0.60</t>
  </si>
  <si>
    <t>1.45</t>
  </si>
  <si>
    <t>19.02</t>
  </si>
  <si>
    <t>0.33</t>
  </si>
  <si>
    <t>0.32</t>
  </si>
  <si>
    <t>0.53</t>
  </si>
  <si>
    <t>0.79</t>
  </si>
  <si>
    <t>0.82</t>
  </si>
  <si>
    <t>7.30</t>
  </si>
  <si>
    <t>0.31</t>
  </si>
  <si>
    <t>7.20</t>
  </si>
  <si>
    <t>3.87</t>
  </si>
  <si>
    <t>13.55</t>
  </si>
  <si>
    <t>5.30</t>
  </si>
  <si>
    <t>2.23</t>
  </si>
  <si>
    <t>16.57</t>
  </si>
  <si>
    <t>19.20</t>
  </si>
  <si>
    <t>3.52</t>
  </si>
  <si>
    <t>3.55</t>
  </si>
  <si>
    <t>5.97</t>
  </si>
  <si>
    <t>2.04</t>
  </si>
  <si>
    <t>7.01</t>
  </si>
  <si>
    <t>85.00</t>
  </si>
  <si>
    <t>11.68</t>
  </si>
  <si>
    <t>27.30</t>
  </si>
  <si>
    <t>3.65</t>
  </si>
  <si>
    <t>7.45</t>
  </si>
  <si>
    <t>2.05</t>
  </si>
  <si>
    <t>15.65</t>
  </si>
  <si>
    <t>10.90</t>
  </si>
  <si>
    <t>2.75</t>
  </si>
  <si>
    <t>2.90</t>
  </si>
  <si>
    <t>14.30</t>
  </si>
  <si>
    <t>6.00</t>
  </si>
  <si>
    <t>20.50</t>
  </si>
  <si>
    <t>14.71</t>
  </si>
  <si>
    <t>8.16</t>
  </si>
  <si>
    <t>16.80</t>
  </si>
  <si>
    <t>49.00</t>
  </si>
  <si>
    <t>1.41</t>
  </si>
  <si>
    <t>2.60</t>
  </si>
  <si>
    <t>2.61</t>
  </si>
  <si>
    <t>12.09</t>
  </si>
  <si>
    <t>16.06</t>
  </si>
  <si>
    <t>0.54</t>
  </si>
  <si>
    <t>3.07</t>
  </si>
  <si>
    <t>0.77</t>
  </si>
  <si>
    <t>16.38</t>
  </si>
  <si>
    <t>3.93</t>
  </si>
  <si>
    <t>2.81</t>
  </si>
  <si>
    <t>3.09</t>
  </si>
  <si>
    <t>4.60</t>
  </si>
  <si>
    <t>3.79</t>
  </si>
  <si>
    <t>41.00</t>
  </si>
  <si>
    <t>BRB BANCO   -ON</t>
  </si>
  <si>
    <t>BRB BANCO   -PN</t>
  </si>
  <si>
    <t>13.70</t>
  </si>
  <si>
    <t>13.29</t>
  </si>
  <si>
    <t>16.59</t>
  </si>
  <si>
    <t>26.00</t>
  </si>
  <si>
    <t>7.92</t>
  </si>
  <si>
    <t>9.15</t>
  </si>
  <si>
    <t>29.25</t>
  </si>
  <si>
    <t>29.08</t>
  </si>
  <si>
    <t>12.68</t>
  </si>
  <si>
    <t>16.64</t>
  </si>
  <si>
    <t>CELUL IRANI -ON</t>
  </si>
  <si>
    <t>CELUL IRANI -PN</t>
  </si>
  <si>
    <t>17.39</t>
  </si>
  <si>
    <t>17.21</t>
  </si>
  <si>
    <t>16.83</t>
  </si>
  <si>
    <t>23.88</t>
  </si>
  <si>
    <t>17.56</t>
  </si>
  <si>
    <t>16.97</t>
  </si>
  <si>
    <t>11.83</t>
  </si>
  <si>
    <t>4.38</t>
  </si>
  <si>
    <t>4.35</t>
  </si>
  <si>
    <t>MONT ARANHA -ON</t>
  </si>
  <si>
    <t>4.30</t>
  </si>
  <si>
    <t>14.52</t>
  </si>
  <si>
    <t>27.12</t>
  </si>
  <si>
    <t>16.84</t>
  </si>
  <si>
    <t>17.05</t>
  </si>
  <si>
    <t>2.12</t>
  </si>
  <si>
    <t>2.15</t>
  </si>
  <si>
    <t>12.45</t>
  </si>
  <si>
    <t>31.20</t>
  </si>
  <si>
    <t>0.22</t>
  </si>
  <si>
    <t>1.59</t>
  </si>
  <si>
    <t>5.17</t>
  </si>
  <si>
    <t>7.44</t>
  </si>
  <si>
    <t>7.82</t>
  </si>
  <si>
    <t>7.77</t>
  </si>
  <si>
    <t>7.86</t>
  </si>
  <si>
    <t>2.76</t>
  </si>
  <si>
    <t>10.56</t>
  </si>
  <si>
    <t>3.10</t>
  </si>
  <si>
    <t>26.29</t>
  </si>
  <si>
    <t>15.04</t>
  </si>
  <si>
    <t>20.25</t>
  </si>
  <si>
    <t>20.38</t>
  </si>
  <si>
    <t>12.51</t>
  </si>
  <si>
    <t>22.29</t>
  </si>
  <si>
    <t>15.54</t>
  </si>
  <si>
    <t>4.82</t>
  </si>
  <si>
    <t>10.52</t>
  </si>
  <si>
    <t>13.41</t>
  </si>
  <si>
    <t>4.67</t>
  </si>
  <si>
    <t>4.50</t>
  </si>
  <si>
    <t>Consumo Cíclico / Viagens e Lazer / Brinquedos e Jogos</t>
  </si>
  <si>
    <t>TOYB3</t>
  </si>
  <si>
    <t>TOYB4</t>
  </si>
  <si>
    <t>TECTOY      -ON *</t>
  </si>
  <si>
    <t>0.02</t>
  </si>
  <si>
    <t>TECTOY      -PN *</t>
  </si>
  <si>
    <t>0.01</t>
  </si>
  <si>
    <t>ESTR3</t>
  </si>
  <si>
    <t>ESTR4</t>
  </si>
  <si>
    <t>ESTRELA     -ON</t>
  </si>
  <si>
    <t>ESTRELA     -PN</t>
  </si>
  <si>
    <t>NAFG3</t>
  </si>
  <si>
    <t>NAFG4</t>
  </si>
  <si>
    <t>NADIR FIGUEI-ON</t>
  </si>
  <si>
    <t>NADIR FIGUEI-PN</t>
  </si>
  <si>
    <t>Consumo Cíclico / Utilidades Domésticas / Utensílios Domésticos</t>
  </si>
  <si>
    <t>HETA3</t>
  </si>
  <si>
    <t>HETA4</t>
  </si>
  <si>
    <t>HERCULES    -ON</t>
  </si>
  <si>
    <t>HERCULES    -PN</t>
  </si>
  <si>
    <t>0.30</t>
  </si>
  <si>
    <t>Consumo Cíclico / Tecidos. Vestuário e Calçados / Vestuário</t>
  </si>
  <si>
    <t>CTNM3</t>
  </si>
  <si>
    <t>CTNM4</t>
  </si>
  <si>
    <t>COTEMINAS   -ON</t>
  </si>
  <si>
    <t>2.47</t>
  </si>
  <si>
    <t>COTEMINAS   -PN</t>
  </si>
  <si>
    <t>CTSA3</t>
  </si>
  <si>
    <t>CTSA4</t>
  </si>
  <si>
    <t>SANTANENSE  -ON</t>
  </si>
  <si>
    <t>SANTANENSE  -PN</t>
  </si>
  <si>
    <t>CTSA8</t>
  </si>
  <si>
    <t>SANTANENSE  -PND</t>
  </si>
  <si>
    <t>DOHL3</t>
  </si>
  <si>
    <t>DOHL4</t>
  </si>
  <si>
    <t>DOHLER      -ON</t>
  </si>
  <si>
    <t>DOHLER      -PN</t>
  </si>
  <si>
    <t>ECPR3</t>
  </si>
  <si>
    <t>ECPR4</t>
  </si>
  <si>
    <t>ENCORPAR    -ON</t>
  </si>
  <si>
    <t>31.86</t>
  </si>
  <si>
    <t>ENCORPAR    -PN</t>
  </si>
  <si>
    <t>CTKA3</t>
  </si>
  <si>
    <t>CTKA4</t>
  </si>
  <si>
    <t>KARSTEN     -ON</t>
  </si>
  <si>
    <t>2.20</t>
  </si>
  <si>
    <t>KARSTEN     -PN</t>
  </si>
  <si>
    <t>PTNT3</t>
  </si>
  <si>
    <t>PTNT4</t>
  </si>
  <si>
    <t>24.50</t>
  </si>
  <si>
    <t>PETTENATI   -ON</t>
  </si>
  <si>
    <t>2.25</t>
  </si>
  <si>
    <t>PETTENATI   -PN</t>
  </si>
  <si>
    <t>WMBY3</t>
  </si>
  <si>
    <t>WEMBLEY     -ON</t>
  </si>
  <si>
    <t>25.39</t>
  </si>
  <si>
    <t>SGPS3</t>
  </si>
  <si>
    <t xml:space="preserve">SPRINGS     -ON  </t>
  </si>
  <si>
    <t>1.53</t>
  </si>
  <si>
    <t>TENE3</t>
  </si>
  <si>
    <t>TENE5</t>
  </si>
  <si>
    <t>TENE6</t>
  </si>
  <si>
    <t>TENE7</t>
  </si>
  <si>
    <t>TEC BLUMENAU-ON</t>
  </si>
  <si>
    <t>TEC BLUMENAU-PNA</t>
  </si>
  <si>
    <t>TEC BLUMENAU-PNB</t>
  </si>
  <si>
    <t>TEC BLUMENAU-PNC</t>
  </si>
  <si>
    <t>0.78</t>
  </si>
  <si>
    <t>ALPA3</t>
  </si>
  <si>
    <t>ALPA4</t>
  </si>
  <si>
    <t xml:space="preserve">ALPARGATAS  -ON  </t>
  </si>
  <si>
    <t xml:space="preserve">ALPARGATAS  -PN  </t>
  </si>
  <si>
    <t>Consumo Cíclico / Tecidos. Vestuário e Calçados / Calçados</t>
  </si>
  <si>
    <t>CAMB3</t>
  </si>
  <si>
    <t>CAMB4</t>
  </si>
  <si>
    <t>CAMBUCI     -ON</t>
  </si>
  <si>
    <t>CAMBUCI     -PN</t>
  </si>
  <si>
    <t>GRND3</t>
  </si>
  <si>
    <t>VULC3</t>
  </si>
  <si>
    <t>Consumo Cíclico / Tecidos. Vestuário e Calçados / Acessórios</t>
  </si>
  <si>
    <t>MNDL3</t>
  </si>
  <si>
    <t>TECN3</t>
  </si>
  <si>
    <t>9.01</t>
  </si>
  <si>
    <t>4.75</t>
  </si>
  <si>
    <t>4.54</t>
  </si>
  <si>
    <t>24.98</t>
  </si>
  <si>
    <t>24.20</t>
  </si>
  <si>
    <t>2.14</t>
  </si>
  <si>
    <t>0.65</t>
  </si>
  <si>
    <t>MUNDIAL     -ON</t>
  </si>
  <si>
    <t>9.93</t>
  </si>
  <si>
    <t xml:space="preserve">TECHNOS     -ON  </t>
  </si>
  <si>
    <t>14.99</t>
  </si>
  <si>
    <t>Consumo Cíclico / Mídia / Produção e Difusão de Filmes e Programas</t>
  </si>
  <si>
    <t>NETC3</t>
  </si>
  <si>
    <t>NETC4</t>
  </si>
  <si>
    <t>NET         -ON</t>
  </si>
  <si>
    <t>NET         -PN</t>
  </si>
  <si>
    <t>Consumo Cíclico / Mídia / Jornais. Livros e Revistas</t>
  </si>
  <si>
    <t>ABRE11</t>
  </si>
  <si>
    <t>ABRE3</t>
  </si>
  <si>
    <t>ABRE4</t>
  </si>
  <si>
    <t>ABRE3.SA</t>
  </si>
  <si>
    <t>ABRE4.SA</t>
  </si>
  <si>
    <t xml:space="preserve">ABRIL EDUCA -UNT </t>
  </si>
  <si>
    <t>SLED3</t>
  </si>
  <si>
    <t>SLED4</t>
  </si>
  <si>
    <t xml:space="preserve">SARAIVA LIVR-ON  </t>
  </si>
  <si>
    <t>18.48</t>
  </si>
  <si>
    <t xml:space="preserve">SARAIVA LIVR-PN  </t>
  </si>
  <si>
    <t>19.31</t>
  </si>
  <si>
    <t>11.72</t>
  </si>
  <si>
    <t>20.60</t>
  </si>
  <si>
    <t>26.35</t>
  </si>
  <si>
    <t>26.75</t>
  </si>
  <si>
    <t>3.81</t>
  </si>
  <si>
    <t>10.78</t>
  </si>
  <si>
    <t>17.90</t>
  </si>
  <si>
    <t>22.14</t>
  </si>
  <si>
    <t>15.44</t>
  </si>
  <si>
    <t>12.99</t>
  </si>
  <si>
    <t>15.90</t>
  </si>
  <si>
    <t>31.42</t>
  </si>
  <si>
    <t>8.11</t>
  </si>
  <si>
    <t>4.78</t>
  </si>
  <si>
    <t>8.74</t>
  </si>
  <si>
    <t>12.25</t>
  </si>
  <si>
    <t>16.70</t>
  </si>
  <si>
    <t>12.12</t>
  </si>
  <si>
    <t>16.20</t>
  </si>
  <si>
    <t>7.78</t>
  </si>
  <si>
    <t>7.40</t>
  </si>
  <si>
    <t>10.61</t>
  </si>
  <si>
    <t>3.20</t>
  </si>
  <si>
    <t>5.10</t>
  </si>
  <si>
    <t>8.89</t>
  </si>
  <si>
    <t>8.86</t>
  </si>
  <si>
    <t>8.81</t>
  </si>
  <si>
    <t>17.23</t>
  </si>
  <si>
    <t>16.73</t>
  </si>
  <si>
    <t>16.45</t>
  </si>
  <si>
    <t>18.42</t>
  </si>
  <si>
    <t>18.40</t>
  </si>
  <si>
    <t>40.01</t>
  </si>
  <si>
    <t>14.38</t>
  </si>
  <si>
    <t>16.15</t>
  </si>
  <si>
    <t>16.50</t>
  </si>
  <si>
    <t>16.33</t>
  </si>
  <si>
    <t>30.12</t>
  </si>
  <si>
    <t>11.59</t>
  </si>
  <si>
    <t>11.40</t>
  </si>
  <si>
    <t>8.15</t>
  </si>
  <si>
    <t>5.75</t>
  </si>
  <si>
    <t>15.01</t>
  </si>
  <si>
    <t>4.23</t>
  </si>
  <si>
    <t>8.20</t>
  </si>
  <si>
    <t>8.34</t>
  </si>
  <si>
    <t>8.01</t>
  </si>
  <si>
    <t>27.10</t>
  </si>
  <si>
    <t>17.38</t>
  </si>
  <si>
    <t>14.19</t>
  </si>
  <si>
    <t>14.12</t>
  </si>
  <si>
    <t>89.99</t>
  </si>
  <si>
    <t>31.04</t>
  </si>
  <si>
    <t>31.11</t>
  </si>
  <si>
    <t>7.29</t>
  </si>
  <si>
    <t>1.57</t>
  </si>
  <si>
    <t>3.66</t>
  </si>
  <si>
    <t>1.40</t>
  </si>
  <si>
    <t>2.54</t>
  </si>
  <si>
    <t>7.66</t>
  </si>
  <si>
    <t>7.50</t>
  </si>
  <si>
    <t>10.06</t>
  </si>
  <si>
    <t>13.00</t>
  </si>
  <si>
    <t>12.36</t>
  </si>
  <si>
    <t>15.28</t>
  </si>
  <si>
    <t>19.65</t>
  </si>
  <si>
    <t>0.52</t>
  </si>
  <si>
    <t>3.80</t>
  </si>
  <si>
    <t>3.01</t>
  </si>
  <si>
    <t>2.92</t>
  </si>
  <si>
    <t>0.81</t>
  </si>
  <si>
    <t>0.27</t>
  </si>
  <si>
    <t>0.19</t>
  </si>
  <si>
    <t>15.15</t>
  </si>
  <si>
    <t>8.90</t>
  </si>
  <si>
    <t>8.75</t>
  </si>
  <si>
    <t>19.72</t>
  </si>
  <si>
    <t>14.05</t>
  </si>
  <si>
    <t>14.32</t>
  </si>
  <si>
    <t>4.68</t>
  </si>
  <si>
    <t>10.68</t>
  </si>
  <si>
    <t>3.14</t>
  </si>
  <si>
    <t>3.11</t>
  </si>
  <si>
    <t>0.16</t>
  </si>
  <si>
    <t>13.62</t>
  </si>
  <si>
    <t>13.21</t>
  </si>
  <si>
    <t>4.83</t>
  </si>
  <si>
    <t>4.86</t>
  </si>
  <si>
    <t>4.69</t>
  </si>
  <si>
    <t>4.56</t>
  </si>
  <si>
    <t>7.87</t>
  </si>
  <si>
    <t>24.35</t>
  </si>
  <si>
    <t>1.42</t>
  </si>
  <si>
    <t>9.95</t>
  </si>
  <si>
    <t>9.81</t>
  </si>
  <si>
    <t>18.94</t>
  </si>
  <si>
    <t>Consumo Cíclico / Hoteis e Restaurantes / Restaurante e Similares</t>
  </si>
  <si>
    <t>IMCH3</t>
  </si>
  <si>
    <t>RENT3</t>
  </si>
  <si>
    <t>4.55</t>
  </si>
  <si>
    <t>4.51</t>
  </si>
  <si>
    <t>6.60</t>
  </si>
  <si>
    <t>2.10</t>
  </si>
  <si>
    <t>9.91</t>
  </si>
  <si>
    <t xml:space="preserve">LOCALIZA    -ON  </t>
  </si>
  <si>
    <t>31.75</t>
  </si>
  <si>
    <t xml:space="preserve">IMC HOLDINGS-ON  </t>
  </si>
  <si>
    <t>16.40</t>
  </si>
  <si>
    <t>LLIS3</t>
  </si>
  <si>
    <t xml:space="preserve">LE LIS BLANC-ON  </t>
  </si>
  <si>
    <t>5.99</t>
  </si>
  <si>
    <t>Consumo Cíclico / Comércio / Tecidos. Vestuário e Calçados</t>
  </si>
  <si>
    <t>ARZZ3</t>
  </si>
  <si>
    <t xml:space="preserve">AREZZO CO   -ON  </t>
  </si>
  <si>
    <t>CGRA3</t>
  </si>
  <si>
    <t>CGRA4</t>
  </si>
  <si>
    <t>GRAZZIOTIN  -ON</t>
  </si>
  <si>
    <t>16.12</t>
  </si>
  <si>
    <t>GRAZZIOTIN  -PN</t>
  </si>
  <si>
    <t>16.26</t>
  </si>
  <si>
    <t>16.21</t>
  </si>
  <si>
    <t>GUAR3</t>
  </si>
  <si>
    <t>GUAR4</t>
  </si>
  <si>
    <t>GUARARAPES  -ON</t>
  </si>
  <si>
    <t>GUARARAPES  -PN</t>
  </si>
  <si>
    <t>81.50</t>
  </si>
  <si>
    <t>LHER3</t>
  </si>
  <si>
    <t>LHER4</t>
  </si>
  <si>
    <t>LOJAS HERING-ON</t>
  </si>
  <si>
    <t>LOJAS HERING-PN</t>
  </si>
  <si>
    <t>65.00</t>
  </si>
  <si>
    <t>LREN3</t>
  </si>
  <si>
    <t xml:space="preserve">LOJAS RENNER-ON  </t>
  </si>
  <si>
    <t>AMAR3</t>
  </si>
  <si>
    <t xml:space="preserve">LOJAS MARISA-ON  </t>
  </si>
  <si>
    <t>14.00</t>
  </si>
  <si>
    <t>SPRI3</t>
  </si>
  <si>
    <t>SPRI5</t>
  </si>
  <si>
    <t>SPRI6</t>
  </si>
  <si>
    <t>SPRINGER    -ON</t>
  </si>
  <si>
    <t>SPRINGER    -PNA</t>
  </si>
  <si>
    <t>0.36</t>
  </si>
  <si>
    <t>SPRINGER    -PNB</t>
  </si>
  <si>
    <t>0.39</t>
  </si>
  <si>
    <t>Construção e Transporte / Construção e Engenharia / Construção Civil</t>
  </si>
  <si>
    <t>BISA3</t>
  </si>
  <si>
    <t xml:space="preserve">BROOKFIELD  -ON  </t>
  </si>
  <si>
    <t>CALI3</t>
  </si>
  <si>
    <t>CALI4</t>
  </si>
  <si>
    <t>CONST A LIND-ON</t>
  </si>
  <si>
    <t>126.01</t>
  </si>
  <si>
    <t>CONST A LIND-PN</t>
  </si>
  <si>
    <t>250.00</t>
  </si>
  <si>
    <t>CRDE3</t>
  </si>
  <si>
    <t>CYRE3</t>
  </si>
  <si>
    <t>DIRR3</t>
  </si>
  <si>
    <t>EVEN3</t>
  </si>
  <si>
    <t>EZTC3</t>
  </si>
  <si>
    <t>GFSA3</t>
  </si>
  <si>
    <t>HBOR3</t>
  </si>
  <si>
    <t>JHSF3</t>
  </si>
  <si>
    <t xml:space="preserve">CR2         -ON  </t>
  </si>
  <si>
    <t xml:space="preserve">CYRELA REALT-ON  </t>
  </si>
  <si>
    <t>13.24</t>
  </si>
  <si>
    <t xml:space="preserve">DIRECIONAL  -ON  </t>
  </si>
  <si>
    <t xml:space="preserve">EVEN        -ON  </t>
  </si>
  <si>
    <t>7.17</t>
  </si>
  <si>
    <t xml:space="preserve">EZTEC       -ON  </t>
  </si>
  <si>
    <t xml:space="preserve">GAFISA      -ON  </t>
  </si>
  <si>
    <t>2.95</t>
  </si>
  <si>
    <t xml:space="preserve">HELBOR      -ON  </t>
  </si>
  <si>
    <t>6.64</t>
  </si>
  <si>
    <t xml:space="preserve">JHSF PART   -ON  </t>
  </si>
  <si>
    <t>4.19</t>
  </si>
  <si>
    <t>JFEN3</t>
  </si>
  <si>
    <t>MRVE3</t>
  </si>
  <si>
    <t>PDGR3</t>
  </si>
  <si>
    <t>RDNI3</t>
  </si>
  <si>
    <t>RSID3</t>
  </si>
  <si>
    <t>SGEN3</t>
  </si>
  <si>
    <t>SGEN4</t>
  </si>
  <si>
    <t>TCSA3</t>
  </si>
  <si>
    <t>TRIS3</t>
  </si>
  <si>
    <t>VIVR3</t>
  </si>
  <si>
    <t>JOAO FORTES -ON</t>
  </si>
  <si>
    <t>5.39</t>
  </si>
  <si>
    <t xml:space="preserve">MRV         -ON  </t>
  </si>
  <si>
    <t>8.38</t>
  </si>
  <si>
    <t xml:space="preserve">PDG REALT   -ON  </t>
  </si>
  <si>
    <t xml:space="preserve">RODOBENSIMOB-ON  </t>
  </si>
  <si>
    <t xml:space="preserve">ROSSI RESID -ON  </t>
  </si>
  <si>
    <t>1.78</t>
  </si>
  <si>
    <t>1.77</t>
  </si>
  <si>
    <t>SERGEN      -ON *</t>
  </si>
  <si>
    <t>SERGEN      -PN *</t>
  </si>
  <si>
    <t xml:space="preserve">TECNISA     -ON  </t>
  </si>
  <si>
    <t>7.35</t>
  </si>
  <si>
    <t xml:space="preserve">TRISUL      -ON  </t>
  </si>
  <si>
    <t xml:space="preserve">VIVER       -ON  </t>
  </si>
  <si>
    <t>AZEV3</t>
  </si>
  <si>
    <t>AZEV4</t>
  </si>
  <si>
    <t>LIXC3</t>
  </si>
  <si>
    <t>LIXC4</t>
  </si>
  <si>
    <t>SULT3</t>
  </si>
  <si>
    <t>SULT4</t>
  </si>
  <si>
    <t>MEND3</t>
  </si>
  <si>
    <t>MEND5</t>
  </si>
  <si>
    <t>MEND6</t>
  </si>
  <si>
    <t>AZEVEDO     -ON</t>
  </si>
  <si>
    <t>1.95</t>
  </si>
  <si>
    <t>AZEVEDO     -PN</t>
  </si>
  <si>
    <t>1.50</t>
  </si>
  <si>
    <t>0.55</t>
  </si>
  <si>
    <t>LIX DA CUNHA-ON</t>
  </si>
  <si>
    <t>LIX DA CUNHA-PN</t>
  </si>
  <si>
    <t>2.96</t>
  </si>
  <si>
    <t>SULTEPA     -ON</t>
  </si>
  <si>
    <t>1.15</t>
  </si>
  <si>
    <t>SULTEPA     -PN</t>
  </si>
  <si>
    <t>MENDES JR   -ON</t>
  </si>
  <si>
    <t>MENDES JR   -PNA</t>
  </si>
  <si>
    <t>11.22</t>
  </si>
  <si>
    <t>MENDES JR   -PNB</t>
  </si>
  <si>
    <t>11.60</t>
  </si>
  <si>
    <t>Construção e Transporte / Construção e Engenharia / Construção Pesada</t>
  </si>
  <si>
    <t>Cotação 5</t>
  </si>
  <si>
    <t>SOND3</t>
  </si>
  <si>
    <t>SOND5</t>
  </si>
  <si>
    <t>SOND6</t>
  </si>
  <si>
    <t>TCNO3</t>
  </si>
  <si>
    <t>TCNO4</t>
  </si>
  <si>
    <t>SONDOTECNICA-ON</t>
  </si>
  <si>
    <t>42.00</t>
  </si>
  <si>
    <t>SONDOTECNICA-PNA</t>
  </si>
  <si>
    <t>SONDOTECNICA-PNB</t>
  </si>
  <si>
    <t>44.00</t>
  </si>
  <si>
    <t>TECNOSOLO   -ON</t>
  </si>
  <si>
    <t>TECNOSOLO   -PN</t>
  </si>
  <si>
    <t>0.06</t>
  </si>
  <si>
    <t>Construção e Transporte / Construção e Engenharia / Engenharia Consultiva</t>
  </si>
  <si>
    <t>BBRK3</t>
  </si>
  <si>
    <t>LPSB3</t>
  </si>
  <si>
    <t xml:space="preserve">BR BROKERS  -ON  </t>
  </si>
  <si>
    <t xml:space="preserve">LOPES BRASIL-ON  </t>
  </si>
  <si>
    <t>13.10</t>
  </si>
  <si>
    <t>Construção e Transporte / Construção e Engenharia / Intermediação Imobiliária</t>
  </si>
  <si>
    <t>CCHI3</t>
  </si>
  <si>
    <t>CCHI4</t>
  </si>
  <si>
    <t>HAGA3</t>
  </si>
  <si>
    <t>HAGA4</t>
  </si>
  <si>
    <t>PTBL3</t>
  </si>
  <si>
    <t>CHIARELLI   -ON</t>
  </si>
  <si>
    <t>CHIARELLI   -PN</t>
  </si>
  <si>
    <t>HAGA S/A    -ON</t>
  </si>
  <si>
    <t>1.98</t>
  </si>
  <si>
    <t>HAGA S/A    -PN</t>
  </si>
  <si>
    <t>1.29</t>
  </si>
  <si>
    <t>1.35</t>
  </si>
  <si>
    <t xml:space="preserve">PORTOBELLO  -ON  </t>
  </si>
  <si>
    <t>4.20</t>
  </si>
  <si>
    <t>CTAX11</t>
  </si>
  <si>
    <t>CTAX3</t>
  </si>
  <si>
    <t>CTAX4</t>
  </si>
  <si>
    <t>CARD3</t>
  </si>
  <si>
    <t>DTCY3</t>
  </si>
  <si>
    <t>DTCY4</t>
  </si>
  <si>
    <t>MILS3</t>
  </si>
  <si>
    <t>VLID3</t>
  </si>
  <si>
    <t xml:space="preserve">CONTAX      -UNT </t>
  </si>
  <si>
    <t xml:space="preserve">CONTAX      -ON  </t>
  </si>
  <si>
    <t xml:space="preserve">CONTAX      -PN  </t>
  </si>
  <si>
    <t>3.54</t>
  </si>
  <si>
    <t>3.74</t>
  </si>
  <si>
    <t xml:space="preserve">CSU CARDSYST-ON  </t>
  </si>
  <si>
    <t>2.65</t>
  </si>
  <si>
    <t>DTCOM-DIRECT-ON</t>
  </si>
  <si>
    <t>DTCOM-DIRECT-PN</t>
  </si>
  <si>
    <t xml:space="preserve">MILLS       -ON  </t>
  </si>
  <si>
    <t>26.45</t>
  </si>
  <si>
    <t>26.99</t>
  </si>
  <si>
    <t xml:space="preserve">VALID       -ON  </t>
  </si>
  <si>
    <t>Bens Industriais / Serviços / Serviços Diversos</t>
  </si>
  <si>
    <t>ARTR3</t>
  </si>
  <si>
    <t>CCRO3</t>
  </si>
  <si>
    <t>ECOR3</t>
  </si>
  <si>
    <t>TPIS3</t>
  </si>
  <si>
    <t xml:space="preserve">ARTERIS     -ON  </t>
  </si>
  <si>
    <t xml:space="preserve">CCR SA      -ON  </t>
  </si>
  <si>
    <t xml:space="preserve">ECORODOVIAS -ON  </t>
  </si>
  <si>
    <t xml:space="preserve">TRIUNFO PART-ON  </t>
  </si>
  <si>
    <t>Construção e Transporte / Transporte / Exploração de Rodovias</t>
  </si>
  <si>
    <t>Construção e Transporte / Transporte / Serviços de Apoio e Armazenagem</t>
  </si>
  <si>
    <t>IMBI3</t>
  </si>
  <si>
    <t>IMBI4</t>
  </si>
  <si>
    <t>LLXL3</t>
  </si>
  <si>
    <t>STBP11</t>
  </si>
  <si>
    <t>STBP3</t>
  </si>
  <si>
    <t>STBP4</t>
  </si>
  <si>
    <t>DOC IMBITUBA-ON</t>
  </si>
  <si>
    <t>DOC IMBITUBA-PN</t>
  </si>
  <si>
    <t xml:space="preserve">LLX LOG     -ON  </t>
  </si>
  <si>
    <t>0.90</t>
  </si>
  <si>
    <t>0.98</t>
  </si>
  <si>
    <t xml:space="preserve">SANTOS BRP  -UNT </t>
  </si>
  <si>
    <t xml:space="preserve">SANTOS BRP  -ON  </t>
  </si>
  <si>
    <t xml:space="preserve">SANTOS BRP  -PN  </t>
  </si>
  <si>
    <t>Construção e Transporte / Transporte / Transporte Aéreo</t>
  </si>
  <si>
    <t>GOLL3</t>
  </si>
  <si>
    <t>GOLL4</t>
  </si>
  <si>
    <t xml:space="preserve">GOL         -ON  </t>
  </si>
  <si>
    <t xml:space="preserve">GOL         -PN  </t>
  </si>
  <si>
    <t>10.41</t>
  </si>
  <si>
    <t>Construção e Transporte / Transporte / Transporte Ferroviário</t>
  </si>
  <si>
    <t>ALLL3</t>
  </si>
  <si>
    <t>VSPT3</t>
  </si>
  <si>
    <t>VSPT4</t>
  </si>
  <si>
    <t xml:space="preserve">ALL AMER LAT-ON  </t>
  </si>
  <si>
    <t>FER C ATLANT-ON</t>
  </si>
  <si>
    <t>FER C ATLANT-PN</t>
  </si>
  <si>
    <t>Construção e Transporte / Transporte / Transporte Hidroviário</t>
  </si>
  <si>
    <t>LOGN3</t>
  </si>
  <si>
    <t>LUXM3</t>
  </si>
  <si>
    <t>LUXM4</t>
  </si>
  <si>
    <t xml:space="preserve">LOG-IN      -ON  </t>
  </si>
  <si>
    <t>8.44</t>
  </si>
  <si>
    <t>TREVISA     -ON</t>
  </si>
  <si>
    <t>48.00</t>
  </si>
  <si>
    <t>TREVISA     -PN</t>
  </si>
  <si>
    <t>Construção e Transporte / Transporte / Transporte Rodoviário</t>
  </si>
  <si>
    <t>JSLG3</t>
  </si>
  <si>
    <t>TGMA3</t>
  </si>
  <si>
    <t xml:space="preserve">JSL         -ON  </t>
  </si>
  <si>
    <t xml:space="preserve">TEGMA       -ON  </t>
  </si>
  <si>
    <t>SGAS3</t>
  </si>
  <si>
    <t>SGAS4</t>
  </si>
  <si>
    <t>WLM IND COM -ON</t>
  </si>
  <si>
    <t>69.00</t>
  </si>
  <si>
    <t>WLM IND COM -PN</t>
  </si>
  <si>
    <t>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</t>
  </si>
  <si>
    <t>Bens Industriais / Comércio / Material de Transporte</t>
  </si>
  <si>
    <t>Bens Industriais / Equipamentos Elétricos / Equipamentos Elétricos</t>
  </si>
  <si>
    <t>FRIO3</t>
  </si>
  <si>
    <t xml:space="preserve">METALFRIO   -ON  </t>
  </si>
  <si>
    <t>Bens Industriais / Máquinas e Equipamentos / Armas e Munições</t>
  </si>
  <si>
    <t>FJTA3</t>
  </si>
  <si>
    <t>FJTA4</t>
  </si>
  <si>
    <t xml:space="preserve">FORJA TAURUS-ON  </t>
  </si>
  <si>
    <t xml:space="preserve">FORJA TAURUS-PN  </t>
  </si>
  <si>
    <t>1.75</t>
  </si>
  <si>
    <t>EALT3</t>
  </si>
  <si>
    <t>EALT4</t>
  </si>
  <si>
    <t>MTSA3</t>
  </si>
  <si>
    <t>MTSA4</t>
  </si>
  <si>
    <t>ACO ALTONA  -ON</t>
  </si>
  <si>
    <t>ACO ALTONA  -PN</t>
  </si>
  <si>
    <t>METISA      -ON</t>
  </si>
  <si>
    <t>METISA      -PN</t>
  </si>
  <si>
    <t>17.19</t>
  </si>
  <si>
    <t>17.06</t>
  </si>
  <si>
    <t>Bens Industriais / Máquinas e Equipamentos / Máq. e Equip. Construção e Agrícolas</t>
  </si>
  <si>
    <t>BALM3</t>
  </si>
  <si>
    <t>BALM4</t>
  </si>
  <si>
    <t>BAUMER      -ON</t>
  </si>
  <si>
    <t>BAUMER      -PN</t>
  </si>
  <si>
    <t>97.00</t>
  </si>
  <si>
    <t>98.00</t>
  </si>
  <si>
    <t>Bens Industriais / Máquinas e Equipamentos / Máq. e Equip. Hospitalares</t>
  </si>
  <si>
    <t>26.79</t>
  </si>
  <si>
    <t>0.44</t>
  </si>
  <si>
    <t>0.41</t>
  </si>
  <si>
    <t>5.72</t>
  </si>
  <si>
    <t>22.28</t>
  </si>
  <si>
    <t>12.54</t>
  </si>
  <si>
    <t>1.44</t>
  </si>
  <si>
    <t>4.57</t>
  </si>
  <si>
    <t>8.50</t>
  </si>
  <si>
    <t>8.53</t>
  </si>
  <si>
    <t>14.80</t>
  </si>
  <si>
    <t>14.40</t>
  </si>
  <si>
    <t>14.26</t>
  </si>
  <si>
    <t>12.07</t>
  </si>
  <si>
    <t>7.51</t>
  </si>
  <si>
    <t>7.36</t>
  </si>
  <si>
    <t>10.70</t>
  </si>
  <si>
    <t>4.94</t>
  </si>
  <si>
    <t>2.82</t>
  </si>
  <si>
    <t>7.80</t>
  </si>
  <si>
    <t>16.35</t>
  </si>
  <si>
    <t>18.76</t>
  </si>
  <si>
    <t>22.43</t>
  </si>
  <si>
    <t>17.80</t>
  </si>
  <si>
    <t>34.77</t>
  </si>
  <si>
    <t>8.06</t>
  </si>
  <si>
    <t>7.37</t>
  </si>
  <si>
    <t>5.20</t>
  </si>
  <si>
    <t>2.01</t>
  </si>
  <si>
    <t>92.00</t>
  </si>
  <si>
    <t>38.49</t>
  </si>
  <si>
    <t>50.00</t>
  </si>
  <si>
    <t>5.05</t>
  </si>
  <si>
    <t>11.38</t>
  </si>
  <si>
    <t>1.39</t>
  </si>
  <si>
    <t>42.36</t>
  </si>
  <si>
    <t>9.65</t>
  </si>
  <si>
    <t>12.10</t>
  </si>
  <si>
    <t>3.72</t>
  </si>
  <si>
    <t>15.02</t>
  </si>
  <si>
    <t>8.84</t>
  </si>
  <si>
    <t>175.00</t>
  </si>
  <si>
    <t>178.00</t>
  </si>
  <si>
    <t>16.22</t>
  </si>
  <si>
    <t>10.29</t>
  </si>
  <si>
    <t>BDLL3</t>
  </si>
  <si>
    <t>BDLL4</t>
  </si>
  <si>
    <t>ROMI3</t>
  </si>
  <si>
    <t>INEP3</t>
  </si>
  <si>
    <t>INEP4</t>
  </si>
  <si>
    <t>KEPL3</t>
  </si>
  <si>
    <t>NORD3</t>
  </si>
  <si>
    <t>4.66</t>
  </si>
  <si>
    <t>4.65</t>
  </si>
  <si>
    <t>20.46</t>
  </si>
  <si>
    <t>5.80</t>
  </si>
  <si>
    <t>28.14</t>
  </si>
  <si>
    <t>15.88</t>
  </si>
  <si>
    <t>15.08</t>
  </si>
  <si>
    <t>12.11</t>
  </si>
  <si>
    <t>11.69</t>
  </si>
  <si>
    <t>8.96</t>
  </si>
  <si>
    <t>0.93</t>
  </si>
  <si>
    <t>0.89</t>
  </si>
  <si>
    <t>14.64</t>
  </si>
  <si>
    <t>5.83</t>
  </si>
  <si>
    <t>5.65</t>
  </si>
  <si>
    <t>8.41</t>
  </si>
  <si>
    <t>13.06</t>
  </si>
  <si>
    <t>19.22</t>
  </si>
  <si>
    <t>1.76</t>
  </si>
  <si>
    <t>BARDELLA    -ON</t>
  </si>
  <si>
    <t>45.00</t>
  </si>
  <si>
    <t>BARDELLA    -PN</t>
  </si>
  <si>
    <t xml:space="preserve">INDS ROMI   -ON  </t>
  </si>
  <si>
    <t xml:space="preserve">INEPAR      -ON  </t>
  </si>
  <si>
    <t>0.95</t>
  </si>
  <si>
    <t xml:space="preserve">INEPAR      -PN  </t>
  </si>
  <si>
    <t>0.84</t>
  </si>
  <si>
    <t>KEPLER WEBER-ON</t>
  </si>
  <si>
    <t>38.57</t>
  </si>
  <si>
    <t>38.70</t>
  </si>
  <si>
    <t>NORDON MET  -ON *</t>
  </si>
  <si>
    <t>Bens Industriais / Máquinas e Equipamentos / Máq. e Equip. Industriais</t>
  </si>
  <si>
    <t>Bens Industriais / Máquinas e Equipamentos / Motores . Compressores e Outros</t>
  </si>
  <si>
    <t>SHUL3</t>
  </si>
  <si>
    <t>SHUL4</t>
  </si>
  <si>
    <t>WEGE3</t>
  </si>
  <si>
    <t>SCHULZ      -ON</t>
  </si>
  <si>
    <t>SCHULZ      -PN</t>
  </si>
  <si>
    <t xml:space="preserve">WEG         -ON  </t>
  </si>
  <si>
    <t>29.53</t>
  </si>
  <si>
    <t>Bens Industriais / Material de Transporte / Material Aeronáutico e de Defesa</t>
  </si>
  <si>
    <t>EMBR3</t>
  </si>
  <si>
    <t>0.15</t>
  </si>
  <si>
    <t>28.33</t>
  </si>
  <si>
    <t>13.14</t>
  </si>
  <si>
    <t xml:space="preserve">EMBRAER     -ON  </t>
  </si>
  <si>
    <t>19.37</t>
  </si>
  <si>
    <t>19.80</t>
  </si>
  <si>
    <t>Bens Industriais / Material de Transporte / Material Ferroviário</t>
  </si>
  <si>
    <t>CBMA3</t>
  </si>
  <si>
    <t>CBMA4</t>
  </si>
  <si>
    <t>COBRASMA    -ON</t>
  </si>
  <si>
    <t>0.05</t>
  </si>
  <si>
    <t>COBRASMA    -PN</t>
  </si>
  <si>
    <t>0.04</t>
  </si>
  <si>
    <t>AUTM3</t>
  </si>
  <si>
    <t>DHBI3</t>
  </si>
  <si>
    <t>DHBI4</t>
  </si>
  <si>
    <t>FRAS3</t>
  </si>
  <si>
    <t>LEVE3</t>
  </si>
  <si>
    <t>POMO3</t>
  </si>
  <si>
    <t>POMO4</t>
  </si>
  <si>
    <t>RSUL3</t>
  </si>
  <si>
    <t>RSUL4</t>
  </si>
  <si>
    <t>PLAS3</t>
  </si>
  <si>
    <t>RAPT3</t>
  </si>
  <si>
    <t>RAPT4</t>
  </si>
  <si>
    <t>RCSL3</t>
  </si>
  <si>
    <t>RCSL4</t>
  </si>
  <si>
    <t>TUPY3</t>
  </si>
  <si>
    <t>MWET3</t>
  </si>
  <si>
    <t>MWET4</t>
  </si>
  <si>
    <t>4.58</t>
  </si>
  <si>
    <t xml:space="preserve">AUTOMETAL   -ON  </t>
  </si>
  <si>
    <t>15.84</t>
  </si>
  <si>
    <t>D H B       -ON</t>
  </si>
  <si>
    <t>50.36</t>
  </si>
  <si>
    <t>D H B       -PN</t>
  </si>
  <si>
    <t xml:space="preserve">METAL LEVE  -ON  </t>
  </si>
  <si>
    <t>22.53</t>
  </si>
  <si>
    <t>22.01</t>
  </si>
  <si>
    <t xml:space="preserve">MARCOPOLO   -ON  </t>
  </si>
  <si>
    <t>RIOSULENSE  -ON</t>
  </si>
  <si>
    <t>RIOSULENSE  -PN</t>
  </si>
  <si>
    <t>29.95</t>
  </si>
  <si>
    <t>PLASCAR PART-ON</t>
  </si>
  <si>
    <t xml:space="preserve">RANDON PART -ON  </t>
  </si>
  <si>
    <t xml:space="preserve">RANDON PART -PN  </t>
  </si>
  <si>
    <t>8.21</t>
  </si>
  <si>
    <t>RECRUSUL    -ON</t>
  </si>
  <si>
    <t xml:space="preserve">TUPY        -ON  </t>
  </si>
  <si>
    <t>17.50</t>
  </si>
  <si>
    <t>17.61</t>
  </si>
  <si>
    <t>WETZEL S/A  -ON</t>
  </si>
  <si>
    <t>WETZEL S/A  -PN</t>
  </si>
  <si>
    <t>1.58</t>
  </si>
  <si>
    <t>MYPK3</t>
  </si>
  <si>
    <t>12.95</t>
  </si>
  <si>
    <t>28.19</t>
  </si>
  <si>
    <t>19.74</t>
  </si>
  <si>
    <t xml:space="preserve">IOCHP-MAXION-ON  </t>
  </si>
  <si>
    <t>22.67</t>
  </si>
  <si>
    <t>22.60</t>
  </si>
  <si>
    <t>22.88</t>
  </si>
  <si>
    <t>Bens Industriais / Material de Transporte / Material Rodoviário</t>
  </si>
  <si>
    <t>16.09</t>
  </si>
  <si>
    <t>10.73</t>
  </si>
  <si>
    <t xml:space="preserve">FRAS-LE     -ON  </t>
  </si>
  <si>
    <t>0.40</t>
  </si>
  <si>
    <t xml:space="preserve">MARCOPOLO   -PN  </t>
  </si>
  <si>
    <t>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</t>
  </si>
  <si>
    <t>22.25</t>
  </si>
  <si>
    <t>RECRUSUL    -PN</t>
  </si>
  <si>
    <t>11.62</t>
  </si>
  <si>
    <t>19.87</t>
  </si>
  <si>
    <t>27.91</t>
  </si>
  <si>
    <t>27.63</t>
  </si>
  <si>
    <t>26.24</t>
  </si>
  <si>
    <t>25.85</t>
  </si>
  <si>
    <t>19.30</t>
  </si>
  <si>
    <t>20.76</t>
  </si>
  <si>
    <t>15.62</t>
  </si>
  <si>
    <t>12.92</t>
  </si>
  <si>
    <t>12.41</t>
  </si>
  <si>
    <t>48.50</t>
  </si>
  <si>
    <t>38.40</t>
  </si>
  <si>
    <t>38.75</t>
  </si>
  <si>
    <t>16.10</t>
  </si>
  <si>
    <t>23.56</t>
  </si>
  <si>
    <t>24.18</t>
  </si>
  <si>
    <t>8.07</t>
  </si>
  <si>
    <t>8.45</t>
  </si>
  <si>
    <t>18.61</t>
  </si>
  <si>
    <t>9.25</t>
  </si>
  <si>
    <t>9.13</t>
  </si>
  <si>
    <t>8.31</t>
  </si>
  <si>
    <t>28.50</t>
  </si>
  <si>
    <t>29.00</t>
  </si>
  <si>
    <t>30.49</t>
  </si>
  <si>
    <t>30.79</t>
  </si>
  <si>
    <t>30.25</t>
  </si>
  <si>
    <t>11.94</t>
  </si>
  <si>
    <t>7.26</t>
  </si>
  <si>
    <t>28.92</t>
  </si>
  <si>
    <t>20.95</t>
  </si>
  <si>
    <t>21.44</t>
  </si>
  <si>
    <t>20.84</t>
  </si>
  <si>
    <t>8.91</t>
  </si>
  <si>
    <t>8.82</t>
  </si>
  <si>
    <t>32.14</t>
  </si>
  <si>
    <t>24.48</t>
  </si>
  <si>
    <t>23.77</t>
  </si>
  <si>
    <t>16.14</t>
  </si>
  <si>
    <t>16.42</t>
  </si>
  <si>
    <t>23.22</t>
  </si>
  <si>
    <t>23.42</t>
  </si>
  <si>
    <t>18.41</t>
  </si>
  <si>
    <t>18.33</t>
  </si>
  <si>
    <t>39.80</t>
  </si>
  <si>
    <t>39.29</t>
  </si>
  <si>
    <t>16.92</t>
  </si>
  <si>
    <t>15.78</t>
  </si>
  <si>
    <t>9.29</t>
  </si>
  <si>
    <t>64.98</t>
  </si>
  <si>
    <t>65.87</t>
  </si>
  <si>
    <t>3.98</t>
  </si>
  <si>
    <t>34.76</t>
  </si>
  <si>
    <t>24.68</t>
  </si>
  <si>
    <t>24.44</t>
  </si>
  <si>
    <t>10.98</t>
  </si>
  <si>
    <t>10.91</t>
  </si>
  <si>
    <t>8.09</t>
  </si>
  <si>
    <t>5.68</t>
  </si>
  <si>
    <t>19.89</t>
  </si>
  <si>
    <t>4.07</t>
  </si>
  <si>
    <t>5.15</t>
  </si>
  <si>
    <t>42.41</t>
  </si>
  <si>
    <t>43.20</t>
  </si>
  <si>
    <t>42.40</t>
  </si>
  <si>
    <t>4.04</t>
  </si>
  <si>
    <t>13.40</t>
  </si>
  <si>
    <t>14.02</t>
  </si>
  <si>
    <t>13.88</t>
  </si>
  <si>
    <t>32.58</t>
  </si>
  <si>
    <t>32.17</t>
  </si>
  <si>
    <t>26.69</t>
  </si>
  <si>
    <t>14.17</t>
  </si>
  <si>
    <t>2.08</t>
  </si>
  <si>
    <t>12.18</t>
  </si>
  <si>
    <t>12.08</t>
  </si>
  <si>
    <t>13.65</t>
  </si>
  <si>
    <t>51.71</t>
  </si>
  <si>
    <t>52.83</t>
  </si>
  <si>
    <t>51.61</t>
  </si>
  <si>
    <t>30.50</t>
  </si>
  <si>
    <t>30.41</t>
  </si>
  <si>
    <t>38.47</t>
  </si>
  <si>
    <t>43.84</t>
  </si>
  <si>
    <t>1.92</t>
  </si>
  <si>
    <t>46.00</t>
  </si>
  <si>
    <t>49.48</t>
  </si>
  <si>
    <t>49.89</t>
  </si>
  <si>
    <t>4.95</t>
  </si>
  <si>
    <t>5.27</t>
  </si>
  <si>
    <t>11.18</t>
  </si>
  <si>
    <t>2.52</t>
  </si>
  <si>
    <t>33.60</t>
  </si>
  <si>
    <t>7.59</t>
  </si>
  <si>
    <t>2.62</t>
  </si>
  <si>
    <t>10.55</t>
  </si>
  <si>
    <t>9.86</t>
  </si>
  <si>
    <t>12.04</t>
  </si>
  <si>
    <t>14.83</t>
  </si>
  <si>
    <t>14.81</t>
  </si>
  <si>
    <t>15.20</t>
  </si>
  <si>
    <t>3.58</t>
  </si>
  <si>
    <t>0.51</t>
  </si>
  <si>
    <t>1.03</t>
  </si>
  <si>
    <t>1.04</t>
  </si>
  <si>
    <t>2.93</t>
  </si>
  <si>
    <t>2.97</t>
  </si>
  <si>
    <t>25.66</t>
  </si>
  <si>
    <t>25.58</t>
  </si>
  <si>
    <t>60.30</t>
  </si>
  <si>
    <t>60.57</t>
  </si>
  <si>
    <t>59.47</t>
  </si>
  <si>
    <t>0.73</t>
  </si>
  <si>
    <t>0.26</t>
  </si>
  <si>
    <t>7.98</t>
  </si>
  <si>
    <t>6.95</t>
  </si>
  <si>
    <t>18.60</t>
  </si>
  <si>
    <t>18.32</t>
  </si>
  <si>
    <t>8.85</t>
  </si>
  <si>
    <t>8.76</t>
  </si>
  <si>
    <t>19.18</t>
  </si>
  <si>
    <t>14.27</t>
  </si>
  <si>
    <t>13.53</t>
  </si>
  <si>
    <t>35.16</t>
  </si>
  <si>
    <t>36.25</t>
  </si>
  <si>
    <t>11.91</t>
  </si>
  <si>
    <t>13.71</t>
  </si>
  <si>
    <t>13.64</t>
  </si>
  <si>
    <t>21.68</t>
  </si>
  <si>
    <t>22.17</t>
  </si>
  <si>
    <t>14.88</t>
  </si>
  <si>
    <t>14.87</t>
  </si>
  <si>
    <t>14.15</t>
  </si>
  <si>
    <t>14.01</t>
  </si>
  <si>
    <t>94.20</t>
  </si>
  <si>
    <t>93.22</t>
  </si>
  <si>
    <t>10.08</t>
  </si>
  <si>
    <t>3.47</t>
  </si>
  <si>
    <t>12.34</t>
  </si>
  <si>
    <t>13.56</t>
  </si>
  <si>
    <t>13.81</t>
  </si>
  <si>
    <t>25.63</t>
  </si>
  <si>
    <t>3.48</t>
  </si>
  <si>
    <t>12.93</t>
  </si>
  <si>
    <t>13.33</t>
  </si>
  <si>
    <t>9.57</t>
  </si>
  <si>
    <t>9.56</t>
  </si>
  <si>
    <t>9.61</t>
  </si>
  <si>
    <t>6.71</t>
  </si>
  <si>
    <t>6.92</t>
  </si>
  <si>
    <t>6.68</t>
  </si>
  <si>
    <t>24.30</t>
  </si>
  <si>
    <t>24.28</t>
  </si>
  <si>
    <t>89.95</t>
  </si>
  <si>
    <t>89.00</t>
  </si>
  <si>
    <t>83.99</t>
  </si>
  <si>
    <t>23.72</t>
  </si>
  <si>
    <t>5.56</t>
  </si>
  <si>
    <t>5.89</t>
  </si>
  <si>
    <t>5.73</t>
  </si>
  <si>
    <t>53.59</t>
  </si>
  <si>
    <t>52.86</t>
  </si>
  <si>
    <t>9.90</t>
  </si>
  <si>
    <t>1.52</t>
  </si>
  <si>
    <t>10.50</t>
  </si>
  <si>
    <t>31.89</t>
  </si>
  <si>
    <t>1.71</t>
  </si>
  <si>
    <t>1.46</t>
  </si>
  <si>
    <t>18.68</t>
  </si>
  <si>
    <t>19.04</t>
  </si>
  <si>
    <t>18.67</t>
  </si>
  <si>
    <t>7.32</t>
  </si>
  <si>
    <t>13.95</t>
  </si>
  <si>
    <t>23.81</t>
  </si>
  <si>
    <t>22.93</t>
  </si>
  <si>
    <t>3.56</t>
  </si>
  <si>
    <t>4.05</t>
  </si>
  <si>
    <t>4.74</t>
  </si>
  <si>
    <t>4.21</t>
  </si>
  <si>
    <t>25.10</t>
  </si>
  <si>
    <t>10.86</t>
  </si>
  <si>
    <t>18.72</t>
  </si>
  <si>
    <t>8.28</t>
  </si>
  <si>
    <t>28.49</t>
  </si>
  <si>
    <t>28.58</t>
  </si>
  <si>
    <t>26.81</t>
  </si>
  <si>
    <t>26.93</t>
  </si>
  <si>
    <t>7.22</t>
  </si>
  <si>
    <t>27.01</t>
  </si>
  <si>
    <t>11.07</t>
  </si>
  <si>
    <t>19.25</t>
  </si>
  <si>
    <t>22.31</t>
  </si>
  <si>
    <t>12.85</t>
  </si>
  <si>
    <t>48.65</t>
  </si>
  <si>
    <t>37.52</t>
  </si>
  <si>
    <t>16.18</t>
  </si>
  <si>
    <t>17.54</t>
  </si>
  <si>
    <t>24.14</t>
  </si>
  <si>
    <t>31.43</t>
  </si>
  <si>
    <t>4.77</t>
  </si>
  <si>
    <t>8.67</t>
  </si>
  <si>
    <t>20.03</t>
  </si>
  <si>
    <t>58.50</t>
  </si>
  <si>
    <t>57.00</t>
  </si>
  <si>
    <t>14.49</t>
  </si>
  <si>
    <t>14.84</t>
  </si>
  <si>
    <t>16.61</t>
  </si>
  <si>
    <t>0.09</t>
  </si>
  <si>
    <t>29.19</t>
  </si>
  <si>
    <t>15.58</t>
  </si>
  <si>
    <t>15.86</t>
  </si>
  <si>
    <t>10.79</t>
  </si>
  <si>
    <t>29.68</t>
  </si>
  <si>
    <t>29.92</t>
  </si>
  <si>
    <t>3.13</t>
  </si>
  <si>
    <t>21.15</t>
  </si>
  <si>
    <t>17.48</t>
  </si>
  <si>
    <t>17.66</t>
  </si>
  <si>
    <t>33.89</t>
  </si>
  <si>
    <t>34.07</t>
  </si>
  <si>
    <t>16.74</t>
  </si>
  <si>
    <t>23.30</t>
  </si>
  <si>
    <t>22.68</t>
  </si>
  <si>
    <t>18.64</t>
  </si>
  <si>
    <t>22.46</t>
  </si>
  <si>
    <t>22.52</t>
  </si>
  <si>
    <t>40.73</t>
  </si>
  <si>
    <t>40.76</t>
  </si>
  <si>
    <t>17.12</t>
  </si>
  <si>
    <t>17.41</t>
  </si>
  <si>
    <t>16.48</t>
  </si>
  <si>
    <t>9.44</t>
  </si>
  <si>
    <t>19.01</t>
  </si>
  <si>
    <t>65.04</t>
  </si>
  <si>
    <t>63.80</t>
  </si>
  <si>
    <t>33.77</t>
  </si>
  <si>
    <t>33.05</t>
  </si>
  <si>
    <t>24.73</t>
  </si>
  <si>
    <t>11.09</t>
  </si>
  <si>
    <t>20.27</t>
  </si>
  <si>
    <t>3.99</t>
  </si>
  <si>
    <t>5.14</t>
  </si>
  <si>
    <t>43.69</t>
  </si>
  <si>
    <t>4.13</t>
  </si>
  <si>
    <t>4.06</t>
  </si>
  <si>
    <t>13.35</t>
  </si>
  <si>
    <t>33.25</t>
  </si>
  <si>
    <t>14.51</t>
  </si>
  <si>
    <t>12.17</t>
  </si>
  <si>
    <t>11.92</t>
  </si>
  <si>
    <t>52.49</t>
  </si>
  <si>
    <t>30.89</t>
  </si>
  <si>
    <t>37.71</t>
  </si>
  <si>
    <t>37.70</t>
  </si>
  <si>
    <t>43.02</t>
  </si>
  <si>
    <t>1.85</t>
  </si>
  <si>
    <t>49.19</t>
  </si>
  <si>
    <t>48.55</t>
  </si>
  <si>
    <t>7.34</t>
  </si>
  <si>
    <t>3.77</t>
  </si>
  <si>
    <t>11.47</t>
  </si>
  <si>
    <t>1.38</t>
  </si>
  <si>
    <t>42.55</t>
  </si>
  <si>
    <t>42.62</t>
  </si>
  <si>
    <t>2.66</t>
  </si>
  <si>
    <t>32.57</t>
  </si>
  <si>
    <t>32.53</t>
  </si>
  <si>
    <t>11.21</t>
  </si>
  <si>
    <t>10.48</t>
  </si>
  <si>
    <t>15.25</t>
  </si>
  <si>
    <t>15.55</t>
  </si>
  <si>
    <t>18.92</t>
  </si>
  <si>
    <t>19.14</t>
  </si>
  <si>
    <t>0.99</t>
  </si>
  <si>
    <t>0.96</t>
  </si>
  <si>
    <t>26.67</t>
  </si>
  <si>
    <t>60.06</t>
  </si>
  <si>
    <t>15.09</t>
  </si>
  <si>
    <t>19.81</t>
  </si>
  <si>
    <t>35.52</t>
  </si>
  <si>
    <t>34.50</t>
  </si>
  <si>
    <t>20.44</t>
  </si>
  <si>
    <t>12.19</t>
  </si>
  <si>
    <t>13.94</t>
  </si>
  <si>
    <t>22.32</t>
  </si>
  <si>
    <t>22.36</t>
  </si>
  <si>
    <t>14.33</t>
  </si>
  <si>
    <t>4.45</t>
  </si>
  <si>
    <t>95.95</t>
  </si>
  <si>
    <t>96.15</t>
  </si>
  <si>
    <t>10.11</t>
  </si>
  <si>
    <t>10.18</t>
  </si>
  <si>
    <t>3.76</t>
  </si>
  <si>
    <t>27.51</t>
  </si>
  <si>
    <t>27.70</t>
  </si>
  <si>
    <t>12.53</t>
  </si>
  <si>
    <t>12.64</t>
  </si>
  <si>
    <t>27.68</t>
  </si>
  <si>
    <t>2.22</t>
  </si>
  <si>
    <t>15.80</t>
  </si>
  <si>
    <t>16.52</t>
  </si>
  <si>
    <t>3.31</t>
  </si>
  <si>
    <t>12.46</t>
  </si>
  <si>
    <t>13.43</t>
  </si>
  <si>
    <t>9.47</t>
  </si>
  <si>
    <t>7.03</t>
  </si>
  <si>
    <t>25.02</t>
  </si>
  <si>
    <t>25.05</t>
  </si>
  <si>
    <t>3.12</t>
  </si>
  <si>
    <t>90.68</t>
  </si>
  <si>
    <t>91.00</t>
  </si>
  <si>
    <t>81.90</t>
  </si>
  <si>
    <t>6.94</t>
  </si>
  <si>
    <t>5.90</t>
  </si>
  <si>
    <t>54.11</t>
  </si>
  <si>
    <t>54.89</t>
  </si>
  <si>
    <t>7.49</t>
  </si>
  <si>
    <t>7.42</t>
  </si>
  <si>
    <t>8.32</t>
  </si>
  <si>
    <t>29.73</t>
  </si>
  <si>
    <t>1.62</t>
  </si>
  <si>
    <t>31.77</t>
  </si>
  <si>
    <t>17.27</t>
  </si>
  <si>
    <t>0.35</t>
  </si>
  <si>
    <t>23.19</t>
  </si>
  <si>
    <t>13.18</t>
  </si>
  <si>
    <t>6.20</t>
  </si>
  <si>
    <t>27.76</t>
  </si>
  <si>
    <t>27.75</t>
  </si>
  <si>
    <t>16.08</t>
  </si>
  <si>
    <t>15.53</t>
  </si>
  <si>
    <t>10.97</t>
  </si>
  <si>
    <t>8.78</t>
  </si>
  <si>
    <t>8.80</t>
  </si>
  <si>
    <t>13.17</t>
  </si>
  <si>
    <t>0.94</t>
  </si>
  <si>
    <t>38.27</t>
  </si>
  <si>
    <t>37.55</t>
  </si>
  <si>
    <t>9.99</t>
  </si>
  <si>
    <t>29.70</t>
  </si>
  <si>
    <t>29.98</t>
  </si>
  <si>
    <t>19.83</t>
  </si>
  <si>
    <t>15.56</t>
  </si>
  <si>
    <t>15.52</t>
  </si>
  <si>
    <t>4.48</t>
  </si>
  <si>
    <t>7.73</t>
  </si>
  <si>
    <t>Dívida</t>
  </si>
  <si>
    <t>Valor de Mercado</t>
  </si>
  <si>
    <t>Ativo Circulante</t>
  </si>
  <si>
    <t>Passivo Circulante</t>
  </si>
  <si>
    <t>Liquidez Corrente</t>
  </si>
  <si>
    <t>Rentabilidade s/ PL</t>
  </si>
  <si>
    <t>Dívida / PL</t>
  </si>
  <si>
    <t>Liquidez Corrente Média</t>
  </si>
  <si>
    <t>Rentabilidade s/ PL Média</t>
  </si>
  <si>
    <t>Dívida / PL Média</t>
  </si>
  <si>
    <t>Ativo || Passivo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</si>
</sst>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 &quot;#,##0.00_);[Red]\(&quot;R$ &quot;#,##0.00\)"/>
    <numFmt numFmtId="165" formatCode="_(&quot;R$ &quot;* #,##0.00_);_(&quot;R$ &quot;* \(#,##0.00\);_(&quot;R$ &quot;* &quot;-&quot;??_);_(@_)"/>
    <numFmt numFmtId="166" formatCode="_-* #,##0_-;\-* #,##0_-;_-* &quot;-&quot;??_-;_-@_-"/>
    <numFmt numFmtId="167" formatCode="_-* #,##0.0000_-;\-* #,##0.0000_-;_-* &quot;-&quot;??_-;_-@_-"/>
    <numFmt numFmtId="168" formatCode="0.0000%"/>
    <numFmt numFmtId="169" formatCode="_-&quot;R$&quot;\ * #,##0.0000_-;\-&quot;R$&quot;\ * #,##0.0000_-;_-&quot;R$&quot;\ * &quot;-&quot;??_-;_-@_-"/>
    <numFmt numFmtId="170" formatCode="d/m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  <font>
      <sz val="8"/>
      <color theme="1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color theme="1"/>
      <name val="Calibri"/>
      <scheme val="minor"/>
    </font>
    <font>
      <b/>
      <sz val="8"/>
      <color theme="1"/>
      <name val="Calibri"/>
      <scheme val="minor"/>
    </font>
    <font>
      <b/>
      <i/>
      <u/>
      <sz val="8"/>
      <color theme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44" fontId="2" fillId="0" borderId="0" xfId="2" applyFont="1"/>
    <xf numFmtId="44" fontId="2" fillId="0" borderId="0" xfId="2" applyFont="1" applyBorder="1"/>
    <xf numFmtId="44" fontId="2" fillId="0" borderId="0" xfId="0" applyNumberFormat="1" applyFont="1"/>
    <xf numFmtId="166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44" fontId="3" fillId="0" borderId="0" xfId="2" applyFont="1" applyBorder="1"/>
    <xf numFmtId="44" fontId="3" fillId="0" borderId="0" xfId="2" applyFont="1"/>
    <xf numFmtId="44" fontId="2" fillId="0" borderId="0" xfId="2" applyNumberFormat="1" applyFont="1" applyBorder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44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0" applyNumberFormat="1" applyFont="1"/>
    <xf numFmtId="166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0" fontId="4" fillId="0" borderId="0" xfId="0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0" fontId="4" fillId="0" borderId="0" xfId="0" applyNumberFormat="1" applyFont="1" applyBorder="1"/>
    <xf numFmtId="44" fontId="4" fillId="0" borderId="0" xfId="2" applyFont="1" applyBorder="1"/>
    <xf numFmtId="44" fontId="5" fillId="0" borderId="0" xfId="2" applyFont="1" applyBorder="1"/>
    <xf numFmtId="9" fontId="4" fillId="0" borderId="0" xfId="3" applyNumberFormat="1" applyFont="1" applyBorder="1"/>
    <xf numFmtId="0" fontId="3" fillId="0" borderId="0" xfId="0" applyFont="1"/>
    <xf numFmtId="14" fontId="3" fillId="0" borderId="0" xfId="0" applyNumberFormat="1" applyFont="1"/>
    <xf numFmtId="0" fontId="7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166" fontId="2" fillId="0" borderId="0" xfId="2" applyNumberFormat="1" applyFont="1" applyBorder="1"/>
    <xf numFmtId="44" fontId="3" fillId="0" borderId="0" xfId="2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0" fontId="3" fillId="0" borderId="0" xfId="2" applyNumberFormat="1" applyFont="1" applyBorder="1"/>
    <xf numFmtId="9" fontId="2" fillId="0" borderId="0" xfId="0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44" fontId="2" fillId="0" borderId="0" xfId="2" applyNumberFormat="1" applyFont="1"/>
    <xf numFmtId="44" fontId="3" fillId="0" borderId="0" xfId="0" applyNumberFormat="1" applyFont="1" applyBorder="1"/>
    <xf numFmtId="10" fontId="4" fillId="0" borderId="0" xfId="3" applyNumberFormat="1" applyFont="1" applyBorder="1"/>
    <xf numFmtId="10" fontId="0" fillId="0" borderId="0" xfId="0" applyNumberFormat="1"/>
    <xf numFmtId="14" fontId="2" fillId="0" borderId="0" xfId="0" applyNumberFormat="1" applyFont="1"/>
    <xf numFmtId="44" fontId="3" fillId="0" borderId="0" xfId="0" applyNumberFormat="1" applyFont="1"/>
    <xf numFmtId="9" fontId="2" fillId="0" borderId="0" xfId="0" applyNumberFormat="1" applyFont="1"/>
    <xf numFmtId="44" fontId="2" fillId="0" borderId="0" xfId="3" applyNumberFormat="1" applyFont="1"/>
    <xf numFmtId="44" fontId="2" fillId="0" borderId="0" xfId="3" applyNumberFormat="1" applyFont="1" applyBorder="1"/>
    <xf numFmtId="166" fontId="2" fillId="0" borderId="0" xfId="1" applyNumberFormat="1" applyFont="1"/>
    <xf numFmtId="0" fontId="9" fillId="0" borderId="0" xfId="5" applyNumberFormat="1" applyFont="1" applyBorder="1" applyAlignment="1" applyProtection="1"/>
    <xf numFmtId="0" fontId="9" fillId="0" borderId="0" xfId="5" applyNumberFormat="1" applyFont="1" applyAlignment="1" applyProtection="1"/>
    <xf numFmtId="167" fontId="2" fillId="0" borderId="0" xfId="0" applyNumberFormat="1" applyFont="1"/>
    <xf numFmtId="0" fontId="9" fillId="0" borderId="0" xfId="5" applyFont="1" applyAlignment="1" applyProtection="1"/>
    <xf numFmtId="3" fontId="2" fillId="0" borderId="0" xfId="0" applyNumberFormat="1" applyFont="1"/>
    <xf numFmtId="10" fontId="3" fillId="0" borderId="0" xfId="3" applyNumberFormat="1" applyFont="1"/>
    <xf numFmtId="14" fontId="2" fillId="0" borderId="0" xfId="2" applyNumberFormat="1" applyFont="1"/>
    <xf numFmtId="164" fontId="2" fillId="0" borderId="0" xfId="0" applyNumberFormat="1" applyFont="1"/>
    <xf numFmtId="0" fontId="3" fillId="0" borderId="0" xfId="2" applyNumberFormat="1" applyFont="1"/>
    <xf numFmtId="167" fontId="3" fillId="0" borderId="0" xfId="1" applyNumberFormat="1" applyFont="1"/>
    <xf numFmtId="167" fontId="2" fillId="0" borderId="0" xfId="1" applyNumberFormat="1" applyFont="1"/>
    <xf numFmtId="0" fontId="0" fillId="0" borderId="0" xfId="0" applyNumberFormat="1"/>
    <xf numFmtId="165" fontId="0" fillId="0" borderId="0" xfId="0" applyNumberFormat="1"/>
    <xf numFmtId="0" fontId="3" fillId="0" borderId="0" xfId="0" applyNumberFormat="1" applyFont="1"/>
    <xf numFmtId="165" fontId="3" fillId="0" borderId="0" xfId="2" applyNumberFormat="1" applyFont="1"/>
    <xf numFmtId="165" fontId="2" fillId="0" borderId="0" xfId="2" applyNumberFormat="1" applyFont="1"/>
    <xf numFmtId="165" fontId="2" fillId="0" borderId="0" xfId="0" applyNumberFormat="1" applyFont="1"/>
    <xf numFmtId="165" fontId="2" fillId="0" borderId="0" xfId="1" applyNumberFormat="1" applyFont="1"/>
    <xf numFmtId="168" fontId="2" fillId="0" borderId="0" xfId="3" applyNumberFormat="1" applyFont="1"/>
    <xf numFmtId="44" fontId="0" fillId="0" borderId="0" xfId="0" applyNumberFormat="1"/>
    <xf numFmtId="169" fontId="2" fillId="0" borderId="0" xfId="2" applyNumberFormat="1" applyFont="1"/>
    <xf numFmtId="169" fontId="2" fillId="0" borderId="0" xfId="2" applyNumberFormat="1" applyFont="1" applyBorder="1"/>
    <xf numFmtId="169" fontId="4" fillId="0" borderId="0" xfId="2" applyNumberFormat="1" applyFont="1" applyBorder="1"/>
    <xf numFmtId="44" fontId="3" fillId="0" borderId="0" xfId="2" applyNumberFormat="1" applyFont="1"/>
    <xf numFmtId="9" fontId="2" fillId="0" borderId="0" xfId="3" applyNumberFormat="1" applyFont="1"/>
    <xf numFmtId="0" fontId="10" fillId="0" borderId="0" xfId="5" applyNumberFormat="1" applyFont="1" applyBorder="1" applyAlignment="1" applyProtection="1"/>
    <xf numFmtId="0" fontId="10" fillId="0" borderId="0" xfId="5" applyNumberFormat="1" applyFont="1" applyAlignment="1" applyProtection="1"/>
    <xf numFmtId="0" fontId="2" fillId="0" borderId="0" xfId="2" applyNumberFormat="1" applyFont="1" applyBorder="1" applyAlignment="1" applyProtection="1"/>
    <xf numFmtId="169" fontId="2" fillId="0" borderId="0" xfId="0" applyNumberFormat="1" applyFont="1"/>
    <xf numFmtId="9" fontId="2" fillId="0" borderId="0" xfId="3" applyNumberFormat="1" applyFont="1" applyBorder="1"/>
    <xf numFmtId="0" fontId="2" fillId="0" borderId="0" xfId="3" applyNumberFormat="1" applyFont="1"/>
    <xf numFmtId="0" fontId="2" fillId="0" borderId="0" xfId="3" applyNumberFormat="1" applyFont="1" applyBorder="1"/>
    <xf numFmtId="165" fontId="2" fillId="0" borderId="0" xfId="2" applyNumberFormat="1" applyFont="1" applyBorder="1"/>
    <xf numFmtId="165" fontId="4" fillId="0" borderId="0" xfId="2" applyNumberFormat="1" applyFont="1" applyBorder="1"/>
    <xf numFmtId="165" fontId="2" fillId="0" borderId="0" xfId="3" applyNumberFormat="1" applyFont="1"/>
    <xf numFmtId="165" fontId="2" fillId="0" borderId="0" xfId="3" applyNumberFormat="1" applyFont="1" applyBorder="1"/>
    <xf numFmtId="165" fontId="2" fillId="0" borderId="0" xfId="0" applyNumberFormat="1" applyFont="1" applyBorder="1"/>
    <xf numFmtId="165" fontId="4" fillId="0" borderId="0" xfId="2" applyNumberFormat="1" applyFont="1"/>
    <xf numFmtId="170" fontId="2" fillId="0" borderId="0" xfId="2" applyNumberFormat="1" applyFont="1"/>
    <xf numFmtId="8" fontId="2" fillId="0" borderId="0" xfId="0" applyNumberFormat="1" applyFont="1"/>
    <xf numFmtId="0" fontId="12" fillId="0" borderId="0" xfId="0" applyFont="1"/>
    <xf numFmtId="44" fontId="0" fillId="0" borderId="0" xfId="2" applyFont="1"/>
    <xf numFmtId="9" fontId="12" fillId="0" borderId="0" xfId="0" applyNumberFormat="1" applyFont="1"/>
    <xf numFmtId="44" fontId="12" fillId="0" borderId="0" xfId="2" applyFont="1"/>
    <xf numFmtId="166" fontId="0" fillId="0" borderId="0" xfId="1" applyNumberFormat="1" applyFont="1"/>
    <xf numFmtId="10" fontId="0" fillId="0" borderId="0" xfId="3" applyNumberFormat="1" applyFont="1"/>
    <xf numFmtId="165" fontId="2" fillId="0" borderId="2" xfId="0" applyNumberFormat="1" applyFont="1" applyBorder="1"/>
    <xf numFmtId="0" fontId="13" fillId="0" borderId="0" xfId="0" applyFont="1"/>
    <xf numFmtId="0" fontId="13" fillId="0" borderId="0" xfId="0" applyNumberFormat="1" applyFont="1"/>
    <xf numFmtId="0" fontId="13" fillId="0" borderId="0" xfId="2" applyNumberFormat="1" applyFont="1"/>
    <xf numFmtId="44" fontId="13" fillId="0" borderId="0" xfId="2" applyFont="1"/>
    <xf numFmtId="166" fontId="13" fillId="0" borderId="0" xfId="1" applyNumberFormat="1" applyFont="1"/>
    <xf numFmtId="9" fontId="13" fillId="0" borderId="0" xfId="3" applyNumberFormat="1" applyFont="1"/>
    <xf numFmtId="0" fontId="13" fillId="0" borderId="0" xfId="3" applyNumberFormat="1" applyFont="1"/>
    <xf numFmtId="10" fontId="13" fillId="0" borderId="0" xfId="3" applyNumberFormat="1" applyFont="1"/>
    <xf numFmtId="165" fontId="13" fillId="0" borderId="0" xfId="3" applyNumberFormat="1" applyFont="1"/>
    <xf numFmtId="165" fontId="13" fillId="0" borderId="0" xfId="0" applyNumberFormat="1" applyFont="1"/>
    <xf numFmtId="44" fontId="13" fillId="0" borderId="0" xfId="0" applyNumberFormat="1" applyFont="1"/>
    <xf numFmtId="44" fontId="13" fillId="0" borderId="0" xfId="2" applyNumberFormat="1" applyFont="1"/>
    <xf numFmtId="169" fontId="13" fillId="0" borderId="0" xfId="0" applyNumberFormat="1" applyFont="1"/>
    <xf numFmtId="169" fontId="13" fillId="0" borderId="0" xfId="2" applyNumberFormat="1" applyFont="1"/>
    <xf numFmtId="44" fontId="14" fillId="0" borderId="0" xfId="0" applyNumberFormat="1" applyFont="1"/>
    <xf numFmtId="9" fontId="13" fillId="0" borderId="0" xfId="0" applyNumberFormat="1" applyFont="1"/>
    <xf numFmtId="10" fontId="13" fillId="0" borderId="0" xfId="0" applyNumberFormat="1" applyFont="1"/>
    <xf numFmtId="44" fontId="2" fillId="0" borderId="0" xfId="1" applyNumberFormat="1" applyFont="1"/>
    <xf numFmtId="0" fontId="0" fillId="0" borderId="3" xfId="0" applyBorder="1"/>
    <xf numFmtId="44" fontId="0" fillId="0" borderId="3" xfId="2" applyFont="1" applyBorder="1"/>
    <xf numFmtId="44" fontId="0" fillId="0" borderId="3" xfId="0" applyNumberFormat="1" applyBorder="1"/>
    <xf numFmtId="166" fontId="0" fillId="0" borderId="3" xfId="1" applyNumberFormat="1" applyFont="1" applyBorder="1"/>
    <xf numFmtId="44" fontId="2" fillId="0" borderId="2" xfId="2" applyFont="1" applyBorder="1"/>
    <xf numFmtId="0" fontId="15" fillId="0" borderId="0" xfId="5" applyNumberFormat="1" applyFont="1" applyAlignment="1" applyProtection="1"/>
    <xf numFmtId="0" fontId="15" fillId="0" borderId="0" xfId="5" applyNumberFormat="1" applyFont="1" applyBorder="1" applyAlignment="1" applyProtection="1"/>
    <xf numFmtId="0" fontId="15" fillId="0" borderId="0" xfId="5" applyFont="1" applyAlignment="1" applyProtection="1"/>
    <xf numFmtId="44" fontId="4" fillId="0" borderId="0" xfId="2" applyNumberFormat="1" applyFont="1" applyBorder="1"/>
    <xf numFmtId="44" fontId="4" fillId="0" borderId="0" xfId="2" applyNumberFormat="1" applyFont="1"/>
    <xf numFmtId="2" fontId="2" fillId="0" borderId="0" xfId="2" applyNumberFormat="1" applyFont="1"/>
    <xf numFmtId="2" fontId="4" fillId="0" borderId="0" xfId="2" applyNumberFormat="1" applyFont="1" applyBorder="1"/>
    <xf numFmtId="2" fontId="2" fillId="0" borderId="0" xfId="2" applyNumberFormat="1" applyFont="1" applyBorder="1"/>
    <xf numFmtId="2" fontId="4" fillId="0" borderId="0" xfId="2" applyNumberFormat="1" applyFont="1"/>
    <xf numFmtId="2" fontId="13" fillId="0" borderId="0" xfId="0" applyNumberFormat="1" applyFont="1"/>
    <xf numFmtId="10" fontId="4" fillId="0" borderId="0" xfId="3" applyNumberFormat="1" applyFont="1"/>
    <xf numFmtId="44" fontId="0" fillId="0" borderId="0" xfId="0" applyNumberFormat="1" applyFont="1"/>
    <xf numFmtId="44" fontId="13" fillId="0" borderId="0" xfId="3" applyNumberFormat="1" applyFont="1"/>
  </cellXfs>
  <cellStyles count="6">
    <cellStyle name="Comma" xfId="1" builtinId="3"/>
    <cellStyle name="Currency" xfId="2" builtinId="4"/>
    <cellStyle name="Hyperlink" xfId="5" builtinId="8"/>
    <cellStyle name="Normal" xfId="0" builtinId="0"/>
    <cellStyle name="Normal 2" xfId="4"/>
    <cellStyle name="Percent" xfId="3" builtinId="5"/>
  </cellStyles>
  <dxfs count="1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_-&quot;R$&quot;\ * #,##0.0000_-;\-&quot;R$&quot;\ * #,##0.0000_-;_-&quot;R$&quot;\ * &quot;-&quot;??_-;_-@_-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70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70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70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70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70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114300</xdr:rowOff>
        </xdr:from>
        <xdr:to>
          <xdr:col>18</xdr:col>
          <xdr:colOff>200025</xdr:colOff>
          <xdr:row>2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114300</xdr:rowOff>
        </xdr:from>
        <xdr:to>
          <xdr:col>18</xdr:col>
          <xdr:colOff>200025</xdr:colOff>
          <xdr:row>2</xdr:row>
          <xdr:rowOff>66675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114300</xdr:rowOff>
        </xdr:from>
        <xdr:to>
          <xdr:col>18</xdr:col>
          <xdr:colOff>200025</xdr:colOff>
          <xdr:row>2</xdr:row>
          <xdr:rowOff>66675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114300</xdr:rowOff>
        </xdr:from>
        <xdr:to>
          <xdr:col>18</xdr:col>
          <xdr:colOff>200025</xdr:colOff>
          <xdr:row>2</xdr:row>
          <xdr:rowOff>66675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114300</xdr:rowOff>
        </xdr:from>
        <xdr:to>
          <xdr:col>18</xdr:col>
          <xdr:colOff>200025</xdr:colOff>
          <xdr:row>2</xdr:row>
          <xdr:rowOff>66675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77.992990046296" createdVersion="3" refreshedVersion="4" minRefreshableVersion="3" recordCount="2">
  <cacheSource type="worksheet">
    <worksheetSource name="Table4"/>
  </cacheSource>
  <cacheFields count="14">
    <cacheField name="Data Liquidação" numFmtId="14">
      <sharedItems containsSemiMixedTypes="0" containsNonDate="0" containsDate="1" containsString="0" minDate="2014-01-06T00:00:00" maxDate="2015-05-06T00:00:00" count="12">
        <d v="2014-01-06T00:00:00"/>
        <d v="2014-02-03T00:00:00"/>
        <d v="2014-01-08T00:00:00" u="1"/>
        <d v="2014-01-30T00:00:00" u="1"/>
        <d v="2014-05-30T00:00:00" u="1"/>
        <d v="2015-01-30T00:00:00" u="1"/>
        <d v="2014-05-05T00:00:00" u="1"/>
        <d v="2015-05-05T00:00:00" u="1"/>
        <d v="2014-05-06T00:00:00" u="1"/>
        <d v="2014-07-08T00:00:00" u="1"/>
        <d v="2014-01-07T00:00:00" u="1"/>
        <d v="2014-01-20T00:00:00" u="1"/>
      </sharedItems>
    </cacheField>
    <cacheField name="Dia" numFmtId="0">
      <sharedItems containsSemiMixedTypes="0" containsString="0" containsNumber="1" containsInteger="1" minValue="3" maxValue="6"/>
    </cacheField>
    <cacheField name="Mês" numFmtId="0">
      <sharedItems containsSemiMixedTypes="0" containsString="0" containsNumber="1" containsInteger="1" minValue="1" maxValue="2"/>
    </cacheField>
    <cacheField name="Ano" numFmtId="0">
      <sharedItems containsSemiMixedTypes="0" containsString="0" containsNumber="1" containsInteger="1" minValue="2014" maxValue="2015" count="2">
        <n v="2014"/>
        <n v="2015" u="1"/>
      </sharedItems>
    </cacheField>
    <cacheField name="Nome" numFmtId="0">
      <sharedItems count="2">
        <s v="AELP3"/>
        <s v="UNIP6"/>
      </sharedItems>
    </cacheField>
    <cacheField name="Aplicação" numFmtId="165">
      <sharedItems containsSemiMixedTypes="0" containsString="0" containsNumber="1" minValue="315.86" maxValue="940.06"/>
    </cacheField>
    <cacheField name="Taxas" numFmtId="165">
      <sharedItems containsSemiMixedTypes="0" containsString="0" containsNumber="1" containsInteger="1" minValue="0" maxValue="0"/>
    </cacheField>
    <cacheField name="Resgates" numFmtId="165">
      <sharedItems containsSemiMixedTypes="0" containsString="0" containsNumber="1" containsInteger="1" minValue="0" maxValue="0"/>
    </cacheField>
    <cacheField name="Dividendo" numFmtId="165">
      <sharedItems containsSemiMixedTypes="0" containsString="0" containsNumber="1" containsInteger="1" minValue="0" maxValue="0"/>
    </cacheField>
    <cacheField name="JPC" numFmtId="44">
      <sharedItems containsString="0" containsBlank="1" containsNumber="1" containsInteger="1" minValue="0" maxValue="0"/>
    </cacheField>
    <cacheField name="Quantidade" numFmtId="0">
      <sharedItems containsSemiMixedTypes="0" containsString="0" containsNumber="1" containsInteger="1" minValue="100" maxValue="600"/>
    </cacheField>
    <cacheField name="Preço Médio" numFmtId="167">
      <sharedItems containsSemiMixedTypes="0" containsString="0" containsNumber="1" minValue="0.52643333333333331" maxValue="9.400599999999999"/>
    </cacheField>
    <cacheField name="Lucro p/ Ação" numFmtId="167">
      <sharedItems containsSemiMixedTypes="0" containsString="0" containsNumber="1" containsInteger="1" minValue="0" maxValue="0"/>
    </cacheField>
    <cacheField name="Rentabilidade" numFmtId="1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x v="0"/>
    <n v="6"/>
    <n v="1"/>
    <x v="0"/>
    <x v="0"/>
    <n v="940.06"/>
    <n v="0"/>
    <n v="0"/>
    <n v="0"/>
    <m/>
    <n v="100"/>
    <n v="9.400599999999999"/>
    <n v="0"/>
    <s v=""/>
  </r>
  <r>
    <x v="1"/>
    <n v="3"/>
    <n v="2"/>
    <x v="0"/>
    <x v="1"/>
    <n v="315.86"/>
    <n v="0"/>
    <n v="0"/>
    <n v="0"/>
    <n v="0"/>
    <n v="600"/>
    <n v="0.52643333333333331"/>
    <n v="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>
  <location ref="A3:G7" firstHeaderRow="1" firstDataRow="2" firstDataCol="1"/>
  <pivotFields count="14">
    <pivotField axis="axisRow" showAll="0">
      <items count="13">
        <item x="0"/>
        <item m="1" x="11"/>
        <item m="1" x="3"/>
        <item m="1" x="6"/>
        <item m="1" x="8"/>
        <item m="1" x="4"/>
        <item m="1" x="5"/>
        <item m="1" x="7"/>
        <item m="1" x="10"/>
        <item m="1" x="9"/>
        <item m="1" x="2"/>
        <item x="1"/>
        <item t="default"/>
      </items>
    </pivotField>
    <pivotField showAll="0" defaultSubtotal="0"/>
    <pivotField showAll="0" defaultSubtotal="0"/>
    <pivotField axis="axisRow" showAll="0" defaultSubtotal="0">
      <items count="2">
        <item sd="0" x="0"/>
        <item sd="0" m="1" x="1"/>
      </items>
    </pivotField>
    <pivotField axis="axisRow" showAll="0">
      <items count="3">
        <item sd="0" x="0"/>
        <item sd="0" x="1"/>
        <item t="default"/>
      </items>
    </pivotField>
    <pivotField dataField="1" numFmtId="44" showAll="0"/>
    <pivotField numFmtId="44" showAll="0"/>
    <pivotField numFmtId="44" showAll="0"/>
    <pivotField dataField="1" numFmtId="165" showAll="0" defaultSubtotal="0"/>
    <pivotField dataField="1" showAll="0" defaultSubtotal="0"/>
    <pivotField dataField="1" showAll="0"/>
    <pivotField numFmtId="167" showAll="0"/>
    <pivotField dataField="1" numFmtId="167" showAll="0"/>
    <pivotField dataField="1" numFmtId="10" showAll="0"/>
  </pivotFields>
  <rowFields count="3">
    <field x="4"/>
    <field x="3"/>
    <field x="0"/>
  </rowFields>
  <rowItems count="3">
    <i>
      <x/>
    </i>
    <i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Total Aplicado" fld="5" baseField="0" baseItem="0" numFmtId="165"/>
    <dataField name="Total de Ativos" fld="10" baseField="0" baseItem="0"/>
    <dataField name="Total Dividendo" fld="8" baseField="0" baseItem="0" numFmtId="165"/>
    <dataField name="Total JPC" fld="9" baseField="0" baseItem="0" numFmtId="165"/>
    <dataField name="Total Lucro p/ Ação" fld="12" baseField="0" baseItem="0" numFmtId="165"/>
    <dataField name="% Rentabilidade" fld="13" baseField="0" baseItem="0" numFmtId="1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ExternalData_33" connectionId="93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32" connectionId="92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31" connectionId="90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30" connectionId="82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181" connectionId="75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120" connectionId="30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42" connectionId="15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221" connectionId="32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175" connectionId="73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132" connectionId="48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73" connectionId="64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154" connectionId="64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64" connectionId="50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4" connectionId="37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156" connectionId="65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196" connectionId="17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244" connectionId="42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23" connectionId="99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173" connectionId="72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98" connectionId="37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20" connectionId="99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204" connectionId="24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13" connectionId="830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184" connectionId="1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56" connectionId="37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172" connectionId="72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21" connectionId="1019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18" connectionId="80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252" connectionId="78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48" connectionId="2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dosExternos_7" connectionId="64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6" connectionId="101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130" connectionId="45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114" connectionId="21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228" connectionId="34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dosExternos_122" connectionId="33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72" connectionId="60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255" connectionId="6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119" connectionId="28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10" connectionId="109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215" connectionId="30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34" connectionId="73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191" connectionId="12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10" connectionId="77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139" connectionId="58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dosExternos_50" connectionId="28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dosExternos_232" connectionId="36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41" connectionId="13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11" connectionId="1120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113" connectionId="19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dosExternos_150" connectionId="62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197" connectionId="17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19" connectionId="95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49" connectionId="27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226" connectionId="34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59" connectionId="420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dosExternos_43" connectionId="17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ExternalData_12" connectionId="809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7" connectionId="104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127" connectionId="408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ExternalData_5" connectionId="99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162" connectionId="678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dosExternos_57" connectionId="39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adosExternos_213" connectionId="29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adosExternos_47" connectionId="244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dosExternos_192" connectionId="128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dosExternos_62" connectionId="470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31" connectionId="606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dosExternos_171" connectionId="718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dosExternos_187" connectionId="11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54" connectionId="347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140" connectionId="58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229" connectionId="35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dosExternos_224" connectionId="34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dosExternos_235" connectionId="379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DadosExternos_53" connectionId="332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ExternalData_4" connectionId="953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dosExternos_151" connectionId="6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adosExternos_169" connectionId="71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dosExternos_69" connectionId="226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ExternalData_14" connectionId="853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dosExternos_253" connectionId="805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DadosExternos_177" connectionId="74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dosExternos_161" connectionId="675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dosExternos_174" connectionId="727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dosExternos_39" connectionId="103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dosExternos_209" connectionId="277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dosExternos_129" connectionId="439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DadosExternos_33" connectionId="688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adosExternos_107" connectionId="8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216" connectionId="304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dosExternos_63" connectionId="484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dosExternos_46" connectionId="227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DadosExternos_18" connectionId="226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adosExternos_141" connectionId="593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dosExternos_70" connectionId="377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dosExternos_133" connectionId="501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dosExternos_29" connectionId="377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ExternalData_16" connectionId="888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dosExternos_117" connectionId="263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dosExternos_112" connectionId="175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dosExternos_206" connectionId="270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110" connectionId="137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dosExternos_138" connectionId="581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dosExternos_55" connectionId="361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dosExternos_61" connectionId="457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dosExternos_203" connectionId="240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dosExternos_116" connectionId="244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6" connectionId="606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238" connectionId="389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dosExternos_3" connectionId="226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201" connectionId="236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71" connectionId="535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dosExternos_14" connectionId="688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9" connectionId="730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65" connectionId="517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dosExternos_135" connectionId="536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adosExternos_249" connectionId="603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dosExternos_233" connectionId="372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189" connectionId="116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222" connectionId="329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ExternalData_8" connectionId="1057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DadosExternos_202" connectionId="237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DadosExternos_45" connectionId="210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adosExternos_137" connectionId="566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ExternalData_15" connectionId="874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adosExternos_200" connectionId="225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dosExternos_131" connectionId="470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dosExternos_250" connectionId="715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256" connectionId="71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dosExternos_168" connectionId="707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30" connectionId="535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dosExternos_159" connectionId="667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DadosExternos_111" connectionId="158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DadosExternos_35" connectionId="771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166" connectionId="693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DadosExternos_190" connectionId="119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dosExternos_152" connectionId="636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DadosExternos_220" connectionId="321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DadosExternos_163" connectionId="681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ExternalData_17" connectionId="807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DadosExternos_28" connectionId="226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dosExternos_230" connectionId="358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DadosExternos_170" connectionId="715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dosExternos_251" connectionId="782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dosExternos_211" connectionId="289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DadosExternos_60" connectionId="439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DadosExternos_126" connectionId="390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DadosExternos_195" connectionId="169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ExternalData_27" connectionId="1064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dosExternos_207" connectionId="275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ExternalData_22" connectionId="807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dosExternos_109" connectionId="120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DadosExternos_254" connectionId="4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DadosExternos_247" connectionId="481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DadosExternos_134" connectionId="517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DadosExternos_217" connectionId="311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dosExternos_148" connectionId="623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DadosExternos_185" connectionId="101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DadosExternos_243" connectionId="419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DadosExternos_142" connectionId="597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DadosExternos_241" connectionId="416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DadosExternos_108" connectionId="103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dosExternos_158" connectionId="664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DadosExternos_237" connectionId="386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DadosExternos_180" connectionId="755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DadosExternos_32" connectionId="647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DadosExternos_188" connectionId="115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DadosExternos_219" connectionId="317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DadosExternos_147" connectionId="620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DadosExternos_193" connectionId="131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DadosExternos_145" connectionId="607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DadosExternos_90" connectionId="771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DadosExternos_104" connectionId="771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ExternalData_29" connectionId="1076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DadosExternos_37" connectionId="45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ExternalData_28" connectionId="1070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DadosExternos_149" connectionId="626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DadosExternos_136" connectionId="550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DadosExternos_167" connectionId="703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DadosExternos_8" connectionId="688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dosExternos_123" connectionId="347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dosExternos_106" connectionId="45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DadosExternos_146" connectionId="610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DadosExternos_225" connectionId="341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DadosExternos_103" connectionId="730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ExternalData_24" connectionId="1050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ExternalData_1" connectionId="807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DadosExternos_176" connectionId="734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DadosExternos_245" connectionId="432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dosExternos_155" connectionId="648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DadosExternos_160" connectionId="671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DadosExternos_44" connectionId="194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DadosExternos_194" connectionId="134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DadosExternos_231" connectionId="362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DadosExternos_240" connectionId="413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DadosExternos_115" connectionId="227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DadosExternos_15" connectionId="730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DadosExternos_165" connectionId="689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DadosExternos_157" connectionId="661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DadosExternos_205" connectionId="262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DadosExternos_183" connectionId="802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DadosExternos_186" connectionId="102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DadosExternos_178" connectionId="749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DadosExternos_143" connectionId="600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ExternalData_9" connectionId="1075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ExternalData_3" connectionId="808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DadosExternos_124" connectionId="361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DadosExternos_125" connectionId="378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DadosExternos_40" connectionId="120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DadosExternos_153" connectionId="640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DadosExternos_164" connectionId="685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DadosExternos_198" connectionId="183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ExternalData_2" connectionId="807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DadosExternos_51" connectionId="303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DadosExternos_38" connectionId="82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DadosExternos_128" connectionId="420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DadosExternos_144" connectionId="603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DadosExternos_218" connectionId="314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DadosExternos_52" connectionId="320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DadosExternos_212" connectionId="296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DadosExternos_97" connectionId="226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ExternalData_26" connectionId="1054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DadosExternos_118" connectionId="276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DadosExternos_182" connectionId="761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DadosExternos_121" connectionId="320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DadosExternos_66" connectionId="536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DadosExternos_58" connectionId="408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DadosExternos_179" connectionId="752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ExternalData_51" connectionId="939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ExternalData_50" connectionId="929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ExternalData_49" connectionId="910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ExternalData_48" connectionId="824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DadosExternos_140" connectionId="590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DadosExternos_118" connectionId="280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DadosExternos_143" connectionId="601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DadosExternos_300" connectionId="449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DadosExternos_152" connectionId="637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DadosExternos_132" connectionId="487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DadosExternos_164" connectionId="686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DadosExternos_90" connectionId="784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DadosExternos_268" connectionId="330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DadosExternos_331" connectionId="513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DadosExternos_124" connectionId="365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DadosExternos_42" connectionId="161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dosExternos_178" connectionId="750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DadosExternos_270" connectionId="342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DadosExternos_209" connectionId="148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dosExternos_2" connectionId="64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DadosExternos_97" connectionId="256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DadosExternos_126" connectionId="400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ExternalData_32" connectionId="954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DadosExternos_281" connectionId="384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DadosExternos_259" connectionId="301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DadosExternos_137" connectionId="567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ExternalData_2" connectionId="1057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DadosExternos_353" connectionId="560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DadosExternos_39" connectionId="106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DadosExternos_379" connectionId="73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DadosExternos_323" connectionId="491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ExternalData_35" connectionId="979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DadosExternos_179" connectionId="753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DadosExternos_244" connectionId="260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ExternalData_44" connectionId="1055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DadosExternos_134" connectionId="520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DadosExternos_36" connectionId="6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DadosExternos_305" connectionId="455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DadosExternos_299" connectionId="447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DadosExternos_225" connectionId="192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DadosExternos_180" connectionId="756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DadosExternos_40" connectionId="122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DadosExternos_55" connectionId="363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DadosExternos_293" connectionId="428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DadosExternos_136" connectionId="554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DadosExternos_279" connectionId="373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DadosExternos_237" connectionId="219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DadosExternos_14" connectionId="701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DadosExternos_121" connectionId="324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DadosExternos_161" connectionId="676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DadosExternos_290" connectionId="414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DadosExternos_156" connectionId="659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DadosExternos_175" connectionId="732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dosExternos_43" connectionId="179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DadosExternos_53" connectionId="335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DadosExternos_59" connectionId="423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DadosExternos_37" connectionId="71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DadosExternos_8" connectionId="696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ExternalData_27" connectionId="902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DadosExternos_30" connectionId="551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DadosExternos_320" connectionId="485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DadosExternos_263" connectionId="318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DadosExternos_193" connectionId="91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DadosExternos_228" connectionId="202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ExternalData_14" connectionId="853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DadosExternos_210" connectionId="150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DadosExternos_191" connectionId="41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DadosExternos_49" connectionId="278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DadosExternos_271" connectionId="345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ExternalData_3" connectionId="830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DadosExternos_378" connectionId="64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DadosExternos_31" connectionId="611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DadosExternos_162" connectionId="679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ExternalData_43" connectionId="1051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DadosExternos_291" connectionId="417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DadosExternos_48" connectionId="268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DadosExternos_35" connectionId="782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DadosExternos_24" connectionId="51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DadosExternos_71" connectionId="556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DadosExternos_60" connectionId="442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DadosExternos_276" connectionId="359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ExternalData_36" connectionId="984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DadosExternos_177" connectionId="747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DadosExternos_146" connectionId="613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DadosExternos_67" connectionId="764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DadosExternos_241" connectionId="234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ExternalData_41" connectionId="808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DadosExternos_1" connectionId="786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DadosExternos_190" connectionId="37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DadosExternos_258" connectionId="298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DadosExternos_344" connectionId="537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dosExternos_328" connectionId="502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DadosExternos_73" connectionId="657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DadosExternos_174" connectionId="728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DadosExternos_198" connectionId="104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DadosExternos_253" connectionId="284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DadosExternos_269" connectionId="333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DadosExternos_304" connectionId="453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DadosExternos_113" connectionId="195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DadosExternos_358" connectionId="564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ExternalData_26" connectionId="888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DadosExternos_307" connectionId="462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DadosExternos_242" connectionId="238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DadosExternos_139" connectionId="587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DadosExternos_52" connectionId="322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DadosExternos_17" connectionId="46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DadosExternos_56" connectionId="380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DadosExternos_302" connectionId="451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DadosExternos_50" connectionId="292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DadosExternos_337" connectionId="525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DadosExternos_66" connectionId="539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DadosExternos_154" connectionId="644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DadosExternos_157" connectionId="662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DadosExternos_167" connectionId="704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DadosExternos_356" connectionId="562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DadosExternos_158" connectionId="665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DadosExternos_109" connectionId="124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ExternalData_19" connectionId="959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DadosExternos_114" connectionId="215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DadosExternos_145" connectionId="608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DadosExternos_10" connectionId="793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DadosExternos_219" connectionId="172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ExternalData_13" connectionId="833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DadosExternos_367" connectionId="579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ExternalData_34" connectionId="974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DadosExternos_106" connectionId="73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DadosExternos_29" connectionId="402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DadosExternos_221" connectionId="184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ExternalData_46" connectionId="1071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DadosExternos_205" connectionId="135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DadosExternos_243" connectionId="241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DadosExternos_185" connectionId="13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DadosExternos_26" connectionId="766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DadosExternos_192" connectionId="83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DadosExternos_212" connectionId="154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ExternalData_22" connectionId="1096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DadosExternos_329" connectionId="509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DadosExternos_325" connectionId="495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DadosExternos_292" connectionId="421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DadosExternos_200" connectionId="113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DadosExternos_275" connectionId="356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DadosExternos_202" connectionId="126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DadosExternos_116" connectionId="258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DadosExternos_287" connectionId="404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DadosExternos_203" connectionId="129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DadosExternos_361" connectionId="571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DadosExternos_229" connectionId="204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DadosExternos_261" connectionId="312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DadosExternos_204" connectionId="132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ExternalData_29" connectionId="930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DadosExternos_238" connectionId="221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DadosExternos_256" connectionId="286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DadosExternos_349" connectionId="546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ExternalData_4" connectionId="964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DadosExternos_70" connectionId="398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DadosExternos_222" connectionId="186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DadosExternos_28" connectionId="254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DadosExternos_250" connectionId="273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DadosExternos_208" connectionId="146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DadosExternos_7" connectionId="655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DadosExternos_288" connectionId="406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DadosExternos_265" connectionId="326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DadosExternos_160" connectionId="672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DadosExternos_188" connectionId="27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ExternalData_12" connectionId="809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DadosExternos_72" connectionId="616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DadosExternos_182" connectionId="762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DadosExternos_27" connectionId="66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DadosExternos_58" connectionId="411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DadosExternos_133" connectionId="504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ExternalData_6" connectionId="1024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DadosExternos_138" connectionId="582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DadosExternos_309" connectionId="466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DadosExternos_240" connectionId="228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DadosExternos_169" connectionId="712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DadosExternos_44" connectionId="198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ExternalData_1" connectionId="1075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ExternalData_17" connectionId="1041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DadosExternos_213" connectionId="156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DadosExternos_142" connectionId="598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DadosExternos_33" connectionId="694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DadosExternos_376" connectionId="786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DadosExternos_246" connectionId="264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DadosExternos_326" connectionId="497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DadosExternos_197" connectionId="99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DadosExternos_127" connectionId="409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DadosExternos_110" connectionId="140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DadosExternos_151" connectionId="633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DadosExternos_4" connectionId="394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DadosExternos_159" connectionId="668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DadosExternos_262" connectionId="315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DadosExternos_377" connectionId="6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DadosExternos_296" connectionId="435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DadosExternos_196" connectionId="97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DadosExternos_57" connectionId="396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DadosExternos_220" connectionId="181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DadosExternos_20" connectionId="788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DadosExternos_311" connectionId="468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DadosExternos_278" connectionId="370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DadosExternos_333" connectionId="515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DadosExternos_224" connectionId="190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DadosExternos_371" connectionId="718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DadosExternos_111" connectionId="163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DadosExternos_360" connectionId="569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DadosExternos_187" connectionId="22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ExternalData_37" connectionId="989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DadosExternos_46" connectionId="230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DadosExternos_294" connectionId="430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ExternalData_39" connectionId="994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ExternalData_24" connectionId="809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DadosExternos_370" connectionId="597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DadosExternos_6" connectionId="618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DadosExternos_195" connectionId="95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DadosExternos_235" connectionId="217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DadosExternos_277" connectionId="367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DadosExternos_214" connectionId="159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ExternalData_20" connectionId="1003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DadosExternos_189" connectionId="32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DadosExternos_120" connectionId="307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DadosExternos_96" connectionId="80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DadosExternos_98" connectionId="391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DadosExternos_65" connectionId="523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DadosExternos_216" connectionId="167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DadosExternos_201" connectionId="117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DadosExternos_168" connectionId="708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DadosExternos_176" connectionId="740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DadosExternos_129" connectionId="445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DadosExternos_41" connectionId="142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DadosExternos_63" connectionId="489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DadosExternos_125" connectionId="382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ExternalData_40" connectionId="998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DadosExternos_123" connectionId="349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DadosExternos_108" connectionId="108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DadosExternos_227" connectionId="200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DadosExternos_207" connectionId="144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DadosExternos_295" connectionId="433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DadosExternos_315" connectionId="475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ExternalData_11" connectionId="1120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DadosExternos_112" connectionId="177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DadosExternos_103" connectionId="735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DadosExternos_122" connectionId="338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DadosExternos_3" connectionId="248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DadosExternos_350" connectionId="548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ExternalData_9" connectionId="1075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DadosExternos_280" connectionId="375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DadosExternos_183" connectionId="805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ExternalData_21" connectionId="1022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DadosExternos_230" connectionId="206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DadosExternos_251" connectionId="282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DadosExternos_38" connectionId="86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DadosExternos_239" connectionId="223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DadosExternos_345" connectionId="544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DadosExternos_128" connectionId="425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DadosExternos_260" connectionId="309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DadosExternos_170" connectionId="716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DadosExternos_104" connectionId="776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DadosExternos_173" connectionId="725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ExternalData_33" connectionId="969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DadosExternos_272" connectionId="353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ExternalData_18" connectionId="853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DadosExternos_194" connectionId="93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DadosExternos_47" connectionId="252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DadosExternos_181" connectionId="759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DadosExternos_298" connectionId="440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DadosExternos_9" connectionId="737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DadosExternos_257" connectionId="294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DadosExternos_324" connectionId="493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ExternalData_45" connectionId="1066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DadosExternos_199" connectionId="111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DadosExternos_15" connectionId="742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DadosExternos_61" connectionId="460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ExternalData_31" connectionId="948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DadosExternos_338" connectionId="527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DadosExternos_149" connectionId="627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DadosExternos_308" connectionId="464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DadosExternos_144" connectionId="604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DadosExternos_166" connectionId="699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DadosExternos_16" connectionId="772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DadosExternos_249" connectionId="271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DadosExternos_297" connectionId="437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DadosExternos_342" connectionId="531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DadosExternos_317" connectionId="477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ExternalData_47" connectionId="1081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ExternalData_7" connectionId="1044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ExternalData_8" connectionId="1057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DadosExternos_135" connectionId="542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DadosExternos_234" connectionId="211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DadosExternos_45" connectionId="213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DadosExternos_32" connectionId="652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DadosExternos_11" connectionId="797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DadosExternos_163" connectionId="682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DadosExternos_51" connectionId="305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DadosExternos_186" connectionId="17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DadosExternos_68" connectionId="58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DadosExternos_155" connectionId="649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DadosExternos_141" connectionId="594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DadosExternos_119" connectionId="290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DadosExternos_336" connectionId="518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DadosExternos_69" connectionId="245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DadosExternos_130" connectionId="458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ExternalData_38" connectionId="992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DadosExternos_131" connectionId="473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DadosExternos_319" connectionId="482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DadosExternos_18" connectionId="250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ExternalData_10" connectionId="1096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DadosExternos_64" connectionId="507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DadosExternos_365" connectionId="577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DadosExternos_330" connectionId="511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DadosExternos_233" connectionId="208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DadosExternos_150" connectionId="630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DadosExternos_117" connectionId="266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ExternalData_25" connectionId="874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ExternalData_28" connectionId="916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DadosExternos_362" connectionId="573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DadosExternos_223" connectionId="188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DadosExternos_12" connectionId="75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ExternalData_16" connectionId="888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DadosExternos_215" connectionId="165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DadosExternos_147" connectionId="621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DadosExternos_343" connectionId="533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DadosExternos_211" connectionId="152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DadosExternos_62" connectionId="471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DadosExternos_363" connectionId="575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ExternalData_15" connectionId="874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DadosExternos_352" connectionId="558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DadosExternos_153" connectionId="641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DadosExternos_327" connectionId="499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DadosExternos_375" connectionId="731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DadosExternos_115" connectionId="232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DadosExternos_148" connectionId="624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DadosExternos_206" connectionId="138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DadosExternos_107" connectionId="89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DadosExternos_171" connectionId="719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DadosExternos_34" connectionId="744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DadosExternos_369" connectionId="584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ExternalData_42" connectionId="1019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DadosExternos_172" connectionId="722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DadosExternos_21" connectionId="62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DadosExternos_318" connectionId="479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DadosExternos_282" connectionId="387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ExternalData_23" connectionId="1120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ExternalData_30" connectionId="943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DadosExternos_54" connectionId="351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DadosExternos_339" connectionId="529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DadosExternos_165" connectionId="690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ExternalData_5" connectionId="1000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DadosExternos_217" connectionId="170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ExternalData_72" connectionId="940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ExternalData_71" connectionId="931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ExternalData_70" connectionId="911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ExternalData_69" connectionId="825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DadosExternos_47" connectionId="253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DadosExternos_71" connectionId="557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ExternalData_24" connectionId="812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ExternalData_31" connectionId="949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DadosExternos_447" connectionId="758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ExternalData_7" connectionId="1045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ExternalData_51" connectionId="888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DadosExternos_358" connectionId="565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DadosExternos_460" connectionId="22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DadosExternos_275" connectionId="357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DadosExternos_439" connectionId="703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DadosExternos_7" connectionId="656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DadosExternos_168" connectionId="709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DadosExternos_63" connectionId="490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ExternalData_14" connectionId="860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ExternalData_48" connectionId="830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ExternalData_27" connectionId="904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ExternalData_36" connectionId="985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ExternalData_35" connectionId="980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ExternalData_28" connectionId="918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ExternalData_63" connectionId="984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DadosExternos_365" connectionId="578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DadosExternos_411" connectionId="550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DadosExternos_49" connectionId="279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DadosExternos_60" connectionId="443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DadosExternos_279" connectionId="374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DadosExternos_167" connectionId="705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DadosExternos_425" connectionId="640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DadosExternos_324" connectionId="494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DadosExternos_52" connectionId="323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DadosExternos_350" connectionId="549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DadosExternos_64" connectionId="508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DadosExternos_177" connectionId="748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DadosExternos_187" connectionId="23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DadosExternos_257" connectionId="295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DadosExternos_115" connectionId="233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DadosExternos_440" connectionId="707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DadosExternos_112" connectionId="178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DadosExternos_320" connectionId="486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DadosExternos_343" connectionId="534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DadosExternos_309" connectionId="467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ExternalData_18" connectionId="856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DadosExternos_46" connectionId="231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DadosExternos_44" connectionId="199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DadosExternos_463" connectionId="37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DadosExternos_371" connectionId="2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DadosExternos_118" connectionId="281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DadosExternos_345" connectionId="545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DadosExternos_377" connectionId="688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DadosExternos_298" connectionId="441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DadosExternos_362" connectionId="574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DadosExternos_149" connectionId="628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DadosExternos_404" connectionId="439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DadosExternos_268" connectionId="331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DadosExternos_380" connectionId="3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DadosExternos_269" connectionId="334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DadosExternos_256" connectionId="287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DadosExternos_59" connectionId="424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DadosExternos_446" connectionId="755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ExternalData_60" connectionId="969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DadosExternos_402" connectionId="408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ExternalData_9" connectionId="1077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DadosExternos_373" connectionId="377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DadosExternos_129" connectionId="446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DadosExternos_356" connectionId="563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DadosExternos_331" connectionId="514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DadosExternos_43" connectionId="180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DadosExternos_173" connectionId="726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DadosExternos_138" connectionId="583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DadosExternos_53" connectionId="336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DadosExternos_441" connectionId="711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ExternalData_15" connectionId="876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DadosExternos_401" connectionId="390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DadosExternos_458" connectionId="13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DadosExternos_327" connectionId="500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DadosExternos_336" connectionId="519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DadosExternos_4" connectionId="395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DadosExternos_132" connectionId="488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DadosExternos_15" connectionId="743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ExternalData_49" connectionId="853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DadosExternos_382" connectionId="82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DadosExternos_330" connectionId="512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ExternalData_11" connectionId="1123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DadosExternos_317" connectionId="478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DadosExternos_290" connectionId="415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DadosExternos_234" connectionId="212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DadosExternos_381" connectionId="45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DadosExternos_251" connectionId="283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ExternalData_3" connectionId="836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DadosExternos_146" connectionId="614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DadosExternos_163" connectionId="683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ExternalData_67" connectionId="1072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DadosExternos_258" connectionId="299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DadosExternos_299" connectionId="448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DadosExternos_142" connectionId="599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DadosExternos_54" connectionId="352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DadosExternos_370" connectionId="1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ExternalData_33" connectionId="970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DadosExternos_397" connectionId="332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DadosExternos_305" connectionId="456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DadosExternos_56" connectionId="381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DadosExternos_181" connectionId="760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ExternalData_5" connectionId="1001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DadosExternos_133" connectionId="505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DadosExternos_409" connectionId="517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DadosExternos_9" connectionId="738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DadosExternos_400" connectionId="378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DadosExternos_431" connectionId="667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DadosExternos_297" connectionId="438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DadosExternos_169" connectionId="713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DadosExternos_65" connectionId="524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DadosExternos_435" connectionId="681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DadosExternos_156" connectionId="660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ExternalData_40" connectionId="999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DadosExternos_51" connectionId="306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DadosExternos_379" connectionId="771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DadosExternos_467" connectionId="58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DadosExternos_27" connectionId="67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ExternalData_10" connectionId="1103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DadosExternos_12" connectionId="76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DadosExternos_29" connectionId="403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DadosExternos_288" connectionId="407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DadosExternos_265" connectionId="327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DadosExternos_6" connectionId="619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DadosExternos_127" connectionId="410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DadosExternos_260" connectionId="310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DadosExternos_164" connectionId="687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DadosExternos_143" connectionId="602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DadosExternos_239" connectionId="224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DadosExternos_34" connectionId="745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DadosExternos_161" connectionId="677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ExternalData_29" connectionId="932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DadosExternos_140" connectionId="591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DadosExternos_339" connectionId="530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DadosExternos_90" connectionId="785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ExternalData_53" connectionId="916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DadosExternos_246" connectionId="265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DadosExternos_300" connectionId="450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ExternalData_6" connectionId="1025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DadosExternos_18" connectionId="251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DadosExternos_423" connectionId="632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DadosExternos_225" connectionId="193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ExternalData_23" connectionId="1127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DadosExternos_428" connectionId="651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ExternalData_16" connectionId="894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DadosExternos_230" connectionId="207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DadosExternos_263" connectionId="319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DadosExternos_262" connectionId="316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DadosExternos_242" connectionId="239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DadosExternos_240" connectionId="229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ExternalData_4" connectionId="965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DadosExternos_233" connectionId="209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DadosExternos_287" connectionId="405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DadosExternos_294" connectionId="431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DadosExternos_277" connectionId="368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ExternalData_64" connectionId="1052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ExternalData_30" connectionId="944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DadosExternos_461" connectionId="27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DadosExternos_170" connectionId="717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ExternalData_50" connectionId="874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ExternalData_1" connectionId="1081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DadosExternos_352" connectionId="559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DadosExternos_137" connectionId="568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DadosExternos_361" connectionId="572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DadosExternos_179" connectionId="754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ExternalData_22" connectionId="1099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DadosExternos_271" connectionId="346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DadosExternos_139" connectionId="588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DadosExternos_103" connectionId="736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ExternalData_32" connectionId="955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DadosExternos_291" connectionId="418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DadosExternos_438" connectionId="693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DadosExternos_392" connectionId="263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DadosExternos_224" connectionId="191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DadosExternos_363" connectionId="576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DadosExternos_444" connectionId="749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DadosExternos_227" connectionId="201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DadosExternos_1" connectionId="787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DadosExternos_342" connectionId="532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DadosExternos_125" connectionId="383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DadosExternos_253" connectionId="285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DadosExternos_408" connectionId="501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DadosExternos_66" connectionId="540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DadosExternos_432" connectionId="671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DadosExternos_325" connectionId="496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DadosExternos_415" connectionId="589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DadosExternos_122" connectionId="339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DadosExternos_126" connectionId="401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ExternalData_8" connectionId="1060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DadosExternos_155" connectionId="650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DadosExternos_222" connectionId="187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DadosExternos_35" connectionId="783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DadosExternos_307" connectionId="463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DadosExternos_319" connectionId="483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DadosExternos_188" connectionId="28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DadosExternos_172" connectionId="723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DadosExternos_295" connectionId="434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DadosExternos_31" connectionId="612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DadosExternos_153" connectionId="642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DadosExternos_48" connectionId="269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ExternalData_44" connectionId="1075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DadosExternos_32" connectionId="653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ExternalData_47" connectionId="809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ExternalData_62" connectionId="979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DadosExternos_296" connectionId="436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DadosExternos_166" connectionId="700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DadosExternos_337" connectionId="526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ExternalData_2" connectionId="1064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DadosExternos_293" connectionId="429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DadosExternos_304" connectionId="454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DadosExternos_220" connectionId="182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DadosExternos_315" connectionId="476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DadosExternos_113" connectionId="196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DadosExternos_61" connectionId="461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DadosExternos_328" connectionId="503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DadosExternos_455" connectionId="797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DadosExternos_121" connectionId="325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DadosExternos_165" connectionId="691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DadosExternos_459" connectionId="17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DadosExternos_333" connectionId="516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DadosExternos_442" connectionId="734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DadosExternos_326" connectionId="498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DadosExternos_144" connectionId="605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DadosExternos_123" connectionId="350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DadosExternos_311" connectionId="469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ExternalData_46" connectionId="1120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DadosExternos_369" connectionId="585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DadosExternos_457" connectionId="10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DadosExternos_451" connectionId="772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DadosExternos_73" connectionId="658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DadosExternos_148" connectionId="625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DadosExternos_243" connectionId="242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ExternalData_19" connectionId="960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DadosExternos_58" connectionId="412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DadosExternos_150" connectionId="631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DadosExternos_426" connectionId="643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DadosExternos_114" connectionId="216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DadosExternos_17" connectionId="47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DadosExternos_152" connectionId="638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DadosExternos_160" connectionId="673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DadosExternos_45" connectionId="214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DadosExternos_70" connectionId="399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DadosExternos_237" connectionId="220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DadosExternos_276" connectionId="360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DadosExternos_145" connectionId="609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DadosExternos_186" connectionId="18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DadosExternos_98" connectionId="392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DadosExternos_272" connectionId="354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DadosExternos_67" connectionId="765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DadosExternos_468" connectionId="66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DadosExternos_323" connectionId="492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ExternalData_42" connectionId="1041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DadosExternos_14" connectionId="702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DadosExternos_445" connectionId="752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DadosExternos_219" connectionId="173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DadosExternos_462" connectionId="32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DadosExternos_158" connectionId="666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DadosExternos_241" connectionId="235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ExternalData_21" connectionId="1023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DadosExternos_244" connectionId="261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ExternalData_59" connectionId="964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DadosExternos_389" connectionId="210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DadosExternos_104" connectionId="779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DadosExternos_119" connectionId="291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DadosExternos_270" connectionId="343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DadosExternos_292" connectionId="422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DadosExternos_250" connectionId="274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DadosExternos_394" connectionId="288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ExternalData_54" connectionId="930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ExternalData_58" connectionId="959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DadosExternos_437" connectionId="689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DadosExternos_388" connectionId="194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DadosExternos_128" connectionId="426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ExternalData_55" connectionId="943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ExternalData_57" connectionId="954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DadosExternos_452" connectionId="776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DadosExternos_228" connectionId="203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DadosExternos_135" connectionId="543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DadosExternos_464" connectionId="41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DadosExternos_55" connectionId="364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DadosExternos_249" connectionId="272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DadosExternos_11" connectionId="798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DadosExternos_147" connectionId="622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DadosExternos_410" connectionId="536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DadosExternos_72" connectionId="617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ExternalData_45" connectionId="1096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DadosExternos_376" connectionId="647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DadosExternos_131" connectionId="474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DadosExternos_433" connectionId="675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DadosExternos_130" connectionId="459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DadosExternos_278" connectionId="371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DadosExternos_162" connectionId="680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DadosExternos_28" connectionId="255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DadosExternos_174" connectionId="729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DadosExternos_453" connectionId="788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DadosExternos_329" connectionId="510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DadosExternos_24" connectionId="54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DadosExternos_183" connectionId="806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ExternalData_20" connectionId="1004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DadosExternos_120" connectionId="308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DadosExternos_117" connectionId="267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DadosExternos_176" connectionId="741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DadosExternos_390" connectionId="227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DadosExternos_171" connectionId="720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ExternalData_39" connectionId="995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DadosExternos_30" connectionId="552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DadosExternos_398" connectionId="347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DadosExternos_391" connectionId="244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DadosExternos_450" connectionId="766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DadosExternos_424" connectionId="636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ExternalData_38" connectionId="993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DadosExternos_154" connectionId="645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ExternalData_61" connectionId="974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ExternalData_56" connectionId="948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DadosExternos_259" connectionId="302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DadosExternos_318" connectionId="480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DadosExternos_134" connectionId="521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DadosExternos_414" connectionId="586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DadosExternos_238" connectionId="222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DadosExternos_403" connectionId="420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DadosExternos_465" connectionId="46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DadosExternos_281" connectionId="385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DadosExternos_223" connectionId="189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DadosExternos_26" connectionId="767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DadosExternos_159" connectionId="669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DadosExternos_367" connectionId="580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ExternalData_26" connectionId="890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ExternalData_52" connectionId="902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DadosExternos_261" connectionId="313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ExternalData_66" connectionId="1067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DadosExternos_33" connectionId="695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DadosExternos_136" connectionId="555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DadosExternos_282" connectionId="388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ExternalData_12" connectionId="816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DadosExternos_374" connectionId="535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ExternalData_43" connectionId="1057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DadosExternos_378" connectionId="730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DadosExternos_372" connectionId="226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DadosExternos_141" connectionId="595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ExternalData_68" connectionId="1083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DadosExternos_308" connectionId="465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DadosExternos_360" connectionId="570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DadosExternos_151" connectionId="634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DadosExternos_10" connectionId="794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DadosExternos_57" connectionId="397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DadosExternos_97" connectionId="257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DadosExternos_280" connectionId="376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DadosExternos_416" connectionId="593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DadosExternos_175" connectionId="733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DadosExternos_229" connectionId="205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DadosExternos_466" connectionId="51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DadosExternos_157" connectionId="663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DadosExternos_338" connectionId="528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DadosExternos_124" connectionId="366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DadosExternos_349" connectionId="547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DadosExternos_20" connectionId="789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DadosExternos_3" connectionId="249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DadosExternos_50" connectionId="293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DadosExternos_178" connectionId="751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DadosExternos_182" connectionId="763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DadosExternos_344" connectionId="538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DadosExternos_421" connectionId="626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DadosExternos_180" connectionId="757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ExternalData_34" connectionId="975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DadosExternos_8" connectionId="697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DadosExternos_469" connectionId="75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DadosExternos_16" connectionId="773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DadosExternos_454" connectionId="793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DadosExternos_353" connectionId="561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DadosExternos_116" connectionId="259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DadosExternos_62" connectionId="472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DadosExternos_69" connectionId="246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DadosExternos_434" connectionId="678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ExternalData_13" connectionId="834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ExternalData_25" connectionId="880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DadosExternos_221" connectionId="185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DadosExternos_302" connectionId="452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DadosExternos_456" connectionId="802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ExternalData_65" connectionId="1056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ExternalData_37" connectionId="990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ExternalData_41" connectionId="953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ExternalData_17" connectionId="1047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DadosExternos_418" connectionId="610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DadosExternos_189" connectionId="33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DadosExternos_235" connectionId="218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ExternalData_140" connectionId="941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ExternalData_139" connectionId="936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ExternalData_138" connectionId="912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ExternalData_137" connectionId="899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ExternalData_136" connectionId="871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ExternalData_135" connectionId="869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ExternalData_134" connectionId="867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ExternalData_133" connectionId="865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ExternalData_132" connectionId="863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ExternalData_131" connectionId="860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ExternalData_130" connectionId="854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ExternalData_129" connectionId="851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ExternalData_128" connectionId="849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ExternalData_127" connectionId="847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ExternalData_126" connectionId="845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ExternalData_125" connectionId="843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ExternalData_124" connectionId="841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ExternalData_123" connectionId="839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ExternalData_122" connectionId="836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ExternalData_121" connectionId="831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ExternalData_120" connectionId="828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ExternalData_119" connectionId="826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DadosExternos_261" connectionId="313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DadosExternos_251" connectionId="283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ExternalData_36" connectionId="986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DadosExternos_309" connectionId="467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DadosExternos_439" connectionId="704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DadosExternos_464" connectionId="42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DadosExternos_441" connectionId="712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ExternalData_111" connectionId="1136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DadosExternos_29" connectionId="403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DadosExternos_162" connectionId="680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DadosExternos_295" connectionId="434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DadosExternos_28" connectionId="255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DadosExternos_233" connectionId="209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DadosExternos_71" connectionId="557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DadosExternos_416" connectionId="594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ExternalData_57" connectionId="955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DadosExternos_331" connectionId="514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DadosExternos_219" connectionId="173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DadosExternos_112" connectionId="178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DadosExternos_33" connectionId="695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ExternalData_118" connectionId="821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DadosExternos_166" connectionId="700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ExternalData_40" connectionId="999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DadosExternos_164" connectionId="687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DadosExternos_281" connectionId="385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DadosExternos_324" connectionId="494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DadosExternos_123" connectionId="350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ExternalData_91" connectionId="1084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DadosExternos_294" connectionId="431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ExternalData_65" connectionId="994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DadosExternos_222" connectionId="187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ExternalData_86" connectionId="1042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DadosExternos_373" connectionId="391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DadosExternos_230" connectionId="207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DadosExternos_20" connectionId="790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DadosExternos_143" connectionId="602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DadosExternos_44" connectionId="199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ExternalData_102" connectionId="1112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DadosExternos_15" connectionId="743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DadosExternos_104" connectionId="779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DadosExternos_409" connectionId="520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ExternalData_42" connectionId="1044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ExternalData_19" connectionId="961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DadosExternos_156" connectionId="660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DadosExternos_290" connectionId="415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ExternalData_67" connectionId="1000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DadosExternos_450" connectionId="767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DadosExternos_353" connectionId="561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ExternalData_113" connectionId="1140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DadosExternos_7" connectionId="656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ExternalData_83" connectionId="1035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ExternalData_27" connectionId="905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ExternalData_38" connectionId="993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ExternalData_29" connectionId="933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DadosExternos_297" connectionId="438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DadosExternos_467" connectionId="59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DadosExternos_224" connectionId="191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DadosExternos_180" connectionId="757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DadosExternos_282" connectionId="388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DadosExternos_120" connectionId="308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DadosExternos_307" connectionId="463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DadosExternos_59" connectionId="424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DadosExternos_186" connectionId="19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DadosExternos_258" connectionId="299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DadosExternos_438" connectionId="696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ExternalData_82" connectionId="1033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ExternalData_59" connectionId="965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DadosExternos_183" connectionId="806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ExternalData_50" connectionId="876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DadosExternos_63" connectionId="490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DadosExternos_469" connectionId="76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DadosExternos_338" connectionId="528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DadosExternos_356" connectionId="563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ExternalData_73" connectionId="1013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ExternalData_76" connectionId="1020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ExternalData_87" connectionId="1047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ExternalData_93" connectionId="1088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ExternalData_114" connectionId="1142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DadosExternos_119" connectionId="291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DadosExternos_280" connectionId="376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DadosExternos_269" connectionId="334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DadosExternos_50" connectionId="293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ExternalData_56" connectionId="949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DadosExternos_11" connectionId="799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DadosExternos_388" connectionId="195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ExternalData_21" connectionId="1023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DadosExternos_278" connectionId="371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DadosExternos_34" connectionId="745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DadosExternos_410" connectionId="539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DadosExternos_24" connectionId="55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ExternalData_35" connectionId="981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DadosExternos_328" connectionId="503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ExternalData_104" connectionId="1116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DadosExternos_455" connectionId="798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ExternalData_75" connectionId="1017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ExternalData_12" connectionId="816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ExternalData_85" connectionId="1039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DadosExternos_46" connectionId="231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DadosExternos_18" connectionId="251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DadosExternos_56" connectionId="381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DadosExternos_326" connectionId="498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DadosExternos_343" connectionId="534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DadosExternos_148" connectionId="625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DadosExternos_45" connectionId="214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DadosExternos_362" connectionId="574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ExternalData_78" connectionId="1024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DadosExternos_372" connectionId="245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DadosExternos_188" connectionId="29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DadosExternos_124" connectionId="366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DadosExternos_227" connectionId="201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DadosExternos_121" connectionId="325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DadosExternos_176" connectionId="741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ExternalData_61" connectionId="975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DadosExternos_344" connectionId="538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DadosExternos_113" connectionId="196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DadosExternos_8" connectionId="697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DadosExternos_149" connectionId="628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DadosExternos_67" connectionId="765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DadosExternos_220" connectionId="182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DadosExternos_158" connectionId="666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ExternalData_94" connectionId="1090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DadosExternos_98" connectionId="392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DadosExternos_189" connectionId="34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DadosExternos_242" connectionId="239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DadosExternos_293" connectionId="429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DadosExternos_49" connectionId="279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ExternalData_4" connectionId="966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ExternalData_105" connectionId="1118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DadosExternos_174" connectionId="729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DadosExternos_57" connectionId="397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ExternalData_6" connectionId="1025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DadosExternos_225" connectionId="193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DadosExternos_446" connectionId="756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DadosExternos_437" connectionId="690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DadosExternos_298" connectionId="441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DadosExternos_161" connectionId="677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DadosExternos_229" connectionId="205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DadosExternos_466" connectionId="54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DadosExternos_358" connectionId="565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DadosExternos_315" connectionId="476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DadosExternos_171" connectionId="720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DadosExternos_243" connectionId="242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ExternalData_74" connectionId="1015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DadosExternos_370" connectionId="83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DadosExternos_129" connectionId="446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ExternalData_95" connectionId="1092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DadosExternos_221" connectionId="185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ExternalData_58" connectionId="960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DadosExternos_54" connectionId="352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ExternalData_9" connectionId="1078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DadosExternos_17" connectionId="48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DadosExternos_130" connectionId="459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ExternalData_84" connectionId="1037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DadosExternos_139" connectionId="588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DadosExternos_350" connectionId="549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DadosExternos_249" connectionId="272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ExternalData_89" connectionId="1068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DadosExternos_64" connectionId="508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DadosExternos_90" connectionId="785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DadosExternos_426" connectionId="644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DadosExternos_235" connectionId="218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DadosExternos_132" connectionId="488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DadosExternos_398" connectionId="349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DadosExternos_47" connectionId="253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DadosExternos_423" connectionId="633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DadosExternos_116" connectionId="259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DadosExternos_246" connectionId="265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DadosExternos_276" connectionId="360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ExternalData_106" connectionId="1121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DadosExternos_6" connectionId="619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DadosExternos_16" connectionId="773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DadosExternos_345" connectionId="545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DadosExternos_325" connectionId="496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DadosExternos_374" connectionId="551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DadosExternos_305" connectionId="456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ExternalData_28" connectionId="919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DadosExternos_136" connectionId="555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DadosExternos_118" connectionId="281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ExternalData_2" connectionId="1064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DadosExternos_145" connectionId="609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ExternalData_49" connectionId="856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DadosExternos_380" connectionId="7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DadosExternos_137" connectionId="568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DadosExternos_151" connectionId="634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DadosExternos_381" connectionId="52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DadosExternos_237" connectionId="220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ExternalData_43" connectionId="1060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DadosExternos_371" connectionId="80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ExternalData_96" connectionId="1094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DadosExternos_147" connectionId="622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DadosExternos_240" connectionId="229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DadosExternos_336" connectionId="519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DadosExternos_270" connectionId="343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DadosExternos_134" connectionId="521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DadosExternos_126" connectionId="401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DadosExternos_330" connectionId="512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ExternalData_5" connectionId="1001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DadosExternos_51" connectionId="306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DadosExternos_35" connectionId="783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DadosExternos_165" connectionId="691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ExternalData_31" connectionId="950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DadosExternos_73" connectionId="658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DadosExternos_460" connectionId="23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DadosExternos_135" connectionId="543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DadosExternos_451" connectionId="773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DadosExternos_117" connectionId="267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ExternalData_107" connectionId="1127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DadosExternos_408" connectionId="504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DadosExternos_454" connectionId="794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ExternalData_18" connectionId="857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ExternalData_34" connectionId="976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DadosExternos_296" connectionId="436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DadosExternos_182" connectionId="763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DadosExternos_175" connectionId="733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DadosExternos_360" connectionId="570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DadosExternos_177" connectionId="748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DadosExternos_58" connectionId="412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DadosExternos_128" connectionId="426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DadosExternos_308" connectionId="465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DadosExternos_122" connectionId="339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DadosExternos_275" connectionId="357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DadosExternos_169" connectionId="713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DadosExternos_234" connectionId="212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DadosExternos_4" connectionId="395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DadosExternos_349" connectionId="547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ExternalData_97" connectionId="1097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DadosExternos_228" connectionId="203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DadosExternos_461" connectionId="28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ExternalData_44" connectionId="1077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ExternalData_70" connectionId="1007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DadosExternos_365" connectionId="578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DadosExternos_329" connectionId="510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DadosExternos_179" connectionId="754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DadosExternos_397" connectionId="335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DadosExternos_238" connectionId="222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ExternalData_55" connectionId="944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ExternalData_47" connectionId="812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DadosExternos_114" connectionId="216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DadosExternos_457" connectionId="11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DadosExternos_403" connectionId="423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ExternalData_79" connectionId="1027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DadosExternos_367" connectionId="580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DadosExternos_1" connectionId="787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DadosExternos_414" connectionId="587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DadosExternos_382" connectionId="86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DadosExternos_69" connectionId="246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DadosExternos_52" connectionId="323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ExternalData_11" connectionId="1124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DadosExternos_55" connectionId="364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DadosExternos_401" connectionId="394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DadosExternos_421" connectionId="627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DadosExternos_279" connectionId="374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DadosExternos_65" connectionId="524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ExternalData_7" connectionId="1045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ExternalData_108" connectionId="1130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DadosExternos_178" connectionId="751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ExternalData_64" connectionId="992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ExternalData_14" connectionId="860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DadosExternos_361" connectionId="572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DadosExternos_150" connectionId="631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DadosExternos_3" connectionId="249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ExternalData_3" connectionId="836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DadosExternos_48" connectionId="269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DadosExternos_62" connectionId="472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ExternalData_25" connectionId="880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DadosExternos_292" connectionId="422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ExternalData_51" connectionId="890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DadosExternos_411" connectionId="554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DadosExternos_70" connectionId="399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DadosExternos_125" connectionId="383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DadosExternos_452" connectionId="779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DadosExternos_155" connectionId="650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DadosExternos_376" connectionId="652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ExternalData_71" connectionId="1009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DadosExternos_239" connectionId="224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ExternalData_26" connectionId="891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ExternalData_98" connectionId="1103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DadosExternos_167" connectionId="705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DadosExternos_435" connectionId="682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DadosExternos_415" connectionId="590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DadosExternos_103" connectionId="736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DadosExternos_456" connectionId="803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ExternalData_115" connectionId="810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DadosExternos_127" connectionId="410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DadosExternos_320" connectionId="486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DadosExternos_337" connectionId="526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ExternalData_1" connectionId="1081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DadosExternos_428" connectionId="655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ExternalData_81" connectionId="1031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DadosExternos_424" connectionId="637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DadosExternos_172" connectionId="723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ExternalData_48" connectionId="833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DadosExternos_442" connectionId="737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DadosExternos_402" connectionId="409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DadosExternos_339" connectionId="530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DadosExternos_10" connectionId="794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ExternalData_72" connectionId="1011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DadosExternos_61" connectionId="461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ExternalData_90" connectionId="1073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ExternalData_109" connectionId="1132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DadosExternos_300" connectionId="450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DadosExternos_30" connectionId="552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DadosExternos_115" connectionId="233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ExternalData_33" connectionId="971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DadosExternos_458" connectionId="14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DadosExternos_154" connectionId="645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ExternalData_41" connectionId="989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ExternalData_23" connectionId="1127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DadosExternos_27" connectionId="68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DadosExternos_463" connectionId="38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DadosExternos_144" connectionId="605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DadosExternos_288" connectionId="407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DadosExternos_400" connectionId="380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DadosExternos_291" connectionId="418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DadosExternos_181" connectionId="760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ExternalData_66" connectionId="998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DadosExternos_141" connectionId="595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DadosExternos_163" connectionId="683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DadosExternos_318" connectionId="480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DadosExternos_465" connectionId="47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ExternalData_24" connectionId="813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ExternalData_99" connectionId="1106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DadosExternos_392" connectionId="266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DadosExternos_131" connectionId="474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DadosExternos_431" connectionId="668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DadosExternos_9" connectionId="738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DadosExternos_259" connectionId="302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DadosExternos_66" connectionId="540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ExternalData_13" connectionId="834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DadosExternos_250" connectionId="274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ExternalData_53" connectionId="918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DadosExternos_244" connectionId="261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DadosExternos_445" connectionId="753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DadosExternos_72" connectionId="617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DadosExternos_418" connectionId="613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ExternalData_116" connectionId="816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ExternalData_20" connectionId="1004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DadosExternos_434" connectionId="679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DadosExternos_26" connectionId="768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DadosExternos_153" connectionId="642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DadosExternos_14" connectionId="702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DadosExternos_277" connectionId="368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ExternalData_77" connectionId="1022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ExternalData_110" connectionId="1134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ExternalData_60" connectionId="970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DadosExternos_447" connectionId="759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DadosExternos_379" connectionId="777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DadosExternos_142" connectionId="599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ExternalData_37" connectionId="990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DadosExternos_256" connectionId="287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DadosExternos_97" connectionId="257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ExternalData_32" connectionId="956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DadosExternos_299" connectionId="448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DadosExternos_31" connectionId="612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DadosExternos_262" connectionId="316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ExternalData_62" connectionId="980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DadosExternos_363" connectionId="576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DadosExternos_404" connectionId="442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ExternalData_30" connectionId="945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ExternalData_17" connectionId="1047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DadosExternos_187" connectionId="24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DadosExternos_444" connectionId="750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ExternalData_100" connectionId="1108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DadosExternos_170" connectionId="717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DadosExternos_257" connectionId="295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ExternalData_16" connectionId="894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DadosExternos_152" connectionId="638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ExternalData_63" connectionId="985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DadosExternos_377" connectionId="694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DadosExternos_140" connectionId="591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ExternalData_52" connectionId="904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DadosExternos_369" connectionId="585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DadosExternos_223" connectionId="189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DadosExternos_60" connectionId="443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ExternalData_68" connectionId="1003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ExternalData_45" connectionId="1099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ExternalData_117" connectionId="819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DadosExternos_133" connectionId="505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DadosExternos_43" connectionId="180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DadosExternos_459" connectionId="18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DadosExternos_432" connectionId="672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DadosExternos_390" connectionId="230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DadosExternos_468" connectionId="67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DadosExternos_304" connectionId="454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DadosExternos_317" connectionId="478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ExternalData_8" connectionId="1061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DadosExternos_323" connectionId="492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DadosExternos_327" connectionId="500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ExternalData_39" connectionId="995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DadosExternos_394" connectionId="290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DadosExternos_272" connectionId="354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DadosExternos_391" connectionId="248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ExternalData_54" connectionId="932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ExternalData_101" connectionId="1110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DadosExternos_453" connectionId="789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ExternalData_80" connectionId="1029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DadosExternos_159" connectionId="669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DadosExternos_462" connectionId="33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DadosExternos_433" connectionId="676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DadosExternos_342" connectionId="532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DadosExternos_260" connectionId="310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ExternalData_46" connectionId="1123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DadosExternos_160" connectionId="673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ExternalData_112" connectionId="1138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DadosExternos_352" connectionId="559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DadosExternos_138" connectionId="583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DadosExternos_302" connectionId="452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DadosExternos_268" connectionId="331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DadosExternos_440" connectionId="708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DadosExternos_32" connectionId="653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ExternalData_10" connectionId="1103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DadosExternos_263" connectionId="319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DadosExternos_333" connectionId="516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DadosExternos_319" connectionId="483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DadosExternos_378" connectionId="735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DadosExternos_311" connectionId="469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DadosExternos_265" connectionId="327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name="DadosExternos_389" connectionId="213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name="DadosExternos_168" connectionId="709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name="DadosExternos_253" connectionId="285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name="DadosExternos_157" connectionId="663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name="DadosExternos_53" connectionId="336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name="DadosExternos_287" connectionId="405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name="ExternalData_15" connectionId="877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ExternalData_92" connectionId="1086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name="DadosExternos_425" connectionId="641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name="DadosExternos_271" connectionId="346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name="DadosExternos_173" connectionId="726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name="ExternalData_69" connectionId="1005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DadosExternos_12" connectionId="77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DadosExternos_241" connectionId="235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name="ExternalData_88" connectionId="1058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name="ExternalData_22" connectionId="1100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name="DadosExternos_146" connectionId="614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name="ExternalData_103" connectionId="1114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ExternalData_168" connectionId="942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name="ExternalData_167" connectionId="937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ExternalData_166" connectionId="927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ExternalData_165" connectionId="926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name="ExternalData_164" connectionId="925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name="ExternalData_163" connectionId="924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name="ExternalData_162" connectionId="923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name="ExternalData_161" connectionId="922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name="ExternalData_160" connectionId="917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name="ExternalData_159" connectionId="915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name="ExternalData_158" connectionId="914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name="ExternalData_157" connectionId="913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ExternalData_156" connectionId="908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name="ExternalData_155" connectionId="903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name="ExternalData_154" connectionId="901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ExternalData_153" connectionId="900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name="ExternalData_152" connectionId="898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name="ExternalData_151" connectionId="897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ExternalData_150" connectionId="896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name="ExternalData_149" connectionId="895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name="ExternalData_148" connectionId="894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ExternalData_147" connectionId="889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name="ExternalData_146" connectionId="887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name="ExternalData_145" connectionId="886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name="ExternalData_144" connectionId="885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name="ExternalData_143" connectionId="884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name="ExternalData_142" connectionId="883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name="ExternalData_141" connectionId="882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name="ExternalData_140" connectionId="881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name="ExternalData_139" connectionId="880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name="ExternalData_138" connectionId="875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name="ExternalData_137" connectionId="873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name="ExternalData_136" connectionId="872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name="DadosExternos_38" connectionId="88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name="ExternalData_103" connectionId="1115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name="DadosExternos_146" connectionId="615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name="ExternalData_22" connectionId="1101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name="ExternalData_88" connectionId="1059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name="DadosExternos_241" connectionId="235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DadosExternos_12" connectionId="78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name="ExternalData_69" connectionId="1006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name="DadosExternos_173" connectionId="726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name="DadosExternos_271" connectionId="346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name="DadosExternos_425" connectionId="642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name="ExternalData_92" connectionId="1087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ExternalData_15" connectionId="878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name="DadosExternos_287" connectionId="405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name="DadosExternos_53" connectionId="337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name="DadosExternos_157" connectionId="663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name="DadosExternos_253" connectionId="285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name="DadosExternos_168" connectionId="710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name="DadosExternos_389" connectionId="214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name="DadosExternos_265" connectionId="327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name="DadosExternos_311" connectionId="469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name="DadosExternos_378" connectionId="736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name="DadosExternos_319" connectionId="483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name="DadosExternos_333" connectionId="516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name="DadosExternos_263" connectionId="319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name="ExternalData_10" connectionId="1105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name="DadosExternos_32" connectionId="654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name="DadosExternos_440" connectionId="709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name="DadosExternos_268" connectionId="331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name="DadosExternos_302" connectionId="452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name="DadosExternos_138" connectionId="583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name="DadosExternos_352" connectionId="559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name="ExternalData_112" connectionId="1139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name="DadosExternos_160" connectionId="674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name="ExternalData_46" connectionId="1126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name="DadosExternos_260" connectionId="310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name="DadosExternos_342" connectionId="532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name="DadosExternos_433" connectionId="677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name="DadosExternos_462" connectionId="36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name="DadosExternos_159" connectionId="670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name="ExternalData_80" connectionId="1030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name="DadosExternos_453" connectionId="792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name="ExternalData_101" connectionId="1111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name="ExternalData_54" connectionId="935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name="DadosExternos_391" connectionId="249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name="DadosExternos_272" connectionId="354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name="DadosExternos_394" connectionId="291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name="ExternalData_39" connectionId="996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name="DadosExternos_327" connectionId="500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name="DadosExternos_323" connectionId="492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name="ExternalData_8" connectionId="1062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name="DadosExternos_317" connectionId="478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name="DadosExternos_304" connectionId="454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name="DadosExternos_468" connectionId="70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name="DadosExternos_390" connectionId="231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name="DadosExternos_432" connectionId="673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name="DadosExternos_459" connectionId="21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name="DadosExternos_43" connectionId="180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name="DadosExternos_133" connectionId="506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name="ExternalData_117" connectionId="820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name="ExternalData_45" connectionId="1102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name="ExternalData_68" connectionId="1004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name="DadosExternos_60" connectionId="444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name="DadosExternos_223" connectionId="189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name="DadosExternos_369" connectionId="585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name="ExternalData_52" connectionId="907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name="DadosExternos_140" connectionId="592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name="DadosExternos_377" connectionId="695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name="ExternalData_63" connectionId="988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name="DadosExternos_152" connectionId="639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name="ExternalData_16" connectionId="894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name="DadosExternos_257" connectionId="295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name="DadosExternos_170" connectionId="717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name="ExternalData_100" connectionId="1109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name="DadosExternos_444" connectionId="751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name="DadosExternos_187" connectionId="25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name="ExternalData_17" connectionId="1049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name="ExternalData_30" connectionId="946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name="DadosExternos_404" connectionId="443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name="DadosExternos_363" connectionId="576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name="ExternalData_62" connectionId="983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name="DadosExternos_262" connectionId="316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name="DadosExternos_31" connectionId="612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name="DadosExternos_299" connectionId="448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name="ExternalData_32" connectionId="957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name="DadosExternos_97" connectionId="257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name="DadosExternos_256" connectionId="287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name="ExternalData_37" connectionId="991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name="DadosExternos_142" connectionId="599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name="DadosExternos_379" connectionId="778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name="DadosExternos_190" connectionId="40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name="DadosExternos_447" connectionId="760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name="ExternalData_60" connectionId="973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name="ExternalData_110" connectionId="1135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name="ExternalData_77" connectionId="1023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name="DadosExternos_277" connectionId="368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name="DadosExternos_14" connectionId="702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name="DadosExternos_153" connectionId="642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name="DadosExternos_26" connectionId="769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name="DadosExternos_434" connectionId="680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name="ExternalData_20" connectionId="1004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name="ExternalData_116" connectionId="818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name="DadosExternos_418" connectionId="614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name="DadosExternos_72" connectionId="617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name="DadosExternos_445" connectionId="754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name="DadosExternos_244" connectionId="261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name="ExternalData_53" connectionId="921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name="DadosExternos_250" connectionId="274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name="ExternalData_13" connectionId="835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name="DadosExternos_66" connectionId="541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name="DadosExternos_191" connectionId="44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name="DadosExternos_259" connectionId="302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name="DadosExternos_9" connectionId="739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name="DadosExternos_431" connectionId="669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name="DadosExternos_131" connectionId="474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name="DadosExternos_392" connectionId="267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name="ExternalData_99" connectionId="1107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name="ExternalData_24" connectionId="814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name="DadosExternos_465" connectionId="50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name="DadosExternos_318" connectionId="480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name="DadosExternos_163" connectionId="684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name="DadosExternos_141" connectionId="596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name="ExternalData_66" connectionId="999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name="DadosExternos_181" connectionId="760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name="DadosExternos_291" connectionId="418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name="DadosExternos_400" connectionId="381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name="DadosExternos_288" connectionId="407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name="DadosExternos_144" connectionId="605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name="DadosExternos_463" connectionId="39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name="DadosExternos_27" connectionId="69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name="ExternalData_23" connectionId="1129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name="ExternalData_41" connectionId="990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name="DadosExternos_154" connectionId="646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name="DadosExternos_458" connectionId="16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name="ExternalData_33" connectionId="972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name="DadosExternos_115" connectionId="233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name="DadosExternos_30" connectionId="553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name="DadosExternos_300" connectionId="450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name="ExternalData_109" connectionId="1133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name="ExternalData_90" connectionId="1074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name="DadosExternos_61" connectionId="461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name="ExternalData_72" connectionId="1012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name="DadosExternos_10" connectionId="796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name="DadosExternos_339" connectionId="530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name="DadosExternos_402" connectionId="410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name="DadosExternos_442" connectionId="738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name="ExternalData_48" connectionId="834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name="DadosExternos_172" connectionId="723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name="DadosExternos_424" connectionId="638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name="ExternalData_81" connectionId="1032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name="DadosExternos_428" connectionId="656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name="ExternalData_1" connectionId="1082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name="DadosExternos_337" connectionId="526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name="DadosExternos_320" connectionId="486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name="DadosExternos_127" connectionId="410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name="ExternalData_115" connectionId="811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name="DadosExternos_456" connectionId="804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name="DadosExternos_103" connectionId="736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name="DadosExternos_415" connectionId="591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name="DadosExternos_435" connectionId="683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name="DadosExternos_167" connectionId="706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name="ExternalData_98" connectionId="1104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name="ExternalData_26" connectionId="892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name="DadosExternos_239" connectionId="224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name="ExternalData_71" connectionId="1010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name="DadosExternos_376" connectionId="653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name="DadosExternos_155" connectionId="650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name="DadosExternos_452" connectionId="781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name="DadosExternos_125" connectionId="383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name="DadosExternos_70" connectionId="399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name="DadosExternos_411" connectionId="555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name="ExternalData_51" connectionId="893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name="DadosExternos_292" connectionId="422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name="ExternalData_25" connectionId="880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name="DadosExternos_62" connectionId="472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name="DadosExternos_48" connectionId="269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name="ExternalData_3" connectionId="838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name="DadosExternos_3" connectionId="249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name="DadosExternos_150" connectionId="631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name="DadosExternos_361" connectionId="572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name="ExternalData_14" connectionId="862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name="ExternalData_64" connectionId="993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name="DadosExternos_178" connectionId="751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name="ExternalData_108" connectionId="1131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name="ExternalData_7" connectionId="1046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name="DadosExternos_65" connectionId="524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name="DadosExternos_279" connectionId="374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name="DadosExternos_421" connectionId="628" autoFormatId="16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name="DadosExternos_401" connectionId="395" autoFormatId="16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name="DadosExternos_55" connectionId="364" autoFormatId="16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name="ExternalData_11" connectionId="1125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name="DadosExternos_52" connectionId="323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name="DadosExternos_69" connectionId="247" autoFormatId="16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name="DadosExternos_382" connectionId="87" autoFormatId="16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name="DadosExternos_414" connectionId="588" autoFormatId="16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name="DadosExternos_192" connectionId="85" autoFormatId="16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name="DadosExternos_1" connectionId="787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name="DadosExternos_367" connectionId="580" autoFormatId="16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name="ExternalData_79" connectionId="1028" autoFormatId="16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name="DadosExternos_403" connectionId="424" autoFormatId="16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name="DadosExternos_457" connectionId="12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name="DadosExternos_114" connectionId="216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name="ExternalData_47" connectionId="815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name="ExternalData_55" connectionId="947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name="DadosExternos_238" connectionId="222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name="DadosExternos_397" connectionId="336" autoFormatId="16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name="DadosExternos_179" connectionId="754" autoFormatId="16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name="DadosExternos_329" connectionId="510" autoFormatId="16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name="DadosExternos_365" connectionId="578" autoFormatId="16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name="ExternalData_70" connectionId="1008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name="ExternalData_44" connectionId="1080" autoFormatId="16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name="DadosExternos_461" connectionId="31" autoFormatId="16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name="DadosExternos_228" connectionId="203" autoFormatId="16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name="ExternalData_97" connectionId="1098" autoFormatId="16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name="DadosExternos_349" connectionId="547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name="DadosExternos_4" connectionId="395" autoFormatId="16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name="DadosExternos_234" connectionId="212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name="DadosExternos_169" connectionId="714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name="DadosExternos_275" connectionId="357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name="DadosExternos_122" connectionId="339" autoFormatId="16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name="DadosExternos_308" connectionId="465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name="DadosExternos_128" connectionId="426" autoFormatId="16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name="DadosExternos_58" connectionId="412" autoFormatId="16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name="DadosExternos_177" connectionId="748" autoFormatId="16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name="DadosExternos_360" connectionId="570" autoFormatId="16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name="DadosExternos_175" connectionId="733" autoFormatId="16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name="DadosExternos_182" connectionId="763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name="DadosExternos_296" connectionId="436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name="ExternalData_34" connectionId="977" autoFormatId="16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name="ExternalData_18" connectionId="858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name="DadosExternos_454" connectionId="795" autoFormatId="16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name="DadosExternos_408" connectionId="505" autoFormatId="16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name="ExternalData_107" connectionId="1128" autoFormatId="16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name="DadosExternos_117" connectionId="267" autoFormatId="16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name="DadosExternos_451" connectionId="775" autoFormatId="16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name="DadosExternos_135" connectionId="543" autoFormatId="16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name="DadosExternos_460" connectionId="26" autoFormatId="16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name="DadosExternos_73" connectionId="658" autoFormatId="16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name="ExternalData_31" connectionId="951" autoFormatId="16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name="DadosExternos_165" connectionId="692" autoFormatId="16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name="DadosExternos_35" connectionId="783" autoFormatId="16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name="DadosExternos_51" connectionId="306" autoFormatId="16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name="ExternalData_5" connectionId="1002" autoFormatId="16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name="DadosExternos_330" connectionId="512" autoFormatId="16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name="DadosExternos_126" connectionId="401" autoFormatId="16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name="DadosExternos_134" connectionId="522" autoFormatId="16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name="DadosExternos_270" connectionId="343" autoFormatId="16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name="DadosExternos_336" connectionId="519" autoFormatId="16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name="DadosExternos_240" connectionId="229" autoFormatId="16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name="DadosExternos_147" connectionId="622" autoFormatId="16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name="ExternalData_96" connectionId="1095" autoFormatId="16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name="DadosExternos_371" connectionId="81" autoFormatId="16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name="ExternalData_43" connectionId="1063" autoFormatId="16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name="DadosExternos_237" connectionId="220" autoFormatId="16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name="DadosExternos_381" connectionId="53" autoFormatId="16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name="DadosExternos_151" connectionId="635" autoFormatId="16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name="DadosExternos_137" connectionId="568" autoFormatId="16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name="DadosExternos_380" connectionId="8" autoFormatId="16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name="ExternalData_49" connectionId="859" autoFormatId="16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name="DadosExternos_145" connectionId="609" autoFormatId="16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name="ExternalData_2" connectionId="1065" autoFormatId="16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name="DadosExternos_118" connectionId="281" autoFormatId="16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name="DadosExternos_136" connectionId="555" autoFormatId="16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name="ExternalData_28" connectionId="920" autoFormatId="16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name="DadosExternos_305" connectionId="456" autoFormatId="16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name="DadosExternos_374" connectionId="552" autoFormatId="16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name="DadosExternos_325" connectionId="496" autoFormatId="16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name="DadosExternos_345" connectionId="545" autoFormatId="16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name="DadosExternos_16" connectionId="774" autoFormatId="16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name="DadosExternos_6" connectionId="619" autoFormatId="16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name="ExternalData_106" connectionId="1122" autoFormatId="16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name="DadosExternos_276" connectionId="360" autoFormatId="16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name="DadosExternos_246" connectionId="265" autoFormatId="16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name="DadosExternos_116" connectionId="259" autoFormatId="16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name="DadosExternos_423" connectionId="634" autoFormatId="16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name="DadosExternos_47" connectionId="253" autoFormatId="16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name="DadosExternos_398" connectionId="350" autoFormatId="16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name="DadosExternos_132" connectionId="488" autoFormatId="16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name="DadosExternos_235" connectionId="218" autoFormatId="16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name="DadosExternos_426" connectionId="645" autoFormatId="16" applyNumberFormats="0" applyBorderFormats="0" applyFontFormats="1" applyPatternFormats="1" applyAlignmentFormats="0" applyWidthHeightFormats="0"/>
</file>

<file path=xl/queryTables/queryTable1866.xml><?xml version="1.0" encoding="utf-8"?>
<queryTable xmlns="http://schemas.openxmlformats.org/spreadsheetml/2006/main" name="DadosExternos_90" connectionId="785" autoFormatId="16" applyNumberFormats="0" applyBorderFormats="0" applyFontFormats="1" applyPatternFormats="1" applyAlignmentFormats="0" applyWidthHeightFormats="0"/>
</file>

<file path=xl/queryTables/queryTable1867.xml><?xml version="1.0" encoding="utf-8"?>
<queryTable xmlns="http://schemas.openxmlformats.org/spreadsheetml/2006/main" name="DadosExternos_64" connectionId="508" autoFormatId="16" applyNumberFormats="0" applyBorderFormats="0" applyFontFormats="1" applyPatternFormats="1" applyAlignmentFormats="0" applyWidthHeightFormats="0"/>
</file>

<file path=xl/queryTables/queryTable1868.xml><?xml version="1.0" encoding="utf-8"?>
<queryTable xmlns="http://schemas.openxmlformats.org/spreadsheetml/2006/main" name="ExternalData_89" connectionId="1069" autoFormatId="16" applyNumberFormats="0" applyBorderFormats="0" applyFontFormats="1" applyPatternFormats="1" applyAlignmentFormats="0" applyWidthHeightFormats="0"/>
</file>

<file path=xl/queryTables/queryTable1869.xml><?xml version="1.0" encoding="utf-8"?>
<queryTable xmlns="http://schemas.openxmlformats.org/spreadsheetml/2006/main" name="DadosExternos_249" connectionId="272" autoFormatId="16" applyNumberFormats="0" applyBorderFormats="0" applyFontFormats="1" applyPatternFormats="1" applyAlignmentFormats="0" applyWidthHeightFormats="0"/>
</file>

<file path=xl/queryTables/queryTable1870.xml><?xml version="1.0" encoding="utf-8"?>
<queryTable xmlns="http://schemas.openxmlformats.org/spreadsheetml/2006/main" name="DadosExternos_350" connectionId="549" autoFormatId="16" applyNumberFormats="0" applyBorderFormats="0" applyFontFormats="1" applyPatternFormats="1" applyAlignmentFormats="0" applyWidthHeightFormats="0"/>
</file>

<file path=xl/queryTables/queryTable1871.xml><?xml version="1.0" encoding="utf-8"?>
<queryTable xmlns="http://schemas.openxmlformats.org/spreadsheetml/2006/main" name="DadosExternos_139" connectionId="588" autoFormatId="16" applyNumberFormats="0" applyBorderFormats="0" applyFontFormats="1" applyPatternFormats="1" applyAlignmentFormats="0" applyWidthHeightFormats="0"/>
</file>

<file path=xl/queryTables/queryTable1872.xml><?xml version="1.0" encoding="utf-8"?>
<queryTable xmlns="http://schemas.openxmlformats.org/spreadsheetml/2006/main" name="ExternalData_84" connectionId="1038" autoFormatId="16" applyNumberFormats="0" applyBorderFormats="0" applyFontFormats="1" applyPatternFormats="1" applyAlignmentFormats="0" applyWidthHeightFormats="0"/>
</file>

<file path=xl/queryTables/queryTable1873.xml><?xml version="1.0" encoding="utf-8"?>
<queryTable xmlns="http://schemas.openxmlformats.org/spreadsheetml/2006/main" name="DadosExternos_130" connectionId="459" autoFormatId="16" applyNumberFormats="0" applyBorderFormats="0" applyFontFormats="1" applyPatternFormats="1" applyAlignmentFormats="0" applyWidthHeightFormats="0"/>
</file>

<file path=xl/queryTables/queryTable1874.xml><?xml version="1.0" encoding="utf-8"?>
<queryTable xmlns="http://schemas.openxmlformats.org/spreadsheetml/2006/main" name="DadosExternos_17" connectionId="49" autoFormatId="16" applyNumberFormats="0" applyBorderFormats="0" applyFontFormats="1" applyPatternFormats="1" applyAlignmentFormats="0" applyWidthHeightFormats="0"/>
</file>

<file path=xl/queryTables/queryTable1875.xml><?xml version="1.0" encoding="utf-8"?>
<queryTable xmlns="http://schemas.openxmlformats.org/spreadsheetml/2006/main" name="ExternalData_9" connectionId="1079" autoFormatId="16" applyNumberFormats="0" applyBorderFormats="0" applyFontFormats="1" applyPatternFormats="1" applyAlignmentFormats="0" applyWidthHeightFormats="0"/>
</file>

<file path=xl/queryTables/queryTable1876.xml><?xml version="1.0" encoding="utf-8"?>
<queryTable xmlns="http://schemas.openxmlformats.org/spreadsheetml/2006/main" name="DadosExternos_54" connectionId="352" autoFormatId="16" applyNumberFormats="0" applyBorderFormats="0" applyFontFormats="1" applyPatternFormats="1" applyAlignmentFormats="0" applyWidthHeightFormats="0"/>
</file>

<file path=xl/queryTables/queryTable1877.xml><?xml version="1.0" encoding="utf-8"?>
<queryTable xmlns="http://schemas.openxmlformats.org/spreadsheetml/2006/main" name="ExternalData_58" connectionId="963" autoFormatId="16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name="DadosExternos_221" connectionId="185" autoFormatId="16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name="ExternalData_95" connectionId="1093" autoFormatId="16" applyNumberFormats="0" applyBorderFormats="0" applyFontFormats="1" applyPatternFormats="1" applyAlignmentFormats="0" applyWidthHeightFormats="0"/>
</file>

<file path=xl/queryTables/queryTable1880.xml><?xml version="1.0" encoding="utf-8"?>
<queryTable xmlns="http://schemas.openxmlformats.org/spreadsheetml/2006/main" name="DadosExternos_129" connectionId="446" autoFormatId="16" applyNumberFormats="0" applyBorderFormats="0" applyFontFormats="1" applyPatternFormats="1" applyAlignmentFormats="0" applyWidthHeightFormats="0"/>
</file>

<file path=xl/queryTables/queryTable1881.xml><?xml version="1.0" encoding="utf-8"?>
<queryTable xmlns="http://schemas.openxmlformats.org/spreadsheetml/2006/main" name="DadosExternos_370" connectionId="84" autoFormatId="16" applyNumberFormats="0" applyBorderFormats="0" applyFontFormats="1" applyPatternFormats="1" applyAlignmentFormats="0" applyWidthHeightFormats="0"/>
</file>

<file path=xl/queryTables/queryTable1882.xml><?xml version="1.0" encoding="utf-8"?>
<queryTable xmlns="http://schemas.openxmlformats.org/spreadsheetml/2006/main" name="ExternalData_74" connectionId="1016" autoFormatId="16" applyNumberFormats="0" applyBorderFormats="0" applyFontFormats="1" applyPatternFormats="1" applyAlignmentFormats="0" applyWidthHeightFormats="0"/>
</file>

<file path=xl/queryTables/queryTable1883.xml><?xml version="1.0" encoding="utf-8"?>
<queryTable xmlns="http://schemas.openxmlformats.org/spreadsheetml/2006/main" name="DadosExternos_243" connectionId="242" autoFormatId="16" applyNumberFormats="0" applyBorderFormats="0" applyFontFormats="1" applyPatternFormats="1" applyAlignmentFormats="0" applyWidthHeightFormats="0"/>
</file>

<file path=xl/queryTables/queryTable1884.xml><?xml version="1.0" encoding="utf-8"?>
<queryTable xmlns="http://schemas.openxmlformats.org/spreadsheetml/2006/main" name="DadosExternos_171" connectionId="720" autoFormatId="16" applyNumberFormats="0" applyBorderFormats="0" applyFontFormats="1" applyPatternFormats="1" applyAlignmentFormats="0" applyWidthHeightFormats="0"/>
</file>

<file path=xl/queryTables/queryTable1885.xml><?xml version="1.0" encoding="utf-8"?>
<queryTable xmlns="http://schemas.openxmlformats.org/spreadsheetml/2006/main" name="DadosExternos_315" connectionId="476" autoFormatId="16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1888.xml><?xml version="1.0" encoding="utf-8"?>
<queryTable xmlns="http://schemas.openxmlformats.org/spreadsheetml/2006/main" name="DadosExternos_358" connectionId="565" autoFormatId="16" applyNumberFormats="0" applyBorderFormats="0" applyFontFormats="1" applyPatternFormats="1" applyAlignmentFormats="0" applyWidthHeightFormats="0"/>
</file>

<file path=xl/queryTables/queryTable1889.xml><?xml version="1.0" encoding="utf-8"?>
<queryTable xmlns="http://schemas.openxmlformats.org/spreadsheetml/2006/main" name="DadosExternos_466" connectionId="57" autoFormatId="16" applyNumberFormats="0" applyBorderFormats="0" applyFontFormats="1" applyPatternFormats="1" applyAlignmentFormats="0" applyWidthHeightFormats="0"/>
</file>

<file path=xl/queryTables/queryTable1890.xml><?xml version="1.0" encoding="utf-8"?>
<queryTable xmlns="http://schemas.openxmlformats.org/spreadsheetml/2006/main" name="DadosExternos_229" connectionId="205" autoFormatId="16" applyNumberFormats="0" applyBorderFormats="0" applyFontFormats="1" applyPatternFormats="1" applyAlignmentFormats="0" applyWidthHeightFormats="0"/>
</file>

<file path=xl/queryTables/queryTable1891.xml><?xml version="1.0" encoding="utf-8"?>
<queryTable xmlns="http://schemas.openxmlformats.org/spreadsheetml/2006/main" name="DadosExternos_161" connectionId="677" autoFormatId="16" applyNumberFormats="0" applyBorderFormats="0" applyFontFormats="1" applyPatternFormats="1" applyAlignmentFormats="0" applyWidthHeightFormats="0"/>
</file>

<file path=xl/queryTables/queryTable1892.xml><?xml version="1.0" encoding="utf-8"?>
<queryTable xmlns="http://schemas.openxmlformats.org/spreadsheetml/2006/main" name="DadosExternos_298" connectionId="441" autoFormatId="16" applyNumberFormats="0" applyBorderFormats="0" applyFontFormats="1" applyPatternFormats="1" applyAlignmentFormats="0" applyWidthHeightFormats="0"/>
</file>

<file path=xl/queryTables/queryTable1893.xml><?xml version="1.0" encoding="utf-8"?>
<queryTable xmlns="http://schemas.openxmlformats.org/spreadsheetml/2006/main" name="DadosExternos_437" connectionId="691" autoFormatId="16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895.xml><?xml version="1.0" encoding="utf-8"?>
<queryTable xmlns="http://schemas.openxmlformats.org/spreadsheetml/2006/main" name="DadosExternos_446" connectionId="757" autoFormatId="16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name="DadosExternos_225" connectionId="193" autoFormatId="16" applyNumberFormats="0" applyBorderFormats="0" applyFontFormats="1" applyPatternFormats="1" applyAlignmentFormats="0" applyWidthHeightFormats="0"/>
</file>

<file path=xl/queryTables/queryTable1897.xml><?xml version="1.0" encoding="utf-8"?>
<queryTable xmlns="http://schemas.openxmlformats.org/spreadsheetml/2006/main" name="ExternalData_6" connectionId="1026" autoFormatId="16" applyNumberFormats="0" applyBorderFormats="0" applyFontFormats="1" applyPatternFormats="1" applyAlignmentFormats="0" applyWidthHeightFormats="0"/>
</file>

<file path=xl/queryTables/queryTable1898.xml><?xml version="1.0" encoding="utf-8"?>
<queryTable xmlns="http://schemas.openxmlformats.org/spreadsheetml/2006/main" name="DadosExternos_57" connectionId="397" autoFormatId="16" applyNumberFormats="0" applyBorderFormats="0" applyFontFormats="1" applyPatternFormats="1" applyAlignmentFormats="0" applyWidthHeightFormats="0"/>
</file>

<file path=xl/queryTables/queryTable1899.xml><?xml version="1.0" encoding="utf-8"?>
<queryTable xmlns="http://schemas.openxmlformats.org/spreadsheetml/2006/main" name="DadosExternos_174" connectionId="729" autoFormatId="16" applyNumberFormats="0" applyBorderFormats="0" applyFontFormats="1" applyPatternFormats="1" applyAlignmentFormats="0" applyWidthHeightFormats="0"/>
</file>

<file path=xl/queryTables/queryTable1900.xml><?xml version="1.0" encoding="utf-8"?>
<queryTable xmlns="http://schemas.openxmlformats.org/spreadsheetml/2006/main" name="ExternalData_105" connectionId="1119" autoFormatId="16" applyNumberFormats="0" applyBorderFormats="0" applyFontFormats="1" applyPatternFormats="1" applyAlignmentFormats="0" applyWidthHeightFormats="0"/>
</file>

<file path=xl/queryTables/queryTable1901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1902.xml><?xml version="1.0" encoding="utf-8"?>
<queryTable xmlns="http://schemas.openxmlformats.org/spreadsheetml/2006/main" name="ExternalData_4" connectionId="967" autoFormatId="16" applyNumberFormats="0" applyBorderFormats="0" applyFontFormats="1" applyPatternFormats="1" applyAlignmentFormats="0" applyWidthHeightFormats="0"/>
</file>

<file path=xl/queryTables/queryTable1903.xml><?xml version="1.0" encoding="utf-8"?>
<queryTable xmlns="http://schemas.openxmlformats.org/spreadsheetml/2006/main" name="DadosExternos_49" connectionId="279" autoFormatId="16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1905.xml><?xml version="1.0" encoding="utf-8"?>
<queryTable xmlns="http://schemas.openxmlformats.org/spreadsheetml/2006/main" name="DadosExternos_293" connectionId="429" autoFormatId="16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name="DadosExternos_242" connectionId="239" autoFormatId="16" applyNumberFormats="0" applyBorderFormats="0" applyFontFormats="1" applyPatternFormats="1" applyAlignmentFormats="0" applyWidthHeightFormats="0"/>
</file>

<file path=xl/queryTables/queryTable1907.xml><?xml version="1.0" encoding="utf-8"?>
<queryTable xmlns="http://schemas.openxmlformats.org/spreadsheetml/2006/main" name="DadosExternos_189" connectionId="35" autoFormatId="16" applyNumberFormats="0" applyBorderFormats="0" applyFontFormats="1" applyPatternFormats="1" applyAlignmentFormats="0" applyWidthHeightFormats="0"/>
</file>

<file path=xl/queryTables/queryTable1908.xml><?xml version="1.0" encoding="utf-8"?>
<queryTable xmlns="http://schemas.openxmlformats.org/spreadsheetml/2006/main" name="DadosExternos_98" connectionId="393" autoFormatId="16" applyNumberFormats="0" applyBorderFormats="0" applyFontFormats="1" applyPatternFormats="1" applyAlignmentFormats="0" applyWidthHeightFormats="0"/>
</file>

<file path=xl/queryTables/queryTable1909.xml><?xml version="1.0" encoding="utf-8"?>
<queryTable xmlns="http://schemas.openxmlformats.org/spreadsheetml/2006/main" name="ExternalData_94" connectionId="1091" autoFormatId="16" applyNumberFormats="0" applyBorderFormats="0" applyFontFormats="1" applyPatternFormats="1" applyAlignmentFormats="0" applyWidthHeightFormats="0"/>
</file>

<file path=xl/queryTables/queryTable1910.xml><?xml version="1.0" encoding="utf-8"?>
<queryTable xmlns="http://schemas.openxmlformats.org/spreadsheetml/2006/main" name="DadosExternos_158" connectionId="666" autoFormatId="16" applyNumberFormats="0" applyBorderFormats="0" applyFontFormats="1" applyPatternFormats="1" applyAlignmentFormats="0" applyWidthHeightFormats="0"/>
</file>

<file path=xl/queryTables/queryTable1911.xml><?xml version="1.0" encoding="utf-8"?>
<queryTable xmlns="http://schemas.openxmlformats.org/spreadsheetml/2006/main" name="DadosExternos_220" connectionId="182" autoFormatId="16" applyNumberFormats="0" applyBorderFormats="0" applyFontFormats="1" applyPatternFormats="1" applyAlignmentFormats="0" applyWidthHeightFormats="0"/>
</file>

<file path=xl/queryTables/queryTable1912.xml><?xml version="1.0" encoding="utf-8"?>
<queryTable xmlns="http://schemas.openxmlformats.org/spreadsheetml/2006/main" name="DadosExternos_67" connectionId="765" autoFormatId="16" applyNumberFormats="0" applyBorderFormats="0" applyFontFormats="1" applyPatternFormats="1" applyAlignmentFormats="0" applyWidthHeightFormats="0"/>
</file>

<file path=xl/queryTables/queryTable1913.xml><?xml version="1.0" encoding="utf-8"?>
<queryTable xmlns="http://schemas.openxmlformats.org/spreadsheetml/2006/main" name="DadosExternos_149" connectionId="628" autoFormatId="16" applyNumberFormats="0" applyBorderFormats="0" applyFontFormats="1" applyPatternFormats="1" applyAlignmentFormats="0" applyWidthHeightFormats="0"/>
</file>

<file path=xl/queryTables/queryTable1914.xml><?xml version="1.0" encoding="utf-8"?>
<queryTable xmlns="http://schemas.openxmlformats.org/spreadsheetml/2006/main" name="DadosExternos_8" connectionId="698" autoFormatId="16" applyNumberFormats="0" applyBorderFormats="0" applyFontFormats="1" applyPatternFormats="1" applyAlignmentFormats="0" applyWidthHeightFormats="0"/>
</file>

<file path=xl/queryTables/queryTable1915.xml><?xml version="1.0" encoding="utf-8"?>
<queryTable xmlns="http://schemas.openxmlformats.org/spreadsheetml/2006/main" name="DadosExternos_113" connectionId="197" autoFormatId="16" applyNumberFormats="0" applyBorderFormats="0" applyFontFormats="1" applyPatternFormats="1" applyAlignmentFormats="0" applyWidthHeightFormats="0"/>
</file>

<file path=xl/queryTables/queryTable1916.xml><?xml version="1.0" encoding="utf-8"?>
<queryTable xmlns="http://schemas.openxmlformats.org/spreadsheetml/2006/main" name="DadosExternos_344" connectionId="538" autoFormatId="16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name="ExternalData_61" connectionId="978" autoFormatId="16" applyNumberFormats="0" applyBorderFormats="0" applyFontFormats="1" applyPatternFormats="1" applyAlignmentFormats="0" applyWidthHeightFormats="0"/>
</file>

<file path=xl/queryTables/queryTable1918.xml><?xml version="1.0" encoding="utf-8"?>
<queryTable xmlns="http://schemas.openxmlformats.org/spreadsheetml/2006/main" name="DadosExternos_176" connectionId="741" autoFormatId="16" applyNumberFormats="0" applyBorderFormats="0" applyFontFormats="1" applyPatternFormats="1" applyAlignmentFormats="0" applyWidthHeightFormats="0"/>
</file>

<file path=xl/queryTables/queryTable1919.xml><?xml version="1.0" encoding="utf-8"?>
<queryTable xmlns="http://schemas.openxmlformats.org/spreadsheetml/2006/main" name="DadosExternos_121" connectionId="325" autoFormatId="16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name="DadosExternos_227" connectionId="201" autoFormatId="16" applyNumberFormats="0" applyBorderFormats="0" applyFontFormats="1" applyPatternFormats="1" applyAlignmentFormats="0" applyWidthHeightFormats="0"/>
</file>

<file path=xl/queryTables/queryTable1921.xml><?xml version="1.0" encoding="utf-8"?>
<queryTable xmlns="http://schemas.openxmlformats.org/spreadsheetml/2006/main" name="DadosExternos_124" connectionId="366" autoFormatId="16" applyNumberFormats="0" applyBorderFormats="0" applyFontFormats="1" applyPatternFormats="1" applyAlignmentFormats="0" applyWidthHeightFormats="0"/>
</file>

<file path=xl/queryTables/queryTable1922.xml><?xml version="1.0" encoding="utf-8"?>
<queryTable xmlns="http://schemas.openxmlformats.org/spreadsheetml/2006/main" name="DadosExternos_188" connectionId="30" autoFormatId="16" applyNumberFormats="0" applyBorderFormats="0" applyFontFormats="1" applyPatternFormats="1" applyAlignmentFormats="0" applyWidthHeightFormats="0"/>
</file>

<file path=xl/queryTables/queryTable1923.xml><?xml version="1.0" encoding="utf-8"?>
<queryTable xmlns="http://schemas.openxmlformats.org/spreadsheetml/2006/main" name="DadosExternos_372" connectionId="246" autoFormatId="16" applyNumberFormats="0" applyBorderFormats="0" applyFontFormats="1" applyPatternFormats="1" applyAlignmentFormats="0" applyWidthHeightFormats="0"/>
</file>

<file path=xl/queryTables/queryTable1924.xml><?xml version="1.0" encoding="utf-8"?>
<queryTable xmlns="http://schemas.openxmlformats.org/spreadsheetml/2006/main" name="ExternalData_78" connectionId="1025" autoFormatId="16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name="DadosExternos_362" connectionId="574" autoFormatId="16" applyNumberFormats="0" applyBorderFormats="0" applyFontFormats="1" applyPatternFormats="1" applyAlignmentFormats="0" applyWidthHeightFormats="0"/>
</file>

<file path=xl/queryTables/queryTable1926.xml><?xml version="1.0" encoding="utf-8"?>
<queryTable xmlns="http://schemas.openxmlformats.org/spreadsheetml/2006/main" name="DadosExternos_45" connectionId="214" autoFormatId="16" applyNumberFormats="0" applyBorderFormats="0" applyFontFormats="1" applyPatternFormats="1" applyAlignmentFormats="0" applyWidthHeightFormats="0"/>
</file>

<file path=xl/queryTables/queryTable1927.xml><?xml version="1.0" encoding="utf-8"?>
<queryTable xmlns="http://schemas.openxmlformats.org/spreadsheetml/2006/main" name="DadosExternos_148" connectionId="625" autoFormatId="16" applyNumberFormats="0" applyBorderFormats="0" applyFontFormats="1" applyPatternFormats="1" applyAlignmentFormats="0" applyWidthHeightFormats="0"/>
</file>

<file path=xl/queryTables/queryTable1928.xml><?xml version="1.0" encoding="utf-8"?>
<queryTable xmlns="http://schemas.openxmlformats.org/spreadsheetml/2006/main" name="DadosExternos_343" connectionId="534" autoFormatId="16" applyNumberFormats="0" applyBorderFormats="0" applyFontFormats="1" applyPatternFormats="1" applyAlignmentFormats="0" applyWidthHeightFormats="0"/>
</file>

<file path=xl/queryTables/queryTable1929.xml><?xml version="1.0" encoding="utf-8"?>
<queryTable xmlns="http://schemas.openxmlformats.org/spreadsheetml/2006/main" name="DadosExternos_326" connectionId="498" autoFormatId="16" applyNumberFormats="0" applyBorderFormats="0" applyFontFormats="1" applyPatternFormats="1" applyAlignmentFormats="0" applyWidthHeightFormats="0"/>
</file>

<file path=xl/queryTables/queryTable1930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931.xml><?xml version="1.0" encoding="utf-8"?>
<queryTable xmlns="http://schemas.openxmlformats.org/spreadsheetml/2006/main" name="DadosExternos_56" connectionId="381" autoFormatId="16" applyNumberFormats="0" applyBorderFormats="0" applyFontFormats="1" applyPatternFormats="1" applyAlignmentFormats="0" applyWidthHeightFormats="0"/>
</file>

<file path=xl/queryTables/queryTable1932.xml><?xml version="1.0" encoding="utf-8"?>
<queryTable xmlns="http://schemas.openxmlformats.org/spreadsheetml/2006/main" name="DadosExternos_18" connectionId="251" autoFormatId="16" applyNumberFormats="0" applyBorderFormats="0" applyFontFormats="1" applyPatternFormats="1" applyAlignmentFormats="0" applyWidthHeightFormats="0"/>
</file>

<file path=xl/queryTables/queryTable1933.xml><?xml version="1.0" encoding="utf-8"?>
<queryTable xmlns="http://schemas.openxmlformats.org/spreadsheetml/2006/main" name="DadosExternos_46" connectionId="231" autoFormatId="16" applyNumberFormats="0" applyBorderFormats="0" applyFontFormats="1" applyPatternFormats="1" applyAlignmentFormats="0" applyWidthHeightFormats="0"/>
</file>

<file path=xl/queryTables/queryTable1934.xml><?xml version="1.0" encoding="utf-8"?>
<queryTable xmlns="http://schemas.openxmlformats.org/spreadsheetml/2006/main" name="ExternalData_85" connectionId="1040" autoFormatId="16" applyNumberFormats="0" applyBorderFormats="0" applyFontFormats="1" applyPatternFormats="1" applyAlignmentFormats="0" applyWidthHeightFormats="0"/>
</file>

<file path=xl/queryTables/queryTable1935.xml><?xml version="1.0" encoding="utf-8"?>
<queryTable xmlns="http://schemas.openxmlformats.org/spreadsheetml/2006/main" name="ExternalData_12" connectionId="817" autoFormatId="16" applyNumberFormats="0" applyBorderFormats="0" applyFontFormats="1" applyPatternFormats="1" applyAlignmentFormats="0" applyWidthHeightFormats="0"/>
</file>

<file path=xl/queryTables/queryTable1936.xml><?xml version="1.0" encoding="utf-8"?>
<queryTable xmlns="http://schemas.openxmlformats.org/spreadsheetml/2006/main" name="ExternalData_75" connectionId="1018" autoFormatId="16" applyNumberFormats="0" applyBorderFormats="0" applyFontFormats="1" applyPatternFormats="1" applyAlignmentFormats="0" applyWidthHeightFormats="0"/>
</file>

<file path=xl/queryTables/queryTable1937.xml><?xml version="1.0" encoding="utf-8"?>
<queryTable xmlns="http://schemas.openxmlformats.org/spreadsheetml/2006/main" name="DadosExternos_68" connectionId="61" autoFormatId="16" applyNumberFormats="0" applyBorderFormats="0" applyFontFormats="1" applyPatternFormats="1" applyAlignmentFormats="0" applyWidthHeightFormats="0"/>
</file>

<file path=xl/queryTables/queryTable1938.xml><?xml version="1.0" encoding="utf-8"?>
<queryTable xmlns="http://schemas.openxmlformats.org/spreadsheetml/2006/main" name="DadosExternos_455" connectionId="801" autoFormatId="16" applyNumberFormats="0" applyBorderFormats="0" applyFontFormats="1" applyPatternFormats="1" applyAlignmentFormats="0" applyWidthHeightFormats="0"/>
</file>

<file path=xl/queryTables/queryTable1939.xml><?xml version="1.0" encoding="utf-8"?>
<queryTable xmlns="http://schemas.openxmlformats.org/spreadsheetml/2006/main" name="ExternalData_104" connectionId="1117" autoFormatId="16" applyNumberFormats="0" applyBorderFormats="0" applyFontFormats="1" applyPatternFormats="1" applyAlignmentFormats="0" applyWidthHeightFormats="0"/>
</file>

<file path=xl/queryTables/queryTable1940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941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942.xml><?xml version="1.0" encoding="utf-8"?>
<queryTable xmlns="http://schemas.openxmlformats.org/spreadsheetml/2006/main" name="DadosExternos_328" connectionId="503" autoFormatId="16" applyNumberFormats="0" applyBorderFormats="0" applyFontFormats="1" applyPatternFormats="1" applyAlignmentFormats="0" applyWidthHeightFormats="0"/>
</file>

<file path=xl/queryTables/queryTable1943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944.xml><?xml version="1.0" encoding="utf-8"?>
<queryTable xmlns="http://schemas.openxmlformats.org/spreadsheetml/2006/main" name="ExternalData_35" connectionId="982" autoFormatId="16" applyNumberFormats="0" applyBorderFormats="0" applyFontFormats="1" applyPatternFormats="1" applyAlignmentFormats="0" applyWidthHeightFormats="0"/>
</file>

<file path=xl/queryTables/queryTable1945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1946.xml><?xml version="1.0" encoding="utf-8"?>
<queryTable xmlns="http://schemas.openxmlformats.org/spreadsheetml/2006/main" name="DadosExternos_24" connectionId="56" autoFormatId="16" applyNumberFormats="0" applyBorderFormats="0" applyFontFormats="1" applyPatternFormats="1" applyAlignmentFormats="0" applyWidthHeightFormats="0"/>
</file>

<file path=xl/queryTables/queryTable1947.xml><?xml version="1.0" encoding="utf-8"?>
<queryTable xmlns="http://schemas.openxmlformats.org/spreadsheetml/2006/main" name="DadosExternos_410" connectionId="540" autoFormatId="16" applyNumberFormats="0" applyBorderFormats="0" applyFontFormats="1" applyPatternFormats="1" applyAlignmentFormats="0" applyWidthHeightFormats="0"/>
</file>

<file path=xl/queryTables/queryTable1948.xml><?xml version="1.0" encoding="utf-8"?>
<queryTable xmlns="http://schemas.openxmlformats.org/spreadsheetml/2006/main" name="DadosExternos_185" connectionId="15" autoFormatId="16" applyNumberFormats="0" applyBorderFormats="0" applyFontFormats="1" applyPatternFormats="1" applyAlignmentFormats="0" applyWidthHeightFormats="0"/>
</file>

<file path=xl/queryTables/queryTable1949.xml><?xml version="1.0" encoding="utf-8"?>
<queryTable xmlns="http://schemas.openxmlformats.org/spreadsheetml/2006/main" name="DadosExternos_34" connectionId="745" autoFormatId="16" applyNumberFormats="0" applyBorderFormats="0" applyFontFormats="1" applyPatternFormats="1" applyAlignmentFormats="0" applyWidthHeightFormats="0"/>
</file>

<file path=xl/queryTables/queryTable1950.xml><?xml version="1.0" encoding="utf-8"?>
<queryTable xmlns="http://schemas.openxmlformats.org/spreadsheetml/2006/main" name="DadosExternos_278" connectionId="371" autoFormatId="16" applyNumberFormats="0" applyBorderFormats="0" applyFontFormats="1" applyPatternFormats="1" applyAlignmentFormats="0" applyWidthHeightFormats="0"/>
</file>

<file path=xl/queryTables/queryTable1951.xml><?xml version="1.0" encoding="utf-8"?>
<queryTable xmlns="http://schemas.openxmlformats.org/spreadsheetml/2006/main" name="ExternalData_21" connectionId="1023" autoFormatId="16" applyNumberFormats="0" applyBorderFormats="0" applyFontFormats="1" applyPatternFormats="1" applyAlignmentFormats="0" applyWidthHeightFormats="0"/>
</file>

<file path=xl/queryTables/queryTable1952.xml><?xml version="1.0" encoding="utf-8"?>
<queryTable xmlns="http://schemas.openxmlformats.org/spreadsheetml/2006/main" name="DadosExternos_388" connectionId="196" autoFormatId="16" applyNumberFormats="0" applyBorderFormats="0" applyFontFormats="1" applyPatternFormats="1" applyAlignmentFormats="0" applyWidthHeightFormats="0"/>
</file>

<file path=xl/queryTables/queryTable1953.xml><?xml version="1.0" encoding="utf-8"?>
<queryTable xmlns="http://schemas.openxmlformats.org/spreadsheetml/2006/main" name="DadosExternos_11" connectionId="800" autoFormatId="16" applyNumberFormats="0" applyBorderFormats="0" applyFontFormats="1" applyPatternFormats="1" applyAlignmentFormats="0" applyWidthHeightFormats="0"/>
</file>

<file path=xl/queryTables/queryTable1954.xml><?xml version="1.0" encoding="utf-8"?>
<queryTable xmlns="http://schemas.openxmlformats.org/spreadsheetml/2006/main" name="ExternalData_56" connectionId="952" autoFormatId="16" applyNumberFormats="0" applyBorderFormats="0" applyFontFormats="1" applyPatternFormats="1" applyAlignmentFormats="0" applyWidthHeightFormats="0"/>
</file>

<file path=xl/queryTables/queryTable1955.xml><?xml version="1.0" encoding="utf-8"?>
<queryTable xmlns="http://schemas.openxmlformats.org/spreadsheetml/2006/main" name="DadosExternos_50" connectionId="293" autoFormatId="16" applyNumberFormats="0" applyBorderFormats="0" applyFontFormats="1" applyPatternFormats="1" applyAlignmentFormats="0" applyWidthHeightFormats="0"/>
</file>

<file path=xl/queryTables/queryTable1956.xml><?xml version="1.0" encoding="utf-8"?>
<queryTable xmlns="http://schemas.openxmlformats.org/spreadsheetml/2006/main" name="DadosExternos_269" connectionId="334" autoFormatId="16" applyNumberFormats="0" applyBorderFormats="0" applyFontFormats="1" applyPatternFormats="1" applyAlignmentFormats="0" applyWidthHeightFormats="0"/>
</file>

<file path=xl/queryTables/queryTable1957.xml><?xml version="1.0" encoding="utf-8"?>
<queryTable xmlns="http://schemas.openxmlformats.org/spreadsheetml/2006/main" name="DadosExternos_280" connectionId="376" autoFormatId="16" applyNumberFormats="0" applyBorderFormats="0" applyFontFormats="1" applyPatternFormats="1" applyAlignmentFormats="0" applyWidthHeightFormats="0"/>
</file>

<file path=xl/queryTables/queryTable1958.xml><?xml version="1.0" encoding="utf-8"?>
<queryTable xmlns="http://schemas.openxmlformats.org/spreadsheetml/2006/main" name="DadosExternos_119" connectionId="291" autoFormatId="16" applyNumberFormats="0" applyBorderFormats="0" applyFontFormats="1" applyPatternFormats="1" applyAlignmentFormats="0" applyWidthHeightFormats="0"/>
</file>

<file path=xl/queryTables/queryTable1959.xml><?xml version="1.0" encoding="utf-8"?>
<queryTable xmlns="http://schemas.openxmlformats.org/spreadsheetml/2006/main" name="ExternalData_114" connectionId="1143" autoFormatId="16" applyNumberFormats="0" applyBorderFormats="0" applyFontFormats="1" applyPatternFormats="1" applyAlignmentFormats="0" applyWidthHeightFormats="0"/>
</file>

<file path=xl/queryTables/queryTable1960.xml><?xml version="1.0" encoding="utf-8"?>
<queryTable xmlns="http://schemas.openxmlformats.org/spreadsheetml/2006/main" name="ExternalData_93" connectionId="1089" autoFormatId="16" applyNumberFormats="0" applyBorderFormats="0" applyFontFormats="1" applyPatternFormats="1" applyAlignmentFormats="0" applyWidthHeightFormats="0"/>
</file>

<file path=xl/queryTables/queryTable1961.xml><?xml version="1.0" encoding="utf-8"?>
<queryTable xmlns="http://schemas.openxmlformats.org/spreadsheetml/2006/main" name="ExternalData_87" connectionId="1048" autoFormatId="16" applyNumberFormats="0" applyBorderFormats="0" applyFontFormats="1" applyPatternFormats="1" applyAlignmentFormats="0" applyWidthHeightFormats="0"/>
</file>

<file path=xl/queryTables/queryTable1962.xml><?xml version="1.0" encoding="utf-8"?>
<queryTable xmlns="http://schemas.openxmlformats.org/spreadsheetml/2006/main" name="ExternalData_76" connectionId="1021" autoFormatId="16" applyNumberFormats="0" applyBorderFormats="0" applyFontFormats="1" applyPatternFormats="1" applyAlignmentFormats="0" applyWidthHeightFormats="0"/>
</file>

<file path=xl/queryTables/queryTable1963.xml><?xml version="1.0" encoding="utf-8"?>
<queryTable xmlns="http://schemas.openxmlformats.org/spreadsheetml/2006/main" name="ExternalData_73" connectionId="1014" autoFormatId="16" applyNumberFormats="0" applyBorderFormats="0" applyFontFormats="1" applyPatternFormats="1" applyAlignmentFormats="0" applyWidthHeightFormats="0"/>
</file>

<file path=xl/queryTables/queryTable1964.xml><?xml version="1.0" encoding="utf-8"?>
<queryTable xmlns="http://schemas.openxmlformats.org/spreadsheetml/2006/main" name="DadosExternos_356" connectionId="563" autoFormatId="16" applyNumberFormats="0" applyBorderFormats="0" applyFontFormats="1" applyPatternFormats="1" applyAlignmentFormats="0" applyWidthHeightFormats="0"/>
</file>

<file path=xl/queryTables/queryTable1965.xml><?xml version="1.0" encoding="utf-8"?>
<queryTable xmlns="http://schemas.openxmlformats.org/spreadsheetml/2006/main" name="DadosExternos_338" connectionId="528" autoFormatId="16" applyNumberFormats="0" applyBorderFormats="0" applyFontFormats="1" applyPatternFormats="1" applyAlignmentFormats="0" applyWidthHeightFormats="0"/>
</file>

<file path=xl/queryTables/queryTable1966.xml><?xml version="1.0" encoding="utf-8"?>
<queryTable xmlns="http://schemas.openxmlformats.org/spreadsheetml/2006/main" name="DadosExternos_469" connectionId="79" autoFormatId="16" applyNumberFormats="0" applyBorderFormats="0" applyFontFormats="1" applyPatternFormats="1" applyAlignmentFormats="0" applyWidthHeightFormats="0"/>
</file>

<file path=xl/queryTables/queryTable1967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968.xml><?xml version="1.0" encoding="utf-8"?>
<queryTable xmlns="http://schemas.openxmlformats.org/spreadsheetml/2006/main" name="DadosExternos_63" connectionId="490" autoFormatId="16" applyNumberFormats="0" applyBorderFormats="0" applyFontFormats="1" applyPatternFormats="1" applyAlignmentFormats="0" applyWidthHeightFormats="0"/>
</file>

<file path=xl/queryTables/queryTable1969.xml><?xml version="1.0" encoding="utf-8"?>
<queryTable xmlns="http://schemas.openxmlformats.org/spreadsheetml/2006/main" name="ExternalData_50" connectionId="879" autoFormatId="16" applyNumberFormats="0" applyBorderFormats="0" applyFontFormats="1" applyPatternFormats="1" applyAlignmentFormats="0" applyWidthHeightFormats="0"/>
</file>

<file path=xl/queryTables/queryTable1970.xml><?xml version="1.0" encoding="utf-8"?>
<queryTable xmlns="http://schemas.openxmlformats.org/spreadsheetml/2006/main" name="DadosExternos_183" connectionId="806" autoFormatId="16" applyNumberFormats="0" applyBorderFormats="0" applyFontFormats="1" applyPatternFormats="1" applyAlignmentFormats="0" applyWidthHeightFormats="0"/>
</file>

<file path=xl/queryTables/queryTable1971.xml><?xml version="1.0" encoding="utf-8"?>
<queryTable xmlns="http://schemas.openxmlformats.org/spreadsheetml/2006/main" name="ExternalData_59" connectionId="968" autoFormatId="16" applyNumberFormats="0" applyBorderFormats="0" applyFontFormats="1" applyPatternFormats="1" applyAlignmentFormats="0" applyWidthHeightFormats="0"/>
</file>

<file path=xl/queryTables/queryTable1972.xml><?xml version="1.0" encoding="utf-8"?>
<queryTable xmlns="http://schemas.openxmlformats.org/spreadsheetml/2006/main" name="ExternalData_82" connectionId="1034" autoFormatId="16" applyNumberFormats="0" applyBorderFormats="0" applyFontFormats="1" applyPatternFormats="1" applyAlignmentFormats="0" applyWidthHeightFormats="0"/>
</file>

<file path=xl/queryTables/queryTable1973.xml><?xml version="1.0" encoding="utf-8"?>
<queryTable xmlns="http://schemas.openxmlformats.org/spreadsheetml/2006/main" name="DadosExternos_438" connectionId="697" autoFormatId="16" applyNumberFormats="0" applyBorderFormats="0" applyFontFormats="1" applyPatternFormats="1" applyAlignmentFormats="0" applyWidthHeightFormats="0"/>
</file>

<file path=xl/queryTables/queryTable1974.xml><?xml version="1.0" encoding="utf-8"?>
<queryTable xmlns="http://schemas.openxmlformats.org/spreadsheetml/2006/main" name="DadosExternos_258" connectionId="299" autoFormatId="16" applyNumberFormats="0" applyBorderFormats="0" applyFontFormats="1" applyPatternFormats="1" applyAlignmentFormats="0" applyWidthHeightFormats="0"/>
</file>

<file path=xl/queryTables/queryTable1975.xml><?xml version="1.0" encoding="utf-8"?>
<queryTable xmlns="http://schemas.openxmlformats.org/spreadsheetml/2006/main" name="DadosExternos_186" connectionId="20" autoFormatId="16" applyNumberFormats="0" applyBorderFormats="0" applyFontFormats="1" applyPatternFormats="1" applyAlignmentFormats="0" applyWidthHeightFormats="0"/>
</file>

<file path=xl/queryTables/queryTable1976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977.xml><?xml version="1.0" encoding="utf-8"?>
<queryTable xmlns="http://schemas.openxmlformats.org/spreadsheetml/2006/main" name="DadosExternos_59" connectionId="424" autoFormatId="16" applyNumberFormats="0" applyBorderFormats="0" applyFontFormats="1" applyPatternFormats="1" applyAlignmentFormats="0" applyWidthHeightFormats="0"/>
</file>

<file path=xl/queryTables/queryTable1978.xml><?xml version="1.0" encoding="utf-8"?>
<queryTable xmlns="http://schemas.openxmlformats.org/spreadsheetml/2006/main" name="DadosExternos_307" connectionId="463" autoFormatId="16" applyNumberFormats="0" applyBorderFormats="0" applyFontFormats="1" applyPatternFormats="1" applyAlignmentFormats="0" applyWidthHeightFormats="0"/>
</file>

<file path=xl/queryTables/queryTable1979.xml><?xml version="1.0" encoding="utf-8"?>
<queryTable xmlns="http://schemas.openxmlformats.org/spreadsheetml/2006/main" name="DadosExternos_120" connectionId="308" autoFormatId="16" applyNumberFormats="0" applyBorderFormats="0" applyFontFormats="1" applyPatternFormats="1" applyAlignmentFormats="0" applyWidthHeightFormats="0"/>
</file>

<file path=xl/queryTables/queryTable1980.xml><?xml version="1.0" encoding="utf-8"?>
<queryTable xmlns="http://schemas.openxmlformats.org/spreadsheetml/2006/main" name="DadosExternos_282" connectionId="388" autoFormatId="16" applyNumberFormats="0" applyBorderFormats="0" applyFontFormats="1" applyPatternFormats="1" applyAlignmentFormats="0" applyWidthHeightFormats="0"/>
</file>

<file path=xl/queryTables/queryTable1981.xml><?xml version="1.0" encoding="utf-8"?>
<queryTable xmlns="http://schemas.openxmlformats.org/spreadsheetml/2006/main" name="DadosExternos_180" connectionId="757" autoFormatId="16" applyNumberFormats="0" applyBorderFormats="0" applyFontFormats="1" applyPatternFormats="1" applyAlignmentFormats="0" applyWidthHeightFormats="0"/>
</file>

<file path=xl/queryTables/queryTable1982.xml><?xml version="1.0" encoding="utf-8"?>
<queryTable xmlns="http://schemas.openxmlformats.org/spreadsheetml/2006/main" name="DadosExternos_224" connectionId="191" autoFormatId="16" applyNumberFormats="0" applyBorderFormats="0" applyFontFormats="1" applyPatternFormats="1" applyAlignmentFormats="0" applyWidthHeightFormats="0"/>
</file>

<file path=xl/queryTables/queryTable1983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1984.xml><?xml version="1.0" encoding="utf-8"?>
<queryTable xmlns="http://schemas.openxmlformats.org/spreadsheetml/2006/main" name="DadosExternos_467" connectionId="60" autoFormatId="16" applyNumberFormats="0" applyBorderFormats="0" applyFontFormats="1" applyPatternFormats="1" applyAlignmentFormats="0" applyWidthHeightFormats="0"/>
</file>

<file path=xl/queryTables/queryTable1985.xml><?xml version="1.0" encoding="utf-8"?>
<queryTable xmlns="http://schemas.openxmlformats.org/spreadsheetml/2006/main" name="DadosExternos_297" connectionId="438" autoFormatId="16" applyNumberFormats="0" applyBorderFormats="0" applyFontFormats="1" applyPatternFormats="1" applyAlignmentFormats="0" applyWidthHeightFormats="0"/>
</file>

<file path=xl/queryTables/queryTable1986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987.xml><?xml version="1.0" encoding="utf-8"?>
<queryTable xmlns="http://schemas.openxmlformats.org/spreadsheetml/2006/main" name="ExternalData_29" connectionId="934" autoFormatId="16" applyNumberFormats="0" applyBorderFormats="0" applyFontFormats="1" applyPatternFormats="1" applyAlignmentFormats="0" applyWidthHeightFormats="0"/>
</file>

<file path=xl/queryTables/queryTable1988.xml><?xml version="1.0" encoding="utf-8"?>
<queryTable xmlns="http://schemas.openxmlformats.org/spreadsheetml/2006/main" name="ExternalData_38" connectionId="993" autoFormatId="16" applyNumberFormats="0" applyBorderFormats="0" applyFontFormats="1" applyPatternFormats="1" applyAlignmentFormats="0" applyWidthHeightFormats="0"/>
</file>

<file path=xl/queryTables/queryTable1989.xml><?xml version="1.0" encoding="utf-8"?>
<queryTable xmlns="http://schemas.openxmlformats.org/spreadsheetml/2006/main" name="ExternalData_27" connectionId="906" autoFormatId="16" applyNumberFormats="0" applyBorderFormats="0" applyFontFormats="1" applyPatternFormats="1" applyAlignmentFormats="0" applyWidthHeightFormats="0"/>
</file>

<file path=xl/queryTables/queryTable1990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991.xml><?xml version="1.0" encoding="utf-8"?>
<queryTable xmlns="http://schemas.openxmlformats.org/spreadsheetml/2006/main" name="ExternalData_83" connectionId="1036" autoFormatId="16" applyNumberFormats="0" applyBorderFormats="0" applyFontFormats="1" applyPatternFormats="1" applyAlignmentFormats="0" applyWidthHeightFormats="0"/>
</file>

<file path=xl/queryTables/queryTable1992.xml><?xml version="1.0" encoding="utf-8"?>
<queryTable xmlns="http://schemas.openxmlformats.org/spreadsheetml/2006/main" name="DadosExternos_7" connectionId="656" autoFormatId="16" applyNumberFormats="0" applyBorderFormats="0" applyFontFormats="1" applyPatternFormats="1" applyAlignmentFormats="0" applyWidthHeightFormats="0"/>
</file>

<file path=xl/queryTables/queryTable1993.xml><?xml version="1.0" encoding="utf-8"?>
<queryTable xmlns="http://schemas.openxmlformats.org/spreadsheetml/2006/main" name="ExternalData_113" connectionId="1141" autoFormatId="16" applyNumberFormats="0" applyBorderFormats="0" applyFontFormats="1" applyPatternFormats="1" applyAlignmentFormats="0" applyWidthHeightFormats="0"/>
</file>

<file path=xl/queryTables/queryTable1994.xml><?xml version="1.0" encoding="utf-8"?>
<queryTable xmlns="http://schemas.openxmlformats.org/spreadsheetml/2006/main" name="DadosExternos_353" connectionId="561" autoFormatId="16" applyNumberFormats="0" applyBorderFormats="0" applyFontFormats="1" applyPatternFormats="1" applyAlignmentFormats="0" applyWidthHeightFormats="0"/>
</file>

<file path=xl/queryTables/queryTable1995.xml><?xml version="1.0" encoding="utf-8"?>
<queryTable xmlns="http://schemas.openxmlformats.org/spreadsheetml/2006/main" name="DadosExternos_450" connectionId="770" autoFormatId="16" applyNumberFormats="0" applyBorderFormats="0" applyFontFormats="1" applyPatternFormats="1" applyAlignmentFormats="0" applyWidthHeightFormats="0"/>
</file>

<file path=xl/queryTables/queryTable1996.xml><?xml version="1.0" encoding="utf-8"?>
<queryTable xmlns="http://schemas.openxmlformats.org/spreadsheetml/2006/main" name="ExternalData_67" connectionId="1001" autoFormatId="16" applyNumberFormats="0" applyBorderFormats="0" applyFontFormats="1" applyPatternFormats="1" applyAlignmentFormats="0" applyWidthHeightFormats="0"/>
</file>

<file path=xl/queryTables/queryTable1997.xml><?xml version="1.0" encoding="utf-8"?>
<queryTable xmlns="http://schemas.openxmlformats.org/spreadsheetml/2006/main" name="DadosExternos_290" connectionId="415" autoFormatId="16" applyNumberFormats="0" applyBorderFormats="0" applyFontFormats="1" applyPatternFormats="1" applyAlignmentFormats="0" applyWidthHeightFormats="0"/>
</file>

<file path=xl/queryTables/queryTable1998.xml><?xml version="1.0" encoding="utf-8"?>
<queryTable xmlns="http://schemas.openxmlformats.org/spreadsheetml/2006/main" name="DadosExternos_156" connectionId="660" autoFormatId="16" applyNumberFormats="0" applyBorderFormats="0" applyFontFormats="1" applyPatternFormats="1" applyAlignmentFormats="0" applyWidthHeightFormats="0"/>
</file>

<file path=xl/queryTables/queryTable1999.xml><?xml version="1.0" encoding="utf-8"?>
<queryTable xmlns="http://schemas.openxmlformats.org/spreadsheetml/2006/main" name="ExternalData_19" connectionId="962" autoFormatId="16" applyNumberFormats="0" applyBorderFormats="0" applyFontFormats="1" applyPatternFormats="1" applyAlignmentFormats="0" applyWidthHeightFormats="0"/>
</file>

<file path=xl/queryTables/queryTable2000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2001.xml><?xml version="1.0" encoding="utf-8"?>
<queryTable xmlns="http://schemas.openxmlformats.org/spreadsheetml/2006/main" name="ExternalData_42" connectionId="1045" autoFormatId="16" applyNumberFormats="0" applyBorderFormats="0" applyFontFormats="1" applyPatternFormats="1" applyAlignmentFormats="0" applyWidthHeightFormats="0"/>
</file>

<file path=xl/queryTables/queryTable2002.xml><?xml version="1.0" encoding="utf-8"?>
<queryTable xmlns="http://schemas.openxmlformats.org/spreadsheetml/2006/main" name="DadosExternos_409" connectionId="521" autoFormatId="16" applyNumberFormats="0" applyBorderFormats="0" applyFontFormats="1" applyPatternFormats="1" applyAlignmentFormats="0" applyWidthHeightFormats="0"/>
</file>

<file path=xl/queryTables/queryTable2003.xml><?xml version="1.0" encoding="utf-8"?>
<queryTable xmlns="http://schemas.openxmlformats.org/spreadsheetml/2006/main" name="DadosExternos_104" connectionId="780" autoFormatId="16" applyNumberFormats="0" applyBorderFormats="0" applyFontFormats="1" applyPatternFormats="1" applyAlignmentFormats="0" applyWidthHeightFormats="0"/>
</file>

<file path=xl/queryTables/queryTable2004.xml><?xml version="1.0" encoding="utf-8"?>
<queryTable xmlns="http://schemas.openxmlformats.org/spreadsheetml/2006/main" name="DadosExternos_15" connectionId="743" autoFormatId="16" applyNumberFormats="0" applyBorderFormats="0" applyFontFormats="1" applyPatternFormats="1" applyAlignmentFormats="0" applyWidthHeightFormats="0"/>
</file>

<file path=xl/queryTables/queryTable2005.xml><?xml version="1.0" encoding="utf-8"?>
<queryTable xmlns="http://schemas.openxmlformats.org/spreadsheetml/2006/main" name="ExternalData_102" connectionId="1113" autoFormatId="16" applyNumberFormats="0" applyBorderFormats="0" applyFontFormats="1" applyPatternFormats="1" applyAlignmentFormats="0" applyWidthHeightFormats="0"/>
</file>

<file path=xl/queryTables/queryTable2006.xml><?xml version="1.0" encoding="utf-8"?>
<queryTable xmlns="http://schemas.openxmlformats.org/spreadsheetml/2006/main" name="DadosExternos_44" connectionId="199" autoFormatId="16" applyNumberFormats="0" applyBorderFormats="0" applyFontFormats="1" applyPatternFormats="1" applyAlignmentFormats="0" applyWidthHeightFormats="0"/>
</file>

<file path=xl/queryTables/queryTable2007.xml><?xml version="1.0" encoding="utf-8"?>
<queryTable xmlns="http://schemas.openxmlformats.org/spreadsheetml/2006/main" name="DadosExternos_143" connectionId="602" autoFormatId="16" applyNumberFormats="0" applyBorderFormats="0" applyFontFormats="1" applyPatternFormats="1" applyAlignmentFormats="0" applyWidthHeightFormats="0"/>
</file>

<file path=xl/queryTables/queryTable2008.xml><?xml version="1.0" encoding="utf-8"?>
<queryTable xmlns="http://schemas.openxmlformats.org/spreadsheetml/2006/main" name="DadosExternos_20" connectionId="791" autoFormatId="16" applyNumberFormats="0" applyBorderFormats="0" applyFontFormats="1" applyPatternFormats="1" applyAlignmentFormats="0" applyWidthHeightFormats="0"/>
</file>

<file path=xl/queryTables/queryTable2009.xml><?xml version="1.0" encoding="utf-8"?>
<queryTable xmlns="http://schemas.openxmlformats.org/spreadsheetml/2006/main" name="DadosExternos_230" connectionId="207" autoFormatId="16" applyNumberFormats="0" applyBorderFormats="0" applyFontFormats="1" applyPatternFormats="1" applyAlignmentFormats="0" applyWidthHeightFormats="0"/>
</file>

<file path=xl/queryTables/queryTable2010.xml><?xml version="1.0" encoding="utf-8"?>
<queryTable xmlns="http://schemas.openxmlformats.org/spreadsheetml/2006/main" name="DadosExternos_373" connectionId="392" autoFormatId="16" applyNumberFormats="0" applyBorderFormats="0" applyFontFormats="1" applyPatternFormats="1" applyAlignmentFormats="0" applyWidthHeightFormats="0"/>
</file>

<file path=xl/queryTables/queryTable2011.xml><?xml version="1.0" encoding="utf-8"?>
<queryTable xmlns="http://schemas.openxmlformats.org/spreadsheetml/2006/main" name="ExternalData_86" connectionId="1043" autoFormatId="16" applyNumberFormats="0" applyBorderFormats="0" applyFontFormats="1" applyPatternFormats="1" applyAlignmentFormats="0" applyWidthHeightFormats="0"/>
</file>

<file path=xl/queryTables/queryTable2012.xml><?xml version="1.0" encoding="utf-8"?>
<queryTable xmlns="http://schemas.openxmlformats.org/spreadsheetml/2006/main" name="DadosExternos_222" connectionId="187" autoFormatId="16" applyNumberFormats="0" applyBorderFormats="0" applyFontFormats="1" applyPatternFormats="1" applyAlignmentFormats="0" applyWidthHeightFormats="0"/>
</file>

<file path=xl/queryTables/queryTable2013.xml><?xml version="1.0" encoding="utf-8"?>
<queryTable xmlns="http://schemas.openxmlformats.org/spreadsheetml/2006/main" name="ExternalData_65" connectionId="995" autoFormatId="16" applyNumberFormats="0" applyBorderFormats="0" applyFontFormats="1" applyPatternFormats="1" applyAlignmentFormats="0" applyWidthHeightFormats="0"/>
</file>

<file path=xl/queryTables/queryTable2014.xml><?xml version="1.0" encoding="utf-8"?>
<queryTable xmlns="http://schemas.openxmlformats.org/spreadsheetml/2006/main" name="DadosExternos_294" connectionId="431" autoFormatId="16" applyNumberFormats="0" applyBorderFormats="0" applyFontFormats="1" applyPatternFormats="1" applyAlignmentFormats="0" applyWidthHeightFormats="0"/>
</file>

<file path=xl/queryTables/queryTable2015.xml><?xml version="1.0" encoding="utf-8"?>
<queryTable xmlns="http://schemas.openxmlformats.org/spreadsheetml/2006/main" name="ExternalData_91" connectionId="1085" autoFormatId="16" applyNumberFormats="0" applyBorderFormats="0" applyFontFormats="1" applyPatternFormats="1" applyAlignmentFormats="0" applyWidthHeightFormats="0"/>
</file>

<file path=xl/queryTables/queryTable2016.xml><?xml version="1.0" encoding="utf-8"?>
<queryTable xmlns="http://schemas.openxmlformats.org/spreadsheetml/2006/main" name="DadosExternos_123" connectionId="350" autoFormatId="16" applyNumberFormats="0" applyBorderFormats="0" applyFontFormats="1" applyPatternFormats="1" applyAlignmentFormats="0" applyWidthHeightFormats="0"/>
</file>

<file path=xl/queryTables/queryTable2017.xml><?xml version="1.0" encoding="utf-8"?>
<queryTable xmlns="http://schemas.openxmlformats.org/spreadsheetml/2006/main" name="DadosExternos_324" connectionId="494" autoFormatId="16" applyNumberFormats="0" applyBorderFormats="0" applyFontFormats="1" applyPatternFormats="1" applyAlignmentFormats="0" applyWidthHeightFormats="0"/>
</file>

<file path=xl/queryTables/queryTable2018.xml><?xml version="1.0" encoding="utf-8"?>
<queryTable xmlns="http://schemas.openxmlformats.org/spreadsheetml/2006/main" name="DadosExternos_281" connectionId="385" autoFormatId="16" applyNumberFormats="0" applyBorderFormats="0" applyFontFormats="1" applyPatternFormats="1" applyAlignmentFormats="0" applyWidthHeightFormats="0"/>
</file>

<file path=xl/queryTables/queryTable2019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2020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2021.xml><?xml version="1.0" encoding="utf-8"?>
<queryTable xmlns="http://schemas.openxmlformats.org/spreadsheetml/2006/main" name="DadosExternos_164" connectionId="687" autoFormatId="16" applyNumberFormats="0" applyBorderFormats="0" applyFontFormats="1" applyPatternFormats="1" applyAlignmentFormats="0" applyWidthHeightFormats="0"/>
</file>

<file path=xl/queryTables/queryTable2022.xml><?xml version="1.0" encoding="utf-8"?>
<queryTable xmlns="http://schemas.openxmlformats.org/spreadsheetml/2006/main" name="ExternalData_40" connectionId="999" autoFormatId="16" applyNumberFormats="0" applyBorderFormats="0" applyFontFormats="1" applyPatternFormats="1" applyAlignmentFormats="0" applyWidthHeightFormats="0"/>
</file>

<file path=xl/queryTables/queryTable2023.xml><?xml version="1.0" encoding="utf-8"?>
<queryTable xmlns="http://schemas.openxmlformats.org/spreadsheetml/2006/main" name="DadosExternos_166" connectionId="700" autoFormatId="16" applyNumberFormats="0" applyBorderFormats="0" applyFontFormats="1" applyPatternFormats="1" applyAlignmentFormats="0" applyWidthHeightFormats="0"/>
</file>

<file path=xl/queryTables/queryTable2024.xml><?xml version="1.0" encoding="utf-8"?>
<queryTable xmlns="http://schemas.openxmlformats.org/spreadsheetml/2006/main" name="ExternalData_118" connectionId="822" autoFormatId="16" applyNumberFormats="0" applyBorderFormats="0" applyFontFormats="1" applyPatternFormats="1" applyAlignmentFormats="0" applyWidthHeightFormats="0"/>
</file>

<file path=xl/queryTables/queryTable2025.xml><?xml version="1.0" encoding="utf-8"?>
<queryTable xmlns="http://schemas.openxmlformats.org/spreadsheetml/2006/main" name="DadosExternos_33" connectionId="695" autoFormatId="16" applyNumberFormats="0" applyBorderFormats="0" applyFontFormats="1" applyPatternFormats="1" applyAlignmentFormats="0" applyWidthHeightFormats="0"/>
</file>

<file path=xl/queryTables/queryTable2026.xml><?xml version="1.0" encoding="utf-8"?>
<queryTable xmlns="http://schemas.openxmlformats.org/spreadsheetml/2006/main" name="DadosExternos_112" connectionId="178" autoFormatId="16" applyNumberFormats="0" applyBorderFormats="0" applyFontFormats="1" applyPatternFormats="1" applyAlignmentFormats="0" applyWidthHeightFormats="0"/>
</file>

<file path=xl/queryTables/queryTable2027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2028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2029.xml><?xml version="1.0" encoding="utf-8"?>
<queryTable xmlns="http://schemas.openxmlformats.org/spreadsheetml/2006/main" name="DadosExternos_219" connectionId="173" autoFormatId="16" applyNumberFormats="0" applyBorderFormats="0" applyFontFormats="1" applyPatternFormats="1" applyAlignmentFormats="0" applyWidthHeightFormats="0"/>
</file>

<file path=xl/queryTables/queryTable2030.xml><?xml version="1.0" encoding="utf-8"?>
<queryTable xmlns="http://schemas.openxmlformats.org/spreadsheetml/2006/main" name="DadosExternos_331" connectionId="514" autoFormatId="16" applyNumberFormats="0" applyBorderFormats="0" applyFontFormats="1" applyPatternFormats="1" applyAlignmentFormats="0" applyWidthHeightFormats="0"/>
</file>

<file path=xl/queryTables/queryTable2031.xml><?xml version="1.0" encoding="utf-8"?>
<queryTable xmlns="http://schemas.openxmlformats.org/spreadsheetml/2006/main" name="ExternalData_57" connectionId="958" autoFormatId="16" applyNumberFormats="0" applyBorderFormats="0" applyFontFormats="1" applyPatternFormats="1" applyAlignmentFormats="0" applyWidthHeightFormats="0"/>
</file>

<file path=xl/queryTables/queryTable2032.xml><?xml version="1.0" encoding="utf-8"?>
<queryTable xmlns="http://schemas.openxmlformats.org/spreadsheetml/2006/main" name="DadosExternos_416" connectionId="595" autoFormatId="16" applyNumberFormats="0" applyBorderFormats="0" applyFontFormats="1" applyPatternFormats="1" applyAlignmentFormats="0" applyWidthHeightFormats="0"/>
</file>

<file path=xl/queryTables/queryTable2033.xml><?xml version="1.0" encoding="utf-8"?>
<queryTable xmlns="http://schemas.openxmlformats.org/spreadsheetml/2006/main" name="DadosExternos_71" connectionId="557" autoFormatId="16" applyNumberFormats="0" applyBorderFormats="0" applyFontFormats="1" applyPatternFormats="1" applyAlignmentFormats="0" applyWidthHeightFormats="0"/>
</file>

<file path=xl/queryTables/queryTable2034.xml><?xml version="1.0" encoding="utf-8"?>
<queryTable xmlns="http://schemas.openxmlformats.org/spreadsheetml/2006/main" name="DadosExternos_233" connectionId="209" autoFormatId="16" applyNumberFormats="0" applyBorderFormats="0" applyFontFormats="1" applyPatternFormats="1" applyAlignmentFormats="0" applyWidthHeightFormats="0"/>
</file>

<file path=xl/queryTables/queryTable2035.xml><?xml version="1.0" encoding="utf-8"?>
<queryTable xmlns="http://schemas.openxmlformats.org/spreadsheetml/2006/main" name="DadosExternos_28" connectionId="255" autoFormatId="16" applyNumberFormats="0" applyBorderFormats="0" applyFontFormats="1" applyPatternFormats="1" applyAlignmentFormats="0" applyWidthHeightFormats="0"/>
</file>

<file path=xl/queryTables/queryTable2036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2037.xml><?xml version="1.0" encoding="utf-8"?>
<queryTable xmlns="http://schemas.openxmlformats.org/spreadsheetml/2006/main" name="DadosExternos_295" connectionId="434" autoFormatId="16" applyNumberFormats="0" applyBorderFormats="0" applyFontFormats="1" applyPatternFormats="1" applyAlignmentFormats="0" applyWidthHeightFormats="0"/>
</file>

<file path=xl/queryTables/queryTable2038.xml><?xml version="1.0" encoding="utf-8"?>
<queryTable xmlns="http://schemas.openxmlformats.org/spreadsheetml/2006/main" name="DadosExternos_162" connectionId="680" autoFormatId="16" applyNumberFormats="0" applyBorderFormats="0" applyFontFormats="1" applyPatternFormats="1" applyAlignmentFormats="0" applyWidthHeightFormats="0"/>
</file>

<file path=xl/queryTables/queryTable2039.xml><?xml version="1.0" encoding="utf-8"?>
<queryTable xmlns="http://schemas.openxmlformats.org/spreadsheetml/2006/main" name="DadosExternos_29" connectionId="403" autoFormatId="16" applyNumberFormats="0" applyBorderFormats="0" applyFontFormats="1" applyPatternFormats="1" applyAlignmentFormats="0" applyWidthHeightFormats="0"/>
</file>

<file path=xl/queryTables/queryTable2040.xml><?xml version="1.0" encoding="utf-8"?>
<queryTable xmlns="http://schemas.openxmlformats.org/spreadsheetml/2006/main" name="ExternalData_111" connectionId="1137" autoFormatId="16" applyNumberFormats="0" applyBorderFormats="0" applyFontFormats="1" applyPatternFormats="1" applyAlignmentFormats="0" applyWidthHeightFormats="0"/>
</file>

<file path=xl/queryTables/queryTable2041.xml><?xml version="1.0" encoding="utf-8"?>
<queryTable xmlns="http://schemas.openxmlformats.org/spreadsheetml/2006/main" name="DadosExternos_441" connectionId="713" autoFormatId="16" applyNumberFormats="0" applyBorderFormats="0" applyFontFormats="1" applyPatternFormats="1" applyAlignmentFormats="0" applyWidthHeightFormats="0"/>
</file>

<file path=xl/queryTables/queryTable2042.xml><?xml version="1.0" encoding="utf-8"?>
<queryTable xmlns="http://schemas.openxmlformats.org/spreadsheetml/2006/main" name="DadosExternos_464" connectionId="43" autoFormatId="16" applyNumberFormats="0" applyBorderFormats="0" applyFontFormats="1" applyPatternFormats="1" applyAlignmentFormats="0" applyWidthHeightFormats="0"/>
</file>

<file path=xl/queryTables/queryTable2043.xml><?xml version="1.0" encoding="utf-8"?>
<queryTable xmlns="http://schemas.openxmlformats.org/spreadsheetml/2006/main" name="DadosExternos_439" connectionId="705" autoFormatId="16" applyNumberFormats="0" applyBorderFormats="0" applyFontFormats="1" applyPatternFormats="1" applyAlignmentFormats="0" applyWidthHeightFormats="0"/>
</file>

<file path=xl/queryTables/queryTable2044.xml><?xml version="1.0" encoding="utf-8"?>
<queryTable xmlns="http://schemas.openxmlformats.org/spreadsheetml/2006/main" name="DadosExternos_309" connectionId="467" autoFormatId="16" applyNumberFormats="0" applyBorderFormats="0" applyFontFormats="1" applyPatternFormats="1" applyAlignmentFormats="0" applyWidthHeightFormats="0"/>
</file>

<file path=xl/queryTables/queryTable2045.xml><?xml version="1.0" encoding="utf-8"?>
<queryTable xmlns="http://schemas.openxmlformats.org/spreadsheetml/2006/main" name="ExternalData_36" connectionId="987" autoFormatId="16" applyNumberFormats="0" applyBorderFormats="0" applyFontFormats="1" applyPatternFormats="1" applyAlignmentFormats="0" applyWidthHeightFormats="0"/>
</file>

<file path=xl/queryTables/queryTable2046.xml><?xml version="1.0" encoding="utf-8"?>
<queryTable xmlns="http://schemas.openxmlformats.org/spreadsheetml/2006/main" name="DadosExternos_251" connectionId="283" autoFormatId="16" applyNumberFormats="0" applyBorderFormats="0" applyFontFormats="1" applyPatternFormats="1" applyAlignmentFormats="0" applyWidthHeightFormats="0"/>
</file>

<file path=xl/queryTables/queryTable2047.xml><?xml version="1.0" encoding="utf-8"?>
<queryTable xmlns="http://schemas.openxmlformats.org/spreadsheetml/2006/main" name="DadosExternos_261" connectionId="313" autoFormatId="16" applyNumberFormats="0" applyBorderFormats="0" applyFontFormats="1" applyPatternFormats="1" applyAlignmentFormats="0" applyWidthHeightFormats="0"/>
</file>

<file path=xl/queryTables/queryTable2048.xml><?xml version="1.0" encoding="utf-8"?>
<queryTable xmlns="http://schemas.openxmlformats.org/spreadsheetml/2006/main" name="ExternalData_119" connectionId="827" autoFormatId="16" applyNumberFormats="0" applyBorderFormats="0" applyFontFormats="1" applyPatternFormats="1" applyAlignmentFormats="0" applyWidthHeightFormats="0"/>
</file>

<file path=xl/queryTables/queryTable2049.xml><?xml version="1.0" encoding="utf-8"?>
<queryTable xmlns="http://schemas.openxmlformats.org/spreadsheetml/2006/main" name="ExternalData_120" connectionId="829" autoFormatId="16" applyNumberFormats="0" applyBorderFormats="0" applyFontFormats="1" applyPatternFormats="1" applyAlignmentFormats="0" applyWidthHeightFormats="0"/>
</file>

<file path=xl/queryTables/queryTable2050.xml><?xml version="1.0" encoding="utf-8"?>
<queryTable xmlns="http://schemas.openxmlformats.org/spreadsheetml/2006/main" name="ExternalData_121" connectionId="832" autoFormatId="16" applyNumberFormats="0" applyBorderFormats="0" applyFontFormats="1" applyPatternFormats="1" applyAlignmentFormats="0" applyWidthHeightFormats="0"/>
</file>

<file path=xl/queryTables/queryTable2051.xml><?xml version="1.0" encoding="utf-8"?>
<queryTable xmlns="http://schemas.openxmlformats.org/spreadsheetml/2006/main" name="ExternalData_122" connectionId="837" autoFormatId="16" applyNumberFormats="0" applyBorderFormats="0" applyFontFormats="1" applyPatternFormats="1" applyAlignmentFormats="0" applyWidthHeightFormats="0"/>
</file>

<file path=xl/queryTables/queryTable2052.xml><?xml version="1.0" encoding="utf-8"?>
<queryTable xmlns="http://schemas.openxmlformats.org/spreadsheetml/2006/main" name="ExternalData_123" connectionId="840" autoFormatId="16" applyNumberFormats="0" applyBorderFormats="0" applyFontFormats="1" applyPatternFormats="1" applyAlignmentFormats="0" applyWidthHeightFormats="0"/>
</file>

<file path=xl/queryTables/queryTable2053.xml><?xml version="1.0" encoding="utf-8"?>
<queryTable xmlns="http://schemas.openxmlformats.org/spreadsheetml/2006/main" name="ExternalData_124" connectionId="842" autoFormatId="16" applyNumberFormats="0" applyBorderFormats="0" applyFontFormats="1" applyPatternFormats="1" applyAlignmentFormats="0" applyWidthHeightFormats="0"/>
</file>

<file path=xl/queryTables/queryTable2054.xml><?xml version="1.0" encoding="utf-8"?>
<queryTable xmlns="http://schemas.openxmlformats.org/spreadsheetml/2006/main" name="ExternalData_125" connectionId="844" autoFormatId="16" applyNumberFormats="0" applyBorderFormats="0" applyFontFormats="1" applyPatternFormats="1" applyAlignmentFormats="0" applyWidthHeightFormats="0"/>
</file>

<file path=xl/queryTables/queryTable2055.xml><?xml version="1.0" encoding="utf-8"?>
<queryTable xmlns="http://schemas.openxmlformats.org/spreadsheetml/2006/main" name="ExternalData_126" connectionId="846" autoFormatId="16" applyNumberFormats="0" applyBorderFormats="0" applyFontFormats="1" applyPatternFormats="1" applyAlignmentFormats="0" applyWidthHeightFormats="0"/>
</file>

<file path=xl/queryTables/queryTable2056.xml><?xml version="1.0" encoding="utf-8"?>
<queryTable xmlns="http://schemas.openxmlformats.org/spreadsheetml/2006/main" name="ExternalData_127" connectionId="848" autoFormatId="16" applyNumberFormats="0" applyBorderFormats="0" applyFontFormats="1" applyPatternFormats="1" applyAlignmentFormats="0" applyWidthHeightFormats="0"/>
</file>

<file path=xl/queryTables/queryTable2057.xml><?xml version="1.0" encoding="utf-8"?>
<queryTable xmlns="http://schemas.openxmlformats.org/spreadsheetml/2006/main" name="ExternalData_128" connectionId="850" autoFormatId="16" applyNumberFormats="0" applyBorderFormats="0" applyFontFormats="1" applyPatternFormats="1" applyAlignmentFormats="0" applyWidthHeightFormats="0"/>
</file>

<file path=xl/queryTables/queryTable2058.xml><?xml version="1.0" encoding="utf-8"?>
<queryTable xmlns="http://schemas.openxmlformats.org/spreadsheetml/2006/main" name="ExternalData_129" connectionId="852" autoFormatId="16" applyNumberFormats="0" applyBorderFormats="0" applyFontFormats="1" applyPatternFormats="1" applyAlignmentFormats="0" applyWidthHeightFormats="0"/>
</file>

<file path=xl/queryTables/queryTable2059.xml><?xml version="1.0" encoding="utf-8"?>
<queryTable xmlns="http://schemas.openxmlformats.org/spreadsheetml/2006/main" name="ExternalData_130" connectionId="855" autoFormatId="16" applyNumberFormats="0" applyBorderFormats="0" applyFontFormats="1" applyPatternFormats="1" applyAlignmentFormats="0" applyWidthHeightFormats="0"/>
</file>

<file path=xl/queryTables/queryTable2060.xml><?xml version="1.0" encoding="utf-8"?>
<queryTable xmlns="http://schemas.openxmlformats.org/spreadsheetml/2006/main" name="ExternalData_131" connectionId="861" autoFormatId="16" applyNumberFormats="0" applyBorderFormats="0" applyFontFormats="1" applyPatternFormats="1" applyAlignmentFormats="0" applyWidthHeightFormats="0"/>
</file>

<file path=xl/queryTables/queryTable2061.xml><?xml version="1.0" encoding="utf-8"?>
<queryTable xmlns="http://schemas.openxmlformats.org/spreadsheetml/2006/main" name="ExternalData_132" connectionId="864" autoFormatId="16" applyNumberFormats="0" applyBorderFormats="0" applyFontFormats="1" applyPatternFormats="1" applyAlignmentFormats="0" applyWidthHeightFormats="0"/>
</file>

<file path=xl/queryTables/queryTable2062.xml><?xml version="1.0" encoding="utf-8"?>
<queryTable xmlns="http://schemas.openxmlformats.org/spreadsheetml/2006/main" name="ExternalData_133" connectionId="866" autoFormatId="16" applyNumberFormats="0" applyBorderFormats="0" applyFontFormats="1" applyPatternFormats="1" applyAlignmentFormats="0" applyWidthHeightFormats="0"/>
</file>

<file path=xl/queryTables/queryTable2063.xml><?xml version="1.0" encoding="utf-8"?>
<queryTable xmlns="http://schemas.openxmlformats.org/spreadsheetml/2006/main" name="ExternalData_134" connectionId="868" autoFormatId="16" applyNumberFormats="0" applyBorderFormats="0" applyFontFormats="1" applyPatternFormats="1" applyAlignmentFormats="0" applyWidthHeightFormats="0"/>
</file>

<file path=xl/queryTables/queryTable2064.xml><?xml version="1.0" encoding="utf-8"?>
<queryTable xmlns="http://schemas.openxmlformats.org/spreadsheetml/2006/main" name="ExternalData_135" connectionId="87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BB520" totalsRowCount="1">
  <autoFilter ref="A1:BB519">
    <filterColumn colId="44">
      <filters>
        <filter val="Sim"/>
      </filters>
    </filterColumn>
  </autoFilter>
  <sortState ref="A8:BB108">
    <sortCondition descending="1" ref="AU1:AU519"/>
  </sortState>
  <tableColumns count="54">
    <tableColumn id="10" name="Classificação Setorial" totalsRowFunction="count" dataDxfId="95" totalsRowDxfId="42"/>
    <tableColumn id="9" name="PAPEL" dataDxfId="94" totalsRowDxfId="41"/>
    <tableColumn id="34" name="Nome" dataDxfId="93">
      <calculatedColumnFormula>LEFT(Tabela3[PAPEL],LEN(Tabela3[PAPEL])-(LEN(Tabela3[PAPEL])-4))</calculatedColumnFormula>
    </tableColumn>
    <tableColumn id="24" name="Ref"/>
    <tableColumn id="1" name="Capital Social" dataDxfId="92"/>
    <tableColumn id="7" name="Ações" dataDxfId="91"/>
    <tableColumn id="25" name="%Div" dataDxfId="90"/>
    <tableColumn id="29" name="% PNA (PL)" dataDxfId="89"/>
    <tableColumn id="30" name="% PNA (CS)" dataDxfId="88"/>
    <tableColumn id="47" name="% Pref. / ON" dataDxfId="87"/>
    <tableColumn id="27" name="Unit ON" dataDxfId="86"/>
    <tableColumn id="31" name="Unit PN" dataDxfId="51"/>
    <tableColumn id="32" name="Ativo || Passivo" dataDxfId="50" totalsRowDxfId="40" dataCellStyle="Percent"/>
    <tableColumn id="45" name="Ativo Circulante" dataDxfId="49" totalsRowDxfId="39" dataCellStyle="Percent"/>
    <tableColumn id="46" name="Passivo Circulante" dataDxfId="47" totalsRowDxfId="38" dataCellStyle="Percent"/>
    <tableColumn id="2" name="Patrimônio Líquido" dataDxfId="48" totalsRowDxfId="37"/>
    <tableColumn id="13" name="Lucro Líquido" dataDxfId="85" totalsRowDxfId="36"/>
    <tableColumn id="38" name="Dívida" dataDxfId="52" totalsRowDxfId="35" dataCellStyle="Percent">
      <calculatedColumnFormula>IF(Tabela3[[#This Row],[Ativo || Passivo]]&gt;0,Tabela3[[#This Row],[Ativo || Passivo]]-Tabela3[[#This Row],[Patrimônio Líquido]],0)</calculatedColumnFormula>
    </tableColumn>
    <tableColumn id="43" name="Valor de Mercado" dataDxfId="57" totalsRowDxfId="34" dataCellStyle="Percent">
      <calculatedColumnFormula>Tabela3[[#This Row],[Cotação]]*Tabela3[[#This Row],[Total Ações]]</calculatedColumnFormula>
    </tableColumn>
    <tableColumn id="48" name="Liquidez Corrente" dataDxfId="55" totalsRowDxfId="33" dataCellStyle="Percent">
      <calculatedColumnFormula>IF(Tabela3[[#This Row],[Passivo Circulante]]&gt;0,Tabela3[[#This Row],[Ativo Circulante]]/Tabela3[[#This Row],[Passivo Circulante]],0)</calculatedColumnFormula>
    </tableColumn>
    <tableColumn id="51" name="Liquidez Corrente Média" dataDxfId="45" totalsRowDxfId="32" dataCellStyle="Percent">
      <calculatedColumnFormula>SUMPRODUCT(N(Tabela3[Liquidez Corrente]&gt;0),N(RIGHT(Tabela3[PAPEL],LEN(Tabela3[PAPEL])-(LEN(Tabela3[PAPEL])-1))="3"),Tabela3[Liquidez Corrente])/SUMPRODUCT(N(Tabela3[Liquidez Corrente]&gt;0),N(RIGHT(Tabela3[PAPEL],LEN(Tabela3[PAPEL])-(LEN(Tabela3[PAPEL])-1))="3"))</calculatedColumnFormula>
    </tableColumn>
    <tableColumn id="49" name="Rentabilidade s/ PL" dataDxfId="54" totalsRowDxfId="31" dataCellStyle="Percent">
      <calculatedColumnFormula>IF(Tabela3[[#This Row],[Lucro Líquido]]&gt;0,Tabela3[[#This Row],[Lucro Líquido]]/Tabela3[[#This Row],[Patrimônio Líquido]],0)</calculatedColumnFormula>
    </tableColumn>
    <tableColumn id="54" name="Rentabilidade s/ PL Média" dataDxfId="44" totalsRowDxfId="30" dataCellStyle="Percent">
      <calculatedColumnFormula>SUMPRODUCT(N(Tabela3[Rentabilidade s/ PL]&gt;0),N(RIGHT(Tabela3[PAPEL],LEN(Tabela3[PAPEL])-(LEN(Tabela3[PAPEL])-1))="3"),Tabela3[Rentabilidade s/ PL])/SUMPRODUCT(N(Tabela3[Rentabilidade s/ PL]&gt;0),N(RIGHT(Tabela3[PAPEL],LEN(Tabela3[PAPEL])-(LEN(Tabela3[PAPEL])-1))="3"))</calculatedColumnFormula>
    </tableColumn>
    <tableColumn id="50" name="Dívida / PL" dataDxfId="53" totalsRowDxfId="29" dataCellStyle="Percent">
      <calculatedColumnFormula>IF(Tabela3[[#This Row],[Dívida]]&gt;0,Tabela3[[#This Row],[Dívida]]/Tabela3[[#This Row],[Patrimônio Líquido]],0)</calculatedColumnFormula>
    </tableColumn>
    <tableColumn id="55" name="Dívida / PL Média" dataDxfId="43" totalsRowDxfId="28" dataCellStyle="Percent">
      <calculatedColumnFormula>SUMPRODUCT(N(Tabela3[Dívida / PL]&gt;0),N(RIGHT(Tabela3[PAPEL],LEN(Tabela3[PAPEL])-(LEN(Tabela3[PAPEL])-1))="3"),Tabela3[Dívida / PL])/SUMPRODUCT(N(Tabela3[Dívida / PL]&gt;0),N(RIGHT(Tabela3[PAPEL],LEN(Tabela3[PAPEL])-(LEN(Tabela3[PAPEL])-1))="3"))</calculatedColumnFormula>
    </tableColumn>
    <tableColumn id="39" name="Teto R. Legal" dataDxfId="56" totalsRowDxfId="27">
      <calculatedColumnFormula>Tabela3[[#This Row],[Capital Social]]*20%</calculatedColumnFormula>
    </tableColumn>
    <tableColumn id="36" name="Reserva Legal" dataDxfId="84" totalsRowDxfId="26">
      <calculatedColumnFormula>IF((Tabela3[Lucro Líquido]*5%)&gt;Tabela3[Teto R. Legal],Tabela3[Teto R. Legal],Tabela3[Lucro Líquido]*5%)</calculatedColumnFormula>
    </tableColumn>
    <tableColumn id="37" name="Lucro Distribuir" dataDxfId="83" totalsRowDxfId="25">
      <calculatedColumnFormula>IF(Tabela3[Lucro Líquido]&lt;0,0,Tabela3[Lucro Líquido]-Tabela3[Reserva Legal])</calculatedColumnFormula>
    </tableColumn>
    <tableColumn id="23" name="25 % Div" dataDxfId="82" totalsRowDxfId="24">
      <calculatedColumnFormula>Tabela3[[#This Row],[Lucro Distribuir]]*Tabela3[%Div]</calculatedColumnFormula>
    </tableColumn>
    <tableColumn id="3" name="Total Ações" dataDxfId="81" totalsRowDxfId="23">
      <calculatedColumnFormula>SUMPRODUCT(N(Tabela3[Nome]=Tabela3[[#This Row],[Nome]]),Tabela3[Ações])</calculatedColumnFormula>
    </tableColumn>
    <tableColumn id="44" name="VN" dataDxfId="80" totalsRowDxfId="22">
      <calculatedColumnFormula>Tabela3[Capital Social]/Tabela3[Total Ações]</calculatedColumnFormula>
    </tableColumn>
    <tableColumn id="19" name="Lucro/Ação" dataDxfId="79" totalsRowDxfId="21">
      <calculatedColumnFormula>Tabela3[[#This Row],[Lucro Líquido]]/Tabela3[[#This Row],[Total Ações]]</calculatedColumnFormula>
    </tableColumn>
    <tableColumn id="40" name="Div. Mínimo" dataDxfId="78" totalsRowDxfId="20">
      <calculatedColumnFormula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calculatedColumnFormula>
    </tableColumn>
    <tableColumn id="28" name="Div PNA (PL)" dataDxfId="77" totalsRowDxfId="19">
      <calculatedColumnFormula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calculatedColumnFormula>
    </tableColumn>
    <tableColumn id="33" name="Div PNA (CS)" dataDxfId="76" totalsRowDxfId="18">
      <calculatedColumnFormula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calculatedColumnFormula>
    </tableColumn>
    <tableColumn id="41" name="Div Base" dataDxfId="75" totalsRowDxfId="17">
      <calculatedColumnFormula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calculatedColumnFormula>
    </tableColumn>
    <tableColumn id="42" name="Total Div. Pref." dataDxfId="74" totalsRowDxfId="16">
      <calculatedColumnFormula>Tabela3[Div Base]*Tabela3[Ações]</calculatedColumnFormula>
    </tableColumn>
    <tableColumn id="22" name="Total" dataDxfId="73" totalsRowDxfId="15">
      <calculatedColumnFormula>SUMPRODUCT(N(Tabela3[Nome]=Tabela3[[#This Row],[Nome]]),Tabela3[Div Base]*Tabela3[Ações])</calculatedColumnFormula>
    </tableColumn>
    <tableColumn id="4" name="VPA" dataDxfId="72" totalsRowDxfId="14" dataCellStyle="Currency">
      <calculatedColumnFormula>Tabela3[Patrimônio Líquido]/Tabela3[Total Ações]</calculatedColumnFormula>
    </tableColumn>
    <tableColumn id="5" name="Cotação" dataDxfId="71" totalsRowDxfId="13">
      <calculatedColumnFormula>MAX(Tabela3[[#This Row],[Cotação 1]:[Cotação 5]])</calculatedColumnFormula>
    </tableColumn>
    <tableColumn id="6" name="PVPA" dataDxfId="70" totalsRowDxfId="12">
      <calculatedColumnFormula>Tabela3[Cotação]/Tabela3[VPA]</calculatedColumnFormula>
    </tableColumn>
    <tableColumn id="16" name="PL" dataDxfId="69">
      <calculatedColumnFormula>IF(Tabela3[[#This Row],[Lucro/Ação]]&gt;0,Tabela3[[#This Row],[Cotação]]/(Tabela3[[#This Row],[Lucro/Ação]]/Tabela3[Ref]*4),0)</calculatedColumnFormula>
    </tableColumn>
    <tableColumn id="53" name="Lucro Dist./Ação" dataDxfId="68" totalsRowDxfId="11">
      <calculatedColumnFormula>Tabela3[Lucro Distribuir]/Tabela3[Total Ações]</calculatedColumnFormula>
    </tableColumn>
    <tableColumn id="52" name="Lucro" dataDxfId="67" totalsRowDxfId="10">
      <calculatedColumnFormula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calculatedColumnFormula>
    </tableColumn>
    <tableColumn id="8" name="Comprar ?" dataDxfId="46" totalsRowDxfId="9">
      <calculatedColumnFormula>IF(AND(Tabela3[% A.A.]&gt;=6%,SUMPRODUCT(N(Tabela3[Nome]=Tabela3[[#This Row],[Nome]]),Tabela3[PL])&gt;0,Tabela3[Rentabilidade s/ PL]&gt;=Tabela3[Rentabilidade s/ PL Média]),"Sim","Não")</calculatedColumnFormula>
    </tableColumn>
    <tableColumn id="14" name="% Yield" dataDxfId="66" totalsRowDxfId="8">
      <calculatedColumnFormula>IF(Tabela3[Cotação]&gt;0,Tabela3[[#This Row],[Lucro]]/Tabela3[[#This Row],[Cotação]],0)</calculatedColumnFormula>
    </tableColumn>
    <tableColumn id="12" name="% A.A." dataDxfId="65" totalsRowDxfId="7">
      <calculatedColumnFormula>((1+Tabela3[[#This Row],[% Yield]])^(1/(3*Tabela3[[#This Row],[Ref]])))^(12)-1</calculatedColumnFormula>
    </tableColumn>
    <tableColumn id="17" name="Ativos" dataDxfId="64" totalsRowDxfId="6">
      <calculatedColumnFormula>IF(Tabela3[Cotação]&gt;0,($BH$1/Tabela3[[#This Row],[Cotação]]-MOD($BH$1/Tabela3[[#This Row],[Cotação]],100)),)</calculatedColumnFormula>
    </tableColumn>
    <tableColumn id="18" name="Lucro Med A.A" dataDxfId="63" totalsRowDxfId="5">
      <calculatedColumnFormula>Tabela3[[#This Row],[Ativos]]*Tabela3[Lucro]</calculatedColumnFormula>
    </tableColumn>
    <tableColumn id="15" name="Cotação 1" dataDxfId="62" totalsRowDxfId="4">
      <calculatedColumnFormula>SUMPRODUCT(N(Tabela1[Código]=Tabela3[[#This Row],[PAPEL]]),Tabela1[Fechamento])</calculatedColumnFormula>
    </tableColumn>
    <tableColumn id="20" name="Cotação 2" dataDxfId="61" totalsRowDxfId="3">
      <calculatedColumnFormula>SUMPRODUCT(N(Tabela17[Código]=Tabela3[[#This Row],[PAPEL]]),Tabela17[Fechamento])</calculatedColumnFormula>
    </tableColumn>
    <tableColumn id="11" name="Cotação 3" dataDxfId="60" totalsRowDxfId="2">
      <calculatedColumnFormula>SUMPRODUCT(N(Tabela176[Código]=Tabela3[[#This Row],[PAPEL]]),Tabela176[Fechamento])</calculatedColumnFormula>
    </tableColumn>
    <tableColumn id="21" name="Cotação 4" dataDxfId="59" totalsRowDxfId="1">
      <calculatedColumnFormula>SUMPRODUCT(N(Tabela1768[Código]=Tabela3[[#This Row],[PAPEL]]),Tabela1768[Fechamento])</calculatedColumnFormula>
    </tableColumn>
    <tableColumn id="26" name="Cotação 5" dataDxfId="58" totalsRowDxfId="0">
      <calculatedColumnFormula>SUMPRODUCT(N(Tabela17683[Código]=Tabela3[[#This Row],[PAPEL]]),Tabela17683[Fechamento])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P6:V112" totalsRowShown="0" headerRowDxfId="171" dataDxfId="170">
  <autoFilter ref="P6:V112"/>
  <sortState ref="P7:V112">
    <sortCondition ref="P6:P112"/>
  </sortState>
  <tableColumns count="7">
    <tableColumn id="1" name="Código" dataDxfId="169"/>
    <tableColumn id="2" name="Ativo" dataDxfId="168">
      <calculatedColumnFormula>IF(A7="","",C7)</calculatedColumnFormula>
    </tableColumn>
    <tableColumn id="3" name="Data" dataDxfId="167">
      <calculatedColumnFormula>IF(A7="","",H7)</calculatedColumnFormula>
    </tableColumn>
    <tableColumn id="4" name="Abertura" dataDxfId="166">
      <calculatedColumnFormula>J7</calculatedColumnFormula>
    </tableColumn>
    <tableColumn id="5" name="Fechamento" dataDxfId="165">
      <calculatedColumnFormula>K7</calculatedColumnFormula>
    </tableColumn>
    <tableColumn id="6" name="Máxima" dataDxfId="164">
      <calculatedColumnFormula>L7</calculatedColumnFormula>
    </tableColumn>
    <tableColumn id="7" name="Mínima" dataDxfId="163">
      <calculatedColumnFormula>M7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ela17" displayName="Tabela17" ref="P6:V112" totalsRowShown="0" headerRowDxfId="162" dataDxfId="161">
  <autoFilter ref="P6:V112"/>
  <sortState ref="P7:V112">
    <sortCondition ref="P6:P112"/>
  </sortState>
  <tableColumns count="7">
    <tableColumn id="1" name="Código" dataDxfId="160"/>
    <tableColumn id="2" name="Ativo" dataDxfId="159">
      <calculatedColumnFormula>IF(A7="","",C7)</calculatedColumnFormula>
    </tableColumn>
    <tableColumn id="3" name="Data" dataDxfId="158">
      <calculatedColumnFormula>IF(A7="","",H7)</calculatedColumnFormula>
    </tableColumn>
    <tableColumn id="4" name="Abertura" dataDxfId="157">
      <calculatedColumnFormula>J7</calculatedColumnFormula>
    </tableColumn>
    <tableColumn id="5" name="Fechamento" dataDxfId="156">
      <calculatedColumnFormula>K7</calculatedColumnFormula>
    </tableColumn>
    <tableColumn id="6" name="Máxima" dataDxfId="155">
      <calculatedColumnFormula>L7</calculatedColumnFormula>
    </tableColumn>
    <tableColumn id="7" name="Mínima" dataDxfId="154">
      <calculatedColumnFormula>M7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ela176" displayName="Tabela176" ref="P6:V112" totalsRowShown="0" headerRowDxfId="153" dataDxfId="152">
  <autoFilter ref="P6:V112"/>
  <sortState ref="P7:V112">
    <sortCondition ref="P6:P112"/>
  </sortState>
  <tableColumns count="7">
    <tableColumn id="1" name="Código" dataDxfId="151"/>
    <tableColumn id="2" name="Ativo" dataDxfId="150">
      <calculatedColumnFormula>IF(A7="","",C7)</calculatedColumnFormula>
    </tableColumn>
    <tableColumn id="3" name="Data" dataDxfId="149">
      <calculatedColumnFormula>IF(A7="","",H7)</calculatedColumnFormula>
    </tableColumn>
    <tableColumn id="4" name="Abertura" dataDxfId="148">
      <calculatedColumnFormula>J7</calculatedColumnFormula>
    </tableColumn>
    <tableColumn id="5" name="Fechamento" dataDxfId="147">
      <calculatedColumnFormula>K7</calculatedColumnFormula>
    </tableColumn>
    <tableColumn id="6" name="Máxima" dataDxfId="146">
      <calculatedColumnFormula>L7</calculatedColumnFormula>
    </tableColumn>
    <tableColumn id="7" name="Mínima" dataDxfId="145">
      <calculatedColumnFormula>M7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ela1768" displayName="Tabela1768" ref="P6:V112" totalsRowShown="0" headerRowDxfId="144" dataDxfId="143">
  <autoFilter ref="P6:V112"/>
  <sortState ref="P7:V112">
    <sortCondition ref="P6:P112"/>
  </sortState>
  <tableColumns count="7">
    <tableColumn id="1" name="Código" dataDxfId="142"/>
    <tableColumn id="2" name="Ativo" dataDxfId="141">
      <calculatedColumnFormula>IF(A7="","",C7)</calculatedColumnFormula>
    </tableColumn>
    <tableColumn id="3" name="Data" dataDxfId="140">
      <calculatedColumnFormula>IF(A7="","",H7)</calculatedColumnFormula>
    </tableColumn>
    <tableColumn id="4" name="Abertura" dataDxfId="139">
      <calculatedColumnFormula>J7</calculatedColumnFormula>
    </tableColumn>
    <tableColumn id="5" name="Fechamento" dataDxfId="138">
      <calculatedColumnFormula>K7</calculatedColumnFormula>
    </tableColumn>
    <tableColumn id="6" name="Máxima" dataDxfId="137">
      <calculatedColumnFormula>L7</calculatedColumnFormula>
    </tableColumn>
    <tableColumn id="7" name="Mínima" dataDxfId="136">
      <calculatedColumnFormula>M7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Tabela17683" displayName="Tabela17683" ref="P6:V112" totalsRowShown="0" headerRowDxfId="104" dataDxfId="103">
  <autoFilter ref="P6:V112"/>
  <sortState ref="P7:V112">
    <sortCondition ref="P6:P112"/>
  </sortState>
  <tableColumns count="7">
    <tableColumn id="1" name="Código" dataDxfId="102"/>
    <tableColumn id="2" name="Ativo" dataDxfId="101">
      <calculatedColumnFormula>IF(A7="","",C7)</calculatedColumnFormula>
    </tableColumn>
    <tableColumn id="3" name="Data" dataDxfId="100">
      <calculatedColumnFormula>IF(A7="","",H7)</calculatedColumnFormula>
    </tableColumn>
    <tableColumn id="4" name="Abertura" dataDxfId="99">
      <calculatedColumnFormula>J7</calculatedColumnFormula>
    </tableColumn>
    <tableColumn id="5" name="Fechamento" dataDxfId="98">
      <calculatedColumnFormula>K7</calculatedColumnFormula>
    </tableColumn>
    <tableColumn id="6" name="Máxima" dataDxfId="97">
      <calculatedColumnFormula>L7</calculatedColumnFormula>
    </tableColumn>
    <tableColumn id="7" name="Mínima" dataDxfId="96">
      <calculatedColumnFormula>M7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4" name="Table4" displayName="Table4" ref="A1:N4" totalsRowCount="1" headerRowDxfId="135" dataDxfId="134" totalsRowDxfId="133">
  <autoFilter ref="A1:N3"/>
  <tableColumns count="14">
    <tableColumn id="1" name="Data Liquidação" totalsRowLabel="Total" dataDxfId="132" totalsRowDxfId="131"/>
    <tableColumn id="16" name="Dia" dataDxfId="130" totalsRowDxfId="129">
      <calculatedColumnFormula>DAY(Table4[Data Liquidação])</calculatedColumnFormula>
    </tableColumn>
    <tableColumn id="15" name="Mês" dataDxfId="128" totalsRowDxfId="127">
      <calculatedColumnFormula>MONTH(Table4[Data Liquidação])</calculatedColumnFormula>
    </tableColumn>
    <tableColumn id="14" name="Ano" dataDxfId="126" totalsRowDxfId="125">
      <calculatedColumnFormula>YEAR(Table4[Data Liquidação])</calculatedColumnFormula>
    </tableColumn>
    <tableColumn id="7" name="Nome" dataDxfId="124" totalsRowDxfId="123"/>
    <tableColumn id="2" name="Aplicação" totalsRowFunction="sum" dataDxfId="122" totalsRowDxfId="121"/>
    <tableColumn id="3" name="Taxas" totalsRowFunction="min" dataDxfId="120" totalsRowDxfId="119"/>
    <tableColumn id="4" name="Resgates" totalsRowFunction="sum" dataDxfId="118" totalsRowDxfId="117"/>
    <tableColumn id="5" name="Dividendo" totalsRowFunction="sum" dataDxfId="116" totalsRowDxfId="115"/>
    <tableColumn id="18" name="JPC" totalsRowFunction="sum" dataDxfId="114" totalsRowDxfId="113"/>
    <tableColumn id="8" name="Quantidade" dataDxfId="112" totalsRowDxfId="111"/>
    <tableColumn id="9" name="Preço Médio" dataDxfId="110" totalsRowDxfId="109">
      <calculatedColumnFormula>SUMPRODUCT(N(Table4[Nome]=Table4[[#This Row],[Nome]]),N(DATE(YEAR(Table4[Data Liquidação]),MONTH(Table4[Data Liquidação]),DAY(Table4[Data Liquidação]))&lt;=DATE(YEAR(Table4[[#This Row],[Data Liquidação]]),MONTH(Table4[[#This Row],[Data Liquidação]]),DAY(Table4[[#This Row],[Data Liquidação]]))),Table4[Aplicação])/SUMPRODUCT(N(Table4[Nome]=Table4[[#This Row],[Nome]]),N(DATE(YEAR(Table4[Data Liquidação]),MONTH(Table4[Data Liquidação]),DAY(Table4[Data Liquidação]))&lt;=DATE(YEAR(Table4[[#This Row],[Data Liquidação]]),MONTH(Table4[[#This Row],[Data Liquidação]]),DAY(Table4[[#This Row],[Data Liquidação]]))),Table4[Quantidade])</calculatedColumnFormula>
    </tableColumn>
    <tableColumn id="13" name="Lucro p/ Ação" dataDxfId="108" totalsRowDxfId="107">
      <calculatedColumnFormula>IF(OR(Table4[Dividendo]&gt;0,Table4[JPC]&gt;0),(Table4[[#This Row],[Dividendo]]+Table4[[#This Row],[JPC]])/SUMPRODUCT(N(Table4[Nome]=Table4[[#This Row],[Nome]]),N(DATE(YEAR(Table4[Data Liquidação]),MONTH(Table4[Data Liquidação]),DAY(Table4[Data Liquidação]))&lt;=DATE(YEAR(Table4[[#This Row],[Data Liquidação]]),MONTH(Table4[[#This Row],[Data Liquidação]]),DAY(Table4[[#This Row],[Data Liquidação]]))),Table4[Quantidade]),0)</calculatedColumnFormula>
    </tableColumn>
    <tableColumn id="6" name="Rentabilidade" totalsRowFunction="custom" dataDxfId="106" totalsRowDxfId="105">
      <calculatedColumnFormula>IF(Table4[Lucro p/ Ação]&gt;0,Table4[Lucro p/ Ação]/Table4[Preço Médio],"")</calculatedColumnFormula>
      <totalsRowFormula>(Table4[[#Totals],[JPC]]+Table4[[#Totals],[Dividendo]])/Table4[[#Totals],[Aplicação]]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bmfbovespa.com.br/cias-listadas/empresas-listadas/ResumoEmpresaPrincipal.aspx?codigoCvm=14524&amp;idioma=pt-br" TargetMode="External"/><Relationship Id="rId299" Type="http://schemas.openxmlformats.org/officeDocument/2006/relationships/hyperlink" Target="http://www.bmfbovespa.com.br/cias-listadas/empresas-listadas/ResumoEmpresaPrincipal.aspx?codigoCvm=22470&amp;idioma=pt-br" TargetMode="External"/><Relationship Id="rId21" Type="http://schemas.openxmlformats.org/officeDocument/2006/relationships/hyperlink" Target="http://www.bmfbovespa.com.br/Cias-Listadas/Empresas-Listadas/ResumoEmpresaPrincipal.aspx?codigoCvm=4707&amp;idioma=pt-br" TargetMode="External"/><Relationship Id="rId63" Type="http://schemas.openxmlformats.org/officeDocument/2006/relationships/hyperlink" Target="http://www.bmfbovespa.com.br/cias-listadas/empresas-listadas/ResumoEmpresaPrincipal.aspx?codigoCvm=8893&amp;idioma=pt-br" TargetMode="External"/><Relationship Id="rId159" Type="http://schemas.openxmlformats.org/officeDocument/2006/relationships/hyperlink" Target="http://www.bmfbovespa.com.br/cias-listadas/empresas-listadas/ResumoEmpresaPrincipal.aspx?codigoCvm=19348&amp;idioma=pt-br" TargetMode="External"/><Relationship Id="rId324" Type="http://schemas.openxmlformats.org/officeDocument/2006/relationships/hyperlink" Target="http://www.bmfbovespa.com.br/cias-listadas/empresas-listadas/ResumoEmpresaPrincipal.aspx?codigoCvm=4146&amp;idioma=pt-br" TargetMode="External"/><Relationship Id="rId366" Type="http://schemas.openxmlformats.org/officeDocument/2006/relationships/hyperlink" Target="http://www.bmfbovespa.com.br/cias-listadas/empresas-listadas/ResumoEmpresaPrincipal.aspx?codigoCvm=4723&amp;idioma=pt-br" TargetMode="External"/><Relationship Id="rId170" Type="http://schemas.openxmlformats.org/officeDocument/2006/relationships/hyperlink" Target="http://www.bmfbovespa.com.br/cias-listadas/empresas-listadas/ResumoEmpresaPrincipal.aspx?codigoCvm=19992&amp;idioma=pt-br" TargetMode="External"/><Relationship Id="rId226" Type="http://schemas.openxmlformats.org/officeDocument/2006/relationships/hyperlink" Target="http://www.bmfbovespa.com.br/cias-listadas/empresas-listadas/ResumoEmpresaPrincipal.aspx?codigoCvm=8605&amp;idioma=pt-br" TargetMode="External"/><Relationship Id="rId433" Type="http://schemas.openxmlformats.org/officeDocument/2006/relationships/hyperlink" Target="http://www.bmfbovespa.com.br/cias-listadas/empresas-listadas/ResumoEmpresaPrincipal.aspx?codigoCvm=6173&amp;idioma=pt-br" TargetMode="External"/><Relationship Id="rId268" Type="http://schemas.openxmlformats.org/officeDocument/2006/relationships/hyperlink" Target="http://www.bmfbovespa.com.br/cias-listadas/empresas-listadas/ResumoEmpresaPrincipal.aspx?codigoCvm=23264&amp;idioma=pt-br" TargetMode="External"/><Relationship Id="rId475" Type="http://schemas.openxmlformats.org/officeDocument/2006/relationships/hyperlink" Target="http://www.bmfbovespa.com.br/cias-listadas/empresas-listadas/ResumoEmpresaPrincipal.aspx?codigoCvm=11991&amp;idioma=pt-br" TargetMode="External"/><Relationship Id="rId32" Type="http://schemas.openxmlformats.org/officeDocument/2006/relationships/hyperlink" Target="http://www.bmfbovespa.com.br/Cias-Listadas/Empresas-Listadas/ResumoEmpresaPrincipal.aspx?codigoCvm=14451&amp;idioma=pt-br" TargetMode="External"/><Relationship Id="rId74" Type="http://schemas.openxmlformats.org/officeDocument/2006/relationships/hyperlink" Target="http://www.bmfbovespa.com.br/cias-listadas/empresas-listadas/ResumoEmpresaPrincipal.aspx?codigoCvm=4820&amp;idioma=pt-br" TargetMode="External"/><Relationship Id="rId128" Type="http://schemas.openxmlformats.org/officeDocument/2006/relationships/hyperlink" Target="http://www.bmfbovespa.com.br/Cias-Listadas/Empresas-Listadas/ResumoEmpresaPrincipal.aspx?codigoCvm=18376&amp;idioma=pt-BR" TargetMode="External"/><Relationship Id="rId335" Type="http://schemas.openxmlformats.org/officeDocument/2006/relationships/hyperlink" Target="http://www.bmfbovespa.com.br/cias-listadas/empresas-listadas/ResumoEmpresaPrincipal.aspx?codigoCvm=10456&amp;idioma=pt-br" TargetMode="External"/><Relationship Id="rId377" Type="http://schemas.openxmlformats.org/officeDocument/2006/relationships/hyperlink" Target="http://www.bmfbovespa.com.br/cias-listadas/empresas-listadas/ResumoEmpresaPrincipal.aspx?codigoCvm=20478&amp;idioma=pt-br" TargetMode="External"/><Relationship Id="rId5" Type="http://schemas.openxmlformats.org/officeDocument/2006/relationships/hyperlink" Target="http://www.bmfbovespa.com.br/Cias-Listadas/Empresas-Listadas/ResumoEmpresaPrincipal.aspx?codigoCvm=1309&amp;idioma=pt-BR" TargetMode="External"/><Relationship Id="rId181" Type="http://schemas.openxmlformats.org/officeDocument/2006/relationships/hyperlink" Target="http://www.bmfbovespa.com.br/cias-listadas/empresas-listadas/ResumoEmpresaPrincipal.aspx?codigoCvm=3069&amp;idioma=pt-br" TargetMode="External"/><Relationship Id="rId237" Type="http://schemas.openxmlformats.org/officeDocument/2006/relationships/hyperlink" Target="http://www.bmfbovespa.com.br/cias-listadas/empresas-listadas/ResumoEmpresaPrincipal.aspx?codigoCvm=3182&amp;idioma=pt-br" TargetMode="External"/><Relationship Id="rId402" Type="http://schemas.openxmlformats.org/officeDocument/2006/relationships/hyperlink" Target="http://www.bmfbovespa.com.br/cias-listadas/empresas-listadas/ResumoEmpresaPrincipal.aspx?codigoCvm=19100&amp;idioma=pt-br" TargetMode="External"/><Relationship Id="rId279" Type="http://schemas.openxmlformats.org/officeDocument/2006/relationships/hyperlink" Target="http://www.bmfbovespa.com.br/cias-listadas/empresas-listadas/ResumoEmpresaPrincipal.aspx?codigoCvm=3336&amp;idioma=pt-br" TargetMode="External"/><Relationship Id="rId444" Type="http://schemas.openxmlformats.org/officeDocument/2006/relationships/hyperlink" Target="http://www.bmfbovespa.com.br/cias-listadas/empresas-listadas/ResumoEmpresaPrincipal.aspx?codigoCvm=2488&amp;idioma=pt-br" TargetMode="External"/><Relationship Id="rId486" Type="http://schemas.openxmlformats.org/officeDocument/2006/relationships/hyperlink" Target="http://www.bmfbovespa.com.br/Cias-Listadas/Empresas-Listadas/ResumoEmpresaPrincipal.aspx?codigoCvm=20150&amp;idioma=pt-BR" TargetMode="External"/><Relationship Id="rId43" Type="http://schemas.openxmlformats.org/officeDocument/2006/relationships/hyperlink" Target="http://www.bmfbovespa.com.br/cias-listadas/empresas-listadas/ResumoEmpresaPrincipal.aspx?codigoCvm=21610&amp;idioma=pt-br" TargetMode="External"/><Relationship Id="rId139" Type="http://schemas.openxmlformats.org/officeDocument/2006/relationships/hyperlink" Target="http://www.bmfbovespa.com.br/cias-listadas/empresas-listadas/ResumoEmpresaPrincipal.aspx?codigoCvm=16616&amp;idioma=pt-br" TargetMode="External"/><Relationship Id="rId290" Type="http://schemas.openxmlformats.org/officeDocument/2006/relationships/hyperlink" Target="http://www.bmfbovespa.com.br/cias-listadas/empresas-listadas/ResumoEmpresaPrincipal.aspx?codigoCvm=9415&amp;idioma=pt-br" TargetMode="External"/><Relationship Id="rId304" Type="http://schemas.openxmlformats.org/officeDocument/2006/relationships/hyperlink" Target="http://www.bmfbovespa.com.br/cias-listadas/empresas-listadas/ResumoEmpresaPrincipal.aspx?codigoCvm=14761&amp;idioma=pt-br" TargetMode="External"/><Relationship Id="rId346" Type="http://schemas.openxmlformats.org/officeDocument/2006/relationships/hyperlink" Target="http://www.bmfbovespa.com.br/cias-listadas/empresas-listadas/ResumoEmpresaPrincipal.aspx?codigoCvm=22551&amp;idioma=pt-br" TargetMode="External"/><Relationship Id="rId388" Type="http://schemas.openxmlformats.org/officeDocument/2006/relationships/hyperlink" Target="http://www.bmfbovespa.com.br/cias-listadas/empresas-listadas/ResumoEmpresaPrincipal.aspx?codigoCvm=4774&amp;idioma=pt-br" TargetMode="External"/><Relationship Id="rId85" Type="http://schemas.openxmlformats.org/officeDocument/2006/relationships/hyperlink" Target="http://www.bmfbovespa.com.br/cias-listadas/empresas-listadas/ResumoEmpresaPrincipal.aspx?codigoCvm=22357&amp;idioma=pt-br" TargetMode="External"/><Relationship Id="rId150" Type="http://schemas.openxmlformats.org/officeDocument/2006/relationships/hyperlink" Target="http://www.bmfbovespa.com.br/cias-listadas/empresas-listadas/ResumoEmpresaPrincipal.aspx?codigoCvm=1325&amp;idioma=pt-br" TargetMode="External"/><Relationship Id="rId192" Type="http://schemas.openxmlformats.org/officeDocument/2006/relationships/hyperlink" Target="http://www.bmfbovespa.com.br/cias-listadas/empresas-listadas/ResumoEmpresaPrincipal.aspx?codigoCvm=8397&amp;idioma=pt-br" TargetMode="External"/><Relationship Id="rId206" Type="http://schemas.openxmlformats.org/officeDocument/2006/relationships/hyperlink" Target="http://www.bmfbovespa.com.br/cias-listadas/empresas-listadas/ResumoEmpresaPrincipal.aspx?codigoCvm=21334&amp;idioma=pt-br" TargetMode="External"/><Relationship Id="rId413" Type="http://schemas.openxmlformats.org/officeDocument/2006/relationships/hyperlink" Target="http://www.bmfbovespa.com.br/cias-listadas/empresas-listadas/ResumoEmpresaPrincipal.aspx?codigoCvm=3174&amp;idioma=pt-br" TargetMode="External"/><Relationship Id="rId248" Type="http://schemas.openxmlformats.org/officeDocument/2006/relationships/hyperlink" Target="http://www.bmfbovespa.com.br/cias-listadas/empresas-listadas/ResumoEmpresaPrincipal.aspx?codigoCvm=21881&amp;idioma=pt-br" TargetMode="External"/><Relationship Id="rId455" Type="http://schemas.openxmlformats.org/officeDocument/2006/relationships/hyperlink" Target="http://www.bmfbovespa.com.br/cias-listadas/empresas-listadas/ResumoEmpresaPrincipal.aspx?codigoCvm=20087&amp;idioma=pt-br" TargetMode="External"/><Relationship Id="rId12" Type="http://schemas.openxmlformats.org/officeDocument/2006/relationships/hyperlink" Target="http://www.bmfbovespa.com.br/Cias-Listadas/Empresas-Listadas/ResumoEmpresaPrincipal.aspx?codigoCvm=1384&amp;idioma=pt-br" TargetMode="External"/><Relationship Id="rId108" Type="http://schemas.openxmlformats.org/officeDocument/2006/relationships/hyperlink" Target="http://www.bmfbovespa.com.br/Cias-Listadas/Empresas-Listadas/ResumoEmpresaPrincipal.aspx?codigoCvm=21113&amp;idioma=pt-BR" TargetMode="External"/><Relationship Id="rId315" Type="http://schemas.openxmlformats.org/officeDocument/2006/relationships/hyperlink" Target="http://www.bmfbovespa.com.br/cias-listadas/empresas-listadas/ResumoEmpresaPrincipal.aspx?codigoCvm=3158&amp;idioma=pt-br" TargetMode="External"/><Relationship Id="rId357" Type="http://schemas.openxmlformats.org/officeDocument/2006/relationships/hyperlink" Target="http://www.bmfbovespa.com.br/cias-listadas/empresas-listadas/ResumoEmpresaPrincipal.aspx?codigoCvm=8117&amp;idioma=pt-br" TargetMode="External"/><Relationship Id="rId54" Type="http://schemas.openxmlformats.org/officeDocument/2006/relationships/hyperlink" Target="http://www.bmfbovespa.com.br/cias-listadas/empresas-listadas/ResumoEmpresaPrincipal.aspx?codigoCvm=20842&amp;idioma=pt-br" TargetMode="External"/><Relationship Id="rId96" Type="http://schemas.openxmlformats.org/officeDocument/2006/relationships/hyperlink" Target="http://www.bmfbovespa.com.br/cias-listadas/empresas-listadas/ResumoEmpresaPrincipal.aspx?codigoCvm=17671&amp;idioma=pt-br" TargetMode="External"/><Relationship Id="rId161" Type="http://schemas.openxmlformats.org/officeDocument/2006/relationships/hyperlink" Target="http://www.bmfbovespa.com.br/cias-listadas/empresas-listadas/ResumoEmpresaPrincipal.aspx?codigoCvm=20729&amp;idioma=pt-br" TargetMode="External"/><Relationship Id="rId217" Type="http://schemas.openxmlformats.org/officeDocument/2006/relationships/hyperlink" Target="http://www.bmfbovespa.com.br/cias-listadas/empresas-listadas/ResumoEmpresaPrincipal.aspx?codigoCvm=12793&amp;idioma=pt-br" TargetMode="External"/><Relationship Id="rId399" Type="http://schemas.openxmlformats.org/officeDocument/2006/relationships/hyperlink" Target="http://www.bmfbovespa.com.br/cias-listadas/empresas-listadas/ResumoEmpresaPrincipal.aspx?codigoCvm=21180&amp;idioma=pt-br" TargetMode="External"/><Relationship Id="rId259" Type="http://schemas.openxmlformats.org/officeDocument/2006/relationships/hyperlink" Target="http://www.bmfbovespa.com.br/cias-listadas/empresas-listadas/ResumoEmpresaPrincipal.aspx?codigoCvm=20990&amp;idioma=pt-br" TargetMode="External"/><Relationship Id="rId424" Type="http://schemas.openxmlformats.org/officeDocument/2006/relationships/hyperlink" Target="http://www.bmfbovespa.com.br/cias-listadas/empresas-listadas/ResumoEmpresaPrincipal.aspx?codigoCvm=20710&amp;idioma=pt-br" TargetMode="External"/><Relationship Id="rId466" Type="http://schemas.openxmlformats.org/officeDocument/2006/relationships/hyperlink" Target="http://www.bmfbovespa.com.br/cias-listadas/empresas-listadas/ResumoEmpresaPrincipal.aspx?codigoCvm=13439&amp;idioma=pt-br" TargetMode="External"/><Relationship Id="rId23" Type="http://schemas.openxmlformats.org/officeDocument/2006/relationships/hyperlink" Target="http://www.bmfbovespa.com.br/Cias-Listadas/Empresas-Listadas/ResumoEmpresaPrincipal.aspx?codigoCvm=14311&amp;idioma=pt-BR" TargetMode="External"/><Relationship Id="rId119" Type="http://schemas.openxmlformats.org/officeDocument/2006/relationships/hyperlink" Target="http://www.bmfbovespa.com.br/cias-listadas/empresas-listadas/ResumoEmpresaPrincipal.aspx?codigoCvm=14869&amp;idioma=pt-br" TargetMode="External"/><Relationship Id="rId270" Type="http://schemas.openxmlformats.org/officeDocument/2006/relationships/hyperlink" Target="http://www.bmfbovespa.com.br/cias-listadas/empresas-listadas/ResumoEmpresaPrincipal.aspx?codigoCvm=18490&amp;idioma=pt-br" TargetMode="External"/><Relationship Id="rId326" Type="http://schemas.openxmlformats.org/officeDocument/2006/relationships/hyperlink" Target="http://www.bmfbovespa.com.br/cias-listadas/empresas-listadas/ResumoEmpresaPrincipal.aspx?codigoCvm=9539&amp;idioma=pt-br" TargetMode="External"/><Relationship Id="rId65" Type="http://schemas.openxmlformats.org/officeDocument/2006/relationships/hyperlink" Target="http://www.bmfbovespa.com.br/cias-listadas/empresas-listadas/ResumoEmpresaPrincipal.aspx?codigoCvm=18724&amp;idioma=pt-br" TargetMode="External"/><Relationship Id="rId130" Type="http://schemas.openxmlformats.org/officeDocument/2006/relationships/hyperlink" Target="http://www.bmfbovespa.com.br/Cias-Listadas/Empresas-Listadas/ResumoEmpresaPrincipal.aspx?codigoCvm=22128&amp;idioma=pt-BR" TargetMode="External"/><Relationship Id="rId368" Type="http://schemas.openxmlformats.org/officeDocument/2006/relationships/hyperlink" Target="http://www.bmfbovespa.com.br/cias-listadas/empresas-listadas/ResumoEmpresaPrincipal.aspx?codigoCvm=14460&amp;idioma=pt-br" TargetMode="External"/><Relationship Id="rId172" Type="http://schemas.openxmlformats.org/officeDocument/2006/relationships/hyperlink" Target="http://www.bmfbovespa.com.br/cias-listadas/empresas-listadas/ResumoEmpresaPrincipal.aspx?codigoCvm=12530&amp;idioma=pt-br" TargetMode="External"/><Relationship Id="rId228" Type="http://schemas.openxmlformats.org/officeDocument/2006/relationships/hyperlink" Target="http://www.bmfbovespa.com.br/cias-listadas/empresas-listadas/ResumoEmpresaPrincipal.aspx?codigoCvm=18708&amp;idioma=pt-br" TargetMode="External"/><Relationship Id="rId435" Type="http://schemas.openxmlformats.org/officeDocument/2006/relationships/hyperlink" Target="http://www.bmfbovespa.com.br/cias-listadas/empresas-listadas/ResumoEmpresaPrincipal.aspx?codigoCvm=5380&amp;idioma=pt-br" TargetMode="External"/><Relationship Id="rId477" Type="http://schemas.openxmlformats.org/officeDocument/2006/relationships/hyperlink" Target="http://www.bmfbovespa.com.br/Cias-Listadas/Empresas-Listadas/ResumoEmpresaPrincipal.aspx?codigoCvm=18350&amp;idioma=pt-BR" TargetMode="External"/><Relationship Id="rId281" Type="http://schemas.openxmlformats.org/officeDocument/2006/relationships/hyperlink" Target="http://www.bmfbovespa.com.br/cias-listadas/empresas-listadas/ResumoEmpresaPrincipal.aspx?codigoCvm=13285&amp;idioma=pt-br" TargetMode="External"/><Relationship Id="rId337" Type="http://schemas.openxmlformats.org/officeDocument/2006/relationships/hyperlink" Target="http://www.bmfbovespa.com.br/cias-listadas/empresas-listadas/ResumoEmpresaPrincipal.aspx?codigoCvm=2100&amp;idioma=pt-br" TargetMode="External"/><Relationship Id="rId34" Type="http://schemas.openxmlformats.org/officeDocument/2006/relationships/hyperlink" Target="http://www.bmfbovespa.com.br/cias-listadas/empresas-listadas/ResumoEmpresaPrincipal.aspx?codigoCvm=8540&amp;idioma=pt-br" TargetMode="External"/><Relationship Id="rId76" Type="http://schemas.openxmlformats.org/officeDocument/2006/relationships/hyperlink" Target="http://www.bmfbovespa.com.br/cias-listadas/empresas-listadas/ResumoEmpresaPrincipal.aspx?codigoCvm=3115&amp;idioma=pt-br" TargetMode="External"/><Relationship Id="rId141" Type="http://schemas.openxmlformats.org/officeDocument/2006/relationships/hyperlink" Target="http://www.bmfbovespa.com.br/Cias-Listadas/Empresas-Listadas/ResumoEmpresaPrincipal.aspx?codigoCvm=17647&amp;idioma=pt-BR" TargetMode="External"/><Relationship Id="rId379" Type="http://schemas.openxmlformats.org/officeDocument/2006/relationships/hyperlink" Target="http://www.bmfbovespa.com.br/cias-listadas/empresas-listadas/ResumoEmpresaPrincipal.aspx?codigoCvm=16306&amp;idioma=pt-br" TargetMode="External"/><Relationship Id="rId7" Type="http://schemas.openxmlformats.org/officeDocument/2006/relationships/hyperlink" Target="http://www.bmfbovespa.com.br/Cias-Listadas/Empresas-Listadas/ResumoEmpresaPrincipal.aspx?codigoCvm=1210&amp;idioma=pt-BR" TargetMode="External"/><Relationship Id="rId162" Type="http://schemas.openxmlformats.org/officeDocument/2006/relationships/hyperlink" Target="http://www.bmfbovespa.com.br/cias-listadas/empresas-listadas/ResumoEmpresaPrincipal.aspx?codigoCvm=20729&amp;idioma=pt-br" TargetMode="External"/><Relationship Id="rId183" Type="http://schemas.openxmlformats.org/officeDocument/2006/relationships/hyperlink" Target="http://www.bmfbovespa.com.br/cias-listadas/empresas-listadas/ResumoEmpresaPrincipal.aspx?codigoCvm=14320&amp;idioma=pt-br" TargetMode="External"/><Relationship Id="rId218" Type="http://schemas.openxmlformats.org/officeDocument/2006/relationships/hyperlink" Target="http://www.bmfbovespa.com.br/cias-listadas/empresas-listadas/ResumoEmpresaPrincipal.aspx?codigoCvm=12653&amp;idioma=pt-br" TargetMode="External"/><Relationship Id="rId239" Type="http://schemas.openxmlformats.org/officeDocument/2006/relationships/hyperlink" Target="http://www.bmfbovespa.com.br/cias-listadas/empresas-listadas/ResumoEmpresaPrincipal.aspx?codigoCvm=12319&amp;idioma=pt-br" TargetMode="External"/><Relationship Id="rId390" Type="http://schemas.openxmlformats.org/officeDocument/2006/relationships/hyperlink" Target="http://www.bmfbovespa.com.br/cias-listadas/empresas-listadas/ResumoEmpresaPrincipal.aspx?codigoCvm=13030&amp;idioma=pt-br" TargetMode="External"/><Relationship Id="rId404" Type="http://schemas.openxmlformats.org/officeDocument/2006/relationships/hyperlink" Target="http://www.bmfbovespa.com.br/cias-listadas/empresas-listadas/ResumoEmpresaPrincipal.aspx?codigoCvm=20044&amp;idioma=pt-br" TargetMode="External"/><Relationship Id="rId425" Type="http://schemas.openxmlformats.org/officeDocument/2006/relationships/hyperlink" Target="http://www.bmfbovespa.com.br/cias-listadas/empresas-listadas/ResumoEmpresaPrincipal.aspx?codigoCvm=8192&amp;idioma=pt-br" TargetMode="External"/><Relationship Id="rId446" Type="http://schemas.openxmlformats.org/officeDocument/2006/relationships/hyperlink" Target="http://www.bmfbovespa.com.br/cias-listadas/empresas-listadas/ResumoEmpresaPrincipal.aspx?codigoCvm=1520&amp;idioma=pt-br" TargetMode="External"/><Relationship Id="rId467" Type="http://schemas.openxmlformats.org/officeDocument/2006/relationships/hyperlink" Target="http://www.bmfbovespa.com.br/cias-listadas/empresas-listadas/ResumoEmpresaPrincipal.aspx?codigoCvm=13439&amp;idioma=pt-br" TargetMode="External"/><Relationship Id="rId250" Type="http://schemas.openxmlformats.org/officeDocument/2006/relationships/hyperlink" Target="http://www.bmfbovespa.com.br/cias-listadas/empresas-listadas/ResumoEmpresaPrincipal.aspx?codigoCvm=22497&amp;idioma=pt-br" TargetMode="External"/><Relationship Id="rId271" Type="http://schemas.openxmlformats.org/officeDocument/2006/relationships/hyperlink" Target="http://www.bmfbovespa.com.br/cias-listadas/empresas-listadas/ResumoEmpresaPrincipal.aspx?codigoCvm=18490&amp;idioma=pt-br" TargetMode="External"/><Relationship Id="rId292" Type="http://schemas.openxmlformats.org/officeDocument/2006/relationships/hyperlink" Target="http://www.bmfbovespa.com.br/cias-listadas/empresas-listadas/ResumoEmpresaPrincipal.aspx?codigoCvm=22454&amp;idioma=pt-br" TargetMode="External"/><Relationship Id="rId306" Type="http://schemas.openxmlformats.org/officeDocument/2006/relationships/hyperlink" Target="http://www.bmfbovespa.com.br/cias-listadas/empresas-listadas/ResumoEmpresaPrincipal.aspx?codigoCvm=3077&amp;idioma=pt-br" TargetMode="External"/><Relationship Id="rId488" Type="http://schemas.openxmlformats.org/officeDocument/2006/relationships/hyperlink" Target="http://www.bmfbovespa.com.br/Cias-Listadas/Empresas-Listadas/ResumoEmpresaPrincipal.aspx?codigoCvm=20150&amp;idioma=pt-BR" TargetMode="External"/><Relationship Id="rId24" Type="http://schemas.openxmlformats.org/officeDocument/2006/relationships/hyperlink" Target="http://www.bmfbovespa.com.br/Cias-Listadas/Empresas-Listadas/ResumoEmpresaPrincipal.aspx?codigoCvm=14311&amp;idioma=pt-BR" TargetMode="External"/><Relationship Id="rId45" Type="http://schemas.openxmlformats.org/officeDocument/2006/relationships/hyperlink" Target="http://www.bmfbovespa.com.br/cias-listadas/empresas-listadas/ResumoEmpresaPrincipal.aspx?codigoCvm=3891&amp;idioma=pt-br" TargetMode="External"/><Relationship Id="rId66" Type="http://schemas.openxmlformats.org/officeDocument/2006/relationships/hyperlink" Target="http://www.bmfbovespa.com.br/cias-listadas/empresas-listadas/ResumoEmpresaPrincipal.aspx?codigoCvm=18724&amp;idioma=pt-br" TargetMode="External"/><Relationship Id="rId87" Type="http://schemas.openxmlformats.org/officeDocument/2006/relationships/hyperlink" Target="http://www.bmfbovespa.com.br/cias-listadas/empresas-listadas/ResumoEmpresaPrincipal.aspx?codigoCvm=20974&amp;idioma=pt-br" TargetMode="External"/><Relationship Id="rId110" Type="http://schemas.openxmlformats.org/officeDocument/2006/relationships/hyperlink" Target="http://www.bmfbovespa.com.br/cias-listadas/empresas-listadas/ResumoEmpresaPrincipal.aspx?codigoCvm=18350&amp;idioma=pt-br" TargetMode="External"/><Relationship Id="rId131" Type="http://schemas.openxmlformats.org/officeDocument/2006/relationships/hyperlink" Target="http://www.bmfbovespa.com.br/cias-listadas/empresas-listadas/ResumoEmpresaPrincipal.aspx?codigoCvm=17485&amp;idioma=pt-br" TargetMode="External"/><Relationship Id="rId327" Type="http://schemas.openxmlformats.org/officeDocument/2006/relationships/hyperlink" Target="http://www.bmfbovespa.com.br/cias-listadas/empresas-listadas/ResumoEmpresaPrincipal.aspx?codigoCvm=9539&amp;idioma=pt-br" TargetMode="External"/><Relationship Id="rId348" Type="http://schemas.openxmlformats.org/officeDocument/2006/relationships/hyperlink" Target="http://www.bmfbovespa.com.br/cias-listadas/empresas-listadas/ResumoEmpresaPrincipal.aspx?codigoCvm=10472&amp;idioma=pt-br" TargetMode="External"/><Relationship Id="rId369" Type="http://schemas.openxmlformats.org/officeDocument/2006/relationships/hyperlink" Target="http://www.bmfbovespa.com.br/cias-listadas/empresas-listadas/ResumoEmpresaPrincipal.aspx?codigoCvm=21350&amp;idioma=pt-br" TargetMode="External"/><Relationship Id="rId152" Type="http://schemas.openxmlformats.org/officeDocument/2006/relationships/hyperlink" Target="http://www.bmfbovespa.com.br/cias-listadas/empresas-listadas/ResumoEmpresaPrincipal.aspx?codigoCvm=21199&amp;idioma=pt-br" TargetMode="External"/><Relationship Id="rId173" Type="http://schemas.openxmlformats.org/officeDocument/2006/relationships/hyperlink" Target="http://www.bmfbovespa.com.br/cias-listadas/empresas-listadas/ResumoEmpresaPrincipal.aspx?codigoCvm=20362&amp;idioma=pt-br" TargetMode="External"/><Relationship Id="rId194" Type="http://schemas.openxmlformats.org/officeDocument/2006/relationships/hyperlink" Target="http://www.bmfbovespa.com.br/cias-listadas/empresas-listadas/ResumoEmpresaPrincipal.aspx?codigoCvm=8648&amp;idioma=pt-br" TargetMode="External"/><Relationship Id="rId208" Type="http://schemas.openxmlformats.org/officeDocument/2006/relationships/hyperlink" Target="http://www.bmfbovespa.com.br/cias-listadas/empresas-listadas/ResumoEmpresaPrincipal.aspx?codigoCvm=4170&amp;idioma=pt-br" TargetMode="External"/><Relationship Id="rId229" Type="http://schemas.openxmlformats.org/officeDocument/2006/relationships/hyperlink" Target="http://www.bmfbovespa.com.br/cias-listadas/empresas-listadas/ResumoEmpresaPrincipal.aspx?codigoCvm=18708&amp;idioma=pt-br" TargetMode="External"/><Relationship Id="rId380" Type="http://schemas.openxmlformats.org/officeDocument/2006/relationships/hyperlink" Target="http://www.bmfbovespa.com.br/cias-listadas/empresas-listadas/ResumoEmpresaPrincipal.aspx?codigoCvm=10596&amp;idioma=pt-br" TargetMode="External"/><Relationship Id="rId415" Type="http://schemas.openxmlformats.org/officeDocument/2006/relationships/hyperlink" Target="http://www.bmfbovespa.com.br/cias-listadas/empresas-listadas/ResumoEmpresaPrincipal.aspx?codigoCvm=21482&amp;idioma=pt-br" TargetMode="External"/><Relationship Id="rId436" Type="http://schemas.openxmlformats.org/officeDocument/2006/relationships/hyperlink" Target="http://www.bmfbovespa.com.br/cias-listadas/empresas-listadas/ResumoEmpresaPrincipal.aspx?codigoCvm=8753&amp;idioma=pt-br" TargetMode="External"/><Relationship Id="rId457" Type="http://schemas.openxmlformats.org/officeDocument/2006/relationships/hyperlink" Target="http://www.bmfbovespa.com.br/cias-listadas/empresas-listadas/ResumoEmpresaPrincipal.aspx?codigoCvm=4448&amp;idioma=pt-br" TargetMode="External"/><Relationship Id="rId240" Type="http://schemas.openxmlformats.org/officeDocument/2006/relationships/hyperlink" Target="http://www.bmfbovespa.com.br/cias-listadas/empresas-listadas/ResumoEmpresaPrincipal.aspx?codigoCvm=12319&amp;idioma=pt-br" TargetMode="External"/><Relationship Id="rId261" Type="http://schemas.openxmlformats.org/officeDocument/2006/relationships/hyperlink" Target="http://www.bmfbovespa.com.br/cias-listadas/empresas-listadas/ResumoEmpresaPrincipal.aspx?codigoCvm=5258&amp;idioma=pt-br" TargetMode="External"/><Relationship Id="rId478" Type="http://schemas.openxmlformats.org/officeDocument/2006/relationships/hyperlink" Target="http://www.bmfbovespa.com.br/Cias-Listadas/Empresas-Listadas/ResumoEmpresaPrincipal.aspx?codigoCvm=18139&amp;idioma=pt-BR" TargetMode="External"/><Relationship Id="rId14" Type="http://schemas.openxmlformats.org/officeDocument/2006/relationships/hyperlink" Target="http://www.bmfbovespa.com.br/Cias-Listadas/Empresas-Listadas/ResumoEmpresaPrincipal.aspx?codigoCvm=14206&amp;idioma=pt-BR" TargetMode="External"/><Relationship Id="rId35" Type="http://schemas.openxmlformats.org/officeDocument/2006/relationships/hyperlink" Target="http://www.bmfbovespa.com.br/cias-listadas/empresas-listadas/ResumoEmpresaPrincipal.aspx?codigoCvm=2453&amp;idioma=pt-br" TargetMode="External"/><Relationship Id="rId56" Type="http://schemas.openxmlformats.org/officeDocument/2006/relationships/hyperlink" Target="http://www.bmfbovespa.com.br/cias-listadas/empresas-listadas/ResumoEmpresaPrincipal.aspx?codigoCvm=21091&amp;idioma=pt-br" TargetMode="External"/><Relationship Id="rId77" Type="http://schemas.openxmlformats.org/officeDocument/2006/relationships/hyperlink" Target="http://www.bmfbovespa.com.br/cias-listadas/empresas-listadas/ResumoEmpresaPrincipal.aspx?codigoCvm=3115&amp;idioma=pt-br" TargetMode="External"/><Relationship Id="rId100" Type="http://schemas.openxmlformats.org/officeDocument/2006/relationships/hyperlink" Target="http://www.bmfbovespa.com.br/Cias-Listadas/Empresas-Listadas/ResumoEmpresaPrincipal.aspx?codigoCvm=906&amp;idioma=pt-br" TargetMode="External"/><Relationship Id="rId282" Type="http://schemas.openxmlformats.org/officeDocument/2006/relationships/hyperlink" Target="http://www.bmfbovespa.com.br/cias-listadas/empresas-listadas/ResumoEmpresaPrincipal.aspx?codigoCvm=13285&amp;idioma=pt-br" TargetMode="External"/><Relationship Id="rId317" Type="http://schemas.openxmlformats.org/officeDocument/2006/relationships/hyperlink" Target="http://www.bmfbovespa.com.br/cias-listadas/empresas-listadas/ResumoEmpresaPrincipal.aspx?codigoCvm=4081&amp;idioma=pt-br" TargetMode="External"/><Relationship Id="rId338" Type="http://schemas.openxmlformats.org/officeDocument/2006/relationships/hyperlink" Target="http://www.bmfbovespa.com.br/cias-listadas/empresas-listadas/ResumoEmpresaPrincipal.aspx?codigoCvm=19615&amp;idioma=pt-br" TargetMode="External"/><Relationship Id="rId359" Type="http://schemas.openxmlformats.org/officeDocument/2006/relationships/hyperlink" Target="http://www.bmfbovespa.com.br/cias-listadas/empresas-listadas/ResumoEmpresaPrincipal.aspx?codigoCvm=8133&amp;idioma=pt-br" TargetMode="External"/><Relationship Id="rId8" Type="http://schemas.openxmlformats.org/officeDocument/2006/relationships/hyperlink" Target="http://www.bmfbovespa.com.br/Cias-Listadas/Empresas-Listadas/ResumoEmpresaPrincipal.aspx?codigoCvm=1210&amp;idioma=pt-BR" TargetMode="External"/><Relationship Id="rId98" Type="http://schemas.openxmlformats.org/officeDocument/2006/relationships/hyperlink" Target="http://www.bmfbovespa.com.br/Cias-Listadas/Empresas-Listadas/ResumoEmpresaPrincipal.aspx?codigoCvm=20958&amp;idioma=pt-br" TargetMode="External"/><Relationship Id="rId121" Type="http://schemas.openxmlformats.org/officeDocument/2006/relationships/hyperlink" Target="http://www.bmfbovespa.com.br/cias-listadas/empresas-listadas/ResumoEmpresaPrincipal.aspx?codigoCvm=18660&amp;idioma=pt-br" TargetMode="External"/><Relationship Id="rId142" Type="http://schemas.openxmlformats.org/officeDocument/2006/relationships/hyperlink" Target="http://www.bmfbovespa.com.br/cias-listadas/empresas-listadas/ResumoEmpresaPrincipal.aspx?codigoCvm=8672&amp;idioma=pt-br" TargetMode="External"/><Relationship Id="rId163" Type="http://schemas.openxmlformats.org/officeDocument/2006/relationships/hyperlink" Target="http://www.bmfbovespa.com.br/cias-listadas/empresas-listadas/ResumoEmpresaPrincipal.aspx?codigoCvm=7617&amp;idioma=pt-br" TargetMode="External"/><Relationship Id="rId184" Type="http://schemas.openxmlformats.org/officeDocument/2006/relationships/hyperlink" Target="http://www.bmfbovespa.com.br/cias-listadas/empresas-listadas/ResumoEmpresaPrincipal.aspx?codigoCvm=14320&amp;idioma=pt-br" TargetMode="External"/><Relationship Id="rId219" Type="http://schemas.openxmlformats.org/officeDocument/2006/relationships/hyperlink" Target="http://www.bmfbovespa.com.br/cias-listadas/empresas-listadas/ResumoEmpresaPrincipal.aspx?codigoCvm=12653&amp;idioma=pt-br" TargetMode="External"/><Relationship Id="rId370" Type="http://schemas.openxmlformats.org/officeDocument/2006/relationships/hyperlink" Target="http://www.bmfbovespa.com.br/cias-listadas/empresas-listadas/ResumoEmpresaPrincipal.aspx?codigoCvm=20524&amp;idioma=pt-br" TargetMode="External"/><Relationship Id="rId391" Type="http://schemas.openxmlformats.org/officeDocument/2006/relationships/hyperlink" Target="http://www.bmfbovespa.com.br/cias-listadas/empresas-listadas/ResumoEmpresaPrincipal.aspx?codigoCvm=4782&amp;idioma=pt-br" TargetMode="External"/><Relationship Id="rId405" Type="http://schemas.openxmlformats.org/officeDocument/2006/relationships/hyperlink" Target="http://www.bmfbovespa.com.br/cias-listadas/empresas-listadas/ResumoEmpresaPrincipal.aspx?codigoCvm=18597&amp;idioma=pt-br" TargetMode="External"/><Relationship Id="rId426" Type="http://schemas.openxmlformats.org/officeDocument/2006/relationships/hyperlink" Target="http://www.bmfbovespa.com.br/cias-listadas/empresas-listadas/ResumoEmpresaPrincipal.aspx?codigoCvm=8192&amp;idioma=pt-br" TargetMode="External"/><Relationship Id="rId447" Type="http://schemas.openxmlformats.org/officeDocument/2006/relationships/hyperlink" Target="http://www.bmfbovespa.com.br/cias-listadas/empresas-listadas/ResumoEmpresaPrincipal.aspx?codigoCvm=1520&amp;idioma=pt-br" TargetMode="External"/><Relationship Id="rId230" Type="http://schemas.openxmlformats.org/officeDocument/2006/relationships/hyperlink" Target="http://www.bmfbovespa.com.br/cias-listadas/empresas-listadas/ResumoEmpresaPrincipal.aspx?codigoCvm=16659&amp;idioma=pt-br" TargetMode="External"/><Relationship Id="rId251" Type="http://schemas.openxmlformats.org/officeDocument/2006/relationships/hyperlink" Target="http://www.bmfbovespa.com.br/cias-listadas/empresas-listadas/ResumoEmpresaPrincipal.aspx?codigoCvm=20141&amp;idioma=pt-br" TargetMode="External"/><Relationship Id="rId468" Type="http://schemas.openxmlformats.org/officeDocument/2006/relationships/hyperlink" Target="http://www.bmfbovespa.com.br/cias-listadas/empresas-listadas/ResumoEmpresaPrincipal.aspx?codigoCvm=13471&amp;idioma=pt-br" TargetMode="External"/><Relationship Id="rId489" Type="http://schemas.openxmlformats.org/officeDocument/2006/relationships/printerSettings" Target="../printerSettings/printerSettings1.bin"/><Relationship Id="rId25" Type="http://schemas.openxmlformats.org/officeDocument/2006/relationships/hyperlink" Target="http://www.bmfbovespa.com.br/Cias-Listadas/Empresas-Listadas/ResumoEmpresaPrincipal.aspx?codigoCvm=1228&amp;idioma=pt-BR" TargetMode="External"/><Relationship Id="rId46" Type="http://schemas.openxmlformats.org/officeDocument/2006/relationships/hyperlink" Target="http://www.bmfbovespa.com.br/cias-listadas/empresas-listadas/ResumoEmpresaPrincipal.aspx?codigoCvm=3891&amp;idioma=pt-br" TargetMode="External"/><Relationship Id="rId67" Type="http://schemas.openxmlformats.org/officeDocument/2006/relationships/hyperlink" Target="http://www.bmfbovespa.com.br/cias-listadas/empresas-listadas/ResumoEmpresaPrincipal.aspx?codigoCvm=11312&amp;idioma=pt-br" TargetMode="External"/><Relationship Id="rId272" Type="http://schemas.openxmlformats.org/officeDocument/2006/relationships/hyperlink" Target="http://www.bmfbovespa.com.br/cias-listadas/empresas-listadas/ResumoEmpresaPrincipal.aspx?codigoCvm=13765&amp;idioma=pt-br" TargetMode="External"/><Relationship Id="rId293" Type="http://schemas.openxmlformats.org/officeDocument/2006/relationships/hyperlink" Target="http://www.bmfbovespa.com.br/cias-listadas/empresas-listadas/ResumoEmpresaPrincipal.aspx?codigoCvm=1694&amp;idioma=pt-br" TargetMode="External"/><Relationship Id="rId307" Type="http://schemas.openxmlformats.org/officeDocument/2006/relationships/hyperlink" Target="http://www.bmfbovespa.com.br/cias-listadas/empresas-listadas/ResumoEmpresaPrincipal.aspx?codigoCvm=14133&amp;idioma=pt-br" TargetMode="External"/><Relationship Id="rId328" Type="http://schemas.openxmlformats.org/officeDocument/2006/relationships/hyperlink" Target="http://www.bmfbovespa.com.br/cias-listadas/empresas-listadas/ResumoEmpresaPrincipal.aspx?codigoCvm=11800&amp;idioma=pt-br" TargetMode="External"/><Relationship Id="rId349" Type="http://schemas.openxmlformats.org/officeDocument/2006/relationships/hyperlink" Target="http://www.bmfbovespa.com.br/cias-listadas/empresas-listadas/ResumoEmpresaPrincipal.aspx?codigoCvm=22438&amp;idioma=pt-br" TargetMode="External"/><Relationship Id="rId88" Type="http://schemas.openxmlformats.org/officeDocument/2006/relationships/hyperlink" Target="http://www.bmfbovespa.com.br/cias-listadas/empresas-listadas/ResumoEmpresaPrincipal.aspx?codigoCvm=13412&amp;idioma=pt-br" TargetMode="External"/><Relationship Id="rId111" Type="http://schemas.openxmlformats.org/officeDocument/2006/relationships/hyperlink" Target="http://www.bmfbovespa.com.br/cias-listadas/empresas-listadas/ResumoEmpresaPrincipal.aspx?codigoCvm=22179&amp;idioma=pt-br" TargetMode="External"/><Relationship Id="rId132" Type="http://schemas.openxmlformats.org/officeDocument/2006/relationships/hyperlink" Target="http://www.bmfbovespa.com.br/cias-listadas/empresas-listadas/ResumoEmpresaPrincipal.aspx?codigoCvm=16861&amp;idioma=pt-br" TargetMode="External"/><Relationship Id="rId153" Type="http://schemas.openxmlformats.org/officeDocument/2006/relationships/hyperlink" Target="http://www.bmfbovespa.com.br/cias-listadas/empresas-listadas/ResumoEmpresaPrincipal.aspx?codigoCvm=21199&amp;idioma=pt-br" TargetMode="External"/><Relationship Id="rId174" Type="http://schemas.openxmlformats.org/officeDocument/2006/relationships/hyperlink" Target="http://www.bmfbovespa.com.br/cias-listadas/empresas-listadas/ResumoEmpresaPrincipal.aspx?codigoCvm=20168&amp;idioma=pt-br" TargetMode="External"/><Relationship Id="rId195" Type="http://schemas.openxmlformats.org/officeDocument/2006/relationships/hyperlink" Target="http://www.bmfbovespa.com.br/cias-listadas/empresas-listadas/ResumoEmpresaPrincipal.aspx?codigoCvm=8648&amp;idioma=pt-br" TargetMode="External"/><Relationship Id="rId209" Type="http://schemas.openxmlformats.org/officeDocument/2006/relationships/hyperlink" Target="http://www.bmfbovespa.com.br/cias-listadas/empresas-listadas/ResumoEmpresaPrincipal.aspx?codigoCvm=17914&amp;idioma=pt-br" TargetMode="External"/><Relationship Id="rId360" Type="http://schemas.openxmlformats.org/officeDocument/2006/relationships/hyperlink" Target="http://www.bmfbovespa.com.br/cias-listadas/empresas-listadas/ResumoEmpresaPrincipal.aspx?codigoCvm=22055&amp;idioma=pt-br" TargetMode="External"/><Relationship Id="rId381" Type="http://schemas.openxmlformats.org/officeDocument/2006/relationships/hyperlink" Target="http://www.bmfbovespa.com.br/cias-listadas/empresas-listadas/ResumoEmpresaPrincipal.aspx?codigoCvm=10596&amp;idioma=pt-br" TargetMode="External"/><Relationship Id="rId416" Type="http://schemas.openxmlformats.org/officeDocument/2006/relationships/hyperlink" Target="http://www.bmfbovespa.com.br/cias-listadas/empresas-listadas/ResumoEmpresaPrincipal.aspx?codigoCvm=17892&amp;idioma=pt-br" TargetMode="External"/><Relationship Id="rId220" Type="http://schemas.openxmlformats.org/officeDocument/2006/relationships/hyperlink" Target="http://www.bmfbovespa.com.br/cias-listadas/empresas-listadas/ResumoEmpresaPrincipal.aspx?codigoCvm=12653&amp;idioma=pt-br" TargetMode="External"/><Relationship Id="rId241" Type="http://schemas.openxmlformats.org/officeDocument/2006/relationships/hyperlink" Target="http://www.bmfbovespa.com.br/cias-listadas/empresas-listadas/ResumoEmpresaPrincipal.aspx?codigoCvm=20036&amp;idioma=pt-br" TargetMode="External"/><Relationship Id="rId437" Type="http://schemas.openxmlformats.org/officeDocument/2006/relationships/hyperlink" Target="http://www.bmfbovespa.com.br/cias-listadas/empresas-listadas/ResumoEmpresaPrincipal.aspx?codigoCvm=8753&amp;idioma=pt-br" TargetMode="External"/><Relationship Id="rId458" Type="http://schemas.openxmlformats.org/officeDocument/2006/relationships/hyperlink" Target="http://www.bmfbovespa.com.br/cias-listadas/empresas-listadas/ResumoEmpresaPrincipal.aspx?codigoCvm=22381&amp;idioma=pt-br" TargetMode="External"/><Relationship Id="rId479" Type="http://schemas.openxmlformats.org/officeDocument/2006/relationships/hyperlink" Target="http://www.bmfbovespa.com.br/Cias-Listadas/Empresas-Listadas/ResumoEmpresaPrincipal.aspx?codigoCvm=18139&amp;idioma=pt-BR" TargetMode="External"/><Relationship Id="rId15" Type="http://schemas.openxmlformats.org/officeDocument/2006/relationships/hyperlink" Target="http://www.bmfbovespa.com.br/Cias-Listadas/Empresas-Listadas/ResumoEmpresaPrincipal.aspx?codigoCvm=4707&amp;idioma=pt-br" TargetMode="External"/><Relationship Id="rId36" Type="http://schemas.openxmlformats.org/officeDocument/2006/relationships/hyperlink" Target="http://www.bmfbovespa.com.br/cias-listadas/empresas-listadas/ResumoEmpresaPrincipal.aspx?codigoCvm=2577" TargetMode="External"/><Relationship Id="rId57" Type="http://schemas.openxmlformats.org/officeDocument/2006/relationships/hyperlink" Target="http://www.bmfbovespa.com.br/cias-listadas/empresas-listadas/ResumoEmpresaPrincipal.aspx?codigoCvm=14915&amp;idioma=pt-br" TargetMode="External"/><Relationship Id="rId262" Type="http://schemas.openxmlformats.org/officeDocument/2006/relationships/hyperlink" Target="http://www.bmfbovespa.com.br/cias-listadas/empresas-listadas/ResumoEmpresaPrincipal.aspx?codigoCvm=22500&amp;idioma=pt-br" TargetMode="External"/><Relationship Id="rId283" Type="http://schemas.openxmlformats.org/officeDocument/2006/relationships/hyperlink" Target="http://www.bmfbovespa.com.br/cias-listadas/empresas-listadas/ResumoEmpresaPrincipal.aspx?codigoCvm=20338&amp;idioma=pt-br" TargetMode="External"/><Relationship Id="rId318" Type="http://schemas.openxmlformats.org/officeDocument/2006/relationships/hyperlink" Target="http://www.bmfbovespa.com.br/cias-listadas/empresas-listadas/ResumoEmpresaPrincipal.aspx?codigoCvm=4081&amp;idioma=pt-br" TargetMode="External"/><Relationship Id="rId339" Type="http://schemas.openxmlformats.org/officeDocument/2006/relationships/hyperlink" Target="http://www.bmfbovespa.com.br/cias-listadas/empresas-listadas/ResumoEmpresaPrincipal.aspx?codigoCvm=11762&amp;idioma=pt-br" TargetMode="External"/><Relationship Id="rId490" Type="http://schemas.openxmlformats.org/officeDocument/2006/relationships/table" Target="../tables/table1.xml"/><Relationship Id="rId78" Type="http://schemas.openxmlformats.org/officeDocument/2006/relationships/hyperlink" Target="http://www.bmfbovespa.com.br/Cias-Listadas/Empresas-Listadas/ResumoEmpresaPrincipal.aspx?codigoCvm=9954&amp;idioma=pt-BR" TargetMode="External"/><Relationship Id="rId99" Type="http://schemas.openxmlformats.org/officeDocument/2006/relationships/hyperlink" Target="http://www.bmfbovespa.com.br/Cias-Listadas/Empresas-Listadas/ResumoEmpresaPrincipal.aspx?codigoCvm=20958&amp;idioma=pt-br" TargetMode="External"/><Relationship Id="rId101" Type="http://schemas.openxmlformats.org/officeDocument/2006/relationships/hyperlink" Target="http://www.bmfbovespa.com.br/Cias-Listadas/Empresas-Listadas/ResumoEmpresaPrincipal.aspx?codigoCvm=906&amp;idioma=pt-br" TargetMode="External"/><Relationship Id="rId122" Type="http://schemas.openxmlformats.org/officeDocument/2006/relationships/hyperlink" Target="http://www.bmfbovespa.com.br/cias-listadas/empresas-listadas/ResumoEmpresaPrincipal.aspx?codigoCvm=18368&amp;idioma=pt-brhttp://www.bmfbovespa.com.br/cias-listadas/empresas-listadas/ResumoEmpresaPrincipal.aspx?codigoCvm=20150&amp;idioma=pt-br" TargetMode="External"/><Relationship Id="rId143" Type="http://schemas.openxmlformats.org/officeDocument/2006/relationships/hyperlink" Target="http://www.bmfbovespa.com.br/cias-listadas/empresas-listadas/ResumoEmpresaPrincipal.aspx?codigoCvm=8672&amp;idioma=pt-br" TargetMode="External"/><Relationship Id="rId164" Type="http://schemas.openxmlformats.org/officeDocument/2006/relationships/hyperlink" Target="http://www.bmfbovespa.com.br/cias-listadas/empresas-listadas/ResumoEmpresaPrincipal.aspx?codigoCvm=7617&amp;idioma=pt-br" TargetMode="External"/><Relationship Id="rId185" Type="http://schemas.openxmlformats.org/officeDocument/2006/relationships/hyperlink" Target="http://www.bmfbovespa.com.br/cias-listadas/empresas-listadas/ResumoEmpresaPrincipal.aspx?codigoCvm=14320&amp;idioma=pt-br" TargetMode="External"/><Relationship Id="rId350" Type="http://schemas.openxmlformats.org/officeDocument/2006/relationships/hyperlink" Target="http://www.bmfbovespa.com.br/cias-listadas/empresas-listadas/ResumoEmpresaPrincipal.aspx?codigoCvm=19739&amp;idioma=pt-br" TargetMode="External"/><Relationship Id="rId371" Type="http://schemas.openxmlformats.org/officeDocument/2006/relationships/hyperlink" Target="http://www.bmfbovespa.com.br/cias-listadas/empresas-listadas/ResumoEmpresaPrincipal.aspx?codigoCvm=20770&amp;idioma=pt-br" TargetMode="External"/><Relationship Id="rId406" Type="http://schemas.openxmlformats.org/officeDocument/2006/relationships/hyperlink" Target="http://www.bmfbovespa.com.br/cias-listadas/empresas-listadas/ResumoEmpresaPrincipal.aspx?codigoCvm=18597&amp;idioma=pt-br" TargetMode="External"/><Relationship Id="rId9" Type="http://schemas.openxmlformats.org/officeDocument/2006/relationships/hyperlink" Target="http://www.bmfbovespa.com.br/cias-listadas/empresas-listadas/ResumoEmpresaPrincipal.aspx?codigoCvm=4820&amp;idioma=pt-br" TargetMode="External"/><Relationship Id="rId210" Type="http://schemas.openxmlformats.org/officeDocument/2006/relationships/hyperlink" Target="http://www.bmfbovespa.com.br/cias-listadas/empresas-listadas/ResumoEmpresaPrincipal.aspx?codigoCvm=12696&amp;idioma=pt-br" TargetMode="External"/><Relationship Id="rId392" Type="http://schemas.openxmlformats.org/officeDocument/2006/relationships/hyperlink" Target="http://www.bmfbovespa.com.br/cias-listadas/empresas-listadas/ResumoEmpresaPrincipal.aspx?codigoCvm=4782&amp;idioma=pt-br" TargetMode="External"/><Relationship Id="rId427" Type="http://schemas.openxmlformats.org/officeDocument/2006/relationships/hyperlink" Target="http://www.bmfbovespa.com.br/cias-listadas/empresas-listadas/ResumoEmpresaPrincipal.aspx?codigoCvm=22020&amp;idioma=pt-br" TargetMode="External"/><Relationship Id="rId448" Type="http://schemas.openxmlformats.org/officeDocument/2006/relationships/hyperlink" Target="http://www.bmfbovespa.com.br/cias-listadas/empresas-listadas/ResumoEmpresaPrincipal.aspx?codigoCvm=7510&amp;idioma=pt-br" TargetMode="External"/><Relationship Id="rId469" Type="http://schemas.openxmlformats.org/officeDocument/2006/relationships/hyperlink" Target="http://www.bmfbovespa.com.br/cias-listadas/empresas-listadas/ResumoEmpresaPrincipal.aspx?codigoCvm=14109&amp;idioma=pt-br" TargetMode="External"/><Relationship Id="rId26" Type="http://schemas.openxmlformats.org/officeDocument/2006/relationships/hyperlink" Target="http://www.bmfbovespa.com.br/Cias-Listadas/Empresas-Listadas/ResumoEmpresaPrincipal.aspx?codigoCvm=1228&amp;idioma=pt-BR" TargetMode="External"/><Relationship Id="rId231" Type="http://schemas.openxmlformats.org/officeDocument/2006/relationships/hyperlink" Target="http://www.bmfbovespa.com.br/cias-listadas/empresas-listadas/ResumoEmpresaPrincipal.aspx?codigoCvm=21121&amp;idioma=pt-br" TargetMode="External"/><Relationship Id="rId252" Type="http://schemas.openxmlformats.org/officeDocument/2006/relationships/hyperlink" Target="http://www.bmfbovespa.com.br/cias-listadas/empresas-listadas/ResumoEmpresaPrincipal.aspx?codigoCvm=19305&amp;idioma=pt-br" TargetMode="External"/><Relationship Id="rId273" Type="http://schemas.openxmlformats.org/officeDocument/2006/relationships/hyperlink" Target="http://www.bmfbovespa.com.br/cias-listadas/empresas-listadas/ResumoEmpresaPrincipal.aspx?codigoCvm=1570&amp;idioma=pt-br" TargetMode="External"/><Relationship Id="rId294" Type="http://schemas.openxmlformats.org/officeDocument/2006/relationships/hyperlink" Target="http://www.bmfbovespa.com.br/cias-listadas/empresas-listadas/ResumoEmpresaPrincipal.aspx?codigoCvm=22780&amp;idioma=pt-br" TargetMode="External"/><Relationship Id="rId308" Type="http://schemas.openxmlformats.org/officeDocument/2006/relationships/hyperlink" Target="http://www.bmfbovespa.com.br/cias-listadas/empresas-listadas/ResumoEmpresaPrincipal.aspx?codigoCvm=14133&amp;idioma=pt-br" TargetMode="External"/><Relationship Id="rId329" Type="http://schemas.openxmlformats.org/officeDocument/2006/relationships/hyperlink" Target="http://www.bmfbovespa.com.br/cias-listadas/empresas-listadas/ResumoEmpresaPrincipal.aspx?codigoCvm=20966&amp;idioma=pt-br" TargetMode="External"/><Relationship Id="rId480" Type="http://schemas.openxmlformats.org/officeDocument/2006/relationships/hyperlink" Target="http://www.bmfbovespa.com.br/Cias-Listadas/Empresas-Listadas/ResumoEmpresaPrincipal.aspx?codigoCvm=18139&amp;idioma=pt-BR" TargetMode="External"/><Relationship Id="rId47" Type="http://schemas.openxmlformats.org/officeDocument/2006/relationships/hyperlink" Target="http://www.bmfbovespa.com.br/cias-listadas/empresas-listadas/ResumoEmpresaPrincipal.aspx?codigoCvm=8540&amp;idioma=pt-br" TargetMode="External"/><Relationship Id="rId68" Type="http://schemas.openxmlformats.org/officeDocument/2006/relationships/hyperlink" Target="http://www.bmfbovespa.com.br/cias-listadas/empresas-listadas/ResumoEmpresaPrincipal.aspx?codigoCvm=11312&amp;idioma=pt-br" TargetMode="External"/><Relationship Id="rId89" Type="http://schemas.openxmlformats.org/officeDocument/2006/relationships/hyperlink" Target="http://www.bmfbovespa.com.br/cias-listadas/empresas-listadas/ResumoEmpresaPrincipal.aspx?codigoCvm=18465&amp;idioma=pt-br" TargetMode="External"/><Relationship Id="rId112" Type="http://schemas.openxmlformats.org/officeDocument/2006/relationships/hyperlink" Target="http://www.bmfbovespa.com.br/cias-listadas/empresas-listadas/ResumoEmpresaPrincipal.aspx?codigoCvm=3050&amp;idioma=pt-br" TargetMode="External"/><Relationship Id="rId133" Type="http://schemas.openxmlformats.org/officeDocument/2006/relationships/hyperlink" Target="http://www.bmfbovespa.com.br/cias-listadas/empresas-listadas/ResumoEmpresaPrincipal.aspx?codigoCvm=16861&amp;idioma=pt-br" TargetMode="External"/><Relationship Id="rId154" Type="http://schemas.openxmlformats.org/officeDocument/2006/relationships/hyperlink" Target="http://www.bmfbovespa.com.br/cias-listadas/empresas-listadas/ResumoEmpresaPrincipal.aspx?codigoCvm=20532&amp;idioma=pt-br" TargetMode="External"/><Relationship Id="rId175" Type="http://schemas.openxmlformats.org/officeDocument/2006/relationships/hyperlink" Target="http://www.bmfbovespa.com.br/cias-listadas/empresas-listadas/ResumoEmpresaPrincipal.aspx?codigoCvm=9512&amp;idioma=pt-br" TargetMode="External"/><Relationship Id="rId340" Type="http://schemas.openxmlformats.org/officeDocument/2006/relationships/hyperlink" Target="http://www.bmfbovespa.com.br/cias-listadas/empresas-listadas/ResumoEmpresaPrincipal.aspx?codigoCvm=5312&amp;idioma=pt-br" TargetMode="External"/><Relationship Id="rId361" Type="http://schemas.openxmlformats.org/officeDocument/2006/relationships/hyperlink" Target="http://www.bmfbovespa.com.br/cias-listadas/empresas-listadas/ResumoEmpresaPrincipal.aspx?codigoCvm=10960&amp;idioma=pt-br" TargetMode="External"/><Relationship Id="rId196" Type="http://schemas.openxmlformats.org/officeDocument/2006/relationships/hyperlink" Target="http://www.bmfbovespa.com.br/cias-listadas/empresas-listadas/ResumoEmpresaPrincipal.aspx?codigoCvm=11231&amp;idioma=pt-br" TargetMode="External"/><Relationship Id="rId200" Type="http://schemas.openxmlformats.org/officeDocument/2006/relationships/hyperlink" Target="http://www.bmfbovespa.com.br/cias-listadas/empresas-listadas/ResumoEmpresaPrincipal.aspx?codigoCvm=11398&amp;idioma=pt-br" TargetMode="External"/><Relationship Id="rId382" Type="http://schemas.openxmlformats.org/officeDocument/2006/relationships/hyperlink" Target="http://www.bmfbovespa.com.br/cias-listadas/empresas-listadas/ResumoEmpresaPrincipal.aspx?codigoCvm=20435&amp;idioma=pt-br" TargetMode="External"/><Relationship Id="rId417" Type="http://schemas.openxmlformats.org/officeDocument/2006/relationships/hyperlink" Target="http://www.bmfbovespa.com.br/cias-listadas/empresas-listadas/ResumoEmpresaPrincipal.aspx?codigoCvm=17892&amp;idioma=pt-br" TargetMode="External"/><Relationship Id="rId438" Type="http://schemas.openxmlformats.org/officeDocument/2006/relationships/hyperlink" Target="http://www.bmfbovespa.com.br/cias-listadas/empresas-listadas/ResumoEmpresaPrincipal.aspx?codigoCvm=1562&amp;idioma=pt-br" TargetMode="External"/><Relationship Id="rId459" Type="http://schemas.openxmlformats.org/officeDocument/2006/relationships/hyperlink" Target="http://www.bmfbovespa.com.br/cias-listadas/empresas-listadas/ResumoEmpresaPrincipal.aspx?codigoCvm=5150&amp;idioma=pt-br" TargetMode="External"/><Relationship Id="rId16" Type="http://schemas.openxmlformats.org/officeDocument/2006/relationships/hyperlink" Target="http://www.bmfbovespa.com.br/Cias-Listadas/Empresas-Listadas/ResumoEmpresaPrincipal.aspx?codigoCvm=4707&amp;idioma=pt-br" TargetMode="External"/><Relationship Id="rId221" Type="http://schemas.openxmlformats.org/officeDocument/2006/relationships/hyperlink" Target="http://www.bmfbovespa.com.br/cias-listadas/empresas-listadas/ResumoEmpresaPrincipal.aspx?codigoCvm=13986&amp;idioma=pt-br" TargetMode="External"/><Relationship Id="rId242" Type="http://schemas.openxmlformats.org/officeDocument/2006/relationships/hyperlink" Target="http://www.bmfbovespa.com.br/cias-listadas/empresas-listadas/ResumoEmpresaPrincipal.aspx?codigoCvm=4863&amp;idioma=pt-br" TargetMode="External"/><Relationship Id="rId263" Type="http://schemas.openxmlformats.org/officeDocument/2006/relationships/hyperlink" Target="http://www.bmfbovespa.com.br/cias-listadas/empresas-listadas/ResumoEmpresaPrincipal.aspx?codigoCvm=9342&amp;idioma=pt-br" TargetMode="External"/><Relationship Id="rId284" Type="http://schemas.openxmlformats.org/officeDocument/2006/relationships/hyperlink" Target="http://www.bmfbovespa.com.br/cias-listadas/empresas-listadas/ResumoEmpresaPrincipal.aspx?codigoCvm=22845&amp;idioma=pt-br" TargetMode="External"/><Relationship Id="rId319" Type="http://schemas.openxmlformats.org/officeDocument/2006/relationships/hyperlink" Target="http://www.bmfbovespa.com.br/cias-listadas/empresas-listadas/ResumoEmpresaPrincipal.aspx?codigoCvm=4081&amp;idioma=pt-br" TargetMode="External"/><Relationship Id="rId470" Type="http://schemas.openxmlformats.org/officeDocument/2006/relationships/hyperlink" Target="http://www.bmfbovespa.com.br/cias-listadas/empresas-listadas/ResumoEmpresaPrincipal.aspx?codigoCvm=14109&amp;idioma=pt-br" TargetMode="External"/><Relationship Id="rId37" Type="http://schemas.openxmlformats.org/officeDocument/2006/relationships/hyperlink" Target="http://www.bmfbovespa.com.br/cias-listadas/empresas-listadas/ResumoEmpresaPrincipal.aspx?codigoCvm=2577" TargetMode="External"/><Relationship Id="rId58" Type="http://schemas.openxmlformats.org/officeDocument/2006/relationships/hyperlink" Target="http://www.bmfbovespa.com.br/cias-listadas/empresas-listadas/ResumoEmpresaPrincipal.aspx?codigoCvm=2453&amp;idioma=pt-br" TargetMode="External"/><Relationship Id="rId79" Type="http://schemas.openxmlformats.org/officeDocument/2006/relationships/hyperlink" Target="http://www.bmfbovespa.com.br/Cias-Listadas/Empresas-Listadas/ResumoEmpresaPrincipal.aspx?codigoCvm=9954&amp;idioma=pt-BR" TargetMode="External"/><Relationship Id="rId102" Type="http://schemas.openxmlformats.org/officeDocument/2006/relationships/hyperlink" Target="http://www.bmfbovespa.com.br/Cias-Listadas/Empresas-Listadas/ResumoEmpresaPrincipal.aspx?codigoCvm=922&amp;idioma=pt-br" TargetMode="External"/><Relationship Id="rId123" Type="http://schemas.openxmlformats.org/officeDocument/2006/relationships/hyperlink" Target="http://www.bmfbovespa.com.br/cias-listadas/empresas-listadas/ResumoEmpresaPrincipal.aspx?codigoCvm=15784&amp;idioma=pt-br" TargetMode="External"/><Relationship Id="rId144" Type="http://schemas.openxmlformats.org/officeDocument/2006/relationships/hyperlink" Target="http://www.bmfbovespa.com.br/cias-listadas/empresas-listadas/ResumoEmpresaPrincipal.aspx?codigoCvm=12262&amp;idioma=pt-br" TargetMode="External"/><Relationship Id="rId330" Type="http://schemas.openxmlformats.org/officeDocument/2006/relationships/hyperlink" Target="http://www.bmfbovespa.com.br/cias-listadas/empresas-listadas/ResumoEmpresaPrincipal.aspx?codigoCvm=11215&amp;idioma=pt-br" TargetMode="External"/><Relationship Id="rId90" Type="http://schemas.openxmlformats.org/officeDocument/2006/relationships/hyperlink" Target="http://www.bmfbovespa.com.br/cias-listadas/empresas-listadas/ResumoEmpresaPrincipal.aspx?codigoCvm=17639&amp;idioma=pt-br" TargetMode="External"/><Relationship Id="rId165" Type="http://schemas.openxmlformats.org/officeDocument/2006/relationships/hyperlink" Target="http://www.bmfbovespa.com.br/cias-listadas/empresas-listadas/ResumoEmpresaPrincipal.aspx?codigoCvm=18414&amp;idioma=pt-br" TargetMode="External"/><Relationship Id="rId186" Type="http://schemas.openxmlformats.org/officeDocument/2006/relationships/hyperlink" Target="http://www.bmfbovespa.com.br/cias-listadas/empresas-listadas/ResumoEmpresaPrincipal.aspx?codigoCvm=3980&amp;idioma=pt-br" TargetMode="External"/><Relationship Id="rId351" Type="http://schemas.openxmlformats.org/officeDocument/2006/relationships/hyperlink" Target="http://www.bmfbovespa.com.br/cias-listadas/empresas-listadas/ResumoEmpresaPrincipal.aspx?codigoCvm=21440&amp;idioma=pt-br" TargetMode="External"/><Relationship Id="rId372" Type="http://schemas.openxmlformats.org/officeDocument/2006/relationships/hyperlink" Target="http://www.bmfbovespa.com.br/cias-listadas/empresas-listadas/ResumoEmpresaPrincipal.aspx?codigoCvm=16101&amp;idioma=pt-br" TargetMode="External"/><Relationship Id="rId393" Type="http://schemas.openxmlformats.org/officeDocument/2006/relationships/hyperlink" Target="http://www.bmfbovespa.com.br/cias-listadas/empresas-listadas/ResumoEmpresaPrincipal.aspx?codigoCvm=4782&amp;idioma=pt-br" TargetMode="External"/><Relationship Id="rId407" Type="http://schemas.openxmlformats.org/officeDocument/2006/relationships/hyperlink" Target="http://www.bmfbovespa.com.br/cias-listadas/empresas-listadas/ResumoEmpresaPrincipal.aspx?codigoCvm=22012&amp;idioma=pt-br" TargetMode="External"/><Relationship Id="rId428" Type="http://schemas.openxmlformats.org/officeDocument/2006/relationships/hyperlink" Target="http://www.bmfbovespa.com.br/cias-listadas/empresas-listadas/ResumoEmpresaPrincipal.aspx?codigoCvm=20800&amp;idioma=pt-br" TargetMode="External"/><Relationship Id="rId449" Type="http://schemas.openxmlformats.org/officeDocument/2006/relationships/hyperlink" Target="http://www.bmfbovespa.com.br/cias-listadas/empresas-listadas/ResumoEmpresaPrincipal.aspx?codigoCvm=7595&amp;idioma=pt-br" TargetMode="External"/><Relationship Id="rId211" Type="http://schemas.openxmlformats.org/officeDocument/2006/relationships/hyperlink" Target="http://www.bmfbovespa.com.br/cias-listadas/empresas-listadas/ResumoEmpresaPrincipal.aspx?codigoCvm=12696&amp;idioma=pt-br" TargetMode="External"/><Relationship Id="rId232" Type="http://schemas.openxmlformats.org/officeDocument/2006/relationships/hyperlink" Target="http://www.bmfbovespa.com.br/cias-listadas/empresas-listadas/ResumoEmpresaPrincipal.aspx?codigoCvm=21121&amp;idioma=pt-br" TargetMode="External"/><Relationship Id="rId253" Type="http://schemas.openxmlformats.org/officeDocument/2006/relationships/hyperlink" Target="http://www.bmfbovespa.com.br/cias-listadas/empresas-listadas/ResumoEmpresaPrincipal.aspx?codigoCvm=19550&amp;idioma=pt-br" TargetMode="External"/><Relationship Id="rId274" Type="http://schemas.openxmlformats.org/officeDocument/2006/relationships/hyperlink" Target="http://www.bmfbovespa.com.br/cias-listadas/empresas-listadas/ResumoEmpresaPrincipal.aspx?codigoCvm=1570&amp;idioma=pt-br" TargetMode="External"/><Relationship Id="rId295" Type="http://schemas.openxmlformats.org/officeDocument/2006/relationships/hyperlink" Target="http://www.bmfbovespa.com.br/cias-listadas/empresas-listadas/ResumoEmpresaPrincipal.aspx?codigoCvm=14346&amp;idioma=pt-br" TargetMode="External"/><Relationship Id="rId309" Type="http://schemas.openxmlformats.org/officeDocument/2006/relationships/hyperlink" Target="http://www.bmfbovespa.com.br/cias-listadas/empresas-listadas/ResumoEmpresaPrincipal.aspx?codigoCvm=8427&amp;idioma=pt-br" TargetMode="External"/><Relationship Id="rId460" Type="http://schemas.openxmlformats.org/officeDocument/2006/relationships/hyperlink" Target="http://www.bmfbovespa.com.br/cias-listadas/empresas-listadas/ResumoEmpresaPrincipal.aspx?codigoCvm=5150&amp;idioma=pt-br" TargetMode="External"/><Relationship Id="rId481" Type="http://schemas.openxmlformats.org/officeDocument/2006/relationships/hyperlink" Target="http://www.bmfbovespa.com.br/Cias-Listadas/Empresas-Listadas/ResumoEmpresaPrincipal.aspx?codigoCvm=17485&amp;idioma=pt-BR" TargetMode="External"/><Relationship Id="rId27" Type="http://schemas.openxmlformats.org/officeDocument/2006/relationships/hyperlink" Target="http://www.bmfbovespa.com.br/Cias-Listadas/Empresas-Listadas/ResumoEmpresaPrincipal.aspx?codigoCvm=19879&amp;idioma=pt-BR" TargetMode="External"/><Relationship Id="rId48" Type="http://schemas.openxmlformats.org/officeDocument/2006/relationships/hyperlink" Target="http://www.bmfbovespa.com.br/cias-listadas/empresas-listadas/ResumoEmpresaPrincipal.aspx?codigoCvm=20982&amp;idioma=pt-br" TargetMode="External"/><Relationship Id="rId69" Type="http://schemas.openxmlformats.org/officeDocument/2006/relationships/hyperlink" Target="http://www.bmfbovespa.com.br/cias-listadas/empresas-listadas/ResumoEmpresaPrincipal.aspx?codigoCvm=20575&amp;idioma=pt-br" TargetMode="External"/><Relationship Id="rId113" Type="http://schemas.openxmlformats.org/officeDocument/2006/relationships/hyperlink" Target="http://www.bmfbovespa.chttp/www.bmfbovespa.com.br/cias-listadas/empresas-listadas/ResumoEmpresaPrincipal.aspx?codigoCvm=2437&amp;idioma=pt-brhttp://www.bmfbovespa.com.br/Cias-Listadas/Empresas-Listadas/ResumoEmpresaPrincipal.aspx?codigoCvm=15253&amp;idioma=pt-br" TargetMode="External"/><Relationship Id="rId134" Type="http://schemas.openxmlformats.org/officeDocument/2006/relationships/hyperlink" Target="http://www.bmfbovespa.com.br/cias-listadas/empresas-listadas/ResumoEmpresaPrincipal.aspx?codigoCvm=19445&amp;idioma=pt-br" TargetMode="External"/><Relationship Id="rId320" Type="http://schemas.openxmlformats.org/officeDocument/2006/relationships/hyperlink" Target="http://www.bmfbovespa.com.br/cias-listadas/empresas-listadas/ResumoEmpresaPrincipal.aspx?codigoCvm=5207&amp;idioma=pt-br" TargetMode="External"/><Relationship Id="rId80" Type="http://schemas.openxmlformats.org/officeDocument/2006/relationships/hyperlink" Target="http://www.bmfbovespa.com.br/Cias-Listadas/Empresas-Listadas/ResumoEmpresaPrincipal.aspx?codigoCvm=9954&amp;idioma=pt-BR" TargetMode="External"/><Relationship Id="rId155" Type="http://schemas.openxmlformats.org/officeDocument/2006/relationships/hyperlink" Target="http://www.bmfbovespa.com.br/cias-listadas/empresas-listadas/ResumoEmpresaPrincipal.aspx?codigoCvm=20532&amp;idioma=pt-br" TargetMode="External"/><Relationship Id="rId176" Type="http://schemas.openxmlformats.org/officeDocument/2006/relationships/hyperlink" Target="http://www.bmfbovespa.com.br/cias-listadas/empresas-listadas/ResumoEmpresaPrincipal.aspx?codigoCvm=9512&amp;idioma=pt-br" TargetMode="External"/><Relationship Id="rId197" Type="http://schemas.openxmlformats.org/officeDocument/2006/relationships/hyperlink" Target="http://www.bmfbovespa.com.br/cias-listadas/empresas-listadas/ResumoEmpresaPrincipal.aspx?codigoCvm=9393&amp;idioma=pt-br" TargetMode="External"/><Relationship Id="rId341" Type="http://schemas.openxmlformats.org/officeDocument/2006/relationships/hyperlink" Target="http://www.bmfbovespa.com.br/cias-listadas/empresas-listadas/ResumoEmpresaPrincipal.aspx?codigoCvm=22519&amp;idioma=pt-br" TargetMode="External"/><Relationship Id="rId362" Type="http://schemas.openxmlformats.org/officeDocument/2006/relationships/hyperlink" Target="http://www.bmfbovespa.com.br/cias-listadas/empresas-listadas/ResumoEmpresaPrincipal.aspx?codigoCvm=10960&amp;idioma=pt-br" TargetMode="External"/><Relationship Id="rId383" Type="http://schemas.openxmlformats.org/officeDocument/2006/relationships/hyperlink" Target="http://www.bmfbovespa.com.br/cias-listadas/empresas-listadas/ResumoEmpresaPrincipal.aspx?codigoCvm=21130&amp;idioma=pt-br" TargetMode="External"/><Relationship Id="rId418" Type="http://schemas.openxmlformats.org/officeDocument/2006/relationships/hyperlink" Target="http://www.bmfbovespa.com.br/cias-listadas/empresas-listadas/ResumoEmpresaPrincipal.aspx?codigoCvm=17892&amp;idioma=pt-br" TargetMode="External"/><Relationship Id="rId439" Type="http://schemas.openxmlformats.org/officeDocument/2006/relationships/hyperlink" Target="http://www.bmfbovespa.com.br/cias-listadas/empresas-listadas/ResumoEmpresaPrincipal.aspx?codigoCvm=1562&amp;idioma=pt-br" TargetMode="External"/><Relationship Id="rId201" Type="http://schemas.openxmlformats.org/officeDocument/2006/relationships/hyperlink" Target="http://www.bmfbovespa.com.br/cias-listadas/empresas-listadas/ResumoEmpresaPrincipal.aspx?codigoCvm=4359&amp;idioma=pt-br" TargetMode="External"/><Relationship Id="rId222" Type="http://schemas.openxmlformats.org/officeDocument/2006/relationships/hyperlink" Target="http://www.bmfbovespa.com.br/cias-listadas/empresas-listadas/ResumoEmpresaPrincipal.aspx?codigoCvm=13986&amp;idioma=pt-br" TargetMode="External"/><Relationship Id="rId243" Type="http://schemas.openxmlformats.org/officeDocument/2006/relationships/hyperlink" Target="http://www.bmfbovespa.com.br/cias-listadas/empresas-listadas/ResumoEmpresaPrincipal.aspx?codigoCvm=4863&amp;idioma=pt-br" TargetMode="External"/><Relationship Id="rId264" Type="http://schemas.openxmlformats.org/officeDocument/2006/relationships/hyperlink" Target="http://www.bmfbovespa.com.br/cias-listadas/empresas-listadas/ResumoEmpresaPrincipal.aspx?codigoCvm=9342&amp;idioma=pt-br" TargetMode="External"/><Relationship Id="rId285" Type="http://schemas.openxmlformats.org/officeDocument/2006/relationships/hyperlink" Target="http://www.bmfbovespa.com.br/cias-listadas/empresas-listadas/ResumoEmpresaPrincipal.aspx?codigoCvm=20354&amp;idioma=pt-br" TargetMode="External"/><Relationship Id="rId450" Type="http://schemas.openxmlformats.org/officeDocument/2006/relationships/hyperlink" Target="http://www.bmfbovespa.com.br/cias-listadas/empresas-listadas/ResumoEmpresaPrincipal.aspx?codigoCvm=7595&amp;idioma=pt-br" TargetMode="External"/><Relationship Id="rId471" Type="http://schemas.openxmlformats.org/officeDocument/2006/relationships/hyperlink" Target="http://www.bmfbovespa.com.br/cias-listadas/empresas-listadas/ResumoEmpresaPrincipal.aspx?codigoCvm=12572&amp;idioma=pt-br" TargetMode="External"/><Relationship Id="rId17" Type="http://schemas.openxmlformats.org/officeDocument/2006/relationships/hyperlink" Target="http://www.bmfbovespa.com.br/Cias-Listadas/Empresas-Listadas/ResumoEmpresaPrincipal.aspx?codigoCvm=4707&amp;idioma=pt-br" TargetMode="External"/><Relationship Id="rId38" Type="http://schemas.openxmlformats.org/officeDocument/2006/relationships/hyperlink" Target="http://www.bmfbovespa.com.br/cias-listadas/empresas-listadas/ResumoEmpresaPrincipal.aspx?codigoCvm=14176&amp;idioma=pt-br" TargetMode="External"/><Relationship Id="rId59" Type="http://schemas.openxmlformats.org/officeDocument/2006/relationships/hyperlink" Target="http://www.bmfbovespa.com.br/cias-listadas/empresas-listadas/ResumoEmpresaPrincipal.aspx?codigoCvm=2577" TargetMode="External"/><Relationship Id="rId103" Type="http://schemas.openxmlformats.org/officeDocument/2006/relationships/hyperlink" Target="http://www.bmfbovespa.com.br/Cias-Listadas/Empresas-Listadas/ResumoEmpresaPrincipal.aspx?codigoCvm=1155&amp;idioma=pt-BR" TargetMode="External"/><Relationship Id="rId124" Type="http://schemas.openxmlformats.org/officeDocument/2006/relationships/hyperlink" Target="http://www.bmfbovespa.com.br/cias-listadas/empresas-listadas/ResumoEmpresaPrincipal.aspx?codigoCvm=16993&amp;idioma=pt-br" TargetMode="External"/><Relationship Id="rId310" Type="http://schemas.openxmlformats.org/officeDocument/2006/relationships/hyperlink" Target="http://www.bmfbovespa.com.br/cias-listadas/empresas-listadas/ResumoEmpresaPrincipal.aspx?codigoCvm=8427&amp;idioma=pt-br" TargetMode="External"/><Relationship Id="rId70" Type="http://schemas.openxmlformats.org/officeDocument/2006/relationships/hyperlink" Target="http://www.bmfbovespa.com.br/cias-listadas/empresas-listadas/ResumoEmpresaPrincipal.aspx?codigoCvm=16292&amp;idioma=pt-br" TargetMode="External"/><Relationship Id="rId91" Type="http://schemas.openxmlformats.org/officeDocument/2006/relationships/hyperlink" Target="http://www.bmfbovespa.com.br/cias-listadas/empresas-listadas/ResumoEmpresaPrincipal.aspx?codigoCvm=20516&amp;idioma=pt-br" TargetMode="External"/><Relationship Id="rId145" Type="http://schemas.openxmlformats.org/officeDocument/2006/relationships/hyperlink" Target="http://www.bmfbovespa.com.br/cias-listadas/empresas-listadas/ResumoEmpresaPrincipal.aspx?codigoCvm=12262&amp;idioma=pt-br" TargetMode="External"/><Relationship Id="rId166" Type="http://schemas.openxmlformats.org/officeDocument/2006/relationships/hyperlink" Target="http://www.bmfbovespa.com.br/cias-listadas/empresas-listadas/ResumoEmpresaPrincipal.aspx?codigoCvm=23035&amp;idioma=pt-br" TargetMode="External"/><Relationship Id="rId187" Type="http://schemas.openxmlformats.org/officeDocument/2006/relationships/hyperlink" Target="http://www.bmfbovespa.com.br/cias-listadas/empresas-listadas/ResumoEmpresaPrincipal.aspx?codigoCvm=3980&amp;idioma=pt-br" TargetMode="External"/><Relationship Id="rId331" Type="http://schemas.openxmlformats.org/officeDocument/2006/relationships/hyperlink" Target="http://www.bmfbovespa.com.br/cias-listadas/empresas-listadas/ResumoEmpresaPrincipal.aspx?codigoCvm=11215&amp;idioma=pt-br" TargetMode="External"/><Relationship Id="rId352" Type="http://schemas.openxmlformats.org/officeDocument/2006/relationships/hyperlink" Target="http://www.bmfbovespa.com.br/cias-listadas/empresas-listadas/ResumoEmpresaPrincipal.aspx?codigoCvm=22349&amp;idioma=pt-br" TargetMode="External"/><Relationship Id="rId373" Type="http://schemas.openxmlformats.org/officeDocument/2006/relationships/hyperlink" Target="http://www.bmfbovespa.com.br/cias-listadas/empresas-listadas/ResumoEmpresaPrincipal.aspx?codigoCvm=20877&amp;idioma=pt-br" TargetMode="External"/><Relationship Id="rId394" Type="http://schemas.openxmlformats.org/officeDocument/2006/relationships/hyperlink" Target="http://www.bmfbovespa.com.br/cias-listadas/empresas-listadas/ResumoEmpresaPrincipal.aspx?codigoCvm=10880&amp;idioma=pt-br" TargetMode="External"/><Relationship Id="rId408" Type="http://schemas.openxmlformats.org/officeDocument/2006/relationships/hyperlink" Target="http://www.bmfbovespa.com.br/cias-listadas/empresas-listadas/ResumoEmpresaPrincipal.aspx?codigoCvm=20028&amp;idioma=pt-br" TargetMode="External"/><Relationship Id="rId429" Type="http://schemas.openxmlformats.org/officeDocument/2006/relationships/hyperlink" Target="http://www.bmfbovespa.com.br/cias-listadas/empresas-listadas/ResumoEmpresaPrincipal.aspx?codigoCvm=11070&amp;idioma=pt-br" TargetMode="External"/><Relationship Id="rId1" Type="http://schemas.openxmlformats.org/officeDocument/2006/relationships/hyperlink" Target="http://www.bmfbovespa.com.br/cias-listadas/empresas-listadas/ResumoEmpresaPrincipal.aspx?codigoCvm=21300&amp;idioma=pt-br" TargetMode="External"/><Relationship Id="rId212" Type="http://schemas.openxmlformats.org/officeDocument/2006/relationships/hyperlink" Target="http://www.bmfbovespa.com.br/cias-listadas/empresas-listadas/ResumoEmpresaPrincipal.aspx?codigoCvm=12696&amp;idioma=pt-br" TargetMode="External"/><Relationship Id="rId233" Type="http://schemas.openxmlformats.org/officeDocument/2006/relationships/hyperlink" Target="http://www.bmfbovespa.com.br/cias-listadas/empresas-listadas/ResumoEmpresaPrincipal.aspx?codigoCvm=15458&amp;idioma=pt-br" TargetMode="External"/><Relationship Id="rId254" Type="http://schemas.openxmlformats.org/officeDocument/2006/relationships/hyperlink" Target="http://www.bmfbovespa.com.br/cias-listadas/empresas-listadas/ResumoEmpresaPrincipal.aspx?codigoCvm=12190&amp;idioma=pt-br" TargetMode="External"/><Relationship Id="rId440" Type="http://schemas.openxmlformats.org/officeDocument/2006/relationships/hyperlink" Target="http://www.bmfbovespa.com.br/cias-listadas/empresas-listadas/ResumoEmpresaPrincipal.aspx?codigoCvm=13773&amp;idioma=pt-br" TargetMode="External"/><Relationship Id="rId28" Type="http://schemas.openxmlformats.org/officeDocument/2006/relationships/hyperlink" Target="http://www.bmfbovespa.com.br/Cias-Listadas/Empresas-Listadas/ResumoEmpresaPrincipal.aspx?codigoCvm=19763&amp;idioma=pt-BR" TargetMode="External"/><Relationship Id="rId49" Type="http://schemas.openxmlformats.org/officeDocument/2006/relationships/hyperlink" Target="http://www.bmfbovespa.com.br/cias-listadas/empresas-listadas/ResumoEmpresaPrincipal.aspx?codigoCvm=20494&amp;idioma=pt-br" TargetMode="External"/><Relationship Id="rId114" Type="http://schemas.openxmlformats.org/officeDocument/2006/relationships/hyperlink" Target="http://www.bmfbovespa.com.br/cias-listadas/empresas-listadas/ResumoEmpresaPrincipal.aspx?codigoCvm=2461&amp;idioma=pt-br" TargetMode="External"/><Relationship Id="rId275" Type="http://schemas.openxmlformats.org/officeDocument/2006/relationships/hyperlink" Target="http://www.bmfbovespa.com.br/cias-listadas/empresas-listadas/ResumoEmpresaPrincipal.aspx?codigoCvm=20931&amp;idioma=pt-br" TargetMode="External"/><Relationship Id="rId296" Type="http://schemas.openxmlformats.org/officeDocument/2006/relationships/hyperlink" Target="http://www.bmfbovespa.com.br/cias-listadas/empresas-listadas/ResumoEmpresaPrincipal.aspx?codigoCvm=14346&amp;idioma=pt-br" TargetMode="External"/><Relationship Id="rId300" Type="http://schemas.openxmlformats.org/officeDocument/2006/relationships/hyperlink" Target="http://www.bmfbovespa.com.br/cias-listadas/empresas-listadas/ResumoEmpresaPrincipal.aspx?codigoCvm=6505&amp;idioma=pt-br" TargetMode="External"/><Relationship Id="rId461" Type="http://schemas.openxmlformats.org/officeDocument/2006/relationships/hyperlink" Target="http://www.bmfbovespa.com.br/cias-listadas/empresas-listadas/ResumoEmpresaPrincipal.aspx?codigoCvm=11932&amp;idioma=pt-br" TargetMode="External"/><Relationship Id="rId482" Type="http://schemas.openxmlformats.org/officeDocument/2006/relationships/hyperlink" Target="http://www.bmfbovespa.com.br/Cias-Listadas/Empresas-Listadas/ResumoEmpresaPrincipal.aspx?codigoCvm=17485&amp;idioma=pt-BR" TargetMode="External"/><Relationship Id="rId60" Type="http://schemas.openxmlformats.org/officeDocument/2006/relationships/hyperlink" Target="http://www.bmfbovespa.com.br/cias-listadas/empresas-listadas/ResumoEmpresaPrincipal.aspx?codigoCvm=14176&amp;idioma=pt-br" TargetMode="External"/><Relationship Id="rId81" Type="http://schemas.openxmlformats.org/officeDocument/2006/relationships/hyperlink" Target="http://www.bmfbovespa.com.br/Cias-Listadas/Empresas-Listadas/ResumoEmpresaPrincipal.aspx?codigoCvm=20567&amp;idioma=pt-br" TargetMode="External"/><Relationship Id="rId135" Type="http://schemas.openxmlformats.org/officeDocument/2006/relationships/hyperlink" Target="http://www.bmfbovespa.com.br/cias-listadas/empresas-listadas/ResumoEmpresaPrincipal.aspx?codigoCvm=18627&amp;idioma=pt-br" TargetMode="External"/><Relationship Id="rId156" Type="http://schemas.openxmlformats.org/officeDocument/2006/relationships/hyperlink" Target="http://www.bmfbovespa.com.br/cias-listadas/empresas-listadas/ResumoEmpresaPrincipal.aspx?codigoCvm=20532&amp;idioma=pt-br" TargetMode="External"/><Relationship Id="rId177" Type="http://schemas.openxmlformats.org/officeDocument/2006/relationships/hyperlink" Target="http://www.bmfbovespa.com.br/cias-listadas/empresas-listadas/ResumoEmpresaPrincipal.aspx?codigoCvm=9989&amp;idioma=pt-br" TargetMode="External"/><Relationship Id="rId198" Type="http://schemas.openxmlformats.org/officeDocument/2006/relationships/hyperlink" Target="http://www.bmfbovespa.com.br/cias-listadas/empresas-listadas/ResumoEmpresaPrincipal.aspx?codigoCvm=11398&amp;idioma=pt-br" TargetMode="External"/><Relationship Id="rId321" Type="http://schemas.openxmlformats.org/officeDocument/2006/relationships/hyperlink" Target="http://www.bmfbovespa.com.br/cias-listadas/empresas-listadas/ResumoEmpresaPrincipal.aspx?codigoCvm=5207&amp;idioma=pt-br" TargetMode="External"/><Relationship Id="rId342" Type="http://schemas.openxmlformats.org/officeDocument/2006/relationships/hyperlink" Target="http://www.bmfbovespa.com.br/cias-listadas/empresas-listadas/ResumoEmpresaPrincipal.aspx?codigoCvm=14621&amp;idioma=pt-br" TargetMode="External"/><Relationship Id="rId363" Type="http://schemas.openxmlformats.org/officeDocument/2006/relationships/hyperlink" Target="http://www.bmfbovespa.com.br/cias-listadas/empresas-listadas/ResumoEmpresaPrincipal.aspx?codigoCvm=10960&amp;idioma=pt-br" TargetMode="External"/><Relationship Id="rId384" Type="http://schemas.openxmlformats.org/officeDocument/2006/relationships/hyperlink" Target="http://www.bmfbovespa.com.br/cias-listadas/empresas-listadas/ResumoEmpresaPrincipal.aspx?codigoCvm=20702&amp;idioma=pt-br" TargetMode="External"/><Relationship Id="rId419" Type="http://schemas.openxmlformats.org/officeDocument/2006/relationships/hyperlink" Target="http://www.bmfbovespa.com.br/cias-listadas/empresas-listadas/ResumoEmpresaPrincipal.aspx?codigoCvm=19569&amp;idioma=pt-br" TargetMode="External"/><Relationship Id="rId202" Type="http://schemas.openxmlformats.org/officeDocument/2006/relationships/hyperlink" Target="http://www.bmfbovespa.com.br/cias-listadas/empresas-listadas/ResumoEmpresaPrincipal.aspx?codigoCvm=4359&amp;idioma=pt-br" TargetMode="External"/><Relationship Id="rId223" Type="http://schemas.openxmlformats.org/officeDocument/2006/relationships/hyperlink" Target="http://www.bmfbovespa.com.br/cias-listadas/empresas-listadas/ResumoEmpresaPrincipal.aspx?codigoCvm=13986&amp;idioma=pt-br" TargetMode="External"/><Relationship Id="rId244" Type="http://schemas.openxmlformats.org/officeDocument/2006/relationships/hyperlink" Target="http://www.bmfbovespa.com.br/cias-listadas/empresas-listadas/ResumoEmpresaPrincipal.aspx?codigoCvm=21008&amp;idioma=pt-br" TargetMode="External"/><Relationship Id="rId430" Type="http://schemas.openxmlformats.org/officeDocument/2006/relationships/hyperlink" Target="http://www.bmfbovespa.com.br/cias-listadas/empresas-listadas/ResumoEmpresaPrincipal.aspx?codigoCvm=11070&amp;idioma=pt-br" TargetMode="External"/><Relationship Id="rId18" Type="http://schemas.openxmlformats.org/officeDocument/2006/relationships/hyperlink" Target="http://www.bmfbovespa.com.br/Cias-Listadas/Empresas-Listadas/ResumoEmpresaPrincipal.aspx?codigoCvm=4707&amp;idioma=pt-br" TargetMode="External"/><Relationship Id="rId39" Type="http://schemas.openxmlformats.org/officeDocument/2006/relationships/hyperlink" Target="http://www.bmfbovespa.com.br/cias-listadas/empresas-listadas/ResumoEmpresaPrincipal.aspx?codigoCvm=94&amp;idioma=pt-br" TargetMode="External"/><Relationship Id="rId265" Type="http://schemas.openxmlformats.org/officeDocument/2006/relationships/hyperlink" Target="http://www.bmfbovespa.com.br/cias-listadas/empresas-listadas/ResumoEmpresaPrincipal.aspx?codigoCvm=20346&amp;idioma=pt-br" TargetMode="External"/><Relationship Id="rId286" Type="http://schemas.openxmlformats.org/officeDocument/2006/relationships/hyperlink" Target="http://www.bmfbovespa.com.br/cias-listadas/empresas-listadas/ResumoEmpresaPrincipal.aspx?codigoCvm=19658&amp;idioma=pt-br" TargetMode="External"/><Relationship Id="rId451" Type="http://schemas.openxmlformats.org/officeDocument/2006/relationships/hyperlink" Target="http://www.bmfbovespa.com.br/cias-listadas/empresas-listadas/ResumoEmpresaPrincipal.aspx?codigoCvm=7870&amp;idioma=pt-br" TargetMode="External"/><Relationship Id="rId472" Type="http://schemas.openxmlformats.org/officeDocument/2006/relationships/hyperlink" Target="http://www.bmfbovespa.com.br/cias-listadas/empresas-listadas/ResumoEmpresaPrincipal.aspx?codigoCvm=12572&amp;idioma=pt-br" TargetMode="External"/><Relationship Id="rId50" Type="http://schemas.openxmlformats.org/officeDocument/2006/relationships/hyperlink" Target="http://www.bmfbovespa.com.br/cias-listadas/empresas-listadas/ResumoEmpresaPrincipal.aspx?codigoCvm=21040&amp;idioma=pt-br" TargetMode="External"/><Relationship Id="rId104" Type="http://schemas.openxmlformats.org/officeDocument/2006/relationships/hyperlink" Target="http://www.bmfbovespa.com.br/Cias-Listadas/Empresas-Listadas/ResumoEmpresaPrincipal.aspx?codigoCvm=1155&amp;idioma=pt-BR" TargetMode="External"/><Relationship Id="rId125" Type="http://schemas.openxmlformats.org/officeDocument/2006/relationships/hyperlink" Target="http://www.bmfbovespa.com.br/cias-listadas/empresas-listadas/ResumoEmpresaPrincipal.aspx?codigoCvm=21237&amp;idioma=pt-br" TargetMode="External"/><Relationship Id="rId146" Type="http://schemas.openxmlformats.org/officeDocument/2006/relationships/hyperlink" Target="http://www.bmfbovespa.com.br/cias-listadas/empresas-listadas/ResumoEmpresaPrincipal.aspx?codigoCvm=20796&amp;idioma=pt-br" TargetMode="External"/><Relationship Id="rId167" Type="http://schemas.openxmlformats.org/officeDocument/2006/relationships/hyperlink" Target="http://www.bmfbovespa.com.br/cias-listadas/empresas-listadas/ResumoEmpresaPrincipal.aspx?codigoCvm=11258&amp;idioma=pt-br" TargetMode="External"/><Relationship Id="rId188" Type="http://schemas.openxmlformats.org/officeDocument/2006/relationships/hyperlink" Target="http://www.bmfbovespa.com.br/cias-listadas/empresas-listadas/ResumoEmpresaPrincipal.aspx?codigoCvm=8656&amp;idioma=pt-br" TargetMode="External"/><Relationship Id="rId311" Type="http://schemas.openxmlformats.org/officeDocument/2006/relationships/hyperlink" Target="http://www.bmfbovespa.com.br/cias-listadas/empresas-listadas/ResumoEmpresaPrincipal.aspx?codigoCvm=9040&amp;idioma=pt-br" TargetMode="External"/><Relationship Id="rId332" Type="http://schemas.openxmlformats.org/officeDocument/2006/relationships/hyperlink" Target="http://www.bmfbovespa.com.br/cias-listadas/empresas-listadas/ResumoEmpresaPrincipal.aspx?codigoCvm=11215&amp;idioma=pt-br" TargetMode="External"/><Relationship Id="rId353" Type="http://schemas.openxmlformats.org/officeDocument/2006/relationships/hyperlink" Target="http://www.bmfbovespa.com.br/cias-listadas/empresas-listadas/ResumoEmpresaPrincipal.aspx?codigoCvm=4537&amp;idioma=pt-br" TargetMode="External"/><Relationship Id="rId374" Type="http://schemas.openxmlformats.org/officeDocument/2006/relationships/hyperlink" Target="http://www.bmfbovespa.com.br/cias-listadas/empresas-listadas/ResumoEmpresaPrincipal.aspx?codigoCvm=20605&amp;idioma=pt-br" TargetMode="External"/><Relationship Id="rId395" Type="http://schemas.openxmlformats.org/officeDocument/2006/relationships/hyperlink" Target="http://www.bmfbovespa.com.br/cias-listadas/empresas-listadas/ResumoEmpresaPrincipal.aspx?codigoCvm=10880&amp;idioma=pt-br" TargetMode="External"/><Relationship Id="rId409" Type="http://schemas.openxmlformats.org/officeDocument/2006/relationships/hyperlink" Target="http://www.bmfbovespa.com.br/cias-listadas/empresas-listadas/ResumoEmpresaPrincipal.aspx?codigoCvm=19771&amp;idioma=pt-br" TargetMode="External"/><Relationship Id="rId71" Type="http://schemas.openxmlformats.org/officeDocument/2006/relationships/hyperlink" Target="http://www.bmfbovespa.com.br/cias-listadas/empresas-listadas/ResumoEmpresaPrincipal.aspx?codigoCvm=2909&amp;idioma=pt-br" TargetMode="External"/><Relationship Id="rId92" Type="http://schemas.openxmlformats.org/officeDocument/2006/relationships/hyperlink" Target="http://www.bmfbovespa.com.br/cias-listadas/empresas-listadas/ResumoEmpresaPrincipal.aspx?codigoCvm=21121&amp;idioma=pt-br" TargetMode="External"/><Relationship Id="rId213" Type="http://schemas.openxmlformats.org/officeDocument/2006/relationships/hyperlink" Target="http://www.bmfbovespa.com.br/cias-listadas/empresas-listadas/ResumoEmpresaPrincipal.aspx?codigoCvm=2429&amp;idioma=pt-br" TargetMode="External"/><Relationship Id="rId234" Type="http://schemas.openxmlformats.org/officeDocument/2006/relationships/hyperlink" Target="http://www.bmfbovespa.com.br/cias-listadas/empresas-listadas/ResumoEmpresaPrincipal.aspx?codigoCvm=15458&amp;idioma=pt-br" TargetMode="External"/><Relationship Id="rId420" Type="http://schemas.openxmlformats.org/officeDocument/2006/relationships/hyperlink" Target="http://www.bmfbovespa.com.br/cias-listadas/empresas-listadas/ResumoEmpresaPrincipal.aspx?codigoCvm=19569&amp;idioma=pt-br" TargetMode="External"/><Relationship Id="rId2" Type="http://schemas.openxmlformats.org/officeDocument/2006/relationships/hyperlink" Target="http://www.bmfbovespa.com.br/Cias-Listadas/Empresas-Listadas/ResumoEmpresaPrincipal.aspx?codigoCvm=19313&amp;idioma=pt-BR" TargetMode="External"/><Relationship Id="rId29" Type="http://schemas.openxmlformats.org/officeDocument/2006/relationships/hyperlink" Target="http://www.bmfbovespa.com.br/Cias-Listadas/Empresas-Listadas/ResumoEmpresaPrincipal.aspx?codigoCvm=1023&amp;idioma=pt-BR" TargetMode="External"/><Relationship Id="rId255" Type="http://schemas.openxmlformats.org/officeDocument/2006/relationships/hyperlink" Target="http://www.bmfbovespa.com.br/cias-listadas/empresas-listadas/ResumoEmpresaPrincipal.aspx?codigoCvm=12190&amp;idioma=pt-br" TargetMode="External"/><Relationship Id="rId276" Type="http://schemas.openxmlformats.org/officeDocument/2006/relationships/hyperlink" Target="http://www.bmfbovespa.com.br/cias-listadas/empresas-listadas/ResumoEmpresaPrincipal.aspx?codigoCvm=20788&amp;idioma=pt-br" TargetMode="External"/><Relationship Id="rId297" Type="http://schemas.openxmlformats.org/officeDocument/2006/relationships/hyperlink" Target="http://www.bmfbovespa.com.br/cias-listadas/empresas-listadas/ResumoEmpresaPrincipal.aspx?codigoCvm=1970&amp;idioma=pt-br" TargetMode="External"/><Relationship Id="rId441" Type="http://schemas.openxmlformats.org/officeDocument/2006/relationships/hyperlink" Target="http://www.bmfbovespa.com.br/cias-listadas/empresas-listadas/ResumoEmpresaPrincipal.aspx?codigoCvm=13366&amp;idioma=pt-br" TargetMode="External"/><Relationship Id="rId462" Type="http://schemas.openxmlformats.org/officeDocument/2006/relationships/hyperlink" Target="http://www.bmfbovespa.com.br/Cias-Listadas/Empresas-Listadas/ResumoEmpresaPrincipal.aspx?codigoCvm=6211&amp;idioma=pt-BR" TargetMode="External"/><Relationship Id="rId483" Type="http://schemas.openxmlformats.org/officeDocument/2006/relationships/hyperlink" Target="http://www.bmfbovespa.com.br/Cias-Listadas/Empresas-Listadas/ResumoEmpresaPrincipal.aspx?codigoCvm=14524&amp;idioma=pt-BR" TargetMode="External"/><Relationship Id="rId40" Type="http://schemas.openxmlformats.org/officeDocument/2006/relationships/hyperlink" Target="http://www.bmfbovespa.com.br/Cias-Listadas/Empresas-Listadas/ResumoEmpresaPrincipal.aspx?codigoCvm=17647&amp;idioma=pt-BR" TargetMode="External"/><Relationship Id="rId115" Type="http://schemas.openxmlformats.org/officeDocument/2006/relationships/hyperlink" Target="http://www.bmfbovespa.com.br/cias-listadas/empresas-listadas/ResumoEmpresaPrincipal.aspx?codigoCvm=2461&amp;idioma=pt-br" TargetMode="External"/><Relationship Id="rId136" Type="http://schemas.openxmlformats.org/officeDocument/2006/relationships/hyperlink" Target="http://www.bmfbovespa.com.br/cias-listadas/empresas-listadas/ResumoEmpresaPrincipal.aspx?codigoCvm=18627&amp;idioma=pt-br" TargetMode="External"/><Relationship Id="rId157" Type="http://schemas.openxmlformats.org/officeDocument/2006/relationships/hyperlink" Target="http://www.bmfbovespa.com.br/cias-listadas/empresas-listadas/ResumoEmpresaPrincipal.aspx?codigoCvm=20680&amp;idioma=pt-br" TargetMode="External"/><Relationship Id="rId178" Type="http://schemas.openxmlformats.org/officeDocument/2006/relationships/hyperlink" Target="http://www.bmfbovespa.com.br/cias-listadas/empresas-listadas/ResumoEmpresaPrincipal.aspx?codigoCvm=9989&amp;idioma=pt-br" TargetMode="External"/><Relationship Id="rId301" Type="http://schemas.openxmlformats.org/officeDocument/2006/relationships/hyperlink" Target="http://www.bmfbovespa.com.br/cias-listadas/empresas-listadas/ResumoEmpresaPrincipal.aspx?codigoCvm=6505&amp;idioma=pt-br" TargetMode="External"/><Relationship Id="rId322" Type="http://schemas.openxmlformats.org/officeDocument/2006/relationships/hyperlink" Target="http://www.bmfbovespa.com.br/cias-listadas/empresas-listadas/ResumoEmpresaPrincipal.aspx?codigoCvm=16497&amp;idioma=pt-br" TargetMode="External"/><Relationship Id="rId343" Type="http://schemas.openxmlformats.org/officeDocument/2006/relationships/hyperlink" Target="http://www.bmfbovespa.com.br/cias-listadas/empresas-listadas/ResumoEmpresaPrincipal.aspx?codigoCvm=14621&amp;idioma=pt-br" TargetMode="External"/><Relationship Id="rId364" Type="http://schemas.openxmlformats.org/officeDocument/2006/relationships/hyperlink" Target="http://www.bmfbovespa.com.br/cias-listadas/empresas-listadas/ResumoEmpresaPrincipal.aspx?codigoCvm=20265&amp;idioma=pt-br" TargetMode="External"/><Relationship Id="rId61" Type="http://schemas.openxmlformats.org/officeDocument/2006/relationships/hyperlink" Target="http://www.bmfbovespa.com.br/cias-listadas/empresas-listadas/ResumoEmpresaPrincipal.aspx?codigoCvm=22691&amp;idioma=pt-br" TargetMode="External"/><Relationship Id="rId82" Type="http://schemas.openxmlformats.org/officeDocument/2006/relationships/hyperlink" Target="http://www.bmfbovespa.com.br/Cias-Listadas/Empresas-Listadas/ResumoEmpresaPrincipal.aspx?codigoCvm=14443&amp;idioma=pt-BR" TargetMode="External"/><Relationship Id="rId199" Type="http://schemas.openxmlformats.org/officeDocument/2006/relationships/hyperlink" Target="http://www.bmfbovespa.com.br/cias-listadas/empresas-listadas/ResumoEmpresaPrincipal.aspx?codigoCvm=11398&amp;idioma=pt-br" TargetMode="External"/><Relationship Id="rId203" Type="http://schemas.openxmlformats.org/officeDocument/2006/relationships/hyperlink" Target="http://www.bmfbovespa.com.br/cias-listadas/empresas-listadas/ResumoEmpresaPrincipal.aspx?codigoCvm=16632&amp;idioma=pt-br" TargetMode="External"/><Relationship Id="rId385" Type="http://schemas.openxmlformats.org/officeDocument/2006/relationships/hyperlink" Target="http://www.bmfbovespa.com.br/cias-listadas/empresas-listadas/ResumoEmpresaPrincipal.aspx?codigoCvm=11975&amp;idioma=pt-br" TargetMode="External"/><Relationship Id="rId19" Type="http://schemas.openxmlformats.org/officeDocument/2006/relationships/hyperlink" Target="http://www.bmfbovespa.com.br/Cias-Listadas/Empresas-Listadas/ResumoEmpresaPrincipal.aspx?codigoCvm=4707&amp;idioma=pt-br" TargetMode="External"/><Relationship Id="rId224" Type="http://schemas.openxmlformats.org/officeDocument/2006/relationships/hyperlink" Target="http://www.bmfbovespa.com.br/cias-listadas/empresas-listadas/ResumoEmpresaPrincipal.aspx?codigoCvm=5770&amp;idioma=pt-br" TargetMode="External"/><Relationship Id="rId245" Type="http://schemas.openxmlformats.org/officeDocument/2006/relationships/hyperlink" Target="http://www.bmfbovespa.com.br/cias-listadas/empresas-listadas/ResumoEmpresaPrincipal.aspx?codigoCvm=20982&amp;idioma=pt-br" TargetMode="External"/><Relationship Id="rId266" Type="http://schemas.openxmlformats.org/officeDocument/2006/relationships/hyperlink" Target="http://www.bmfbovespa.com.br/cias-listadas/empresas-listadas/ResumoEmpresaPrincipal.aspx?codigoCvm=14826&amp;idioma=pt-br" TargetMode="External"/><Relationship Id="rId287" Type="http://schemas.openxmlformats.org/officeDocument/2006/relationships/hyperlink" Target="http://www.bmfbovespa.com.br/cias-listadas/empresas-listadas/ResumoEmpresaPrincipal.aspx?codigoCvm=20745&amp;idioma=pt-br" TargetMode="External"/><Relationship Id="rId410" Type="http://schemas.openxmlformats.org/officeDocument/2006/relationships/hyperlink" Target="http://www.bmfbovespa.com.br/cias-listadas/empresas-listadas/ResumoEmpresaPrincipal.aspx?codigoCvm=18821&amp;idioma=pt-br" TargetMode="External"/><Relationship Id="rId431" Type="http://schemas.openxmlformats.org/officeDocument/2006/relationships/hyperlink" Target="http://www.bmfbovespa.com.br/cias-listadas/empresas-listadas/ResumoEmpresaPrincipal.aspx?codigoCvm=20613&amp;idioma=pt-br" TargetMode="External"/><Relationship Id="rId452" Type="http://schemas.openxmlformats.org/officeDocument/2006/relationships/hyperlink" Target="http://www.bmfbovespa.com.br/cias-listadas/empresas-listadas/ResumoEmpresaPrincipal.aspx?codigoCvm=14664&amp;idioma=pt-br" TargetMode="External"/><Relationship Id="rId473" Type="http://schemas.openxmlformats.org/officeDocument/2006/relationships/hyperlink" Target="http://www.bmfbovespa.com.br/cias-listadas/empresas-listadas/ResumoEmpresaPrincipal.aspx?codigoCvm=6343&amp;idioma=pt-br" TargetMode="External"/><Relationship Id="rId30" Type="http://schemas.openxmlformats.org/officeDocument/2006/relationships/hyperlink" Target="http://www.bmfbovespa.com.br/cias-listadas/empresas-listadas/ResumoEmpresaPrincipal.aspx?codigoCvm=14915&amp;idioma=pt-br" TargetMode="External"/><Relationship Id="rId105" Type="http://schemas.openxmlformats.org/officeDocument/2006/relationships/hyperlink" Target="http://www.bmfbovespa.com.br/Cias-Listadas/Empresas-Listadas/ResumoEmpresaPrincipal.aspx?codigoCvm=1120&amp;idioma=pt-BR" TargetMode="External"/><Relationship Id="rId126" Type="http://schemas.openxmlformats.org/officeDocument/2006/relationships/hyperlink" Target="http://www.bmfbovespa.com.br/cias-listadas/empresas-listadas/ResumoEmpresaPrincipal.aspx?codigoCvm=20010&amp;idioma=pt-br" TargetMode="External"/><Relationship Id="rId147" Type="http://schemas.openxmlformats.org/officeDocument/2006/relationships/hyperlink" Target="http://www.bmfbovespa.com.br/cias-listadas/empresas-listadas/ResumoEmpresaPrincipal.aspx?codigoCvm=20796&amp;idioma=pt-br" TargetMode="External"/><Relationship Id="rId168" Type="http://schemas.openxmlformats.org/officeDocument/2006/relationships/hyperlink" Target="http://www.bmfbovespa.com.br/cias-listadas/empresas-listadas/ResumoEmpresaPrincipal.aspx?codigoCvm=11258&amp;idioma=pt-br" TargetMode="External"/><Relationship Id="rId312" Type="http://schemas.openxmlformats.org/officeDocument/2006/relationships/hyperlink" Target="http://www.bmfbovespa.com.br/cias-listadas/empresas-listadas/ResumoEmpresaPrincipal.aspx?codigoCvm=9040&amp;idioma=pt-br" TargetMode="External"/><Relationship Id="rId333" Type="http://schemas.openxmlformats.org/officeDocument/2006/relationships/hyperlink" Target="http://www.bmfbovespa.com.br/cias-listadas/empresas-listadas/ResumoEmpresaPrincipal.aspx?codigoCvm=11215&amp;idioma=pt-br" TargetMode="External"/><Relationship Id="rId354" Type="http://schemas.openxmlformats.org/officeDocument/2006/relationships/hyperlink" Target="http://www.bmfbovespa.com.br/cias-listadas/empresas-listadas/ResumoEmpresaPrincipal.aspx?codigoCvm=4537&amp;idioma=pt-br" TargetMode="External"/><Relationship Id="rId51" Type="http://schemas.openxmlformats.org/officeDocument/2006/relationships/hyperlink" Target="http://www.bmfbovespa.com.br/cias-listadas/empresas-listadas/ResumoEmpresaPrincipal.aspx?codigoCvm=19925&amp;idioma=pt-br" TargetMode="External"/><Relationship Id="rId72" Type="http://schemas.openxmlformats.org/officeDocument/2006/relationships/hyperlink" Target="http://www.bmfbovespa.com.br/cias-listadas/empresas-listadas/ResumoEmpresaPrincipal.aspx?codigoCvm=2909&amp;idioma=pt-br" TargetMode="External"/><Relationship Id="rId93" Type="http://schemas.openxmlformats.org/officeDocument/2006/relationships/hyperlink" Target="http://www.bmfbovespa.com.br/cias-listadas/empresas-listadas/ResumoEmpresaPrincipal.aspx?codigoCvm=22365&amp;idioma=pt-br" TargetMode="External"/><Relationship Id="rId189" Type="http://schemas.openxmlformats.org/officeDocument/2006/relationships/hyperlink" Target="http://www.bmfbovespa.com.br/cias-listadas/empresas-listadas/ResumoEmpresaPrincipal.aspx?codigoCvm=8656&amp;idioma=pt-br" TargetMode="External"/><Relationship Id="rId375" Type="http://schemas.openxmlformats.org/officeDocument/2006/relationships/hyperlink" Target="http://www.bmfbovespa.com.br/cias-listadas/empresas-listadas/ResumoEmpresaPrincipal.aspx?codigoCvm=7811&amp;idioma=pt-br" TargetMode="External"/><Relationship Id="rId396" Type="http://schemas.openxmlformats.org/officeDocument/2006/relationships/hyperlink" Target="http://www.bmfbovespa.com.br/cias-listadas/empresas-listadas/ResumoEmpresaPrincipal.aspx?codigoCvm=10880&amp;idioma=pt-br" TargetMode="External"/><Relationship Id="rId3" Type="http://schemas.openxmlformats.org/officeDocument/2006/relationships/hyperlink" Target="http://www.bmfbovespa.com.br/Cias-Listadas/Empresas-Listadas/ResumoEmpresaPrincipal.aspx?codigoCvm=20567&amp;idioma=pt-br" TargetMode="External"/><Relationship Id="rId214" Type="http://schemas.openxmlformats.org/officeDocument/2006/relationships/hyperlink" Target="http://www.bmfbovespa.com.br/cias-listadas/empresas-listadas/ResumoEmpresaPrincipal.aspx?codigoCvm=2429&amp;idioma=pt-br" TargetMode="External"/><Relationship Id="rId235" Type="http://schemas.openxmlformats.org/officeDocument/2006/relationships/hyperlink" Target="http://www.bmfbovespa.com.br/cias-listadas/empresas-listadas/ResumoEmpresaPrincipal.aspx?codigoCvm=3298&amp;idioma=pt-br" TargetMode="External"/><Relationship Id="rId256" Type="http://schemas.openxmlformats.org/officeDocument/2006/relationships/hyperlink" Target="http://www.bmfbovespa.com.br/cias-listadas/empresas-listadas/ResumoEmpresaPrincipal.aspx?codigoCvm=4057&amp;idioma=pt-br" TargetMode="External"/><Relationship Id="rId277" Type="http://schemas.openxmlformats.org/officeDocument/2006/relationships/hyperlink" Target="http://www.bmfbovespa.com.br/cias-listadas/empresas-listadas/ResumoEmpresaPrincipal.aspx?codigoCvm=3336&amp;idioma=pt-br" TargetMode="External"/><Relationship Id="rId298" Type="http://schemas.openxmlformats.org/officeDocument/2006/relationships/hyperlink" Target="http://www.bmfbovespa.com.br/cias-listadas/empresas-listadas/ResumoEmpresaPrincipal.aspx?codigoCvm=1970&amp;idioma=pt-br" TargetMode="External"/><Relationship Id="rId400" Type="http://schemas.openxmlformats.org/officeDocument/2006/relationships/hyperlink" Target="http://www.bmfbovespa.com.br/cias-listadas/empresas-listadas/ResumoEmpresaPrincipal.aspx?codigoCvm=20370&amp;idioma=pt-br" TargetMode="External"/><Relationship Id="rId421" Type="http://schemas.openxmlformats.org/officeDocument/2006/relationships/hyperlink" Target="http://www.bmfbovespa.com.br/cias-listadas/empresas-listadas/ResumoEmpresaPrincipal.aspx?codigoCvm=17450&amp;idioma=pt-br" TargetMode="External"/><Relationship Id="rId442" Type="http://schemas.openxmlformats.org/officeDocument/2006/relationships/hyperlink" Target="http://www.bmfbovespa.com.br/cias-listadas/empresas-listadas/ResumoEmpresaPrincipal.aspx?codigoCvm=13366&amp;idioma=pt-br" TargetMode="External"/><Relationship Id="rId463" Type="http://schemas.openxmlformats.org/officeDocument/2006/relationships/hyperlink" Target="http://www.bmfbovespa.com.br/cias-listadas/empresas-listadas/ResumoEmpresaPrincipal.aspx?codigoCvm=8575&amp;idioma=pt-br" TargetMode="External"/><Relationship Id="rId484" Type="http://schemas.openxmlformats.org/officeDocument/2006/relationships/hyperlink" Target="http://www.bmfbovespa.com.br/Cias-Listadas/Empresas-Listadas/ResumoEmpresaPrincipal.aspx?codigoCvm=14524&amp;idioma=pt-BR" TargetMode="External"/><Relationship Id="rId116" Type="http://schemas.openxmlformats.org/officeDocument/2006/relationships/hyperlink" Target="http://www.bmfbovespa.com.br/cias-listadas/empresas-listadas/ResumoEmpresaPrincipal.aspx?codigoCvm=21393&amp;idioma=pt-br" TargetMode="External"/><Relationship Id="rId137" Type="http://schemas.openxmlformats.org/officeDocument/2006/relationships/hyperlink" Target="http://www.bmfbovespa.com.br/cias-listadas/empresas-listadas/ResumoEmpresaPrincipal.aspx?codigoCvm=15636&amp;idioma=pt-br" TargetMode="External"/><Relationship Id="rId158" Type="http://schemas.openxmlformats.org/officeDocument/2006/relationships/hyperlink" Target="http://www.bmfbovespa.com.br/cias-listadas/empresas-listadas/ResumoEmpresaPrincipal.aspx?codigoCvm=20680&amp;idioma=pt-br" TargetMode="External"/><Relationship Id="rId302" Type="http://schemas.openxmlformats.org/officeDocument/2006/relationships/hyperlink" Target="http://www.bmfbovespa.com.br/cias-listadas/empresas-listadas/ResumoEmpresaPrincipal.aspx?codigoCvm=6505&amp;idioma=pt-br" TargetMode="External"/><Relationship Id="rId323" Type="http://schemas.openxmlformats.org/officeDocument/2006/relationships/hyperlink" Target="http://www.bmfbovespa.com.br/cias-listadas/empresas-listadas/ResumoEmpresaPrincipal.aspx?codigoCvm=16497&amp;idioma=pt-br" TargetMode="External"/><Relationship Id="rId344" Type="http://schemas.openxmlformats.org/officeDocument/2006/relationships/hyperlink" Target="http://www.bmfbovespa.com.br/cias-listadas/empresas-listadas/ResumoEmpresaPrincipal.aspx?codigoCvm=22551&amp;idioma=pt-br" TargetMode="External"/><Relationship Id="rId20" Type="http://schemas.openxmlformats.org/officeDocument/2006/relationships/hyperlink" Target="http://www.bmfbovespa.com.br/Cias-Listadas/Empresas-Listadas/ResumoEmpresaPrincipal.aspx?codigoCvm=4707&amp;idioma=pt-br" TargetMode="External"/><Relationship Id="rId41" Type="http://schemas.openxmlformats.org/officeDocument/2006/relationships/hyperlink" Target="http://www.bmfbovespa.com.br/cias-listadas/empresas-listadas/ResumoEmpresaPrincipal.aspx?codigoCvm=21792&amp;idioma=pt-br" TargetMode="External"/><Relationship Id="rId62" Type="http://schemas.openxmlformats.org/officeDocument/2006/relationships/hyperlink" Target="http://www.bmfbovespa.com.br/cias-listadas/empresas-listadas/ResumoEmpresaPrincipal.aspx?codigoCvm=701&amp;idioma=pt-br" TargetMode="External"/><Relationship Id="rId83" Type="http://schemas.openxmlformats.org/officeDocument/2006/relationships/hyperlink" Target="http://www.bmfbovespa.com.br/cias-listadas/empresas-listadas/ResumoEmpresaPrincipal.aspx?codigoCvm=21717&amp;idioma=pt-br" TargetMode="External"/><Relationship Id="rId179" Type="http://schemas.openxmlformats.org/officeDocument/2006/relationships/hyperlink" Target="http://www.bmfbovespa.com.br/cias-listadas/empresas-listadas/ResumoEmpresaPrincipal.aspx?codigoCvm=21342&amp;idioma=pt-br" TargetMode="External"/><Relationship Id="rId365" Type="http://schemas.openxmlformats.org/officeDocument/2006/relationships/hyperlink" Target="http://www.bmfbovespa.com.br/cias-listadas/empresas-listadas/ResumoEmpresaPrincipal.aspx?codigoCvm=4723&amp;idioma=pt-br" TargetMode="External"/><Relationship Id="rId386" Type="http://schemas.openxmlformats.org/officeDocument/2006/relationships/hyperlink" Target="http://www.bmfbovespa.com.br/cias-listadas/empresas-listadas/ResumoEmpresaPrincipal.aspx?codigoCvm=11975&amp;idioma=pt-br" TargetMode="External"/><Relationship Id="rId190" Type="http://schemas.openxmlformats.org/officeDocument/2006/relationships/hyperlink" Target="http://www.bmfbovespa.com.br/cias-listadas/empresas-listadas/ResumoEmpresaPrincipal.aspx?codigoCvm=6017&amp;idioma=pt-br" TargetMode="External"/><Relationship Id="rId204" Type="http://schemas.openxmlformats.org/officeDocument/2006/relationships/hyperlink" Target="http://www.bmfbovespa.com.br/cias-listadas/empresas-listadas/ResumoEmpresaPrincipal.aspx?codigoCvm=14559&amp;idioma=pt-br" TargetMode="External"/><Relationship Id="rId225" Type="http://schemas.openxmlformats.org/officeDocument/2006/relationships/hyperlink" Target="http://www.bmfbovespa.com.br/cias-listadas/empresas-listadas/ResumoEmpresaPrincipal.aspx?codigoCvm=13412&amp;idioma=pt-br" TargetMode="External"/><Relationship Id="rId246" Type="http://schemas.openxmlformats.org/officeDocument/2006/relationships/hyperlink" Target="http://www.bmfbovespa.com.br/cias-listadas/empresas-listadas/ResumoEmpresaPrincipal.aspx?codigoCvm=19917&amp;idioma=pt-br" TargetMode="External"/><Relationship Id="rId267" Type="http://schemas.openxmlformats.org/officeDocument/2006/relationships/hyperlink" Target="http://www.bmfbovespa.com.br/cias-listadas/empresas-listadas/ResumoEmpresaPrincipal.aspx?codigoCvm=14826&amp;idioma=pt-br" TargetMode="External"/><Relationship Id="rId288" Type="http://schemas.openxmlformats.org/officeDocument/2006/relationships/hyperlink" Target="http://www.bmfbovespa.com.br/cias-listadas/empresas-listadas/ResumoEmpresaPrincipal.aspx?codigoCvm=23310&amp;idioma=pt-br" TargetMode="External"/><Relationship Id="rId411" Type="http://schemas.openxmlformats.org/officeDocument/2006/relationships/hyperlink" Target="http://www.bmfbovespa.com.br/cias-listadas/empresas-listadas/ResumoEmpresaPrincipal.aspx?codigoCvm=19330&amp;idioma=pt-br" TargetMode="External"/><Relationship Id="rId432" Type="http://schemas.openxmlformats.org/officeDocument/2006/relationships/hyperlink" Target="http://www.bmfbovespa.com.br/cias-listadas/empresas-listadas/ResumoEmpresaPrincipal.aspx?codigoCvm=6173&amp;idioma=pt-br" TargetMode="External"/><Relationship Id="rId453" Type="http://schemas.openxmlformats.org/officeDocument/2006/relationships/hyperlink" Target="http://www.bmfbovespa.com.br/cias-listadas/empresas-listadas/ResumoEmpresaPrincipal.aspx?codigoCvm=14664&amp;idioma=pt-br" TargetMode="External"/><Relationship Id="rId474" Type="http://schemas.openxmlformats.org/officeDocument/2006/relationships/hyperlink" Target="http://www.bmfbovespa.com.br/cias-listadas/empresas-listadas/ResumoEmpresaPrincipal.aspx?codigoCvm=11991&amp;idioma=pt-br" TargetMode="External"/><Relationship Id="rId106" Type="http://schemas.openxmlformats.org/officeDocument/2006/relationships/hyperlink" Target="http://www.bmfbovespa.com.br/Cias-Listadas/Empresas-Listadas/ResumoEmpresaPrincipal.aspx?codigoCvm=1120&amp;idioma=pt-BR" TargetMode="External"/><Relationship Id="rId127" Type="http://schemas.openxmlformats.org/officeDocument/2006/relationships/hyperlink" Target="http://www.bmfbovespa.com.br/cias-listadas/empresas-listadas/ResumoEmpresaPrincipal.aspx?codigoCvm=17329&amp;idioma=pt-br" TargetMode="External"/><Relationship Id="rId313" Type="http://schemas.openxmlformats.org/officeDocument/2006/relationships/hyperlink" Target="http://www.bmfbovespa.com.br/cias-listadas/empresas-listadas/ResumoEmpresaPrincipal.aspx?codigoCvm=6629&amp;idioma=pt-br" TargetMode="External"/><Relationship Id="rId10" Type="http://schemas.openxmlformats.org/officeDocument/2006/relationships/hyperlink" Target="http://www.bmfbovespa.com.br/cias-listadas/empresas-listadas/ResumoEmpresaPrincipal.aspx?codigoCvm=4820&amp;idioma=pt-br" TargetMode="External"/><Relationship Id="rId31" Type="http://schemas.openxmlformats.org/officeDocument/2006/relationships/hyperlink" Target="http://www.bmfbovespa.com.br/Cias-Listadas/Empresas-Listadas/ResumoEmpresaPrincipal.aspx?codigoCvm=14451&amp;idioma=pt-br" TargetMode="External"/><Relationship Id="rId52" Type="http://schemas.openxmlformats.org/officeDocument/2006/relationships/hyperlink" Target="http://www.bmfbovespa.com.br/cias-listadas/empresas-listadas/ResumoEmpresaPrincipal.aspx?codigoCvm=19909&amp;idioma=pt-br" TargetMode="External"/><Relationship Id="rId73" Type="http://schemas.openxmlformats.org/officeDocument/2006/relationships/hyperlink" Target="http://www.bmfbovespa.com.br/cias-listadas/empresas-listadas/ResumoEmpresaPrincipal.aspx?codigoCvm=19836&amp;idioma=pt-br" TargetMode="External"/><Relationship Id="rId94" Type="http://schemas.openxmlformats.org/officeDocument/2006/relationships/hyperlink" Target="http://www.bmfbovespa.com.br/cias-listadas/empresas-listadas/ResumoEmpresaPrincipal.aspx?codigoCvm=4170&amp;idioma=pt-br" TargetMode="External"/><Relationship Id="rId148" Type="http://schemas.openxmlformats.org/officeDocument/2006/relationships/hyperlink" Target="http://www.bmfbovespa.com.br/cias-listadas/empresas-listadas/ResumoEmpresaPrincipal.aspx?codigoCvm=20885&amp;idioma=pt-br" TargetMode="External"/><Relationship Id="rId169" Type="http://schemas.openxmlformats.org/officeDocument/2006/relationships/hyperlink" Target="http://www.bmfbovespa.com.br/cias-listadas/empresas-listadas/ResumoEmpresaPrincipal.aspx?codigoCvm=22799&amp;idioma=pt-br" TargetMode="External"/><Relationship Id="rId334" Type="http://schemas.openxmlformats.org/officeDocument/2006/relationships/hyperlink" Target="http://www.bmfbovespa.com.br/cias-listadas/empresas-listadas/ResumoEmpresaPrincipal.aspx?codigoCvm=10456&amp;idioma=pt-br" TargetMode="External"/><Relationship Id="rId355" Type="http://schemas.openxmlformats.org/officeDocument/2006/relationships/hyperlink" Target="http://www.bmfbovespa.com.br/cias-listadas/empresas-listadas/ResumoEmpresaPrincipal.aspx?codigoCvm=4669&amp;idioma=pt-br" TargetMode="External"/><Relationship Id="rId376" Type="http://schemas.openxmlformats.org/officeDocument/2006/relationships/hyperlink" Target="http://www.bmfbovespa.com.br/cias-listadas/empresas-listadas/ResumoEmpresaPrincipal.aspx?codigoCvm=20915&amp;idioma=pt-br" TargetMode="External"/><Relationship Id="rId397" Type="http://schemas.openxmlformats.org/officeDocument/2006/relationships/hyperlink" Target="http://www.bmfbovespa.com.br/cias-listadas/empresas-listadas/ResumoEmpresaPrincipal.aspx?codigoCvm=11207&amp;idioma=pt-br" TargetMode="External"/><Relationship Id="rId4" Type="http://schemas.openxmlformats.org/officeDocument/2006/relationships/hyperlink" Target="http://www.bmfbovespa.com.br/Cias-Listadas/Empresas-Listadas/ResumoEmpresaPrincipal.aspx?codigoCvm=1309&amp;idioma=pt-BR" TargetMode="External"/><Relationship Id="rId180" Type="http://schemas.openxmlformats.org/officeDocument/2006/relationships/hyperlink" Target="http://www.bmfbovespa.com.br/cias-listadas/empresas-listadas/ResumoEmpresaPrincipal.aspx?codigoCvm=3069&amp;idioma=pt-br" TargetMode="External"/><Relationship Id="rId215" Type="http://schemas.openxmlformats.org/officeDocument/2006/relationships/hyperlink" Target="http://www.bmfbovespa.com.br/cias-listadas/empresas-listadas/ResumoEmpresaPrincipal.aspx?codigoCvm=3654&amp;idioma=pt-br" TargetMode="External"/><Relationship Id="rId236" Type="http://schemas.openxmlformats.org/officeDocument/2006/relationships/hyperlink" Target="http://www.bmfbovespa.com.br/cias-listadas/empresas-listadas/ResumoEmpresaPrincipal.aspx?codigoCvm=3298&amp;idioma=pt-br" TargetMode="External"/><Relationship Id="rId257" Type="http://schemas.openxmlformats.org/officeDocument/2006/relationships/hyperlink" Target="http://www.bmfbovespa.com.br/cias-listadas/empresas-listadas/ResumoEmpresaPrincipal.aspx?codigoCvm=8087&amp;idioma=pt-br" TargetMode="External"/><Relationship Id="rId278" Type="http://schemas.openxmlformats.org/officeDocument/2006/relationships/hyperlink" Target="http://www.bmfbovespa.com.br/cias-listadas/empresas-listadas/ResumoEmpresaPrincipal.aspx?codigoCvm=3336&amp;idioma=pt-br" TargetMode="External"/><Relationship Id="rId401" Type="http://schemas.openxmlformats.org/officeDocument/2006/relationships/hyperlink" Target="http://www.bmfbovespa.com.br/cias-listadas/empresas-listadas/ResumoEmpresaPrincipal.aspx?codigoCvm=19100&amp;idioma=pt-br" TargetMode="External"/><Relationship Id="rId422" Type="http://schemas.openxmlformats.org/officeDocument/2006/relationships/hyperlink" Target="http://www.bmfbovespa.com.br/cias-listadas/empresas-listadas/ResumoEmpresaPrincipal.aspx?codigoCvm=15369&amp;idioma=pt-br" TargetMode="External"/><Relationship Id="rId443" Type="http://schemas.openxmlformats.org/officeDocument/2006/relationships/hyperlink" Target="http://www.bmfbovespa.com.br/cias-listadas/empresas-listadas/ResumoEmpresaPrincipal.aspx?codigoCvm=2488&amp;idioma=pt-br" TargetMode="External"/><Relationship Id="rId464" Type="http://schemas.openxmlformats.org/officeDocument/2006/relationships/hyperlink" Target="http://www.bmfbovespa.com.br/cias-listadas/empresas-listadas/ResumoEmpresaPrincipal.aspx?codigoCvm=8451&amp;idioma=pt-br" TargetMode="External"/><Relationship Id="rId303" Type="http://schemas.openxmlformats.org/officeDocument/2006/relationships/hyperlink" Target="http://www.bmfbovespa.com.br/cias-listadas/empresas-listadas/ResumoEmpresaPrincipal.aspx?codigoCvm=6815&amp;idioma=pt-br" TargetMode="External"/><Relationship Id="rId485" Type="http://schemas.openxmlformats.org/officeDocument/2006/relationships/hyperlink" Target="http://www.bmfbovespa.com.br/Cias-Listadas/Empresas-Listadas/ResumoEmpresaPrincipal.aspx?codigoCvm=14524&amp;idioma=pt-BR" TargetMode="External"/><Relationship Id="rId42" Type="http://schemas.openxmlformats.org/officeDocument/2006/relationships/hyperlink" Target="http://www.bmfbovespa.com.br/cias-listadas/empresas-listadas/ResumoEmpresaPrincipal.aspx?codigoCvm=21733&amp;idioma=pt-br" TargetMode="External"/><Relationship Id="rId84" Type="http://schemas.openxmlformats.org/officeDocument/2006/relationships/hyperlink" Target="http://www.bmfbovespa.com.br/cias-listadas/empresas-listadas/ResumoEmpresaPrincipal.aspx?codigoCvm=13781&amp;idioma=pt-br" TargetMode="External"/><Relationship Id="rId138" Type="http://schemas.openxmlformats.org/officeDocument/2006/relationships/hyperlink" Target="http://www.bmfbovespa.com.br/cias-listadas/empresas-listadas/ResumoEmpresaPrincipal.aspx?codigoCvm=15636&amp;idioma=pt-br" TargetMode="External"/><Relationship Id="rId345" Type="http://schemas.openxmlformats.org/officeDocument/2006/relationships/hyperlink" Target="http://www.bmfbovespa.com.br/cias-listadas/empresas-listadas/ResumoEmpresaPrincipal.aspx?codigoCvm=22551&amp;idioma=pt-br" TargetMode="External"/><Relationship Id="rId387" Type="http://schemas.openxmlformats.org/officeDocument/2006/relationships/hyperlink" Target="http://www.bmfbovespa.com.br/cias-listadas/empresas-listadas/ResumoEmpresaPrincipal.aspx?codigoCvm=4774&amp;idioma=pt-br" TargetMode="External"/><Relationship Id="rId191" Type="http://schemas.openxmlformats.org/officeDocument/2006/relationships/hyperlink" Target="http://www.bmfbovespa.com.br/cias-listadas/empresas-listadas/ResumoEmpresaPrincipal.aspx?codigoCvm=6017&amp;idioma=pt-br" TargetMode="External"/><Relationship Id="rId205" Type="http://schemas.openxmlformats.org/officeDocument/2006/relationships/hyperlink" Target="http://www.bmfbovespa.com.br/cias-listadas/empresas-listadas/ResumoEmpresaPrincipal.aspx?codigoCvm=20621&amp;idioma=pt-br" TargetMode="External"/><Relationship Id="rId247" Type="http://schemas.openxmlformats.org/officeDocument/2006/relationships/hyperlink" Target="http://www.bmfbovespa.com.br/cias-listadas/empresas-listadas/ResumoEmpresaPrincipal.aspx?codigoCvm=19623&amp;idioma=pt-br" TargetMode="External"/><Relationship Id="rId412" Type="http://schemas.openxmlformats.org/officeDocument/2006/relationships/hyperlink" Target="http://www.bmfbovespa.com.br/cias-listadas/empresas-listadas/ResumoEmpresaPrincipal.aspx?codigoCvm=19453&amp;idioma=pt-br" TargetMode="External"/><Relationship Id="rId107" Type="http://schemas.openxmlformats.org/officeDocument/2006/relationships/hyperlink" Target="http://www.bmfbovespa.com.br/Cias-Listadas/Empresas-Listadas/ResumoEmpresaPrincipal.aspx?codigoCvm=21113&amp;idioma=pt-BR" TargetMode="External"/><Relationship Id="rId289" Type="http://schemas.openxmlformats.org/officeDocument/2006/relationships/hyperlink" Target="http://www.bmfbovespa.com.br/cias-listadas/empresas-listadas/ResumoEmpresaPrincipal.aspx?codigoCvm=9415&amp;idioma=pt-br" TargetMode="External"/><Relationship Id="rId454" Type="http://schemas.openxmlformats.org/officeDocument/2006/relationships/hyperlink" Target="http://www.bmfbovespa.com.br/cias-listadas/empresas-listadas/ResumoEmpresaPrincipal.aspx?codigoCvm=5410&amp;idioma=pt-br" TargetMode="External"/><Relationship Id="rId11" Type="http://schemas.openxmlformats.org/officeDocument/2006/relationships/hyperlink" Target="http://www.bmfbovespa.com.br/Cias-Listadas/Empresas-Listadas/ResumoEmpresaPrincipal.aspx?codigoCvm=1384&amp;idioma=pt-br" TargetMode="External"/><Relationship Id="rId53" Type="http://schemas.openxmlformats.org/officeDocument/2006/relationships/hyperlink" Target="http://www.bmfbovespa.com.br/cias-listadas/empresas-listadas/ResumoEmpresaPrincipal.aspx?codigoCvm=94&amp;idioma=pt-br" TargetMode="External"/><Relationship Id="rId149" Type="http://schemas.openxmlformats.org/officeDocument/2006/relationships/hyperlink" Target="http://www.bmfbovespa.com.br/cias-listadas/empresas-listadas/ResumoEmpresaPrincipal.aspx?codigoCvm=20885&amp;idioma=pt-br" TargetMode="External"/><Relationship Id="rId314" Type="http://schemas.openxmlformats.org/officeDocument/2006/relationships/hyperlink" Target="http://www.bmfbovespa.com.br/cias-listadas/empresas-listadas/ResumoEmpresaPrincipal.aspx?codigoCvm=6629&amp;idioma=pt-br" TargetMode="External"/><Relationship Id="rId356" Type="http://schemas.openxmlformats.org/officeDocument/2006/relationships/hyperlink" Target="http://www.bmfbovespa.com.br/cias-listadas/empresas-listadas/ResumoEmpresaPrincipal.aspx?codigoCvm=4669&amp;idioma=pt-br" TargetMode="External"/><Relationship Id="rId398" Type="http://schemas.openxmlformats.org/officeDocument/2006/relationships/hyperlink" Target="http://www.bmfbovespa.com.br/cias-listadas/empresas-listadas/ResumoEmpresaPrincipal.aspx?codigoCvm=11207&amp;idioma=pt-br" TargetMode="External"/><Relationship Id="rId95" Type="http://schemas.openxmlformats.org/officeDocument/2006/relationships/hyperlink" Target="http://www.bmfbovespa.com.br/cias-listadas/empresas-listadas/ResumoEmpresaPrincipal.aspx?codigoCvm=17671&amp;idioma=pt-br" TargetMode="External"/><Relationship Id="rId160" Type="http://schemas.openxmlformats.org/officeDocument/2006/relationships/hyperlink" Target="http://www.bmfbovespa.com.br/cias-listadas/empresas-listadas/ResumoEmpresaPrincipal.aspx?codigoCvm=19348&amp;idioma=pt-br" TargetMode="External"/><Relationship Id="rId216" Type="http://schemas.openxmlformats.org/officeDocument/2006/relationships/hyperlink" Target="http://www.bmfbovespa.com.br/cias-listadas/empresas-listadas/ResumoEmpresaPrincipal.aspx?codigoCvm=3654&amp;idioma=pt-br" TargetMode="External"/><Relationship Id="rId423" Type="http://schemas.openxmlformats.org/officeDocument/2006/relationships/hyperlink" Target="http://www.bmfbovespa.com.br/cias-listadas/empresas-listadas/ResumoEmpresaPrincipal.aspx?codigoCvm=15369&amp;idioma=pt-br" TargetMode="External"/><Relationship Id="rId258" Type="http://schemas.openxmlformats.org/officeDocument/2006/relationships/hyperlink" Target="http://www.bmfbovespa.com.br/cias-listadas/empresas-listadas/ResumoEmpresaPrincipal.aspx?codigoCvm=8087&amp;idioma=pt-br" TargetMode="External"/><Relationship Id="rId465" Type="http://schemas.openxmlformats.org/officeDocument/2006/relationships/hyperlink" Target="http://www.bmfbovespa.com.br/cias-listadas/empresas-listadas/ResumoEmpresaPrincipal.aspx?codigoCvm=8451&amp;idioma=pt-br" TargetMode="External"/><Relationship Id="rId22" Type="http://schemas.openxmlformats.org/officeDocument/2006/relationships/hyperlink" Target="http://www.bmfbovespa.com.br/Cias-Listadas/Empresas-Listadas/ResumoEmpresaPrincipal.aspx?codigoCvm=14311&amp;idioma=pt-BR" TargetMode="External"/><Relationship Id="rId64" Type="http://schemas.openxmlformats.org/officeDocument/2006/relationships/hyperlink" Target="http://www.bmfbovespa.com.br/cias-listadas/empresas-listadas/ResumoEmpresaPrincipal.aspx?codigoCvm=3298&amp;idioma=pt-br" TargetMode="External"/><Relationship Id="rId118" Type="http://schemas.openxmlformats.org/officeDocument/2006/relationships/hyperlink" Target="http://www.bmfbovespa.com.br/cias-listadas/empresas-listadas/ResumoEmpresaPrincipal.aspx?codigoCvm=14362&amp;idioma=pt-br" TargetMode="External"/><Relationship Id="rId325" Type="http://schemas.openxmlformats.org/officeDocument/2006/relationships/hyperlink" Target="http://www.bmfbovespa.com.br/cias-listadas/empresas-listadas/ResumoEmpresaPrincipal.aspx?codigoCvm=4146&amp;idioma=pt-br" TargetMode="External"/><Relationship Id="rId367" Type="http://schemas.openxmlformats.org/officeDocument/2006/relationships/hyperlink" Target="http://www.bmfbovespa.com.br/cias-listadas/empresas-listadas/ResumoEmpresaPrincipal.aspx?codigoCvm=20630&amp;idioma=pt-br" TargetMode="External"/><Relationship Id="rId171" Type="http://schemas.openxmlformats.org/officeDocument/2006/relationships/hyperlink" Target="http://www.bmfbovespa.com.br/cias-listadas/empresas-listadas/ResumoEmpresaPrincipal.aspx?codigoCvm=20656&amp;idioma=pt-br" TargetMode="External"/><Relationship Id="rId227" Type="http://schemas.openxmlformats.org/officeDocument/2006/relationships/hyperlink" Target="http://www.bmfbovespa.com.br/cias-listadas/empresas-listadas/ResumoEmpresaPrincipal.aspx?codigoCvm=8605&amp;idioma=pt-br" TargetMode="External"/><Relationship Id="rId269" Type="http://schemas.openxmlformats.org/officeDocument/2006/relationships/hyperlink" Target="http://www.bmfbovespa.com.br/cias-listadas/empresas-listadas/ResumoEmpresaPrincipal.aspx?codigoCvm=22772&amp;idioma=pt-br" TargetMode="External"/><Relationship Id="rId434" Type="http://schemas.openxmlformats.org/officeDocument/2006/relationships/hyperlink" Target="http://www.bmfbovespa.com.br/cias-listadas/empresas-listadas/ResumoEmpresaPrincipal.aspx?codigoCvm=5380&amp;idioma=pt-br" TargetMode="External"/><Relationship Id="rId476" Type="http://schemas.openxmlformats.org/officeDocument/2006/relationships/hyperlink" Target="http://www.bmfbovespa.com.br/Cias-Listadas/Empresas-Listadas/ResumoEmpresaPrincipal.aspx?codigoCvm=18350&amp;idioma=pt-BR" TargetMode="External"/><Relationship Id="rId33" Type="http://schemas.openxmlformats.org/officeDocument/2006/relationships/hyperlink" Target="http://www.bmfbovespa.com.br/Cias-Listadas/Empresas-Listadas/ResumoEmpresaPrincipal.aspx?codigoCvm=14451&amp;idioma=pt-br" TargetMode="External"/><Relationship Id="rId129" Type="http://schemas.openxmlformats.org/officeDocument/2006/relationships/hyperlink" Target="http://www.bmfbovespa.com.br/cias-listadas/empresas-listadas/ResumoEmpresaPrincipal.aspx?codigoCvm=20257&amp;idioma=pt-br" TargetMode="External"/><Relationship Id="rId280" Type="http://schemas.openxmlformats.org/officeDocument/2006/relationships/hyperlink" Target="http://www.bmfbovespa.com.br/cias-listadas/empresas-listadas/ResumoEmpresaPrincipal.aspx?codigoCvm=22136&amp;idioma=pt-br" TargetMode="External"/><Relationship Id="rId336" Type="http://schemas.openxmlformats.org/officeDocument/2006/relationships/hyperlink" Target="http://www.bmfbovespa.com.br/cias-listadas/empresas-listadas/ResumoEmpresaPrincipal.aspx?codigoCvm=2100&amp;idioma=pt-br" TargetMode="External"/><Relationship Id="rId75" Type="http://schemas.openxmlformats.org/officeDocument/2006/relationships/hyperlink" Target="http://www.bmfbovespa.com.br/cias-listadas/empresas-listadas/ResumoEmpresaPrincipal.aspx?codigoCvm=23159&amp;idioma=pt-br" TargetMode="External"/><Relationship Id="rId140" Type="http://schemas.openxmlformats.org/officeDocument/2006/relationships/hyperlink" Target="http://www.bmfbovespa.com.br/cias-listadas/empresas-listadas/ResumoEmpresaPrincipal.aspx?codigoCvm=15423&amp;idioma=pt-br" TargetMode="External"/><Relationship Id="rId182" Type="http://schemas.openxmlformats.org/officeDocument/2006/relationships/hyperlink" Target="http://www.bmfbovespa.com.br/cias-listadas/empresas-listadas/ResumoEmpresaPrincipal.aspx?codigoCvm=4030&amp;idioma=pt-br" TargetMode="External"/><Relationship Id="rId378" Type="http://schemas.openxmlformats.org/officeDocument/2006/relationships/hyperlink" Target="http://www.bmfbovespa.com.br/cias-listadas/empresas-listadas/ResumoEmpresaPrincipal.aspx?codigoCvm=20451&amp;idioma=pt-br" TargetMode="External"/><Relationship Id="rId403" Type="http://schemas.openxmlformats.org/officeDocument/2006/relationships/hyperlink" Target="http://www.bmfbovespa.com.br/cias-listadas/empresas-listadas/ResumoEmpresaPrincipal.aspx?codigoCvm=19100&amp;idioma=pt-br" TargetMode="External"/><Relationship Id="rId6" Type="http://schemas.openxmlformats.org/officeDocument/2006/relationships/hyperlink" Target="http://www.bmfbovespa.com.br/Cias-Listadas/Empresas-Listadas/ResumoEmpresaPrincipal.aspx?codigoCvm=1210&amp;idioma=pt-BR" TargetMode="External"/><Relationship Id="rId238" Type="http://schemas.openxmlformats.org/officeDocument/2006/relationships/hyperlink" Target="http://www.bmfbovespa.com.br/cias-listadas/empresas-listadas/ResumoEmpresaPrincipal.aspx?codigoCvm=3182&amp;idioma=pt-br" TargetMode="External"/><Relationship Id="rId445" Type="http://schemas.openxmlformats.org/officeDocument/2006/relationships/hyperlink" Target="http://www.bmfbovespa.com.br/cias-listadas/empresas-listadas/ResumoEmpresaPrincipal.aspx?codigoCvm=5762&amp;idioma=pt-br" TargetMode="External"/><Relationship Id="rId487" Type="http://schemas.openxmlformats.org/officeDocument/2006/relationships/hyperlink" Target="http://www.bmfbovespa.com.br/Cias-Listadas/Empresas-Listadas/ResumoEmpresaPrincipal.aspx?codigoCvm=20150&amp;idioma=pt-BR" TargetMode="External"/><Relationship Id="rId291" Type="http://schemas.openxmlformats.org/officeDocument/2006/relationships/hyperlink" Target="http://www.bmfbovespa.com.br/cias-listadas/empresas-listadas/ResumoEmpresaPrincipal.aspx?codigoCvm=9415&amp;idioma=pt-br" TargetMode="External"/><Relationship Id="rId305" Type="http://schemas.openxmlformats.org/officeDocument/2006/relationships/hyperlink" Target="http://www.bmfbovespa.com.br/cias-listadas/empresas-listadas/ResumoEmpresaPrincipal.aspx?codigoCvm=3077&amp;idioma=pt-br" TargetMode="External"/><Relationship Id="rId347" Type="http://schemas.openxmlformats.org/officeDocument/2006/relationships/hyperlink" Target="http://www.bmfbovespa.com.br/cias-listadas/empresas-listadas/ResumoEmpresaPrincipal.aspx?codigoCvm=10472&amp;idioma=pt-br" TargetMode="External"/><Relationship Id="rId44" Type="http://schemas.openxmlformats.org/officeDocument/2006/relationships/hyperlink" Target="http://www.bmfbovespa.com.br/cias-listadas/empresas-listadas/ResumoEmpresaPrincipal.aspx?codigoCvm=22217&amp;idioma=pt-br" TargetMode="External"/><Relationship Id="rId86" Type="http://schemas.openxmlformats.org/officeDocument/2006/relationships/hyperlink" Target="http://www.bmfbovespa.com.br/cias-listadas/empresas-listadas/ResumoEmpresaPrincipal.aspx?codigoCvm=11231&amp;idioma=pt-br" TargetMode="External"/><Relationship Id="rId151" Type="http://schemas.openxmlformats.org/officeDocument/2006/relationships/hyperlink" Target="http://www.bmfbovespa.com.br/cias-listadas/empresas-listadas/ResumoEmpresaPrincipal.aspx?codigoCvm=1325&amp;idioma=pt-br" TargetMode="External"/><Relationship Id="rId389" Type="http://schemas.openxmlformats.org/officeDocument/2006/relationships/hyperlink" Target="http://www.bmfbovespa.com.br/cias-listadas/empresas-listadas/ResumoEmpresaPrincipal.aspx?codigoCvm=13030&amp;idioma=pt-br" TargetMode="External"/><Relationship Id="rId193" Type="http://schemas.openxmlformats.org/officeDocument/2006/relationships/hyperlink" Target="http://www.bmfbovespa.com.br/cias-listadas/empresas-listadas/ResumoEmpresaPrincipal.aspx?codigoCvm=8397&amp;idioma=pt-br" TargetMode="External"/><Relationship Id="rId207" Type="http://schemas.openxmlformats.org/officeDocument/2006/relationships/hyperlink" Target="http://www.bmfbovespa.com.br/cias-listadas/empresas-listadas/ResumoEmpresaPrincipal.aspx?codigoCvm=20184&amp;idioma=pt-br" TargetMode="External"/><Relationship Id="rId249" Type="http://schemas.openxmlformats.org/officeDocument/2006/relationships/hyperlink" Target="http://www.bmfbovespa.com.br/cias-listadas/empresas-listadas/ResumoEmpresaPrincipal.aspx?codigoCvm=20125&amp;idioma=pt-br" TargetMode="External"/><Relationship Id="rId414" Type="http://schemas.openxmlformats.org/officeDocument/2006/relationships/hyperlink" Target="http://www.bmfbovespa.com.br/cias-listadas/empresas-listadas/ResumoEmpresaPrincipal.aspx?codigoCvm=3174&amp;idioma=pt-br" TargetMode="External"/><Relationship Id="rId456" Type="http://schemas.openxmlformats.org/officeDocument/2006/relationships/hyperlink" Target="http://www.bmfbovespa.com.br/cias-listadas/empresas-listadas/ResumoEmpresaPrincipal.aspx?codigoCvm=4448&amp;idioma=pt-br" TargetMode="External"/><Relationship Id="rId13" Type="http://schemas.openxmlformats.org/officeDocument/2006/relationships/hyperlink" Target="http://www.bmfbovespa.com.br/Cias-Listadas/Empresas-Listadas/ResumoEmpresaPrincipal.aspx?codigoCvm=14206&amp;idioma=pt-BR" TargetMode="External"/><Relationship Id="rId109" Type="http://schemas.openxmlformats.org/officeDocument/2006/relationships/hyperlink" Target="http://www.bmfbovespa.com.br/Cias-Listadas/Empresas-Listadas/ResumoEmpresaPrincipal.aspx?codigoCvm=15253&amp;idioma=pt-br" TargetMode="External"/><Relationship Id="rId260" Type="http://schemas.openxmlformats.org/officeDocument/2006/relationships/hyperlink" Target="http://www.bmfbovespa.com.br/cias-listadas/empresas-listadas/ResumoEmpresaPrincipal.aspx?codigoCvm=21431&amp;idioma=pt-br" TargetMode="External"/><Relationship Id="rId316" Type="http://schemas.openxmlformats.org/officeDocument/2006/relationships/hyperlink" Target="http://www.bmfbovespa.com.br/cias-listadas/empresas-listadas/ResumoEmpresaPrincipal.aspx?codigoCvm=3158&amp;idioma=pt-br" TargetMode="External"/><Relationship Id="rId55" Type="http://schemas.openxmlformats.org/officeDocument/2006/relationships/hyperlink" Target="http://www.bmfbovespa.com.br/cias-listadas/empresas-listadas/ResumoEmpresaPrincipal.aspx?codigoCvm=5770&amp;idioma=pt-br" TargetMode="External"/><Relationship Id="rId97" Type="http://schemas.openxmlformats.org/officeDocument/2006/relationships/hyperlink" Target="http://www.bmfbovespa.com.br/cias-listadas/empresas-listadas/ResumoEmpresaPrincipal.aspx?codigoCvm=11592&amp;idioma=pt-br" TargetMode="External"/><Relationship Id="rId120" Type="http://schemas.openxmlformats.org/officeDocument/2006/relationships/hyperlink" Target="http://www.bmfbovespa.com.br/cias-listadas/empresas-listadas/ResumoEmpresaPrincipal.aspx?codigoCvm=16608&amp;idioma=pt-br" TargetMode="External"/><Relationship Id="rId358" Type="http://schemas.openxmlformats.org/officeDocument/2006/relationships/hyperlink" Target="http://www.bmfbovespa.com.br/cias-listadas/empresas-listadas/ResumoEmpresaPrincipal.aspx?codigoCvm=8117&amp;idioma=pt-br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2.xml"/><Relationship Id="rId21" Type="http://schemas.openxmlformats.org/officeDocument/2006/relationships/queryTable" Target="../queryTables/queryTable16.xml"/><Relationship Id="rId42" Type="http://schemas.openxmlformats.org/officeDocument/2006/relationships/queryTable" Target="../queryTables/queryTable37.xml"/><Relationship Id="rId63" Type="http://schemas.openxmlformats.org/officeDocument/2006/relationships/queryTable" Target="../queryTables/queryTable58.xml"/><Relationship Id="rId84" Type="http://schemas.openxmlformats.org/officeDocument/2006/relationships/queryTable" Target="../queryTables/queryTable79.xml"/><Relationship Id="rId138" Type="http://schemas.openxmlformats.org/officeDocument/2006/relationships/queryTable" Target="../queryTables/queryTable133.xml"/><Relationship Id="rId159" Type="http://schemas.openxmlformats.org/officeDocument/2006/relationships/queryTable" Target="../queryTables/queryTable154.xml"/><Relationship Id="rId170" Type="http://schemas.openxmlformats.org/officeDocument/2006/relationships/queryTable" Target="../queryTables/queryTable165.xml"/><Relationship Id="rId191" Type="http://schemas.openxmlformats.org/officeDocument/2006/relationships/queryTable" Target="../queryTables/queryTable186.xml"/><Relationship Id="rId205" Type="http://schemas.openxmlformats.org/officeDocument/2006/relationships/queryTable" Target="../queryTables/queryTable200.xml"/><Relationship Id="rId226" Type="http://schemas.openxmlformats.org/officeDocument/2006/relationships/queryTable" Target="../queryTables/queryTable221.xml"/><Relationship Id="rId247" Type="http://schemas.openxmlformats.org/officeDocument/2006/relationships/queryTable" Target="../queryTables/queryTable242.xml"/><Relationship Id="rId107" Type="http://schemas.openxmlformats.org/officeDocument/2006/relationships/queryTable" Target="../queryTables/queryTable102.xml"/><Relationship Id="rId11" Type="http://schemas.openxmlformats.org/officeDocument/2006/relationships/queryTable" Target="../queryTables/queryTable6.xml"/><Relationship Id="rId32" Type="http://schemas.openxmlformats.org/officeDocument/2006/relationships/queryTable" Target="../queryTables/queryTable27.xml"/><Relationship Id="rId53" Type="http://schemas.openxmlformats.org/officeDocument/2006/relationships/queryTable" Target="../queryTables/queryTable48.xml"/><Relationship Id="rId74" Type="http://schemas.openxmlformats.org/officeDocument/2006/relationships/queryTable" Target="../queryTables/queryTable69.xml"/><Relationship Id="rId128" Type="http://schemas.openxmlformats.org/officeDocument/2006/relationships/queryTable" Target="../queryTables/queryTable123.xml"/><Relationship Id="rId149" Type="http://schemas.openxmlformats.org/officeDocument/2006/relationships/queryTable" Target="../queryTables/queryTable144.xml"/><Relationship Id="rId5" Type="http://schemas.openxmlformats.org/officeDocument/2006/relationships/table" Target="../tables/table2.xml"/><Relationship Id="rId95" Type="http://schemas.openxmlformats.org/officeDocument/2006/relationships/queryTable" Target="../queryTables/queryTable90.xml"/><Relationship Id="rId160" Type="http://schemas.openxmlformats.org/officeDocument/2006/relationships/queryTable" Target="../queryTables/queryTable155.xml"/><Relationship Id="rId181" Type="http://schemas.openxmlformats.org/officeDocument/2006/relationships/queryTable" Target="../queryTables/queryTable176.xml"/><Relationship Id="rId216" Type="http://schemas.openxmlformats.org/officeDocument/2006/relationships/queryTable" Target="../queryTables/queryTable211.xml"/><Relationship Id="rId237" Type="http://schemas.openxmlformats.org/officeDocument/2006/relationships/queryTable" Target="../queryTables/queryTable232.xml"/><Relationship Id="rId22" Type="http://schemas.openxmlformats.org/officeDocument/2006/relationships/queryTable" Target="../queryTables/queryTable17.xml"/><Relationship Id="rId43" Type="http://schemas.openxmlformats.org/officeDocument/2006/relationships/queryTable" Target="../queryTables/queryTable38.xml"/><Relationship Id="rId64" Type="http://schemas.openxmlformats.org/officeDocument/2006/relationships/queryTable" Target="../queryTables/queryTable59.xml"/><Relationship Id="rId118" Type="http://schemas.openxmlformats.org/officeDocument/2006/relationships/queryTable" Target="../queryTables/queryTable113.xml"/><Relationship Id="rId139" Type="http://schemas.openxmlformats.org/officeDocument/2006/relationships/queryTable" Target="../queryTables/queryTable134.xml"/><Relationship Id="rId85" Type="http://schemas.openxmlformats.org/officeDocument/2006/relationships/queryTable" Target="../queryTables/queryTable80.xml"/><Relationship Id="rId150" Type="http://schemas.openxmlformats.org/officeDocument/2006/relationships/queryTable" Target="../queryTables/queryTable145.xml"/><Relationship Id="rId171" Type="http://schemas.openxmlformats.org/officeDocument/2006/relationships/queryTable" Target="../queryTables/queryTable166.xml"/><Relationship Id="rId192" Type="http://schemas.openxmlformats.org/officeDocument/2006/relationships/queryTable" Target="../queryTables/queryTable187.xml"/><Relationship Id="rId206" Type="http://schemas.openxmlformats.org/officeDocument/2006/relationships/queryTable" Target="../queryTables/queryTable201.xml"/><Relationship Id="rId227" Type="http://schemas.openxmlformats.org/officeDocument/2006/relationships/queryTable" Target="../queryTables/queryTable222.xml"/><Relationship Id="rId248" Type="http://schemas.openxmlformats.org/officeDocument/2006/relationships/queryTable" Target="../queryTables/queryTable243.xml"/><Relationship Id="rId12" Type="http://schemas.openxmlformats.org/officeDocument/2006/relationships/queryTable" Target="../queryTables/queryTable7.xml"/><Relationship Id="rId17" Type="http://schemas.openxmlformats.org/officeDocument/2006/relationships/queryTable" Target="../queryTables/queryTable12.xml"/><Relationship Id="rId33" Type="http://schemas.openxmlformats.org/officeDocument/2006/relationships/queryTable" Target="../queryTables/queryTable28.xml"/><Relationship Id="rId38" Type="http://schemas.openxmlformats.org/officeDocument/2006/relationships/queryTable" Target="../queryTables/queryTable33.xml"/><Relationship Id="rId59" Type="http://schemas.openxmlformats.org/officeDocument/2006/relationships/queryTable" Target="../queryTables/queryTable54.xml"/><Relationship Id="rId103" Type="http://schemas.openxmlformats.org/officeDocument/2006/relationships/queryTable" Target="../queryTables/queryTable98.xml"/><Relationship Id="rId108" Type="http://schemas.openxmlformats.org/officeDocument/2006/relationships/queryTable" Target="../queryTables/queryTable103.xml"/><Relationship Id="rId124" Type="http://schemas.openxmlformats.org/officeDocument/2006/relationships/queryTable" Target="../queryTables/queryTable119.xml"/><Relationship Id="rId129" Type="http://schemas.openxmlformats.org/officeDocument/2006/relationships/queryTable" Target="../queryTables/queryTable124.xml"/><Relationship Id="rId54" Type="http://schemas.openxmlformats.org/officeDocument/2006/relationships/queryTable" Target="../queryTables/queryTable49.xml"/><Relationship Id="rId70" Type="http://schemas.openxmlformats.org/officeDocument/2006/relationships/queryTable" Target="../queryTables/queryTable65.xml"/><Relationship Id="rId75" Type="http://schemas.openxmlformats.org/officeDocument/2006/relationships/queryTable" Target="../queryTables/queryTable70.xml"/><Relationship Id="rId91" Type="http://schemas.openxmlformats.org/officeDocument/2006/relationships/queryTable" Target="../queryTables/queryTable86.xml"/><Relationship Id="rId96" Type="http://schemas.openxmlformats.org/officeDocument/2006/relationships/queryTable" Target="../queryTables/queryTable91.xml"/><Relationship Id="rId140" Type="http://schemas.openxmlformats.org/officeDocument/2006/relationships/queryTable" Target="../queryTables/queryTable135.xml"/><Relationship Id="rId145" Type="http://schemas.openxmlformats.org/officeDocument/2006/relationships/queryTable" Target="../queryTables/queryTable140.xml"/><Relationship Id="rId161" Type="http://schemas.openxmlformats.org/officeDocument/2006/relationships/queryTable" Target="../queryTables/queryTable156.xml"/><Relationship Id="rId166" Type="http://schemas.openxmlformats.org/officeDocument/2006/relationships/queryTable" Target="../queryTables/queryTable161.xml"/><Relationship Id="rId182" Type="http://schemas.openxmlformats.org/officeDocument/2006/relationships/queryTable" Target="../queryTables/queryTable177.xml"/><Relationship Id="rId187" Type="http://schemas.openxmlformats.org/officeDocument/2006/relationships/queryTable" Target="../queryTables/queryTable182.xml"/><Relationship Id="rId217" Type="http://schemas.openxmlformats.org/officeDocument/2006/relationships/queryTable" Target="../queryTables/queryTable21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.xml"/><Relationship Id="rId212" Type="http://schemas.openxmlformats.org/officeDocument/2006/relationships/queryTable" Target="../queryTables/queryTable207.xml"/><Relationship Id="rId233" Type="http://schemas.openxmlformats.org/officeDocument/2006/relationships/queryTable" Target="../queryTables/queryTable228.xml"/><Relationship Id="rId238" Type="http://schemas.openxmlformats.org/officeDocument/2006/relationships/queryTable" Target="../queryTables/queryTable233.xml"/><Relationship Id="rId23" Type="http://schemas.openxmlformats.org/officeDocument/2006/relationships/queryTable" Target="../queryTables/queryTable18.xml"/><Relationship Id="rId28" Type="http://schemas.openxmlformats.org/officeDocument/2006/relationships/queryTable" Target="../queryTables/queryTable23.xml"/><Relationship Id="rId49" Type="http://schemas.openxmlformats.org/officeDocument/2006/relationships/queryTable" Target="../queryTables/queryTable44.xml"/><Relationship Id="rId114" Type="http://schemas.openxmlformats.org/officeDocument/2006/relationships/queryTable" Target="../queryTables/queryTable109.xml"/><Relationship Id="rId119" Type="http://schemas.openxmlformats.org/officeDocument/2006/relationships/queryTable" Target="../queryTables/queryTable114.xml"/><Relationship Id="rId44" Type="http://schemas.openxmlformats.org/officeDocument/2006/relationships/queryTable" Target="../queryTables/queryTable39.xml"/><Relationship Id="rId60" Type="http://schemas.openxmlformats.org/officeDocument/2006/relationships/queryTable" Target="../queryTables/queryTable55.xml"/><Relationship Id="rId65" Type="http://schemas.openxmlformats.org/officeDocument/2006/relationships/queryTable" Target="../queryTables/queryTable60.xml"/><Relationship Id="rId81" Type="http://schemas.openxmlformats.org/officeDocument/2006/relationships/queryTable" Target="../queryTables/queryTable76.xml"/><Relationship Id="rId86" Type="http://schemas.openxmlformats.org/officeDocument/2006/relationships/queryTable" Target="../queryTables/queryTable81.xml"/><Relationship Id="rId130" Type="http://schemas.openxmlformats.org/officeDocument/2006/relationships/queryTable" Target="../queryTables/queryTable125.xml"/><Relationship Id="rId135" Type="http://schemas.openxmlformats.org/officeDocument/2006/relationships/queryTable" Target="../queryTables/queryTable130.xml"/><Relationship Id="rId151" Type="http://schemas.openxmlformats.org/officeDocument/2006/relationships/queryTable" Target="../queryTables/queryTable146.xml"/><Relationship Id="rId156" Type="http://schemas.openxmlformats.org/officeDocument/2006/relationships/queryTable" Target="../queryTables/queryTable151.xml"/><Relationship Id="rId177" Type="http://schemas.openxmlformats.org/officeDocument/2006/relationships/queryTable" Target="../queryTables/queryTable172.xml"/><Relationship Id="rId198" Type="http://schemas.openxmlformats.org/officeDocument/2006/relationships/queryTable" Target="../queryTables/queryTable193.xml"/><Relationship Id="rId172" Type="http://schemas.openxmlformats.org/officeDocument/2006/relationships/queryTable" Target="../queryTables/queryTable167.xml"/><Relationship Id="rId193" Type="http://schemas.openxmlformats.org/officeDocument/2006/relationships/queryTable" Target="../queryTables/queryTable188.xml"/><Relationship Id="rId202" Type="http://schemas.openxmlformats.org/officeDocument/2006/relationships/queryTable" Target="../queryTables/queryTable197.xml"/><Relationship Id="rId207" Type="http://schemas.openxmlformats.org/officeDocument/2006/relationships/queryTable" Target="../queryTables/queryTable202.xml"/><Relationship Id="rId223" Type="http://schemas.openxmlformats.org/officeDocument/2006/relationships/queryTable" Target="../queryTables/queryTable218.xml"/><Relationship Id="rId228" Type="http://schemas.openxmlformats.org/officeDocument/2006/relationships/queryTable" Target="../queryTables/queryTable223.xml"/><Relationship Id="rId244" Type="http://schemas.openxmlformats.org/officeDocument/2006/relationships/queryTable" Target="../queryTables/queryTable239.xml"/><Relationship Id="rId249" Type="http://schemas.openxmlformats.org/officeDocument/2006/relationships/queryTable" Target="../queryTables/queryTable244.xml"/><Relationship Id="rId13" Type="http://schemas.openxmlformats.org/officeDocument/2006/relationships/queryTable" Target="../queryTables/queryTable8.xml"/><Relationship Id="rId18" Type="http://schemas.openxmlformats.org/officeDocument/2006/relationships/queryTable" Target="../queryTables/queryTable13.xml"/><Relationship Id="rId39" Type="http://schemas.openxmlformats.org/officeDocument/2006/relationships/queryTable" Target="../queryTables/queryTable34.xml"/><Relationship Id="rId109" Type="http://schemas.openxmlformats.org/officeDocument/2006/relationships/queryTable" Target="../queryTables/queryTable104.xml"/><Relationship Id="rId34" Type="http://schemas.openxmlformats.org/officeDocument/2006/relationships/queryTable" Target="../queryTables/queryTable29.xml"/><Relationship Id="rId50" Type="http://schemas.openxmlformats.org/officeDocument/2006/relationships/queryTable" Target="../queryTables/queryTable45.xml"/><Relationship Id="rId55" Type="http://schemas.openxmlformats.org/officeDocument/2006/relationships/queryTable" Target="../queryTables/queryTable50.xml"/><Relationship Id="rId76" Type="http://schemas.openxmlformats.org/officeDocument/2006/relationships/queryTable" Target="../queryTables/queryTable71.xml"/><Relationship Id="rId97" Type="http://schemas.openxmlformats.org/officeDocument/2006/relationships/queryTable" Target="../queryTables/queryTable92.xml"/><Relationship Id="rId104" Type="http://schemas.openxmlformats.org/officeDocument/2006/relationships/queryTable" Target="../queryTables/queryTable99.xml"/><Relationship Id="rId120" Type="http://schemas.openxmlformats.org/officeDocument/2006/relationships/queryTable" Target="../queryTables/queryTable115.xml"/><Relationship Id="rId125" Type="http://schemas.openxmlformats.org/officeDocument/2006/relationships/queryTable" Target="../queryTables/queryTable120.xml"/><Relationship Id="rId141" Type="http://schemas.openxmlformats.org/officeDocument/2006/relationships/queryTable" Target="../queryTables/queryTable136.xml"/><Relationship Id="rId146" Type="http://schemas.openxmlformats.org/officeDocument/2006/relationships/queryTable" Target="../queryTables/queryTable141.xml"/><Relationship Id="rId167" Type="http://schemas.openxmlformats.org/officeDocument/2006/relationships/queryTable" Target="../queryTables/queryTable162.xml"/><Relationship Id="rId188" Type="http://schemas.openxmlformats.org/officeDocument/2006/relationships/queryTable" Target="../queryTables/queryTable183.xml"/><Relationship Id="rId7" Type="http://schemas.openxmlformats.org/officeDocument/2006/relationships/queryTable" Target="../queryTables/queryTable2.xml"/><Relationship Id="rId71" Type="http://schemas.openxmlformats.org/officeDocument/2006/relationships/queryTable" Target="../queryTables/queryTable66.xml"/><Relationship Id="rId92" Type="http://schemas.openxmlformats.org/officeDocument/2006/relationships/queryTable" Target="../queryTables/queryTable87.xml"/><Relationship Id="rId162" Type="http://schemas.openxmlformats.org/officeDocument/2006/relationships/queryTable" Target="../queryTables/queryTable157.xml"/><Relationship Id="rId183" Type="http://schemas.openxmlformats.org/officeDocument/2006/relationships/queryTable" Target="../queryTables/queryTable178.xml"/><Relationship Id="rId213" Type="http://schemas.openxmlformats.org/officeDocument/2006/relationships/queryTable" Target="../queryTables/queryTable208.xml"/><Relationship Id="rId218" Type="http://schemas.openxmlformats.org/officeDocument/2006/relationships/queryTable" Target="../queryTables/queryTable213.xml"/><Relationship Id="rId234" Type="http://schemas.openxmlformats.org/officeDocument/2006/relationships/queryTable" Target="../queryTables/queryTable229.xml"/><Relationship Id="rId239" Type="http://schemas.openxmlformats.org/officeDocument/2006/relationships/queryTable" Target="../queryTables/queryTable234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24.xml"/><Relationship Id="rId24" Type="http://schemas.openxmlformats.org/officeDocument/2006/relationships/queryTable" Target="../queryTables/queryTable19.xml"/><Relationship Id="rId40" Type="http://schemas.openxmlformats.org/officeDocument/2006/relationships/queryTable" Target="../queryTables/queryTable35.xml"/><Relationship Id="rId45" Type="http://schemas.openxmlformats.org/officeDocument/2006/relationships/queryTable" Target="../queryTables/queryTable40.xml"/><Relationship Id="rId66" Type="http://schemas.openxmlformats.org/officeDocument/2006/relationships/queryTable" Target="../queryTables/queryTable61.xml"/><Relationship Id="rId87" Type="http://schemas.openxmlformats.org/officeDocument/2006/relationships/queryTable" Target="../queryTables/queryTable82.xml"/><Relationship Id="rId110" Type="http://schemas.openxmlformats.org/officeDocument/2006/relationships/queryTable" Target="../queryTables/queryTable105.xml"/><Relationship Id="rId115" Type="http://schemas.openxmlformats.org/officeDocument/2006/relationships/queryTable" Target="../queryTables/queryTable110.xml"/><Relationship Id="rId131" Type="http://schemas.openxmlformats.org/officeDocument/2006/relationships/queryTable" Target="../queryTables/queryTable126.xml"/><Relationship Id="rId136" Type="http://schemas.openxmlformats.org/officeDocument/2006/relationships/queryTable" Target="../queryTables/queryTable131.xml"/><Relationship Id="rId157" Type="http://schemas.openxmlformats.org/officeDocument/2006/relationships/queryTable" Target="../queryTables/queryTable152.xml"/><Relationship Id="rId178" Type="http://schemas.openxmlformats.org/officeDocument/2006/relationships/queryTable" Target="../queryTables/queryTable173.xml"/><Relationship Id="rId61" Type="http://schemas.openxmlformats.org/officeDocument/2006/relationships/queryTable" Target="../queryTables/queryTable56.xml"/><Relationship Id="rId82" Type="http://schemas.openxmlformats.org/officeDocument/2006/relationships/queryTable" Target="../queryTables/queryTable77.xml"/><Relationship Id="rId152" Type="http://schemas.openxmlformats.org/officeDocument/2006/relationships/queryTable" Target="../queryTables/queryTable147.xml"/><Relationship Id="rId173" Type="http://schemas.openxmlformats.org/officeDocument/2006/relationships/queryTable" Target="../queryTables/queryTable168.xml"/><Relationship Id="rId194" Type="http://schemas.openxmlformats.org/officeDocument/2006/relationships/queryTable" Target="../queryTables/queryTable189.xml"/><Relationship Id="rId199" Type="http://schemas.openxmlformats.org/officeDocument/2006/relationships/queryTable" Target="../queryTables/queryTable194.xml"/><Relationship Id="rId203" Type="http://schemas.openxmlformats.org/officeDocument/2006/relationships/queryTable" Target="../queryTables/queryTable198.xml"/><Relationship Id="rId208" Type="http://schemas.openxmlformats.org/officeDocument/2006/relationships/queryTable" Target="../queryTables/queryTable203.xml"/><Relationship Id="rId229" Type="http://schemas.openxmlformats.org/officeDocument/2006/relationships/queryTable" Target="../queryTables/queryTable224.xml"/><Relationship Id="rId19" Type="http://schemas.openxmlformats.org/officeDocument/2006/relationships/queryTable" Target="../queryTables/queryTable14.xml"/><Relationship Id="rId224" Type="http://schemas.openxmlformats.org/officeDocument/2006/relationships/queryTable" Target="../queryTables/queryTable219.xml"/><Relationship Id="rId240" Type="http://schemas.openxmlformats.org/officeDocument/2006/relationships/queryTable" Target="../queryTables/queryTable235.xml"/><Relationship Id="rId245" Type="http://schemas.openxmlformats.org/officeDocument/2006/relationships/queryTable" Target="../queryTables/queryTable240.xml"/><Relationship Id="rId14" Type="http://schemas.openxmlformats.org/officeDocument/2006/relationships/queryTable" Target="../queryTables/queryTable9.xml"/><Relationship Id="rId30" Type="http://schemas.openxmlformats.org/officeDocument/2006/relationships/queryTable" Target="../queryTables/queryTable25.xml"/><Relationship Id="rId35" Type="http://schemas.openxmlformats.org/officeDocument/2006/relationships/queryTable" Target="../queryTables/queryTable30.xml"/><Relationship Id="rId56" Type="http://schemas.openxmlformats.org/officeDocument/2006/relationships/queryTable" Target="../queryTables/queryTable51.xml"/><Relationship Id="rId77" Type="http://schemas.openxmlformats.org/officeDocument/2006/relationships/queryTable" Target="../queryTables/queryTable72.xml"/><Relationship Id="rId100" Type="http://schemas.openxmlformats.org/officeDocument/2006/relationships/queryTable" Target="../queryTables/queryTable95.xml"/><Relationship Id="rId105" Type="http://schemas.openxmlformats.org/officeDocument/2006/relationships/queryTable" Target="../queryTables/queryTable100.xml"/><Relationship Id="rId126" Type="http://schemas.openxmlformats.org/officeDocument/2006/relationships/queryTable" Target="../queryTables/queryTable121.xml"/><Relationship Id="rId147" Type="http://schemas.openxmlformats.org/officeDocument/2006/relationships/queryTable" Target="../queryTables/queryTable142.xml"/><Relationship Id="rId168" Type="http://schemas.openxmlformats.org/officeDocument/2006/relationships/queryTable" Target="../queryTables/queryTable163.xml"/><Relationship Id="rId8" Type="http://schemas.openxmlformats.org/officeDocument/2006/relationships/queryTable" Target="../queryTables/queryTable3.xml"/><Relationship Id="rId51" Type="http://schemas.openxmlformats.org/officeDocument/2006/relationships/queryTable" Target="../queryTables/queryTable46.xml"/><Relationship Id="rId72" Type="http://schemas.openxmlformats.org/officeDocument/2006/relationships/queryTable" Target="../queryTables/queryTable67.xml"/><Relationship Id="rId93" Type="http://schemas.openxmlformats.org/officeDocument/2006/relationships/queryTable" Target="../queryTables/queryTable88.xml"/><Relationship Id="rId98" Type="http://schemas.openxmlformats.org/officeDocument/2006/relationships/queryTable" Target="../queryTables/queryTable93.xml"/><Relationship Id="rId121" Type="http://schemas.openxmlformats.org/officeDocument/2006/relationships/queryTable" Target="../queryTables/queryTable116.xml"/><Relationship Id="rId142" Type="http://schemas.openxmlformats.org/officeDocument/2006/relationships/queryTable" Target="../queryTables/queryTable137.xml"/><Relationship Id="rId163" Type="http://schemas.openxmlformats.org/officeDocument/2006/relationships/queryTable" Target="../queryTables/queryTable158.xml"/><Relationship Id="rId184" Type="http://schemas.openxmlformats.org/officeDocument/2006/relationships/queryTable" Target="../queryTables/queryTable179.xml"/><Relationship Id="rId189" Type="http://schemas.openxmlformats.org/officeDocument/2006/relationships/queryTable" Target="../queryTables/queryTable184.xml"/><Relationship Id="rId219" Type="http://schemas.openxmlformats.org/officeDocument/2006/relationships/queryTable" Target="../queryTables/queryTable214.xml"/><Relationship Id="rId3" Type="http://schemas.openxmlformats.org/officeDocument/2006/relationships/vmlDrawing" Target="../drawings/vmlDrawing1.vml"/><Relationship Id="rId214" Type="http://schemas.openxmlformats.org/officeDocument/2006/relationships/queryTable" Target="../queryTables/queryTable209.xml"/><Relationship Id="rId230" Type="http://schemas.openxmlformats.org/officeDocument/2006/relationships/queryTable" Target="../queryTables/queryTable225.xml"/><Relationship Id="rId235" Type="http://schemas.openxmlformats.org/officeDocument/2006/relationships/queryTable" Target="../queryTables/queryTable230.xml"/><Relationship Id="rId25" Type="http://schemas.openxmlformats.org/officeDocument/2006/relationships/queryTable" Target="../queryTables/queryTable20.xml"/><Relationship Id="rId46" Type="http://schemas.openxmlformats.org/officeDocument/2006/relationships/queryTable" Target="../queryTables/queryTable41.xml"/><Relationship Id="rId67" Type="http://schemas.openxmlformats.org/officeDocument/2006/relationships/queryTable" Target="../queryTables/queryTable62.xml"/><Relationship Id="rId116" Type="http://schemas.openxmlformats.org/officeDocument/2006/relationships/queryTable" Target="../queryTables/queryTable111.xml"/><Relationship Id="rId137" Type="http://schemas.openxmlformats.org/officeDocument/2006/relationships/queryTable" Target="../queryTables/queryTable132.xml"/><Relationship Id="rId158" Type="http://schemas.openxmlformats.org/officeDocument/2006/relationships/queryTable" Target="../queryTables/queryTable153.xml"/><Relationship Id="rId20" Type="http://schemas.openxmlformats.org/officeDocument/2006/relationships/queryTable" Target="../queryTables/queryTable15.xml"/><Relationship Id="rId41" Type="http://schemas.openxmlformats.org/officeDocument/2006/relationships/queryTable" Target="../queryTables/queryTable36.xml"/><Relationship Id="rId62" Type="http://schemas.openxmlformats.org/officeDocument/2006/relationships/queryTable" Target="../queryTables/queryTable57.xml"/><Relationship Id="rId83" Type="http://schemas.openxmlformats.org/officeDocument/2006/relationships/queryTable" Target="../queryTables/queryTable78.xml"/><Relationship Id="rId88" Type="http://schemas.openxmlformats.org/officeDocument/2006/relationships/queryTable" Target="../queryTables/queryTable83.xml"/><Relationship Id="rId111" Type="http://schemas.openxmlformats.org/officeDocument/2006/relationships/queryTable" Target="../queryTables/queryTable106.xml"/><Relationship Id="rId132" Type="http://schemas.openxmlformats.org/officeDocument/2006/relationships/queryTable" Target="../queryTables/queryTable127.xml"/><Relationship Id="rId153" Type="http://schemas.openxmlformats.org/officeDocument/2006/relationships/queryTable" Target="../queryTables/queryTable148.xml"/><Relationship Id="rId174" Type="http://schemas.openxmlformats.org/officeDocument/2006/relationships/queryTable" Target="../queryTables/queryTable169.xml"/><Relationship Id="rId179" Type="http://schemas.openxmlformats.org/officeDocument/2006/relationships/queryTable" Target="../queryTables/queryTable174.xml"/><Relationship Id="rId195" Type="http://schemas.openxmlformats.org/officeDocument/2006/relationships/queryTable" Target="../queryTables/queryTable190.xml"/><Relationship Id="rId209" Type="http://schemas.openxmlformats.org/officeDocument/2006/relationships/queryTable" Target="../queryTables/queryTable204.xml"/><Relationship Id="rId190" Type="http://schemas.openxmlformats.org/officeDocument/2006/relationships/queryTable" Target="../queryTables/queryTable185.xml"/><Relationship Id="rId204" Type="http://schemas.openxmlformats.org/officeDocument/2006/relationships/queryTable" Target="../queryTables/queryTable199.xml"/><Relationship Id="rId220" Type="http://schemas.openxmlformats.org/officeDocument/2006/relationships/queryTable" Target="../queryTables/queryTable215.xml"/><Relationship Id="rId225" Type="http://schemas.openxmlformats.org/officeDocument/2006/relationships/queryTable" Target="../queryTables/queryTable220.xml"/><Relationship Id="rId241" Type="http://schemas.openxmlformats.org/officeDocument/2006/relationships/queryTable" Target="../queryTables/queryTable236.xml"/><Relationship Id="rId246" Type="http://schemas.openxmlformats.org/officeDocument/2006/relationships/queryTable" Target="../queryTables/queryTable241.xml"/><Relationship Id="rId15" Type="http://schemas.openxmlformats.org/officeDocument/2006/relationships/queryTable" Target="../queryTables/queryTable10.xml"/><Relationship Id="rId36" Type="http://schemas.openxmlformats.org/officeDocument/2006/relationships/queryTable" Target="../queryTables/queryTable31.xml"/><Relationship Id="rId57" Type="http://schemas.openxmlformats.org/officeDocument/2006/relationships/queryTable" Target="../queryTables/queryTable52.xml"/><Relationship Id="rId106" Type="http://schemas.openxmlformats.org/officeDocument/2006/relationships/queryTable" Target="../queryTables/queryTable101.xml"/><Relationship Id="rId127" Type="http://schemas.openxmlformats.org/officeDocument/2006/relationships/queryTable" Target="../queryTables/queryTable122.xml"/><Relationship Id="rId10" Type="http://schemas.openxmlformats.org/officeDocument/2006/relationships/queryTable" Target="../queryTables/queryTable5.xml"/><Relationship Id="rId31" Type="http://schemas.openxmlformats.org/officeDocument/2006/relationships/queryTable" Target="../queryTables/queryTable26.xml"/><Relationship Id="rId52" Type="http://schemas.openxmlformats.org/officeDocument/2006/relationships/queryTable" Target="../queryTables/queryTable47.xml"/><Relationship Id="rId73" Type="http://schemas.openxmlformats.org/officeDocument/2006/relationships/queryTable" Target="../queryTables/queryTable68.xml"/><Relationship Id="rId78" Type="http://schemas.openxmlformats.org/officeDocument/2006/relationships/queryTable" Target="../queryTables/queryTable73.xml"/><Relationship Id="rId94" Type="http://schemas.openxmlformats.org/officeDocument/2006/relationships/queryTable" Target="../queryTables/queryTable89.xml"/><Relationship Id="rId99" Type="http://schemas.openxmlformats.org/officeDocument/2006/relationships/queryTable" Target="../queryTables/queryTable94.xml"/><Relationship Id="rId101" Type="http://schemas.openxmlformats.org/officeDocument/2006/relationships/queryTable" Target="../queryTables/queryTable96.xml"/><Relationship Id="rId122" Type="http://schemas.openxmlformats.org/officeDocument/2006/relationships/queryTable" Target="../queryTables/queryTable117.xml"/><Relationship Id="rId143" Type="http://schemas.openxmlformats.org/officeDocument/2006/relationships/queryTable" Target="../queryTables/queryTable138.xml"/><Relationship Id="rId148" Type="http://schemas.openxmlformats.org/officeDocument/2006/relationships/queryTable" Target="../queryTables/queryTable143.xml"/><Relationship Id="rId164" Type="http://schemas.openxmlformats.org/officeDocument/2006/relationships/queryTable" Target="../queryTables/queryTable159.xml"/><Relationship Id="rId169" Type="http://schemas.openxmlformats.org/officeDocument/2006/relationships/queryTable" Target="../queryTables/queryTable164.xml"/><Relationship Id="rId185" Type="http://schemas.openxmlformats.org/officeDocument/2006/relationships/queryTable" Target="../queryTables/queryTable180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4.xml"/><Relationship Id="rId180" Type="http://schemas.openxmlformats.org/officeDocument/2006/relationships/queryTable" Target="../queryTables/queryTable175.xml"/><Relationship Id="rId210" Type="http://schemas.openxmlformats.org/officeDocument/2006/relationships/queryTable" Target="../queryTables/queryTable205.xml"/><Relationship Id="rId215" Type="http://schemas.openxmlformats.org/officeDocument/2006/relationships/queryTable" Target="../queryTables/queryTable210.xml"/><Relationship Id="rId236" Type="http://schemas.openxmlformats.org/officeDocument/2006/relationships/queryTable" Target="../queryTables/queryTable231.xml"/><Relationship Id="rId26" Type="http://schemas.openxmlformats.org/officeDocument/2006/relationships/queryTable" Target="../queryTables/queryTable21.xml"/><Relationship Id="rId231" Type="http://schemas.openxmlformats.org/officeDocument/2006/relationships/queryTable" Target="../queryTables/queryTable226.xml"/><Relationship Id="rId47" Type="http://schemas.openxmlformats.org/officeDocument/2006/relationships/queryTable" Target="../queryTables/queryTable42.xml"/><Relationship Id="rId68" Type="http://schemas.openxmlformats.org/officeDocument/2006/relationships/queryTable" Target="../queryTables/queryTable63.xml"/><Relationship Id="rId89" Type="http://schemas.openxmlformats.org/officeDocument/2006/relationships/queryTable" Target="../queryTables/queryTable84.xml"/><Relationship Id="rId112" Type="http://schemas.openxmlformats.org/officeDocument/2006/relationships/queryTable" Target="../queryTables/queryTable107.xml"/><Relationship Id="rId133" Type="http://schemas.openxmlformats.org/officeDocument/2006/relationships/queryTable" Target="../queryTables/queryTable128.xml"/><Relationship Id="rId154" Type="http://schemas.openxmlformats.org/officeDocument/2006/relationships/queryTable" Target="../queryTables/queryTable149.xml"/><Relationship Id="rId175" Type="http://schemas.openxmlformats.org/officeDocument/2006/relationships/queryTable" Target="../queryTables/queryTable170.xml"/><Relationship Id="rId196" Type="http://schemas.openxmlformats.org/officeDocument/2006/relationships/queryTable" Target="../queryTables/queryTable191.xml"/><Relationship Id="rId200" Type="http://schemas.openxmlformats.org/officeDocument/2006/relationships/queryTable" Target="../queryTables/queryTable195.xml"/><Relationship Id="rId16" Type="http://schemas.openxmlformats.org/officeDocument/2006/relationships/queryTable" Target="../queryTables/queryTable11.xml"/><Relationship Id="rId221" Type="http://schemas.openxmlformats.org/officeDocument/2006/relationships/queryTable" Target="../queryTables/queryTable216.xml"/><Relationship Id="rId242" Type="http://schemas.openxmlformats.org/officeDocument/2006/relationships/queryTable" Target="../queryTables/queryTable237.xml"/><Relationship Id="rId37" Type="http://schemas.openxmlformats.org/officeDocument/2006/relationships/queryTable" Target="../queryTables/queryTable32.xml"/><Relationship Id="rId58" Type="http://schemas.openxmlformats.org/officeDocument/2006/relationships/queryTable" Target="../queryTables/queryTable53.xml"/><Relationship Id="rId79" Type="http://schemas.openxmlformats.org/officeDocument/2006/relationships/queryTable" Target="../queryTables/queryTable74.xml"/><Relationship Id="rId102" Type="http://schemas.openxmlformats.org/officeDocument/2006/relationships/queryTable" Target="../queryTables/queryTable97.xml"/><Relationship Id="rId123" Type="http://schemas.openxmlformats.org/officeDocument/2006/relationships/queryTable" Target="../queryTables/queryTable118.xml"/><Relationship Id="rId144" Type="http://schemas.openxmlformats.org/officeDocument/2006/relationships/queryTable" Target="../queryTables/queryTable139.xml"/><Relationship Id="rId90" Type="http://schemas.openxmlformats.org/officeDocument/2006/relationships/queryTable" Target="../queryTables/queryTable85.xml"/><Relationship Id="rId165" Type="http://schemas.openxmlformats.org/officeDocument/2006/relationships/queryTable" Target="../queryTables/queryTable160.xml"/><Relationship Id="rId186" Type="http://schemas.openxmlformats.org/officeDocument/2006/relationships/queryTable" Target="../queryTables/queryTable181.xml"/><Relationship Id="rId211" Type="http://schemas.openxmlformats.org/officeDocument/2006/relationships/queryTable" Target="../queryTables/queryTable206.xml"/><Relationship Id="rId232" Type="http://schemas.openxmlformats.org/officeDocument/2006/relationships/queryTable" Target="../queryTables/queryTable227.xml"/><Relationship Id="rId27" Type="http://schemas.openxmlformats.org/officeDocument/2006/relationships/queryTable" Target="../queryTables/queryTable22.xml"/><Relationship Id="rId48" Type="http://schemas.openxmlformats.org/officeDocument/2006/relationships/queryTable" Target="../queryTables/queryTable43.xml"/><Relationship Id="rId69" Type="http://schemas.openxmlformats.org/officeDocument/2006/relationships/queryTable" Target="../queryTables/queryTable64.xml"/><Relationship Id="rId113" Type="http://schemas.openxmlformats.org/officeDocument/2006/relationships/queryTable" Target="../queryTables/queryTable108.xml"/><Relationship Id="rId134" Type="http://schemas.openxmlformats.org/officeDocument/2006/relationships/queryTable" Target="../queryTables/queryTable129.xml"/><Relationship Id="rId80" Type="http://schemas.openxmlformats.org/officeDocument/2006/relationships/queryTable" Target="../queryTables/queryTable75.xml"/><Relationship Id="rId155" Type="http://schemas.openxmlformats.org/officeDocument/2006/relationships/queryTable" Target="../queryTables/queryTable150.xml"/><Relationship Id="rId176" Type="http://schemas.openxmlformats.org/officeDocument/2006/relationships/queryTable" Target="../queryTables/queryTable171.xml"/><Relationship Id="rId197" Type="http://schemas.openxmlformats.org/officeDocument/2006/relationships/queryTable" Target="../queryTables/queryTable192.xml"/><Relationship Id="rId201" Type="http://schemas.openxmlformats.org/officeDocument/2006/relationships/queryTable" Target="../queryTables/queryTable196.xml"/><Relationship Id="rId222" Type="http://schemas.openxmlformats.org/officeDocument/2006/relationships/queryTable" Target="../queryTables/queryTable217.xml"/><Relationship Id="rId243" Type="http://schemas.openxmlformats.org/officeDocument/2006/relationships/queryTable" Target="../queryTables/queryTable238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356.xml"/><Relationship Id="rId299" Type="http://schemas.openxmlformats.org/officeDocument/2006/relationships/queryTable" Target="../queryTables/queryTable538.xml"/><Relationship Id="rId303" Type="http://schemas.openxmlformats.org/officeDocument/2006/relationships/queryTable" Target="../queryTables/queryTable542.xml"/><Relationship Id="rId21" Type="http://schemas.openxmlformats.org/officeDocument/2006/relationships/queryTable" Target="../queryTables/queryTable260.xml"/><Relationship Id="rId42" Type="http://schemas.openxmlformats.org/officeDocument/2006/relationships/queryTable" Target="../queryTables/queryTable281.xml"/><Relationship Id="rId63" Type="http://schemas.openxmlformats.org/officeDocument/2006/relationships/queryTable" Target="../queryTables/queryTable302.xml"/><Relationship Id="rId84" Type="http://schemas.openxmlformats.org/officeDocument/2006/relationships/queryTable" Target="../queryTables/queryTable323.xml"/><Relationship Id="rId138" Type="http://schemas.openxmlformats.org/officeDocument/2006/relationships/queryTable" Target="../queryTables/queryTable377.xml"/><Relationship Id="rId159" Type="http://schemas.openxmlformats.org/officeDocument/2006/relationships/queryTable" Target="../queryTables/queryTable398.xml"/><Relationship Id="rId324" Type="http://schemas.openxmlformats.org/officeDocument/2006/relationships/queryTable" Target="../queryTables/queryTable563.xml"/><Relationship Id="rId345" Type="http://schemas.openxmlformats.org/officeDocument/2006/relationships/queryTable" Target="../queryTables/queryTable584.xml"/><Relationship Id="rId170" Type="http://schemas.openxmlformats.org/officeDocument/2006/relationships/queryTable" Target="../queryTables/queryTable409.xml"/><Relationship Id="rId191" Type="http://schemas.openxmlformats.org/officeDocument/2006/relationships/queryTable" Target="../queryTables/queryTable430.xml"/><Relationship Id="rId205" Type="http://schemas.openxmlformats.org/officeDocument/2006/relationships/queryTable" Target="../queryTables/queryTable444.xml"/><Relationship Id="rId226" Type="http://schemas.openxmlformats.org/officeDocument/2006/relationships/queryTable" Target="../queryTables/queryTable465.xml"/><Relationship Id="rId247" Type="http://schemas.openxmlformats.org/officeDocument/2006/relationships/queryTable" Target="../queryTables/queryTable486.xml"/><Relationship Id="rId107" Type="http://schemas.openxmlformats.org/officeDocument/2006/relationships/queryTable" Target="../queryTables/queryTable346.xml"/><Relationship Id="rId268" Type="http://schemas.openxmlformats.org/officeDocument/2006/relationships/queryTable" Target="../queryTables/queryTable507.xml"/><Relationship Id="rId289" Type="http://schemas.openxmlformats.org/officeDocument/2006/relationships/queryTable" Target="../queryTables/queryTable528.xml"/><Relationship Id="rId11" Type="http://schemas.openxmlformats.org/officeDocument/2006/relationships/queryTable" Target="../queryTables/queryTable250.xml"/><Relationship Id="rId32" Type="http://schemas.openxmlformats.org/officeDocument/2006/relationships/queryTable" Target="../queryTables/queryTable271.xml"/><Relationship Id="rId53" Type="http://schemas.openxmlformats.org/officeDocument/2006/relationships/queryTable" Target="../queryTables/queryTable292.xml"/><Relationship Id="rId74" Type="http://schemas.openxmlformats.org/officeDocument/2006/relationships/queryTable" Target="../queryTables/queryTable313.xml"/><Relationship Id="rId128" Type="http://schemas.openxmlformats.org/officeDocument/2006/relationships/queryTable" Target="../queryTables/queryTable367.xml"/><Relationship Id="rId149" Type="http://schemas.openxmlformats.org/officeDocument/2006/relationships/queryTable" Target="../queryTables/queryTable388.xml"/><Relationship Id="rId314" Type="http://schemas.openxmlformats.org/officeDocument/2006/relationships/queryTable" Target="../queryTables/queryTable553.xml"/><Relationship Id="rId335" Type="http://schemas.openxmlformats.org/officeDocument/2006/relationships/queryTable" Target="../queryTables/queryTable574.xml"/><Relationship Id="rId5" Type="http://schemas.openxmlformats.org/officeDocument/2006/relationships/table" Target="../tables/table3.xml"/><Relationship Id="rId95" Type="http://schemas.openxmlformats.org/officeDocument/2006/relationships/queryTable" Target="../queryTables/queryTable334.xml"/><Relationship Id="rId160" Type="http://schemas.openxmlformats.org/officeDocument/2006/relationships/queryTable" Target="../queryTables/queryTable399.xml"/><Relationship Id="rId181" Type="http://schemas.openxmlformats.org/officeDocument/2006/relationships/queryTable" Target="../queryTables/queryTable420.xml"/><Relationship Id="rId216" Type="http://schemas.openxmlformats.org/officeDocument/2006/relationships/queryTable" Target="../queryTables/queryTable455.xml"/><Relationship Id="rId237" Type="http://schemas.openxmlformats.org/officeDocument/2006/relationships/queryTable" Target="../queryTables/queryTable476.xml"/><Relationship Id="rId258" Type="http://schemas.openxmlformats.org/officeDocument/2006/relationships/queryTable" Target="../queryTables/queryTable497.xml"/><Relationship Id="rId279" Type="http://schemas.openxmlformats.org/officeDocument/2006/relationships/queryTable" Target="../queryTables/queryTable518.xml"/><Relationship Id="rId22" Type="http://schemas.openxmlformats.org/officeDocument/2006/relationships/queryTable" Target="../queryTables/queryTable261.xml"/><Relationship Id="rId43" Type="http://schemas.openxmlformats.org/officeDocument/2006/relationships/queryTable" Target="../queryTables/queryTable282.xml"/><Relationship Id="rId64" Type="http://schemas.openxmlformats.org/officeDocument/2006/relationships/queryTable" Target="../queryTables/queryTable303.xml"/><Relationship Id="rId118" Type="http://schemas.openxmlformats.org/officeDocument/2006/relationships/queryTable" Target="../queryTables/queryTable357.xml"/><Relationship Id="rId139" Type="http://schemas.openxmlformats.org/officeDocument/2006/relationships/queryTable" Target="../queryTables/queryTable378.xml"/><Relationship Id="rId290" Type="http://schemas.openxmlformats.org/officeDocument/2006/relationships/queryTable" Target="../queryTables/queryTable529.xml"/><Relationship Id="rId304" Type="http://schemas.openxmlformats.org/officeDocument/2006/relationships/queryTable" Target="../queryTables/queryTable543.xml"/><Relationship Id="rId325" Type="http://schemas.openxmlformats.org/officeDocument/2006/relationships/queryTable" Target="../queryTables/queryTable564.xml"/><Relationship Id="rId346" Type="http://schemas.openxmlformats.org/officeDocument/2006/relationships/queryTable" Target="../queryTables/queryTable585.xml"/><Relationship Id="rId85" Type="http://schemas.openxmlformats.org/officeDocument/2006/relationships/queryTable" Target="../queryTables/queryTable324.xml"/><Relationship Id="rId150" Type="http://schemas.openxmlformats.org/officeDocument/2006/relationships/queryTable" Target="../queryTables/queryTable389.xml"/><Relationship Id="rId171" Type="http://schemas.openxmlformats.org/officeDocument/2006/relationships/queryTable" Target="../queryTables/queryTable410.xml"/><Relationship Id="rId192" Type="http://schemas.openxmlformats.org/officeDocument/2006/relationships/queryTable" Target="../queryTables/queryTable431.xml"/><Relationship Id="rId206" Type="http://schemas.openxmlformats.org/officeDocument/2006/relationships/queryTable" Target="../queryTables/queryTable445.xml"/><Relationship Id="rId227" Type="http://schemas.openxmlformats.org/officeDocument/2006/relationships/queryTable" Target="../queryTables/queryTable466.xml"/><Relationship Id="rId248" Type="http://schemas.openxmlformats.org/officeDocument/2006/relationships/queryTable" Target="../queryTables/queryTable487.xml"/><Relationship Id="rId269" Type="http://schemas.openxmlformats.org/officeDocument/2006/relationships/queryTable" Target="../queryTables/queryTable508.xml"/><Relationship Id="rId12" Type="http://schemas.openxmlformats.org/officeDocument/2006/relationships/queryTable" Target="../queryTables/queryTable251.xml"/><Relationship Id="rId33" Type="http://schemas.openxmlformats.org/officeDocument/2006/relationships/queryTable" Target="../queryTables/queryTable272.xml"/><Relationship Id="rId108" Type="http://schemas.openxmlformats.org/officeDocument/2006/relationships/queryTable" Target="../queryTables/queryTable347.xml"/><Relationship Id="rId129" Type="http://schemas.openxmlformats.org/officeDocument/2006/relationships/queryTable" Target="../queryTables/queryTable368.xml"/><Relationship Id="rId280" Type="http://schemas.openxmlformats.org/officeDocument/2006/relationships/queryTable" Target="../queryTables/queryTable519.xml"/><Relationship Id="rId315" Type="http://schemas.openxmlformats.org/officeDocument/2006/relationships/queryTable" Target="../queryTables/queryTable554.xml"/><Relationship Id="rId336" Type="http://schemas.openxmlformats.org/officeDocument/2006/relationships/queryTable" Target="../queryTables/queryTable575.xml"/><Relationship Id="rId54" Type="http://schemas.openxmlformats.org/officeDocument/2006/relationships/queryTable" Target="../queryTables/queryTable293.xml"/><Relationship Id="rId75" Type="http://schemas.openxmlformats.org/officeDocument/2006/relationships/queryTable" Target="../queryTables/queryTable314.xml"/><Relationship Id="rId96" Type="http://schemas.openxmlformats.org/officeDocument/2006/relationships/queryTable" Target="../queryTables/queryTable335.xml"/><Relationship Id="rId140" Type="http://schemas.openxmlformats.org/officeDocument/2006/relationships/queryTable" Target="../queryTables/queryTable379.xml"/><Relationship Id="rId161" Type="http://schemas.openxmlformats.org/officeDocument/2006/relationships/queryTable" Target="../queryTables/queryTable400.xml"/><Relationship Id="rId182" Type="http://schemas.openxmlformats.org/officeDocument/2006/relationships/queryTable" Target="../queryTables/queryTable421.xml"/><Relationship Id="rId217" Type="http://schemas.openxmlformats.org/officeDocument/2006/relationships/queryTable" Target="../queryTables/queryTable456.xml"/><Relationship Id="rId6" Type="http://schemas.openxmlformats.org/officeDocument/2006/relationships/queryTable" Target="../queryTables/queryTable245.xml"/><Relationship Id="rId238" Type="http://schemas.openxmlformats.org/officeDocument/2006/relationships/queryTable" Target="../queryTables/queryTable477.xml"/><Relationship Id="rId259" Type="http://schemas.openxmlformats.org/officeDocument/2006/relationships/queryTable" Target="../queryTables/queryTable498.xml"/><Relationship Id="rId23" Type="http://schemas.openxmlformats.org/officeDocument/2006/relationships/queryTable" Target="../queryTables/queryTable262.xml"/><Relationship Id="rId119" Type="http://schemas.openxmlformats.org/officeDocument/2006/relationships/queryTable" Target="../queryTables/queryTable358.xml"/><Relationship Id="rId270" Type="http://schemas.openxmlformats.org/officeDocument/2006/relationships/queryTable" Target="../queryTables/queryTable509.xml"/><Relationship Id="rId291" Type="http://schemas.openxmlformats.org/officeDocument/2006/relationships/queryTable" Target="../queryTables/queryTable530.xml"/><Relationship Id="rId305" Type="http://schemas.openxmlformats.org/officeDocument/2006/relationships/queryTable" Target="../queryTables/queryTable544.xml"/><Relationship Id="rId326" Type="http://schemas.openxmlformats.org/officeDocument/2006/relationships/queryTable" Target="../queryTables/queryTable565.xml"/><Relationship Id="rId347" Type="http://schemas.openxmlformats.org/officeDocument/2006/relationships/queryTable" Target="../queryTables/queryTable586.xml"/><Relationship Id="rId44" Type="http://schemas.openxmlformats.org/officeDocument/2006/relationships/queryTable" Target="../queryTables/queryTable283.xml"/><Relationship Id="rId65" Type="http://schemas.openxmlformats.org/officeDocument/2006/relationships/queryTable" Target="../queryTables/queryTable304.xml"/><Relationship Id="rId86" Type="http://schemas.openxmlformats.org/officeDocument/2006/relationships/queryTable" Target="../queryTables/queryTable325.xml"/><Relationship Id="rId130" Type="http://schemas.openxmlformats.org/officeDocument/2006/relationships/queryTable" Target="../queryTables/queryTable369.xml"/><Relationship Id="rId151" Type="http://schemas.openxmlformats.org/officeDocument/2006/relationships/queryTable" Target="../queryTables/queryTable390.xml"/><Relationship Id="rId172" Type="http://schemas.openxmlformats.org/officeDocument/2006/relationships/queryTable" Target="../queryTables/queryTable411.xml"/><Relationship Id="rId193" Type="http://schemas.openxmlformats.org/officeDocument/2006/relationships/queryTable" Target="../queryTables/queryTable432.xml"/><Relationship Id="rId207" Type="http://schemas.openxmlformats.org/officeDocument/2006/relationships/queryTable" Target="../queryTables/queryTable446.xml"/><Relationship Id="rId228" Type="http://schemas.openxmlformats.org/officeDocument/2006/relationships/queryTable" Target="../queryTables/queryTable467.xml"/><Relationship Id="rId249" Type="http://schemas.openxmlformats.org/officeDocument/2006/relationships/queryTable" Target="../queryTables/queryTable488.xml"/><Relationship Id="rId13" Type="http://schemas.openxmlformats.org/officeDocument/2006/relationships/queryTable" Target="../queryTables/queryTable252.xml"/><Relationship Id="rId109" Type="http://schemas.openxmlformats.org/officeDocument/2006/relationships/queryTable" Target="../queryTables/queryTable348.xml"/><Relationship Id="rId260" Type="http://schemas.openxmlformats.org/officeDocument/2006/relationships/queryTable" Target="../queryTables/queryTable499.xml"/><Relationship Id="rId281" Type="http://schemas.openxmlformats.org/officeDocument/2006/relationships/queryTable" Target="../queryTables/queryTable520.xml"/><Relationship Id="rId316" Type="http://schemas.openxmlformats.org/officeDocument/2006/relationships/queryTable" Target="../queryTables/queryTable555.xml"/><Relationship Id="rId337" Type="http://schemas.openxmlformats.org/officeDocument/2006/relationships/queryTable" Target="../queryTables/queryTable576.xml"/><Relationship Id="rId34" Type="http://schemas.openxmlformats.org/officeDocument/2006/relationships/queryTable" Target="../queryTables/queryTable273.xml"/><Relationship Id="rId55" Type="http://schemas.openxmlformats.org/officeDocument/2006/relationships/queryTable" Target="../queryTables/queryTable294.xml"/><Relationship Id="rId76" Type="http://schemas.openxmlformats.org/officeDocument/2006/relationships/queryTable" Target="../queryTables/queryTable315.xml"/><Relationship Id="rId97" Type="http://schemas.openxmlformats.org/officeDocument/2006/relationships/queryTable" Target="../queryTables/queryTable336.xml"/><Relationship Id="rId120" Type="http://schemas.openxmlformats.org/officeDocument/2006/relationships/queryTable" Target="../queryTables/queryTable359.xml"/><Relationship Id="rId141" Type="http://schemas.openxmlformats.org/officeDocument/2006/relationships/queryTable" Target="../queryTables/queryTable380.xml"/><Relationship Id="rId7" Type="http://schemas.openxmlformats.org/officeDocument/2006/relationships/queryTable" Target="../queryTables/queryTable246.xml"/><Relationship Id="rId162" Type="http://schemas.openxmlformats.org/officeDocument/2006/relationships/queryTable" Target="../queryTables/queryTable401.xml"/><Relationship Id="rId183" Type="http://schemas.openxmlformats.org/officeDocument/2006/relationships/queryTable" Target="../queryTables/queryTable422.xml"/><Relationship Id="rId218" Type="http://schemas.openxmlformats.org/officeDocument/2006/relationships/queryTable" Target="../queryTables/queryTable457.xml"/><Relationship Id="rId239" Type="http://schemas.openxmlformats.org/officeDocument/2006/relationships/queryTable" Target="../queryTables/queryTable478.xml"/><Relationship Id="rId250" Type="http://schemas.openxmlformats.org/officeDocument/2006/relationships/queryTable" Target="../queryTables/queryTable489.xml"/><Relationship Id="rId271" Type="http://schemas.openxmlformats.org/officeDocument/2006/relationships/queryTable" Target="../queryTables/queryTable510.xml"/><Relationship Id="rId292" Type="http://schemas.openxmlformats.org/officeDocument/2006/relationships/queryTable" Target="../queryTables/queryTable531.xml"/><Relationship Id="rId306" Type="http://schemas.openxmlformats.org/officeDocument/2006/relationships/queryTable" Target="../queryTables/queryTable545.xml"/><Relationship Id="rId24" Type="http://schemas.openxmlformats.org/officeDocument/2006/relationships/queryTable" Target="../queryTables/queryTable263.xml"/><Relationship Id="rId45" Type="http://schemas.openxmlformats.org/officeDocument/2006/relationships/queryTable" Target="../queryTables/queryTable284.xml"/><Relationship Id="rId66" Type="http://schemas.openxmlformats.org/officeDocument/2006/relationships/queryTable" Target="../queryTables/queryTable305.xml"/><Relationship Id="rId87" Type="http://schemas.openxmlformats.org/officeDocument/2006/relationships/queryTable" Target="../queryTables/queryTable326.xml"/><Relationship Id="rId110" Type="http://schemas.openxmlformats.org/officeDocument/2006/relationships/queryTable" Target="../queryTables/queryTable349.xml"/><Relationship Id="rId131" Type="http://schemas.openxmlformats.org/officeDocument/2006/relationships/queryTable" Target="../queryTables/queryTable370.xml"/><Relationship Id="rId327" Type="http://schemas.openxmlformats.org/officeDocument/2006/relationships/queryTable" Target="../queryTables/queryTable566.xml"/><Relationship Id="rId348" Type="http://schemas.openxmlformats.org/officeDocument/2006/relationships/queryTable" Target="../queryTables/queryTable587.xml"/><Relationship Id="rId152" Type="http://schemas.openxmlformats.org/officeDocument/2006/relationships/queryTable" Target="../queryTables/queryTable391.xml"/><Relationship Id="rId173" Type="http://schemas.openxmlformats.org/officeDocument/2006/relationships/queryTable" Target="../queryTables/queryTable412.xml"/><Relationship Id="rId194" Type="http://schemas.openxmlformats.org/officeDocument/2006/relationships/queryTable" Target="../queryTables/queryTable433.xml"/><Relationship Id="rId208" Type="http://schemas.openxmlformats.org/officeDocument/2006/relationships/queryTable" Target="../queryTables/queryTable447.xml"/><Relationship Id="rId229" Type="http://schemas.openxmlformats.org/officeDocument/2006/relationships/queryTable" Target="../queryTables/queryTable468.xml"/><Relationship Id="rId240" Type="http://schemas.openxmlformats.org/officeDocument/2006/relationships/queryTable" Target="../queryTables/queryTable479.xml"/><Relationship Id="rId261" Type="http://schemas.openxmlformats.org/officeDocument/2006/relationships/queryTable" Target="../queryTables/queryTable500.xml"/><Relationship Id="rId14" Type="http://schemas.openxmlformats.org/officeDocument/2006/relationships/queryTable" Target="../queryTables/queryTable253.xml"/><Relationship Id="rId35" Type="http://schemas.openxmlformats.org/officeDocument/2006/relationships/queryTable" Target="../queryTables/queryTable274.xml"/><Relationship Id="rId56" Type="http://schemas.openxmlformats.org/officeDocument/2006/relationships/queryTable" Target="../queryTables/queryTable295.xml"/><Relationship Id="rId77" Type="http://schemas.openxmlformats.org/officeDocument/2006/relationships/queryTable" Target="../queryTables/queryTable316.xml"/><Relationship Id="rId100" Type="http://schemas.openxmlformats.org/officeDocument/2006/relationships/queryTable" Target="../queryTables/queryTable339.xml"/><Relationship Id="rId282" Type="http://schemas.openxmlformats.org/officeDocument/2006/relationships/queryTable" Target="../queryTables/queryTable521.xml"/><Relationship Id="rId317" Type="http://schemas.openxmlformats.org/officeDocument/2006/relationships/queryTable" Target="../queryTables/queryTable556.xml"/><Relationship Id="rId338" Type="http://schemas.openxmlformats.org/officeDocument/2006/relationships/queryTable" Target="../queryTables/queryTable577.xml"/><Relationship Id="rId8" Type="http://schemas.openxmlformats.org/officeDocument/2006/relationships/queryTable" Target="../queryTables/queryTable247.xml"/><Relationship Id="rId98" Type="http://schemas.openxmlformats.org/officeDocument/2006/relationships/queryTable" Target="../queryTables/queryTable337.xml"/><Relationship Id="rId121" Type="http://schemas.openxmlformats.org/officeDocument/2006/relationships/queryTable" Target="../queryTables/queryTable360.xml"/><Relationship Id="rId142" Type="http://schemas.openxmlformats.org/officeDocument/2006/relationships/queryTable" Target="../queryTables/queryTable381.xml"/><Relationship Id="rId163" Type="http://schemas.openxmlformats.org/officeDocument/2006/relationships/queryTable" Target="../queryTables/queryTable402.xml"/><Relationship Id="rId184" Type="http://schemas.openxmlformats.org/officeDocument/2006/relationships/queryTable" Target="../queryTables/queryTable423.xml"/><Relationship Id="rId219" Type="http://schemas.openxmlformats.org/officeDocument/2006/relationships/queryTable" Target="../queryTables/queryTable458.xml"/><Relationship Id="rId230" Type="http://schemas.openxmlformats.org/officeDocument/2006/relationships/queryTable" Target="../queryTables/queryTable469.xml"/><Relationship Id="rId251" Type="http://schemas.openxmlformats.org/officeDocument/2006/relationships/queryTable" Target="../queryTables/queryTable490.xml"/><Relationship Id="rId25" Type="http://schemas.openxmlformats.org/officeDocument/2006/relationships/queryTable" Target="../queryTables/queryTable264.xml"/><Relationship Id="rId46" Type="http://schemas.openxmlformats.org/officeDocument/2006/relationships/queryTable" Target="../queryTables/queryTable285.xml"/><Relationship Id="rId67" Type="http://schemas.openxmlformats.org/officeDocument/2006/relationships/queryTable" Target="../queryTables/queryTable306.xml"/><Relationship Id="rId272" Type="http://schemas.openxmlformats.org/officeDocument/2006/relationships/queryTable" Target="../queryTables/queryTable511.xml"/><Relationship Id="rId293" Type="http://schemas.openxmlformats.org/officeDocument/2006/relationships/queryTable" Target="../queryTables/queryTable532.xml"/><Relationship Id="rId307" Type="http://schemas.openxmlformats.org/officeDocument/2006/relationships/queryTable" Target="../queryTables/queryTable546.xml"/><Relationship Id="rId328" Type="http://schemas.openxmlformats.org/officeDocument/2006/relationships/queryTable" Target="../queryTables/queryTable567.xml"/><Relationship Id="rId349" Type="http://schemas.openxmlformats.org/officeDocument/2006/relationships/queryTable" Target="../queryTables/queryTable588.xml"/><Relationship Id="rId20" Type="http://schemas.openxmlformats.org/officeDocument/2006/relationships/queryTable" Target="../queryTables/queryTable259.xml"/><Relationship Id="rId41" Type="http://schemas.openxmlformats.org/officeDocument/2006/relationships/queryTable" Target="../queryTables/queryTable280.xml"/><Relationship Id="rId62" Type="http://schemas.openxmlformats.org/officeDocument/2006/relationships/queryTable" Target="../queryTables/queryTable301.xml"/><Relationship Id="rId83" Type="http://schemas.openxmlformats.org/officeDocument/2006/relationships/queryTable" Target="../queryTables/queryTable322.xml"/><Relationship Id="rId88" Type="http://schemas.openxmlformats.org/officeDocument/2006/relationships/queryTable" Target="../queryTables/queryTable327.xml"/><Relationship Id="rId111" Type="http://schemas.openxmlformats.org/officeDocument/2006/relationships/queryTable" Target="../queryTables/queryTable350.xml"/><Relationship Id="rId132" Type="http://schemas.openxmlformats.org/officeDocument/2006/relationships/queryTable" Target="../queryTables/queryTable371.xml"/><Relationship Id="rId153" Type="http://schemas.openxmlformats.org/officeDocument/2006/relationships/queryTable" Target="../queryTables/queryTable392.xml"/><Relationship Id="rId174" Type="http://schemas.openxmlformats.org/officeDocument/2006/relationships/queryTable" Target="../queryTables/queryTable413.xml"/><Relationship Id="rId179" Type="http://schemas.openxmlformats.org/officeDocument/2006/relationships/queryTable" Target="../queryTables/queryTable418.xml"/><Relationship Id="rId195" Type="http://schemas.openxmlformats.org/officeDocument/2006/relationships/queryTable" Target="../queryTables/queryTable434.xml"/><Relationship Id="rId209" Type="http://schemas.openxmlformats.org/officeDocument/2006/relationships/queryTable" Target="../queryTables/queryTable448.xml"/><Relationship Id="rId190" Type="http://schemas.openxmlformats.org/officeDocument/2006/relationships/queryTable" Target="../queryTables/queryTable429.xml"/><Relationship Id="rId204" Type="http://schemas.openxmlformats.org/officeDocument/2006/relationships/queryTable" Target="../queryTables/queryTable443.xml"/><Relationship Id="rId220" Type="http://schemas.openxmlformats.org/officeDocument/2006/relationships/queryTable" Target="../queryTables/queryTable459.xml"/><Relationship Id="rId225" Type="http://schemas.openxmlformats.org/officeDocument/2006/relationships/queryTable" Target="../queryTables/queryTable464.xml"/><Relationship Id="rId241" Type="http://schemas.openxmlformats.org/officeDocument/2006/relationships/queryTable" Target="../queryTables/queryTable480.xml"/><Relationship Id="rId246" Type="http://schemas.openxmlformats.org/officeDocument/2006/relationships/queryTable" Target="../queryTables/queryTable485.xml"/><Relationship Id="rId267" Type="http://schemas.openxmlformats.org/officeDocument/2006/relationships/queryTable" Target="../queryTables/queryTable506.xml"/><Relationship Id="rId288" Type="http://schemas.openxmlformats.org/officeDocument/2006/relationships/queryTable" Target="../queryTables/queryTable527.xml"/><Relationship Id="rId15" Type="http://schemas.openxmlformats.org/officeDocument/2006/relationships/queryTable" Target="../queryTables/queryTable254.xml"/><Relationship Id="rId36" Type="http://schemas.openxmlformats.org/officeDocument/2006/relationships/queryTable" Target="../queryTables/queryTable275.xml"/><Relationship Id="rId57" Type="http://schemas.openxmlformats.org/officeDocument/2006/relationships/queryTable" Target="../queryTables/queryTable296.xml"/><Relationship Id="rId106" Type="http://schemas.openxmlformats.org/officeDocument/2006/relationships/queryTable" Target="../queryTables/queryTable345.xml"/><Relationship Id="rId127" Type="http://schemas.openxmlformats.org/officeDocument/2006/relationships/queryTable" Target="../queryTables/queryTable366.xml"/><Relationship Id="rId262" Type="http://schemas.openxmlformats.org/officeDocument/2006/relationships/queryTable" Target="../queryTables/queryTable501.xml"/><Relationship Id="rId283" Type="http://schemas.openxmlformats.org/officeDocument/2006/relationships/queryTable" Target="../queryTables/queryTable522.xml"/><Relationship Id="rId313" Type="http://schemas.openxmlformats.org/officeDocument/2006/relationships/queryTable" Target="../queryTables/queryTable552.xml"/><Relationship Id="rId318" Type="http://schemas.openxmlformats.org/officeDocument/2006/relationships/queryTable" Target="../queryTables/queryTable557.xml"/><Relationship Id="rId339" Type="http://schemas.openxmlformats.org/officeDocument/2006/relationships/queryTable" Target="../queryTables/queryTable578.xml"/><Relationship Id="rId10" Type="http://schemas.openxmlformats.org/officeDocument/2006/relationships/queryTable" Target="../queryTables/queryTable249.xml"/><Relationship Id="rId31" Type="http://schemas.openxmlformats.org/officeDocument/2006/relationships/queryTable" Target="../queryTables/queryTable270.xml"/><Relationship Id="rId52" Type="http://schemas.openxmlformats.org/officeDocument/2006/relationships/queryTable" Target="../queryTables/queryTable291.xml"/><Relationship Id="rId73" Type="http://schemas.openxmlformats.org/officeDocument/2006/relationships/queryTable" Target="../queryTables/queryTable312.xml"/><Relationship Id="rId78" Type="http://schemas.openxmlformats.org/officeDocument/2006/relationships/queryTable" Target="../queryTables/queryTable317.xml"/><Relationship Id="rId94" Type="http://schemas.openxmlformats.org/officeDocument/2006/relationships/queryTable" Target="../queryTables/queryTable333.xml"/><Relationship Id="rId99" Type="http://schemas.openxmlformats.org/officeDocument/2006/relationships/queryTable" Target="../queryTables/queryTable338.xml"/><Relationship Id="rId101" Type="http://schemas.openxmlformats.org/officeDocument/2006/relationships/queryTable" Target="../queryTables/queryTable340.xml"/><Relationship Id="rId122" Type="http://schemas.openxmlformats.org/officeDocument/2006/relationships/queryTable" Target="../queryTables/queryTable361.xml"/><Relationship Id="rId143" Type="http://schemas.openxmlformats.org/officeDocument/2006/relationships/queryTable" Target="../queryTables/queryTable382.xml"/><Relationship Id="rId148" Type="http://schemas.openxmlformats.org/officeDocument/2006/relationships/queryTable" Target="../queryTables/queryTable387.xml"/><Relationship Id="rId164" Type="http://schemas.openxmlformats.org/officeDocument/2006/relationships/queryTable" Target="../queryTables/queryTable403.xml"/><Relationship Id="rId169" Type="http://schemas.openxmlformats.org/officeDocument/2006/relationships/queryTable" Target="../queryTables/queryTable408.xml"/><Relationship Id="rId185" Type="http://schemas.openxmlformats.org/officeDocument/2006/relationships/queryTable" Target="../queryTables/queryTable424.xml"/><Relationship Id="rId334" Type="http://schemas.openxmlformats.org/officeDocument/2006/relationships/queryTable" Target="../queryTables/queryTable573.xml"/><Relationship Id="rId350" Type="http://schemas.openxmlformats.org/officeDocument/2006/relationships/queryTable" Target="../queryTables/queryTable589.xml"/><Relationship Id="rId4" Type="http://schemas.openxmlformats.org/officeDocument/2006/relationships/ctrlProp" Target="../ctrlProps/ctrlProp2.xml"/><Relationship Id="rId9" Type="http://schemas.openxmlformats.org/officeDocument/2006/relationships/queryTable" Target="../queryTables/queryTable248.xml"/><Relationship Id="rId180" Type="http://schemas.openxmlformats.org/officeDocument/2006/relationships/queryTable" Target="../queryTables/queryTable419.xml"/><Relationship Id="rId210" Type="http://schemas.openxmlformats.org/officeDocument/2006/relationships/queryTable" Target="../queryTables/queryTable449.xml"/><Relationship Id="rId215" Type="http://schemas.openxmlformats.org/officeDocument/2006/relationships/queryTable" Target="../queryTables/queryTable454.xml"/><Relationship Id="rId236" Type="http://schemas.openxmlformats.org/officeDocument/2006/relationships/queryTable" Target="../queryTables/queryTable475.xml"/><Relationship Id="rId257" Type="http://schemas.openxmlformats.org/officeDocument/2006/relationships/queryTable" Target="../queryTables/queryTable496.xml"/><Relationship Id="rId278" Type="http://schemas.openxmlformats.org/officeDocument/2006/relationships/queryTable" Target="../queryTables/queryTable517.xml"/><Relationship Id="rId26" Type="http://schemas.openxmlformats.org/officeDocument/2006/relationships/queryTable" Target="../queryTables/queryTable265.xml"/><Relationship Id="rId231" Type="http://schemas.openxmlformats.org/officeDocument/2006/relationships/queryTable" Target="../queryTables/queryTable470.xml"/><Relationship Id="rId252" Type="http://schemas.openxmlformats.org/officeDocument/2006/relationships/queryTable" Target="../queryTables/queryTable491.xml"/><Relationship Id="rId273" Type="http://schemas.openxmlformats.org/officeDocument/2006/relationships/queryTable" Target="../queryTables/queryTable512.xml"/><Relationship Id="rId294" Type="http://schemas.openxmlformats.org/officeDocument/2006/relationships/queryTable" Target="../queryTables/queryTable533.xml"/><Relationship Id="rId308" Type="http://schemas.openxmlformats.org/officeDocument/2006/relationships/queryTable" Target="../queryTables/queryTable547.xml"/><Relationship Id="rId329" Type="http://schemas.openxmlformats.org/officeDocument/2006/relationships/queryTable" Target="../queryTables/queryTable568.xml"/><Relationship Id="rId47" Type="http://schemas.openxmlformats.org/officeDocument/2006/relationships/queryTable" Target="../queryTables/queryTable286.xml"/><Relationship Id="rId68" Type="http://schemas.openxmlformats.org/officeDocument/2006/relationships/queryTable" Target="../queryTables/queryTable307.xml"/><Relationship Id="rId89" Type="http://schemas.openxmlformats.org/officeDocument/2006/relationships/queryTable" Target="../queryTables/queryTable328.xml"/><Relationship Id="rId112" Type="http://schemas.openxmlformats.org/officeDocument/2006/relationships/queryTable" Target="../queryTables/queryTable351.xml"/><Relationship Id="rId133" Type="http://schemas.openxmlformats.org/officeDocument/2006/relationships/queryTable" Target="../queryTables/queryTable372.xml"/><Relationship Id="rId154" Type="http://schemas.openxmlformats.org/officeDocument/2006/relationships/queryTable" Target="../queryTables/queryTable393.xml"/><Relationship Id="rId175" Type="http://schemas.openxmlformats.org/officeDocument/2006/relationships/queryTable" Target="../queryTables/queryTable414.xml"/><Relationship Id="rId340" Type="http://schemas.openxmlformats.org/officeDocument/2006/relationships/queryTable" Target="../queryTables/queryTable579.xml"/><Relationship Id="rId196" Type="http://schemas.openxmlformats.org/officeDocument/2006/relationships/queryTable" Target="../queryTables/queryTable435.xml"/><Relationship Id="rId200" Type="http://schemas.openxmlformats.org/officeDocument/2006/relationships/queryTable" Target="../queryTables/queryTable439.xml"/><Relationship Id="rId16" Type="http://schemas.openxmlformats.org/officeDocument/2006/relationships/queryTable" Target="../queryTables/queryTable255.xml"/><Relationship Id="rId221" Type="http://schemas.openxmlformats.org/officeDocument/2006/relationships/queryTable" Target="../queryTables/queryTable460.xml"/><Relationship Id="rId242" Type="http://schemas.openxmlformats.org/officeDocument/2006/relationships/queryTable" Target="../queryTables/queryTable481.xml"/><Relationship Id="rId263" Type="http://schemas.openxmlformats.org/officeDocument/2006/relationships/queryTable" Target="../queryTables/queryTable502.xml"/><Relationship Id="rId284" Type="http://schemas.openxmlformats.org/officeDocument/2006/relationships/queryTable" Target="../queryTables/queryTable523.xml"/><Relationship Id="rId319" Type="http://schemas.openxmlformats.org/officeDocument/2006/relationships/queryTable" Target="../queryTables/queryTable558.xml"/><Relationship Id="rId37" Type="http://schemas.openxmlformats.org/officeDocument/2006/relationships/queryTable" Target="../queryTables/queryTable276.xml"/><Relationship Id="rId58" Type="http://schemas.openxmlformats.org/officeDocument/2006/relationships/queryTable" Target="../queryTables/queryTable297.xml"/><Relationship Id="rId79" Type="http://schemas.openxmlformats.org/officeDocument/2006/relationships/queryTable" Target="../queryTables/queryTable318.xml"/><Relationship Id="rId102" Type="http://schemas.openxmlformats.org/officeDocument/2006/relationships/queryTable" Target="../queryTables/queryTable341.xml"/><Relationship Id="rId123" Type="http://schemas.openxmlformats.org/officeDocument/2006/relationships/queryTable" Target="../queryTables/queryTable362.xml"/><Relationship Id="rId144" Type="http://schemas.openxmlformats.org/officeDocument/2006/relationships/queryTable" Target="../queryTables/queryTable383.xml"/><Relationship Id="rId330" Type="http://schemas.openxmlformats.org/officeDocument/2006/relationships/queryTable" Target="../queryTables/queryTable569.xml"/><Relationship Id="rId90" Type="http://schemas.openxmlformats.org/officeDocument/2006/relationships/queryTable" Target="../queryTables/queryTable329.xml"/><Relationship Id="rId165" Type="http://schemas.openxmlformats.org/officeDocument/2006/relationships/queryTable" Target="../queryTables/queryTable404.xml"/><Relationship Id="rId186" Type="http://schemas.openxmlformats.org/officeDocument/2006/relationships/queryTable" Target="../queryTables/queryTable425.xml"/><Relationship Id="rId351" Type="http://schemas.openxmlformats.org/officeDocument/2006/relationships/queryTable" Target="../queryTables/queryTable590.xml"/><Relationship Id="rId211" Type="http://schemas.openxmlformats.org/officeDocument/2006/relationships/queryTable" Target="../queryTables/queryTable450.xml"/><Relationship Id="rId232" Type="http://schemas.openxmlformats.org/officeDocument/2006/relationships/queryTable" Target="../queryTables/queryTable471.xml"/><Relationship Id="rId253" Type="http://schemas.openxmlformats.org/officeDocument/2006/relationships/queryTable" Target="../queryTables/queryTable492.xml"/><Relationship Id="rId274" Type="http://schemas.openxmlformats.org/officeDocument/2006/relationships/queryTable" Target="../queryTables/queryTable513.xml"/><Relationship Id="rId295" Type="http://schemas.openxmlformats.org/officeDocument/2006/relationships/queryTable" Target="../queryTables/queryTable534.xml"/><Relationship Id="rId309" Type="http://schemas.openxmlformats.org/officeDocument/2006/relationships/queryTable" Target="../queryTables/queryTable548.xml"/><Relationship Id="rId27" Type="http://schemas.openxmlformats.org/officeDocument/2006/relationships/queryTable" Target="../queryTables/queryTable266.xml"/><Relationship Id="rId48" Type="http://schemas.openxmlformats.org/officeDocument/2006/relationships/queryTable" Target="../queryTables/queryTable287.xml"/><Relationship Id="rId69" Type="http://schemas.openxmlformats.org/officeDocument/2006/relationships/queryTable" Target="../queryTables/queryTable308.xml"/><Relationship Id="rId113" Type="http://schemas.openxmlformats.org/officeDocument/2006/relationships/queryTable" Target="../queryTables/queryTable352.xml"/><Relationship Id="rId134" Type="http://schemas.openxmlformats.org/officeDocument/2006/relationships/queryTable" Target="../queryTables/queryTable373.xml"/><Relationship Id="rId320" Type="http://schemas.openxmlformats.org/officeDocument/2006/relationships/queryTable" Target="../queryTables/queryTable559.xml"/><Relationship Id="rId80" Type="http://schemas.openxmlformats.org/officeDocument/2006/relationships/queryTable" Target="../queryTables/queryTable319.xml"/><Relationship Id="rId155" Type="http://schemas.openxmlformats.org/officeDocument/2006/relationships/queryTable" Target="../queryTables/queryTable394.xml"/><Relationship Id="rId176" Type="http://schemas.openxmlformats.org/officeDocument/2006/relationships/queryTable" Target="../queryTables/queryTable415.xml"/><Relationship Id="rId197" Type="http://schemas.openxmlformats.org/officeDocument/2006/relationships/queryTable" Target="../queryTables/queryTable436.xml"/><Relationship Id="rId341" Type="http://schemas.openxmlformats.org/officeDocument/2006/relationships/queryTable" Target="../queryTables/queryTable580.xml"/><Relationship Id="rId201" Type="http://schemas.openxmlformats.org/officeDocument/2006/relationships/queryTable" Target="../queryTables/queryTable440.xml"/><Relationship Id="rId222" Type="http://schemas.openxmlformats.org/officeDocument/2006/relationships/queryTable" Target="../queryTables/queryTable461.xml"/><Relationship Id="rId243" Type="http://schemas.openxmlformats.org/officeDocument/2006/relationships/queryTable" Target="../queryTables/queryTable482.xml"/><Relationship Id="rId264" Type="http://schemas.openxmlformats.org/officeDocument/2006/relationships/queryTable" Target="../queryTables/queryTable503.xml"/><Relationship Id="rId285" Type="http://schemas.openxmlformats.org/officeDocument/2006/relationships/queryTable" Target="../queryTables/queryTable524.xml"/><Relationship Id="rId17" Type="http://schemas.openxmlformats.org/officeDocument/2006/relationships/queryTable" Target="../queryTables/queryTable256.xml"/><Relationship Id="rId38" Type="http://schemas.openxmlformats.org/officeDocument/2006/relationships/queryTable" Target="../queryTables/queryTable277.xml"/><Relationship Id="rId59" Type="http://schemas.openxmlformats.org/officeDocument/2006/relationships/queryTable" Target="../queryTables/queryTable298.xml"/><Relationship Id="rId103" Type="http://schemas.openxmlformats.org/officeDocument/2006/relationships/queryTable" Target="../queryTables/queryTable342.xml"/><Relationship Id="rId124" Type="http://schemas.openxmlformats.org/officeDocument/2006/relationships/queryTable" Target="../queryTables/queryTable363.xml"/><Relationship Id="rId310" Type="http://schemas.openxmlformats.org/officeDocument/2006/relationships/queryTable" Target="../queryTables/queryTable549.xml"/><Relationship Id="rId70" Type="http://schemas.openxmlformats.org/officeDocument/2006/relationships/queryTable" Target="../queryTables/queryTable309.xml"/><Relationship Id="rId91" Type="http://schemas.openxmlformats.org/officeDocument/2006/relationships/queryTable" Target="../queryTables/queryTable330.xml"/><Relationship Id="rId145" Type="http://schemas.openxmlformats.org/officeDocument/2006/relationships/queryTable" Target="../queryTables/queryTable384.xml"/><Relationship Id="rId166" Type="http://schemas.openxmlformats.org/officeDocument/2006/relationships/queryTable" Target="../queryTables/queryTable405.xml"/><Relationship Id="rId187" Type="http://schemas.openxmlformats.org/officeDocument/2006/relationships/queryTable" Target="../queryTables/queryTable426.xml"/><Relationship Id="rId331" Type="http://schemas.openxmlformats.org/officeDocument/2006/relationships/queryTable" Target="../queryTables/queryTable570.xml"/><Relationship Id="rId352" Type="http://schemas.openxmlformats.org/officeDocument/2006/relationships/queryTable" Target="../queryTables/queryTable591.xml"/><Relationship Id="rId1" Type="http://schemas.openxmlformats.org/officeDocument/2006/relationships/printerSettings" Target="../printerSettings/printerSettings3.bin"/><Relationship Id="rId212" Type="http://schemas.openxmlformats.org/officeDocument/2006/relationships/queryTable" Target="../queryTables/queryTable451.xml"/><Relationship Id="rId233" Type="http://schemas.openxmlformats.org/officeDocument/2006/relationships/queryTable" Target="../queryTables/queryTable472.xml"/><Relationship Id="rId254" Type="http://schemas.openxmlformats.org/officeDocument/2006/relationships/queryTable" Target="../queryTables/queryTable493.xml"/><Relationship Id="rId28" Type="http://schemas.openxmlformats.org/officeDocument/2006/relationships/queryTable" Target="../queryTables/queryTable267.xml"/><Relationship Id="rId49" Type="http://schemas.openxmlformats.org/officeDocument/2006/relationships/queryTable" Target="../queryTables/queryTable288.xml"/><Relationship Id="rId114" Type="http://schemas.openxmlformats.org/officeDocument/2006/relationships/queryTable" Target="../queryTables/queryTable353.xml"/><Relationship Id="rId275" Type="http://schemas.openxmlformats.org/officeDocument/2006/relationships/queryTable" Target="../queryTables/queryTable514.xml"/><Relationship Id="rId296" Type="http://schemas.openxmlformats.org/officeDocument/2006/relationships/queryTable" Target="../queryTables/queryTable535.xml"/><Relationship Id="rId300" Type="http://schemas.openxmlformats.org/officeDocument/2006/relationships/queryTable" Target="../queryTables/queryTable539.xml"/><Relationship Id="rId60" Type="http://schemas.openxmlformats.org/officeDocument/2006/relationships/queryTable" Target="../queryTables/queryTable299.xml"/><Relationship Id="rId81" Type="http://schemas.openxmlformats.org/officeDocument/2006/relationships/queryTable" Target="../queryTables/queryTable320.xml"/><Relationship Id="rId135" Type="http://schemas.openxmlformats.org/officeDocument/2006/relationships/queryTable" Target="../queryTables/queryTable374.xml"/><Relationship Id="rId156" Type="http://schemas.openxmlformats.org/officeDocument/2006/relationships/queryTable" Target="../queryTables/queryTable395.xml"/><Relationship Id="rId177" Type="http://schemas.openxmlformats.org/officeDocument/2006/relationships/queryTable" Target="../queryTables/queryTable416.xml"/><Relationship Id="rId198" Type="http://schemas.openxmlformats.org/officeDocument/2006/relationships/queryTable" Target="../queryTables/queryTable437.xml"/><Relationship Id="rId321" Type="http://schemas.openxmlformats.org/officeDocument/2006/relationships/queryTable" Target="../queryTables/queryTable560.xml"/><Relationship Id="rId342" Type="http://schemas.openxmlformats.org/officeDocument/2006/relationships/queryTable" Target="../queryTables/queryTable581.xml"/><Relationship Id="rId202" Type="http://schemas.openxmlformats.org/officeDocument/2006/relationships/queryTable" Target="../queryTables/queryTable441.xml"/><Relationship Id="rId223" Type="http://schemas.openxmlformats.org/officeDocument/2006/relationships/queryTable" Target="../queryTables/queryTable462.xml"/><Relationship Id="rId244" Type="http://schemas.openxmlformats.org/officeDocument/2006/relationships/queryTable" Target="../queryTables/queryTable483.xml"/><Relationship Id="rId18" Type="http://schemas.openxmlformats.org/officeDocument/2006/relationships/queryTable" Target="../queryTables/queryTable257.xml"/><Relationship Id="rId39" Type="http://schemas.openxmlformats.org/officeDocument/2006/relationships/queryTable" Target="../queryTables/queryTable278.xml"/><Relationship Id="rId265" Type="http://schemas.openxmlformats.org/officeDocument/2006/relationships/queryTable" Target="../queryTables/queryTable504.xml"/><Relationship Id="rId286" Type="http://schemas.openxmlformats.org/officeDocument/2006/relationships/queryTable" Target="../queryTables/queryTable525.xml"/><Relationship Id="rId50" Type="http://schemas.openxmlformats.org/officeDocument/2006/relationships/queryTable" Target="../queryTables/queryTable289.xml"/><Relationship Id="rId104" Type="http://schemas.openxmlformats.org/officeDocument/2006/relationships/queryTable" Target="../queryTables/queryTable343.xml"/><Relationship Id="rId125" Type="http://schemas.openxmlformats.org/officeDocument/2006/relationships/queryTable" Target="../queryTables/queryTable364.xml"/><Relationship Id="rId146" Type="http://schemas.openxmlformats.org/officeDocument/2006/relationships/queryTable" Target="../queryTables/queryTable385.xml"/><Relationship Id="rId167" Type="http://schemas.openxmlformats.org/officeDocument/2006/relationships/queryTable" Target="../queryTables/queryTable406.xml"/><Relationship Id="rId188" Type="http://schemas.openxmlformats.org/officeDocument/2006/relationships/queryTable" Target="../queryTables/queryTable427.xml"/><Relationship Id="rId311" Type="http://schemas.openxmlformats.org/officeDocument/2006/relationships/queryTable" Target="../queryTables/queryTable550.xml"/><Relationship Id="rId332" Type="http://schemas.openxmlformats.org/officeDocument/2006/relationships/queryTable" Target="../queryTables/queryTable571.xml"/><Relationship Id="rId353" Type="http://schemas.openxmlformats.org/officeDocument/2006/relationships/queryTable" Target="../queryTables/queryTable592.xml"/><Relationship Id="rId71" Type="http://schemas.openxmlformats.org/officeDocument/2006/relationships/queryTable" Target="../queryTables/queryTable310.xml"/><Relationship Id="rId92" Type="http://schemas.openxmlformats.org/officeDocument/2006/relationships/queryTable" Target="../queryTables/queryTable331.xml"/><Relationship Id="rId213" Type="http://schemas.openxmlformats.org/officeDocument/2006/relationships/queryTable" Target="../queryTables/queryTable452.xml"/><Relationship Id="rId234" Type="http://schemas.openxmlformats.org/officeDocument/2006/relationships/queryTable" Target="../queryTables/queryTable473.xml"/><Relationship Id="rId2" Type="http://schemas.openxmlformats.org/officeDocument/2006/relationships/drawing" Target="../drawings/drawing2.xml"/><Relationship Id="rId29" Type="http://schemas.openxmlformats.org/officeDocument/2006/relationships/queryTable" Target="../queryTables/queryTable268.xml"/><Relationship Id="rId255" Type="http://schemas.openxmlformats.org/officeDocument/2006/relationships/queryTable" Target="../queryTables/queryTable494.xml"/><Relationship Id="rId276" Type="http://schemas.openxmlformats.org/officeDocument/2006/relationships/queryTable" Target="../queryTables/queryTable515.xml"/><Relationship Id="rId297" Type="http://schemas.openxmlformats.org/officeDocument/2006/relationships/queryTable" Target="../queryTables/queryTable536.xml"/><Relationship Id="rId40" Type="http://schemas.openxmlformats.org/officeDocument/2006/relationships/queryTable" Target="../queryTables/queryTable279.xml"/><Relationship Id="rId115" Type="http://schemas.openxmlformats.org/officeDocument/2006/relationships/queryTable" Target="../queryTables/queryTable354.xml"/><Relationship Id="rId136" Type="http://schemas.openxmlformats.org/officeDocument/2006/relationships/queryTable" Target="../queryTables/queryTable375.xml"/><Relationship Id="rId157" Type="http://schemas.openxmlformats.org/officeDocument/2006/relationships/queryTable" Target="../queryTables/queryTable396.xml"/><Relationship Id="rId178" Type="http://schemas.openxmlformats.org/officeDocument/2006/relationships/queryTable" Target="../queryTables/queryTable417.xml"/><Relationship Id="rId301" Type="http://schemas.openxmlformats.org/officeDocument/2006/relationships/queryTable" Target="../queryTables/queryTable540.xml"/><Relationship Id="rId322" Type="http://schemas.openxmlformats.org/officeDocument/2006/relationships/queryTable" Target="../queryTables/queryTable561.xml"/><Relationship Id="rId343" Type="http://schemas.openxmlformats.org/officeDocument/2006/relationships/queryTable" Target="../queryTables/queryTable582.xml"/><Relationship Id="rId61" Type="http://schemas.openxmlformats.org/officeDocument/2006/relationships/queryTable" Target="../queryTables/queryTable300.xml"/><Relationship Id="rId82" Type="http://schemas.openxmlformats.org/officeDocument/2006/relationships/queryTable" Target="../queryTables/queryTable321.xml"/><Relationship Id="rId199" Type="http://schemas.openxmlformats.org/officeDocument/2006/relationships/queryTable" Target="../queryTables/queryTable438.xml"/><Relationship Id="rId203" Type="http://schemas.openxmlformats.org/officeDocument/2006/relationships/queryTable" Target="../queryTables/queryTable442.xml"/><Relationship Id="rId19" Type="http://schemas.openxmlformats.org/officeDocument/2006/relationships/queryTable" Target="../queryTables/queryTable258.xml"/><Relationship Id="rId224" Type="http://schemas.openxmlformats.org/officeDocument/2006/relationships/queryTable" Target="../queryTables/queryTable463.xml"/><Relationship Id="rId245" Type="http://schemas.openxmlformats.org/officeDocument/2006/relationships/queryTable" Target="../queryTables/queryTable484.xml"/><Relationship Id="rId266" Type="http://schemas.openxmlformats.org/officeDocument/2006/relationships/queryTable" Target="../queryTables/queryTable505.xml"/><Relationship Id="rId287" Type="http://schemas.openxmlformats.org/officeDocument/2006/relationships/queryTable" Target="../queryTables/queryTable526.xml"/><Relationship Id="rId30" Type="http://schemas.openxmlformats.org/officeDocument/2006/relationships/queryTable" Target="../queryTables/queryTable269.xml"/><Relationship Id="rId105" Type="http://schemas.openxmlformats.org/officeDocument/2006/relationships/queryTable" Target="../queryTables/queryTable344.xml"/><Relationship Id="rId126" Type="http://schemas.openxmlformats.org/officeDocument/2006/relationships/queryTable" Target="../queryTables/queryTable365.xml"/><Relationship Id="rId147" Type="http://schemas.openxmlformats.org/officeDocument/2006/relationships/queryTable" Target="../queryTables/queryTable386.xml"/><Relationship Id="rId168" Type="http://schemas.openxmlformats.org/officeDocument/2006/relationships/queryTable" Target="../queryTables/queryTable407.xml"/><Relationship Id="rId312" Type="http://schemas.openxmlformats.org/officeDocument/2006/relationships/queryTable" Target="../queryTables/queryTable551.xml"/><Relationship Id="rId333" Type="http://schemas.openxmlformats.org/officeDocument/2006/relationships/queryTable" Target="../queryTables/queryTable572.xml"/><Relationship Id="rId51" Type="http://schemas.openxmlformats.org/officeDocument/2006/relationships/queryTable" Target="../queryTables/queryTable290.xml"/><Relationship Id="rId72" Type="http://schemas.openxmlformats.org/officeDocument/2006/relationships/queryTable" Target="../queryTables/queryTable311.xml"/><Relationship Id="rId93" Type="http://schemas.openxmlformats.org/officeDocument/2006/relationships/queryTable" Target="../queryTables/queryTable332.xml"/><Relationship Id="rId189" Type="http://schemas.openxmlformats.org/officeDocument/2006/relationships/queryTable" Target="../queryTables/queryTable428.xml"/><Relationship Id="rId3" Type="http://schemas.openxmlformats.org/officeDocument/2006/relationships/vmlDrawing" Target="../drawings/vmlDrawing2.vml"/><Relationship Id="rId214" Type="http://schemas.openxmlformats.org/officeDocument/2006/relationships/queryTable" Target="../queryTables/queryTable453.xml"/><Relationship Id="rId235" Type="http://schemas.openxmlformats.org/officeDocument/2006/relationships/queryTable" Target="../queryTables/queryTable474.xml"/><Relationship Id="rId256" Type="http://schemas.openxmlformats.org/officeDocument/2006/relationships/queryTable" Target="../queryTables/queryTable495.xml"/><Relationship Id="rId277" Type="http://schemas.openxmlformats.org/officeDocument/2006/relationships/queryTable" Target="../queryTables/queryTable516.xml"/><Relationship Id="rId298" Type="http://schemas.openxmlformats.org/officeDocument/2006/relationships/queryTable" Target="../queryTables/queryTable537.xml"/><Relationship Id="rId116" Type="http://schemas.openxmlformats.org/officeDocument/2006/relationships/queryTable" Target="../queryTables/queryTable355.xml"/><Relationship Id="rId137" Type="http://schemas.openxmlformats.org/officeDocument/2006/relationships/queryTable" Target="../queryTables/queryTable376.xml"/><Relationship Id="rId158" Type="http://schemas.openxmlformats.org/officeDocument/2006/relationships/queryTable" Target="../queryTables/queryTable397.xml"/><Relationship Id="rId302" Type="http://schemas.openxmlformats.org/officeDocument/2006/relationships/queryTable" Target="../queryTables/queryTable541.xml"/><Relationship Id="rId323" Type="http://schemas.openxmlformats.org/officeDocument/2006/relationships/queryTable" Target="../queryTables/queryTable562.xml"/><Relationship Id="rId344" Type="http://schemas.openxmlformats.org/officeDocument/2006/relationships/queryTable" Target="../queryTables/queryTable583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704.xml"/><Relationship Id="rId299" Type="http://schemas.openxmlformats.org/officeDocument/2006/relationships/queryTable" Target="../queryTables/queryTable886.xml"/><Relationship Id="rId21" Type="http://schemas.openxmlformats.org/officeDocument/2006/relationships/queryTable" Target="../queryTables/queryTable608.xml"/><Relationship Id="rId63" Type="http://schemas.openxmlformats.org/officeDocument/2006/relationships/queryTable" Target="../queryTables/queryTable650.xml"/><Relationship Id="rId159" Type="http://schemas.openxmlformats.org/officeDocument/2006/relationships/queryTable" Target="../queryTables/queryTable746.xml"/><Relationship Id="rId324" Type="http://schemas.openxmlformats.org/officeDocument/2006/relationships/queryTable" Target="../queryTables/queryTable911.xml"/><Relationship Id="rId366" Type="http://schemas.openxmlformats.org/officeDocument/2006/relationships/queryTable" Target="../queryTables/queryTable953.xml"/><Relationship Id="rId170" Type="http://schemas.openxmlformats.org/officeDocument/2006/relationships/queryTable" Target="../queryTables/queryTable757.xml"/><Relationship Id="rId226" Type="http://schemas.openxmlformats.org/officeDocument/2006/relationships/queryTable" Target="../queryTables/queryTable813.xml"/><Relationship Id="rId433" Type="http://schemas.openxmlformats.org/officeDocument/2006/relationships/queryTable" Target="../queryTables/queryTable1020.xml"/><Relationship Id="rId268" Type="http://schemas.openxmlformats.org/officeDocument/2006/relationships/queryTable" Target="../queryTables/queryTable855.xml"/><Relationship Id="rId32" Type="http://schemas.openxmlformats.org/officeDocument/2006/relationships/queryTable" Target="../queryTables/queryTable619.xml"/><Relationship Id="rId74" Type="http://schemas.openxmlformats.org/officeDocument/2006/relationships/queryTable" Target="../queryTables/queryTable661.xml"/><Relationship Id="rId128" Type="http://schemas.openxmlformats.org/officeDocument/2006/relationships/queryTable" Target="../queryTables/queryTable715.xml"/><Relationship Id="rId335" Type="http://schemas.openxmlformats.org/officeDocument/2006/relationships/queryTable" Target="../queryTables/queryTable922.xml"/><Relationship Id="rId377" Type="http://schemas.openxmlformats.org/officeDocument/2006/relationships/queryTable" Target="../queryTables/queryTable964.xml"/><Relationship Id="rId5" Type="http://schemas.openxmlformats.org/officeDocument/2006/relationships/table" Target="../tables/table4.xml"/><Relationship Id="rId181" Type="http://schemas.openxmlformats.org/officeDocument/2006/relationships/queryTable" Target="../queryTables/queryTable768.xml"/><Relationship Id="rId237" Type="http://schemas.openxmlformats.org/officeDocument/2006/relationships/queryTable" Target="../queryTables/queryTable824.xml"/><Relationship Id="rId402" Type="http://schemas.openxmlformats.org/officeDocument/2006/relationships/queryTable" Target="../queryTables/queryTable989.xml"/><Relationship Id="rId279" Type="http://schemas.openxmlformats.org/officeDocument/2006/relationships/queryTable" Target="../queryTables/queryTable866.xml"/><Relationship Id="rId43" Type="http://schemas.openxmlformats.org/officeDocument/2006/relationships/queryTable" Target="../queryTables/queryTable630.xml"/><Relationship Id="rId139" Type="http://schemas.openxmlformats.org/officeDocument/2006/relationships/queryTable" Target="../queryTables/queryTable726.xml"/><Relationship Id="rId290" Type="http://schemas.openxmlformats.org/officeDocument/2006/relationships/queryTable" Target="../queryTables/queryTable877.xml"/><Relationship Id="rId304" Type="http://schemas.openxmlformats.org/officeDocument/2006/relationships/queryTable" Target="../queryTables/queryTable891.xml"/><Relationship Id="rId346" Type="http://schemas.openxmlformats.org/officeDocument/2006/relationships/queryTable" Target="../queryTables/queryTable933.xml"/><Relationship Id="rId388" Type="http://schemas.openxmlformats.org/officeDocument/2006/relationships/queryTable" Target="../queryTables/queryTable975.xml"/><Relationship Id="rId85" Type="http://schemas.openxmlformats.org/officeDocument/2006/relationships/queryTable" Target="../queryTables/queryTable672.xml"/><Relationship Id="rId150" Type="http://schemas.openxmlformats.org/officeDocument/2006/relationships/queryTable" Target="../queryTables/queryTable737.xml"/><Relationship Id="rId192" Type="http://schemas.openxmlformats.org/officeDocument/2006/relationships/queryTable" Target="../queryTables/queryTable779.xml"/><Relationship Id="rId206" Type="http://schemas.openxmlformats.org/officeDocument/2006/relationships/queryTable" Target="../queryTables/queryTable793.xml"/><Relationship Id="rId413" Type="http://schemas.openxmlformats.org/officeDocument/2006/relationships/queryTable" Target="../queryTables/queryTable1000.xml"/><Relationship Id="rId248" Type="http://schemas.openxmlformats.org/officeDocument/2006/relationships/queryTable" Target="../queryTables/queryTable835.xml"/><Relationship Id="rId12" Type="http://schemas.openxmlformats.org/officeDocument/2006/relationships/queryTable" Target="../queryTables/queryTable599.xml"/><Relationship Id="rId33" Type="http://schemas.openxmlformats.org/officeDocument/2006/relationships/queryTable" Target="../queryTables/queryTable620.xml"/><Relationship Id="rId108" Type="http://schemas.openxmlformats.org/officeDocument/2006/relationships/queryTable" Target="../queryTables/queryTable695.xml"/><Relationship Id="rId129" Type="http://schemas.openxmlformats.org/officeDocument/2006/relationships/queryTable" Target="../queryTables/queryTable716.xml"/><Relationship Id="rId280" Type="http://schemas.openxmlformats.org/officeDocument/2006/relationships/queryTable" Target="../queryTables/queryTable867.xml"/><Relationship Id="rId315" Type="http://schemas.openxmlformats.org/officeDocument/2006/relationships/queryTable" Target="../queryTables/queryTable902.xml"/><Relationship Id="rId336" Type="http://schemas.openxmlformats.org/officeDocument/2006/relationships/queryTable" Target="../queryTables/queryTable923.xml"/><Relationship Id="rId357" Type="http://schemas.openxmlformats.org/officeDocument/2006/relationships/queryTable" Target="../queryTables/queryTable944.xml"/><Relationship Id="rId54" Type="http://schemas.openxmlformats.org/officeDocument/2006/relationships/queryTable" Target="../queryTables/queryTable641.xml"/><Relationship Id="rId75" Type="http://schemas.openxmlformats.org/officeDocument/2006/relationships/queryTable" Target="../queryTables/queryTable662.xml"/><Relationship Id="rId96" Type="http://schemas.openxmlformats.org/officeDocument/2006/relationships/queryTable" Target="../queryTables/queryTable683.xml"/><Relationship Id="rId140" Type="http://schemas.openxmlformats.org/officeDocument/2006/relationships/queryTable" Target="../queryTables/queryTable727.xml"/><Relationship Id="rId161" Type="http://schemas.openxmlformats.org/officeDocument/2006/relationships/queryTable" Target="../queryTables/queryTable748.xml"/><Relationship Id="rId182" Type="http://schemas.openxmlformats.org/officeDocument/2006/relationships/queryTable" Target="../queryTables/queryTable769.xml"/><Relationship Id="rId217" Type="http://schemas.openxmlformats.org/officeDocument/2006/relationships/queryTable" Target="../queryTables/queryTable804.xml"/><Relationship Id="rId378" Type="http://schemas.openxmlformats.org/officeDocument/2006/relationships/queryTable" Target="../queryTables/queryTable965.xml"/><Relationship Id="rId399" Type="http://schemas.openxmlformats.org/officeDocument/2006/relationships/queryTable" Target="../queryTables/queryTable986.xml"/><Relationship Id="rId403" Type="http://schemas.openxmlformats.org/officeDocument/2006/relationships/queryTable" Target="../queryTables/queryTable990.xml"/><Relationship Id="rId6" Type="http://schemas.openxmlformats.org/officeDocument/2006/relationships/queryTable" Target="../queryTables/queryTable593.xml"/><Relationship Id="rId238" Type="http://schemas.openxmlformats.org/officeDocument/2006/relationships/queryTable" Target="../queryTables/queryTable825.xml"/><Relationship Id="rId259" Type="http://schemas.openxmlformats.org/officeDocument/2006/relationships/queryTable" Target="../queryTables/queryTable846.xml"/><Relationship Id="rId424" Type="http://schemas.openxmlformats.org/officeDocument/2006/relationships/queryTable" Target="../queryTables/queryTable1011.xml"/><Relationship Id="rId23" Type="http://schemas.openxmlformats.org/officeDocument/2006/relationships/queryTable" Target="../queryTables/queryTable610.xml"/><Relationship Id="rId119" Type="http://schemas.openxmlformats.org/officeDocument/2006/relationships/queryTable" Target="../queryTables/queryTable706.xml"/><Relationship Id="rId270" Type="http://schemas.openxmlformats.org/officeDocument/2006/relationships/queryTable" Target="../queryTables/queryTable857.xml"/><Relationship Id="rId291" Type="http://schemas.openxmlformats.org/officeDocument/2006/relationships/queryTable" Target="../queryTables/queryTable878.xml"/><Relationship Id="rId305" Type="http://schemas.openxmlformats.org/officeDocument/2006/relationships/queryTable" Target="../queryTables/queryTable892.xml"/><Relationship Id="rId326" Type="http://schemas.openxmlformats.org/officeDocument/2006/relationships/queryTable" Target="../queryTables/queryTable913.xml"/><Relationship Id="rId347" Type="http://schemas.openxmlformats.org/officeDocument/2006/relationships/queryTable" Target="../queryTables/queryTable934.xml"/><Relationship Id="rId44" Type="http://schemas.openxmlformats.org/officeDocument/2006/relationships/queryTable" Target="../queryTables/queryTable631.xml"/><Relationship Id="rId65" Type="http://schemas.openxmlformats.org/officeDocument/2006/relationships/queryTable" Target="../queryTables/queryTable652.xml"/><Relationship Id="rId86" Type="http://schemas.openxmlformats.org/officeDocument/2006/relationships/queryTable" Target="../queryTables/queryTable673.xml"/><Relationship Id="rId130" Type="http://schemas.openxmlformats.org/officeDocument/2006/relationships/queryTable" Target="../queryTables/queryTable717.xml"/><Relationship Id="rId151" Type="http://schemas.openxmlformats.org/officeDocument/2006/relationships/queryTable" Target="../queryTables/queryTable738.xml"/><Relationship Id="rId368" Type="http://schemas.openxmlformats.org/officeDocument/2006/relationships/queryTable" Target="../queryTables/queryTable955.xml"/><Relationship Id="rId389" Type="http://schemas.openxmlformats.org/officeDocument/2006/relationships/queryTable" Target="../queryTables/queryTable976.xml"/><Relationship Id="rId172" Type="http://schemas.openxmlformats.org/officeDocument/2006/relationships/queryTable" Target="../queryTables/queryTable759.xml"/><Relationship Id="rId193" Type="http://schemas.openxmlformats.org/officeDocument/2006/relationships/queryTable" Target="../queryTables/queryTable780.xml"/><Relationship Id="rId207" Type="http://schemas.openxmlformats.org/officeDocument/2006/relationships/queryTable" Target="../queryTables/queryTable794.xml"/><Relationship Id="rId228" Type="http://schemas.openxmlformats.org/officeDocument/2006/relationships/queryTable" Target="../queryTables/queryTable815.xml"/><Relationship Id="rId249" Type="http://schemas.openxmlformats.org/officeDocument/2006/relationships/queryTable" Target="../queryTables/queryTable836.xml"/><Relationship Id="rId414" Type="http://schemas.openxmlformats.org/officeDocument/2006/relationships/queryTable" Target="../queryTables/queryTable1001.xml"/><Relationship Id="rId435" Type="http://schemas.openxmlformats.org/officeDocument/2006/relationships/queryTable" Target="../queryTables/queryTable1022.xml"/><Relationship Id="rId13" Type="http://schemas.openxmlformats.org/officeDocument/2006/relationships/queryTable" Target="../queryTables/queryTable600.xml"/><Relationship Id="rId109" Type="http://schemas.openxmlformats.org/officeDocument/2006/relationships/queryTable" Target="../queryTables/queryTable696.xml"/><Relationship Id="rId260" Type="http://schemas.openxmlformats.org/officeDocument/2006/relationships/queryTable" Target="../queryTables/queryTable847.xml"/><Relationship Id="rId281" Type="http://schemas.openxmlformats.org/officeDocument/2006/relationships/queryTable" Target="../queryTables/queryTable868.xml"/><Relationship Id="rId316" Type="http://schemas.openxmlformats.org/officeDocument/2006/relationships/queryTable" Target="../queryTables/queryTable903.xml"/><Relationship Id="rId337" Type="http://schemas.openxmlformats.org/officeDocument/2006/relationships/queryTable" Target="../queryTables/queryTable924.xml"/><Relationship Id="rId34" Type="http://schemas.openxmlformats.org/officeDocument/2006/relationships/queryTable" Target="../queryTables/queryTable621.xml"/><Relationship Id="rId55" Type="http://schemas.openxmlformats.org/officeDocument/2006/relationships/queryTable" Target="../queryTables/queryTable642.xml"/><Relationship Id="rId76" Type="http://schemas.openxmlformats.org/officeDocument/2006/relationships/queryTable" Target="../queryTables/queryTable663.xml"/><Relationship Id="rId97" Type="http://schemas.openxmlformats.org/officeDocument/2006/relationships/queryTable" Target="../queryTables/queryTable684.xml"/><Relationship Id="rId120" Type="http://schemas.openxmlformats.org/officeDocument/2006/relationships/queryTable" Target="../queryTables/queryTable707.xml"/><Relationship Id="rId141" Type="http://schemas.openxmlformats.org/officeDocument/2006/relationships/queryTable" Target="../queryTables/queryTable728.xml"/><Relationship Id="rId358" Type="http://schemas.openxmlformats.org/officeDocument/2006/relationships/queryTable" Target="../queryTables/queryTable945.xml"/><Relationship Id="rId379" Type="http://schemas.openxmlformats.org/officeDocument/2006/relationships/queryTable" Target="../queryTables/queryTable966.xml"/><Relationship Id="rId7" Type="http://schemas.openxmlformats.org/officeDocument/2006/relationships/queryTable" Target="../queryTables/queryTable594.xml"/><Relationship Id="rId162" Type="http://schemas.openxmlformats.org/officeDocument/2006/relationships/queryTable" Target="../queryTables/queryTable749.xml"/><Relationship Id="rId183" Type="http://schemas.openxmlformats.org/officeDocument/2006/relationships/queryTable" Target="../queryTables/queryTable770.xml"/><Relationship Id="rId218" Type="http://schemas.openxmlformats.org/officeDocument/2006/relationships/queryTable" Target="../queryTables/queryTable805.xml"/><Relationship Id="rId239" Type="http://schemas.openxmlformats.org/officeDocument/2006/relationships/queryTable" Target="../queryTables/queryTable826.xml"/><Relationship Id="rId390" Type="http://schemas.openxmlformats.org/officeDocument/2006/relationships/queryTable" Target="../queryTables/queryTable977.xml"/><Relationship Id="rId404" Type="http://schemas.openxmlformats.org/officeDocument/2006/relationships/queryTable" Target="../queryTables/queryTable991.xml"/><Relationship Id="rId425" Type="http://schemas.openxmlformats.org/officeDocument/2006/relationships/queryTable" Target="../queryTables/queryTable1012.xml"/><Relationship Id="rId250" Type="http://schemas.openxmlformats.org/officeDocument/2006/relationships/queryTable" Target="../queryTables/queryTable837.xml"/><Relationship Id="rId271" Type="http://schemas.openxmlformats.org/officeDocument/2006/relationships/queryTable" Target="../queryTables/queryTable858.xml"/><Relationship Id="rId292" Type="http://schemas.openxmlformats.org/officeDocument/2006/relationships/queryTable" Target="../queryTables/queryTable879.xml"/><Relationship Id="rId306" Type="http://schemas.openxmlformats.org/officeDocument/2006/relationships/queryTable" Target="../queryTables/queryTable893.xml"/><Relationship Id="rId24" Type="http://schemas.openxmlformats.org/officeDocument/2006/relationships/queryTable" Target="../queryTables/queryTable611.xml"/><Relationship Id="rId45" Type="http://schemas.openxmlformats.org/officeDocument/2006/relationships/queryTable" Target="../queryTables/queryTable632.xml"/><Relationship Id="rId66" Type="http://schemas.openxmlformats.org/officeDocument/2006/relationships/queryTable" Target="../queryTables/queryTable653.xml"/><Relationship Id="rId87" Type="http://schemas.openxmlformats.org/officeDocument/2006/relationships/queryTable" Target="../queryTables/queryTable674.xml"/><Relationship Id="rId110" Type="http://schemas.openxmlformats.org/officeDocument/2006/relationships/queryTable" Target="../queryTables/queryTable697.xml"/><Relationship Id="rId131" Type="http://schemas.openxmlformats.org/officeDocument/2006/relationships/queryTable" Target="../queryTables/queryTable718.xml"/><Relationship Id="rId327" Type="http://schemas.openxmlformats.org/officeDocument/2006/relationships/queryTable" Target="../queryTables/queryTable914.xml"/><Relationship Id="rId348" Type="http://schemas.openxmlformats.org/officeDocument/2006/relationships/queryTable" Target="../queryTables/queryTable935.xml"/><Relationship Id="rId369" Type="http://schemas.openxmlformats.org/officeDocument/2006/relationships/queryTable" Target="../queryTables/queryTable956.xml"/><Relationship Id="rId152" Type="http://schemas.openxmlformats.org/officeDocument/2006/relationships/queryTable" Target="../queryTables/queryTable739.xml"/><Relationship Id="rId173" Type="http://schemas.openxmlformats.org/officeDocument/2006/relationships/queryTable" Target="../queryTables/queryTable760.xml"/><Relationship Id="rId194" Type="http://schemas.openxmlformats.org/officeDocument/2006/relationships/queryTable" Target="../queryTables/queryTable781.xml"/><Relationship Id="rId208" Type="http://schemas.openxmlformats.org/officeDocument/2006/relationships/queryTable" Target="../queryTables/queryTable795.xml"/><Relationship Id="rId229" Type="http://schemas.openxmlformats.org/officeDocument/2006/relationships/queryTable" Target="../queryTables/queryTable816.xml"/><Relationship Id="rId380" Type="http://schemas.openxmlformats.org/officeDocument/2006/relationships/queryTable" Target="../queryTables/queryTable967.xml"/><Relationship Id="rId415" Type="http://schemas.openxmlformats.org/officeDocument/2006/relationships/queryTable" Target="../queryTables/queryTable1002.xml"/><Relationship Id="rId436" Type="http://schemas.openxmlformats.org/officeDocument/2006/relationships/queryTable" Target="../queryTables/queryTable1023.xml"/><Relationship Id="rId240" Type="http://schemas.openxmlformats.org/officeDocument/2006/relationships/queryTable" Target="../queryTables/queryTable827.xml"/><Relationship Id="rId261" Type="http://schemas.openxmlformats.org/officeDocument/2006/relationships/queryTable" Target="../queryTables/queryTable848.xml"/><Relationship Id="rId14" Type="http://schemas.openxmlformats.org/officeDocument/2006/relationships/queryTable" Target="../queryTables/queryTable601.xml"/><Relationship Id="rId35" Type="http://schemas.openxmlformats.org/officeDocument/2006/relationships/queryTable" Target="../queryTables/queryTable622.xml"/><Relationship Id="rId56" Type="http://schemas.openxmlformats.org/officeDocument/2006/relationships/queryTable" Target="../queryTables/queryTable643.xml"/><Relationship Id="rId77" Type="http://schemas.openxmlformats.org/officeDocument/2006/relationships/queryTable" Target="../queryTables/queryTable664.xml"/><Relationship Id="rId100" Type="http://schemas.openxmlformats.org/officeDocument/2006/relationships/queryTable" Target="../queryTables/queryTable687.xml"/><Relationship Id="rId282" Type="http://schemas.openxmlformats.org/officeDocument/2006/relationships/queryTable" Target="../queryTables/queryTable869.xml"/><Relationship Id="rId317" Type="http://schemas.openxmlformats.org/officeDocument/2006/relationships/queryTable" Target="../queryTables/queryTable904.xml"/><Relationship Id="rId338" Type="http://schemas.openxmlformats.org/officeDocument/2006/relationships/queryTable" Target="../queryTables/queryTable925.xml"/><Relationship Id="rId359" Type="http://schemas.openxmlformats.org/officeDocument/2006/relationships/queryTable" Target="../queryTables/queryTable946.xml"/><Relationship Id="rId8" Type="http://schemas.openxmlformats.org/officeDocument/2006/relationships/queryTable" Target="../queryTables/queryTable595.xml"/><Relationship Id="rId98" Type="http://schemas.openxmlformats.org/officeDocument/2006/relationships/queryTable" Target="../queryTables/queryTable685.xml"/><Relationship Id="rId121" Type="http://schemas.openxmlformats.org/officeDocument/2006/relationships/queryTable" Target="../queryTables/queryTable708.xml"/><Relationship Id="rId142" Type="http://schemas.openxmlformats.org/officeDocument/2006/relationships/queryTable" Target="../queryTables/queryTable729.xml"/><Relationship Id="rId163" Type="http://schemas.openxmlformats.org/officeDocument/2006/relationships/queryTable" Target="../queryTables/queryTable750.xml"/><Relationship Id="rId184" Type="http://schemas.openxmlformats.org/officeDocument/2006/relationships/queryTable" Target="../queryTables/queryTable771.xml"/><Relationship Id="rId219" Type="http://schemas.openxmlformats.org/officeDocument/2006/relationships/queryTable" Target="../queryTables/queryTable806.xml"/><Relationship Id="rId370" Type="http://schemas.openxmlformats.org/officeDocument/2006/relationships/queryTable" Target="../queryTables/queryTable957.xml"/><Relationship Id="rId391" Type="http://schemas.openxmlformats.org/officeDocument/2006/relationships/queryTable" Target="../queryTables/queryTable978.xml"/><Relationship Id="rId405" Type="http://schemas.openxmlformats.org/officeDocument/2006/relationships/queryTable" Target="../queryTables/queryTable992.xml"/><Relationship Id="rId426" Type="http://schemas.openxmlformats.org/officeDocument/2006/relationships/queryTable" Target="../queryTables/queryTable1013.xml"/><Relationship Id="rId230" Type="http://schemas.openxmlformats.org/officeDocument/2006/relationships/queryTable" Target="../queryTables/queryTable817.xml"/><Relationship Id="rId251" Type="http://schemas.openxmlformats.org/officeDocument/2006/relationships/queryTable" Target="../queryTables/queryTable838.xml"/><Relationship Id="rId25" Type="http://schemas.openxmlformats.org/officeDocument/2006/relationships/queryTable" Target="../queryTables/queryTable612.xml"/><Relationship Id="rId46" Type="http://schemas.openxmlformats.org/officeDocument/2006/relationships/queryTable" Target="../queryTables/queryTable633.xml"/><Relationship Id="rId67" Type="http://schemas.openxmlformats.org/officeDocument/2006/relationships/queryTable" Target="../queryTables/queryTable654.xml"/><Relationship Id="rId272" Type="http://schemas.openxmlformats.org/officeDocument/2006/relationships/queryTable" Target="../queryTables/queryTable859.xml"/><Relationship Id="rId293" Type="http://schemas.openxmlformats.org/officeDocument/2006/relationships/queryTable" Target="../queryTables/queryTable880.xml"/><Relationship Id="rId307" Type="http://schemas.openxmlformats.org/officeDocument/2006/relationships/queryTable" Target="../queryTables/queryTable894.xml"/><Relationship Id="rId328" Type="http://schemas.openxmlformats.org/officeDocument/2006/relationships/queryTable" Target="../queryTables/queryTable915.xml"/><Relationship Id="rId349" Type="http://schemas.openxmlformats.org/officeDocument/2006/relationships/queryTable" Target="../queryTables/queryTable936.xml"/><Relationship Id="rId88" Type="http://schemas.openxmlformats.org/officeDocument/2006/relationships/queryTable" Target="../queryTables/queryTable675.xml"/><Relationship Id="rId111" Type="http://schemas.openxmlformats.org/officeDocument/2006/relationships/queryTable" Target="../queryTables/queryTable698.xml"/><Relationship Id="rId132" Type="http://schemas.openxmlformats.org/officeDocument/2006/relationships/queryTable" Target="../queryTables/queryTable719.xml"/><Relationship Id="rId153" Type="http://schemas.openxmlformats.org/officeDocument/2006/relationships/queryTable" Target="../queryTables/queryTable740.xml"/><Relationship Id="rId174" Type="http://schemas.openxmlformats.org/officeDocument/2006/relationships/queryTable" Target="../queryTables/queryTable761.xml"/><Relationship Id="rId195" Type="http://schemas.openxmlformats.org/officeDocument/2006/relationships/queryTable" Target="../queryTables/queryTable782.xml"/><Relationship Id="rId209" Type="http://schemas.openxmlformats.org/officeDocument/2006/relationships/queryTable" Target="../queryTables/queryTable796.xml"/><Relationship Id="rId360" Type="http://schemas.openxmlformats.org/officeDocument/2006/relationships/queryTable" Target="../queryTables/queryTable947.xml"/><Relationship Id="rId381" Type="http://schemas.openxmlformats.org/officeDocument/2006/relationships/queryTable" Target="../queryTables/queryTable968.xml"/><Relationship Id="rId416" Type="http://schemas.openxmlformats.org/officeDocument/2006/relationships/queryTable" Target="../queryTables/queryTable1003.xml"/><Relationship Id="rId220" Type="http://schemas.openxmlformats.org/officeDocument/2006/relationships/queryTable" Target="../queryTables/queryTable807.xml"/><Relationship Id="rId241" Type="http://schemas.openxmlformats.org/officeDocument/2006/relationships/queryTable" Target="../queryTables/queryTable828.xml"/><Relationship Id="rId437" Type="http://schemas.openxmlformats.org/officeDocument/2006/relationships/queryTable" Target="../queryTables/queryTable1024.xml"/><Relationship Id="rId15" Type="http://schemas.openxmlformats.org/officeDocument/2006/relationships/queryTable" Target="../queryTables/queryTable602.xml"/><Relationship Id="rId36" Type="http://schemas.openxmlformats.org/officeDocument/2006/relationships/queryTable" Target="../queryTables/queryTable623.xml"/><Relationship Id="rId57" Type="http://schemas.openxmlformats.org/officeDocument/2006/relationships/queryTable" Target="../queryTables/queryTable644.xml"/><Relationship Id="rId262" Type="http://schemas.openxmlformats.org/officeDocument/2006/relationships/queryTable" Target="../queryTables/queryTable849.xml"/><Relationship Id="rId283" Type="http://schemas.openxmlformats.org/officeDocument/2006/relationships/queryTable" Target="../queryTables/queryTable870.xml"/><Relationship Id="rId318" Type="http://schemas.openxmlformats.org/officeDocument/2006/relationships/queryTable" Target="../queryTables/queryTable905.xml"/><Relationship Id="rId339" Type="http://schemas.openxmlformats.org/officeDocument/2006/relationships/queryTable" Target="../queryTables/queryTable926.xml"/><Relationship Id="rId78" Type="http://schemas.openxmlformats.org/officeDocument/2006/relationships/queryTable" Target="../queryTables/queryTable665.xml"/><Relationship Id="rId99" Type="http://schemas.openxmlformats.org/officeDocument/2006/relationships/queryTable" Target="../queryTables/queryTable686.xml"/><Relationship Id="rId101" Type="http://schemas.openxmlformats.org/officeDocument/2006/relationships/queryTable" Target="../queryTables/queryTable688.xml"/><Relationship Id="rId122" Type="http://schemas.openxmlformats.org/officeDocument/2006/relationships/queryTable" Target="../queryTables/queryTable709.xml"/><Relationship Id="rId143" Type="http://schemas.openxmlformats.org/officeDocument/2006/relationships/queryTable" Target="../queryTables/queryTable730.xml"/><Relationship Id="rId164" Type="http://schemas.openxmlformats.org/officeDocument/2006/relationships/queryTable" Target="../queryTables/queryTable751.xml"/><Relationship Id="rId185" Type="http://schemas.openxmlformats.org/officeDocument/2006/relationships/queryTable" Target="../queryTables/queryTable772.xml"/><Relationship Id="rId350" Type="http://schemas.openxmlformats.org/officeDocument/2006/relationships/queryTable" Target="../queryTables/queryTable937.xml"/><Relationship Id="rId371" Type="http://schemas.openxmlformats.org/officeDocument/2006/relationships/queryTable" Target="../queryTables/queryTable958.xml"/><Relationship Id="rId406" Type="http://schemas.openxmlformats.org/officeDocument/2006/relationships/queryTable" Target="../queryTables/queryTable993.xml"/><Relationship Id="rId9" Type="http://schemas.openxmlformats.org/officeDocument/2006/relationships/queryTable" Target="../queryTables/queryTable596.xml"/><Relationship Id="rId210" Type="http://schemas.openxmlformats.org/officeDocument/2006/relationships/queryTable" Target="../queryTables/queryTable797.xml"/><Relationship Id="rId392" Type="http://schemas.openxmlformats.org/officeDocument/2006/relationships/queryTable" Target="../queryTables/queryTable979.xml"/><Relationship Id="rId427" Type="http://schemas.openxmlformats.org/officeDocument/2006/relationships/queryTable" Target="../queryTables/queryTable1014.xml"/><Relationship Id="rId26" Type="http://schemas.openxmlformats.org/officeDocument/2006/relationships/queryTable" Target="../queryTables/queryTable613.xml"/><Relationship Id="rId231" Type="http://schemas.openxmlformats.org/officeDocument/2006/relationships/queryTable" Target="../queryTables/queryTable818.xml"/><Relationship Id="rId252" Type="http://schemas.openxmlformats.org/officeDocument/2006/relationships/queryTable" Target="../queryTables/queryTable839.xml"/><Relationship Id="rId273" Type="http://schemas.openxmlformats.org/officeDocument/2006/relationships/queryTable" Target="../queryTables/queryTable860.xml"/><Relationship Id="rId294" Type="http://schemas.openxmlformats.org/officeDocument/2006/relationships/queryTable" Target="../queryTables/queryTable881.xml"/><Relationship Id="rId308" Type="http://schemas.openxmlformats.org/officeDocument/2006/relationships/queryTable" Target="../queryTables/queryTable895.xml"/><Relationship Id="rId329" Type="http://schemas.openxmlformats.org/officeDocument/2006/relationships/queryTable" Target="../queryTables/queryTable916.xml"/><Relationship Id="rId47" Type="http://schemas.openxmlformats.org/officeDocument/2006/relationships/queryTable" Target="../queryTables/queryTable634.xml"/><Relationship Id="rId68" Type="http://schemas.openxmlformats.org/officeDocument/2006/relationships/queryTable" Target="../queryTables/queryTable655.xml"/><Relationship Id="rId89" Type="http://schemas.openxmlformats.org/officeDocument/2006/relationships/queryTable" Target="../queryTables/queryTable676.xml"/><Relationship Id="rId112" Type="http://schemas.openxmlformats.org/officeDocument/2006/relationships/queryTable" Target="../queryTables/queryTable699.xml"/><Relationship Id="rId133" Type="http://schemas.openxmlformats.org/officeDocument/2006/relationships/queryTable" Target="../queryTables/queryTable720.xml"/><Relationship Id="rId154" Type="http://schemas.openxmlformats.org/officeDocument/2006/relationships/queryTable" Target="../queryTables/queryTable741.xml"/><Relationship Id="rId175" Type="http://schemas.openxmlformats.org/officeDocument/2006/relationships/queryTable" Target="../queryTables/queryTable762.xml"/><Relationship Id="rId340" Type="http://schemas.openxmlformats.org/officeDocument/2006/relationships/queryTable" Target="../queryTables/queryTable927.xml"/><Relationship Id="rId361" Type="http://schemas.openxmlformats.org/officeDocument/2006/relationships/queryTable" Target="../queryTables/queryTable948.xml"/><Relationship Id="rId196" Type="http://schemas.openxmlformats.org/officeDocument/2006/relationships/queryTable" Target="../queryTables/queryTable783.xml"/><Relationship Id="rId200" Type="http://schemas.openxmlformats.org/officeDocument/2006/relationships/queryTable" Target="../queryTables/queryTable787.xml"/><Relationship Id="rId382" Type="http://schemas.openxmlformats.org/officeDocument/2006/relationships/queryTable" Target="../queryTables/queryTable969.xml"/><Relationship Id="rId417" Type="http://schemas.openxmlformats.org/officeDocument/2006/relationships/queryTable" Target="../queryTables/queryTable1004.xml"/><Relationship Id="rId438" Type="http://schemas.openxmlformats.org/officeDocument/2006/relationships/queryTable" Target="../queryTables/queryTable1025.xml"/><Relationship Id="rId16" Type="http://schemas.openxmlformats.org/officeDocument/2006/relationships/queryTable" Target="../queryTables/queryTable603.xml"/><Relationship Id="rId221" Type="http://schemas.openxmlformats.org/officeDocument/2006/relationships/queryTable" Target="../queryTables/queryTable808.xml"/><Relationship Id="rId242" Type="http://schemas.openxmlformats.org/officeDocument/2006/relationships/queryTable" Target="../queryTables/queryTable829.xml"/><Relationship Id="rId263" Type="http://schemas.openxmlformats.org/officeDocument/2006/relationships/queryTable" Target="../queryTables/queryTable850.xml"/><Relationship Id="rId284" Type="http://schemas.openxmlformats.org/officeDocument/2006/relationships/queryTable" Target="../queryTables/queryTable871.xml"/><Relationship Id="rId319" Type="http://schemas.openxmlformats.org/officeDocument/2006/relationships/queryTable" Target="../queryTables/queryTable906.xml"/><Relationship Id="rId37" Type="http://schemas.openxmlformats.org/officeDocument/2006/relationships/queryTable" Target="../queryTables/queryTable624.xml"/><Relationship Id="rId58" Type="http://schemas.openxmlformats.org/officeDocument/2006/relationships/queryTable" Target="../queryTables/queryTable645.xml"/><Relationship Id="rId79" Type="http://schemas.openxmlformats.org/officeDocument/2006/relationships/queryTable" Target="../queryTables/queryTable666.xml"/><Relationship Id="rId102" Type="http://schemas.openxmlformats.org/officeDocument/2006/relationships/queryTable" Target="../queryTables/queryTable689.xml"/><Relationship Id="rId123" Type="http://schemas.openxmlformats.org/officeDocument/2006/relationships/queryTable" Target="../queryTables/queryTable710.xml"/><Relationship Id="rId144" Type="http://schemas.openxmlformats.org/officeDocument/2006/relationships/queryTable" Target="../queryTables/queryTable731.xml"/><Relationship Id="rId330" Type="http://schemas.openxmlformats.org/officeDocument/2006/relationships/queryTable" Target="../queryTables/queryTable917.xml"/><Relationship Id="rId90" Type="http://schemas.openxmlformats.org/officeDocument/2006/relationships/queryTable" Target="../queryTables/queryTable677.xml"/><Relationship Id="rId165" Type="http://schemas.openxmlformats.org/officeDocument/2006/relationships/queryTable" Target="../queryTables/queryTable752.xml"/><Relationship Id="rId186" Type="http://schemas.openxmlformats.org/officeDocument/2006/relationships/queryTable" Target="../queryTables/queryTable773.xml"/><Relationship Id="rId351" Type="http://schemas.openxmlformats.org/officeDocument/2006/relationships/queryTable" Target="../queryTables/queryTable938.xml"/><Relationship Id="rId372" Type="http://schemas.openxmlformats.org/officeDocument/2006/relationships/queryTable" Target="../queryTables/queryTable959.xml"/><Relationship Id="rId393" Type="http://schemas.openxmlformats.org/officeDocument/2006/relationships/queryTable" Target="../queryTables/queryTable980.xml"/><Relationship Id="rId407" Type="http://schemas.openxmlformats.org/officeDocument/2006/relationships/queryTable" Target="../queryTables/queryTable994.xml"/><Relationship Id="rId428" Type="http://schemas.openxmlformats.org/officeDocument/2006/relationships/queryTable" Target="../queryTables/queryTable1015.xml"/><Relationship Id="rId211" Type="http://schemas.openxmlformats.org/officeDocument/2006/relationships/queryTable" Target="../queryTables/queryTable798.xml"/><Relationship Id="rId232" Type="http://schemas.openxmlformats.org/officeDocument/2006/relationships/queryTable" Target="../queryTables/queryTable819.xml"/><Relationship Id="rId253" Type="http://schemas.openxmlformats.org/officeDocument/2006/relationships/queryTable" Target="../queryTables/queryTable840.xml"/><Relationship Id="rId274" Type="http://schemas.openxmlformats.org/officeDocument/2006/relationships/queryTable" Target="../queryTables/queryTable861.xml"/><Relationship Id="rId295" Type="http://schemas.openxmlformats.org/officeDocument/2006/relationships/queryTable" Target="../queryTables/queryTable882.xml"/><Relationship Id="rId309" Type="http://schemas.openxmlformats.org/officeDocument/2006/relationships/queryTable" Target="../queryTables/queryTable896.xml"/><Relationship Id="rId27" Type="http://schemas.openxmlformats.org/officeDocument/2006/relationships/queryTable" Target="../queryTables/queryTable614.xml"/><Relationship Id="rId48" Type="http://schemas.openxmlformats.org/officeDocument/2006/relationships/queryTable" Target="../queryTables/queryTable635.xml"/><Relationship Id="rId69" Type="http://schemas.openxmlformats.org/officeDocument/2006/relationships/queryTable" Target="../queryTables/queryTable656.xml"/><Relationship Id="rId113" Type="http://schemas.openxmlformats.org/officeDocument/2006/relationships/queryTable" Target="../queryTables/queryTable700.xml"/><Relationship Id="rId134" Type="http://schemas.openxmlformats.org/officeDocument/2006/relationships/queryTable" Target="../queryTables/queryTable721.xml"/><Relationship Id="rId320" Type="http://schemas.openxmlformats.org/officeDocument/2006/relationships/queryTable" Target="../queryTables/queryTable907.xml"/><Relationship Id="rId80" Type="http://schemas.openxmlformats.org/officeDocument/2006/relationships/queryTable" Target="../queryTables/queryTable667.xml"/><Relationship Id="rId155" Type="http://schemas.openxmlformats.org/officeDocument/2006/relationships/queryTable" Target="../queryTables/queryTable742.xml"/><Relationship Id="rId176" Type="http://schemas.openxmlformats.org/officeDocument/2006/relationships/queryTable" Target="../queryTables/queryTable763.xml"/><Relationship Id="rId197" Type="http://schemas.openxmlformats.org/officeDocument/2006/relationships/queryTable" Target="../queryTables/queryTable784.xml"/><Relationship Id="rId341" Type="http://schemas.openxmlformats.org/officeDocument/2006/relationships/queryTable" Target="../queryTables/queryTable928.xml"/><Relationship Id="rId362" Type="http://schemas.openxmlformats.org/officeDocument/2006/relationships/queryTable" Target="../queryTables/queryTable949.xml"/><Relationship Id="rId383" Type="http://schemas.openxmlformats.org/officeDocument/2006/relationships/queryTable" Target="../queryTables/queryTable970.xml"/><Relationship Id="rId418" Type="http://schemas.openxmlformats.org/officeDocument/2006/relationships/queryTable" Target="../queryTables/queryTable1005.xml"/><Relationship Id="rId439" Type="http://schemas.openxmlformats.org/officeDocument/2006/relationships/queryTable" Target="../queryTables/queryTable1026.xml"/><Relationship Id="rId201" Type="http://schemas.openxmlformats.org/officeDocument/2006/relationships/queryTable" Target="../queryTables/queryTable788.xml"/><Relationship Id="rId222" Type="http://schemas.openxmlformats.org/officeDocument/2006/relationships/queryTable" Target="../queryTables/queryTable809.xml"/><Relationship Id="rId243" Type="http://schemas.openxmlformats.org/officeDocument/2006/relationships/queryTable" Target="../queryTables/queryTable830.xml"/><Relationship Id="rId264" Type="http://schemas.openxmlformats.org/officeDocument/2006/relationships/queryTable" Target="../queryTables/queryTable851.xml"/><Relationship Id="rId285" Type="http://schemas.openxmlformats.org/officeDocument/2006/relationships/queryTable" Target="../queryTables/queryTable872.xml"/><Relationship Id="rId17" Type="http://schemas.openxmlformats.org/officeDocument/2006/relationships/queryTable" Target="../queryTables/queryTable604.xml"/><Relationship Id="rId38" Type="http://schemas.openxmlformats.org/officeDocument/2006/relationships/queryTable" Target="../queryTables/queryTable625.xml"/><Relationship Id="rId59" Type="http://schemas.openxmlformats.org/officeDocument/2006/relationships/queryTable" Target="../queryTables/queryTable646.xml"/><Relationship Id="rId103" Type="http://schemas.openxmlformats.org/officeDocument/2006/relationships/queryTable" Target="../queryTables/queryTable690.xml"/><Relationship Id="rId124" Type="http://schemas.openxmlformats.org/officeDocument/2006/relationships/queryTable" Target="../queryTables/queryTable711.xml"/><Relationship Id="rId310" Type="http://schemas.openxmlformats.org/officeDocument/2006/relationships/queryTable" Target="../queryTables/queryTable897.xml"/><Relationship Id="rId70" Type="http://schemas.openxmlformats.org/officeDocument/2006/relationships/queryTable" Target="../queryTables/queryTable657.xml"/><Relationship Id="rId91" Type="http://schemas.openxmlformats.org/officeDocument/2006/relationships/queryTable" Target="../queryTables/queryTable678.xml"/><Relationship Id="rId145" Type="http://schemas.openxmlformats.org/officeDocument/2006/relationships/queryTable" Target="../queryTables/queryTable732.xml"/><Relationship Id="rId166" Type="http://schemas.openxmlformats.org/officeDocument/2006/relationships/queryTable" Target="../queryTables/queryTable753.xml"/><Relationship Id="rId187" Type="http://schemas.openxmlformats.org/officeDocument/2006/relationships/queryTable" Target="../queryTables/queryTable774.xml"/><Relationship Id="rId331" Type="http://schemas.openxmlformats.org/officeDocument/2006/relationships/queryTable" Target="../queryTables/queryTable918.xml"/><Relationship Id="rId352" Type="http://schemas.openxmlformats.org/officeDocument/2006/relationships/queryTable" Target="../queryTables/queryTable939.xml"/><Relationship Id="rId373" Type="http://schemas.openxmlformats.org/officeDocument/2006/relationships/queryTable" Target="../queryTables/queryTable960.xml"/><Relationship Id="rId394" Type="http://schemas.openxmlformats.org/officeDocument/2006/relationships/queryTable" Target="../queryTables/queryTable981.xml"/><Relationship Id="rId408" Type="http://schemas.openxmlformats.org/officeDocument/2006/relationships/queryTable" Target="../queryTables/queryTable995.xml"/><Relationship Id="rId429" Type="http://schemas.openxmlformats.org/officeDocument/2006/relationships/queryTable" Target="../queryTables/queryTable1016.xml"/><Relationship Id="rId1" Type="http://schemas.openxmlformats.org/officeDocument/2006/relationships/printerSettings" Target="../printerSettings/printerSettings4.bin"/><Relationship Id="rId212" Type="http://schemas.openxmlformats.org/officeDocument/2006/relationships/queryTable" Target="../queryTables/queryTable799.xml"/><Relationship Id="rId233" Type="http://schemas.openxmlformats.org/officeDocument/2006/relationships/queryTable" Target="../queryTables/queryTable820.xml"/><Relationship Id="rId254" Type="http://schemas.openxmlformats.org/officeDocument/2006/relationships/queryTable" Target="../queryTables/queryTable841.xml"/><Relationship Id="rId440" Type="http://schemas.openxmlformats.org/officeDocument/2006/relationships/queryTable" Target="../queryTables/queryTable1027.xml"/><Relationship Id="rId28" Type="http://schemas.openxmlformats.org/officeDocument/2006/relationships/queryTable" Target="../queryTables/queryTable615.xml"/><Relationship Id="rId49" Type="http://schemas.openxmlformats.org/officeDocument/2006/relationships/queryTable" Target="../queryTables/queryTable636.xml"/><Relationship Id="rId114" Type="http://schemas.openxmlformats.org/officeDocument/2006/relationships/queryTable" Target="../queryTables/queryTable701.xml"/><Relationship Id="rId275" Type="http://schemas.openxmlformats.org/officeDocument/2006/relationships/queryTable" Target="../queryTables/queryTable862.xml"/><Relationship Id="rId296" Type="http://schemas.openxmlformats.org/officeDocument/2006/relationships/queryTable" Target="../queryTables/queryTable883.xml"/><Relationship Id="rId300" Type="http://schemas.openxmlformats.org/officeDocument/2006/relationships/queryTable" Target="../queryTables/queryTable887.xml"/><Relationship Id="rId60" Type="http://schemas.openxmlformats.org/officeDocument/2006/relationships/queryTable" Target="../queryTables/queryTable647.xml"/><Relationship Id="rId81" Type="http://schemas.openxmlformats.org/officeDocument/2006/relationships/queryTable" Target="../queryTables/queryTable668.xml"/><Relationship Id="rId135" Type="http://schemas.openxmlformats.org/officeDocument/2006/relationships/queryTable" Target="../queryTables/queryTable722.xml"/><Relationship Id="rId156" Type="http://schemas.openxmlformats.org/officeDocument/2006/relationships/queryTable" Target="../queryTables/queryTable743.xml"/><Relationship Id="rId177" Type="http://schemas.openxmlformats.org/officeDocument/2006/relationships/queryTable" Target="../queryTables/queryTable764.xml"/><Relationship Id="rId198" Type="http://schemas.openxmlformats.org/officeDocument/2006/relationships/queryTable" Target="../queryTables/queryTable785.xml"/><Relationship Id="rId321" Type="http://schemas.openxmlformats.org/officeDocument/2006/relationships/queryTable" Target="../queryTables/queryTable908.xml"/><Relationship Id="rId342" Type="http://schemas.openxmlformats.org/officeDocument/2006/relationships/queryTable" Target="../queryTables/queryTable929.xml"/><Relationship Id="rId363" Type="http://schemas.openxmlformats.org/officeDocument/2006/relationships/queryTable" Target="../queryTables/queryTable950.xml"/><Relationship Id="rId384" Type="http://schemas.openxmlformats.org/officeDocument/2006/relationships/queryTable" Target="../queryTables/queryTable971.xml"/><Relationship Id="rId419" Type="http://schemas.openxmlformats.org/officeDocument/2006/relationships/queryTable" Target="../queryTables/queryTable1006.xml"/><Relationship Id="rId202" Type="http://schemas.openxmlformats.org/officeDocument/2006/relationships/queryTable" Target="../queryTables/queryTable789.xml"/><Relationship Id="rId223" Type="http://schemas.openxmlformats.org/officeDocument/2006/relationships/queryTable" Target="../queryTables/queryTable810.xml"/><Relationship Id="rId244" Type="http://schemas.openxmlformats.org/officeDocument/2006/relationships/queryTable" Target="../queryTables/queryTable831.xml"/><Relationship Id="rId430" Type="http://schemas.openxmlformats.org/officeDocument/2006/relationships/queryTable" Target="../queryTables/queryTable1017.xml"/><Relationship Id="rId18" Type="http://schemas.openxmlformats.org/officeDocument/2006/relationships/queryTable" Target="../queryTables/queryTable605.xml"/><Relationship Id="rId39" Type="http://schemas.openxmlformats.org/officeDocument/2006/relationships/queryTable" Target="../queryTables/queryTable626.xml"/><Relationship Id="rId265" Type="http://schemas.openxmlformats.org/officeDocument/2006/relationships/queryTable" Target="../queryTables/queryTable852.xml"/><Relationship Id="rId286" Type="http://schemas.openxmlformats.org/officeDocument/2006/relationships/queryTable" Target="../queryTables/queryTable873.xml"/><Relationship Id="rId50" Type="http://schemas.openxmlformats.org/officeDocument/2006/relationships/queryTable" Target="../queryTables/queryTable637.xml"/><Relationship Id="rId104" Type="http://schemas.openxmlformats.org/officeDocument/2006/relationships/queryTable" Target="../queryTables/queryTable691.xml"/><Relationship Id="rId125" Type="http://schemas.openxmlformats.org/officeDocument/2006/relationships/queryTable" Target="../queryTables/queryTable712.xml"/><Relationship Id="rId146" Type="http://schemas.openxmlformats.org/officeDocument/2006/relationships/queryTable" Target="../queryTables/queryTable733.xml"/><Relationship Id="rId167" Type="http://schemas.openxmlformats.org/officeDocument/2006/relationships/queryTable" Target="../queryTables/queryTable754.xml"/><Relationship Id="rId188" Type="http://schemas.openxmlformats.org/officeDocument/2006/relationships/queryTable" Target="../queryTables/queryTable775.xml"/><Relationship Id="rId311" Type="http://schemas.openxmlformats.org/officeDocument/2006/relationships/queryTable" Target="../queryTables/queryTable898.xml"/><Relationship Id="rId332" Type="http://schemas.openxmlformats.org/officeDocument/2006/relationships/queryTable" Target="../queryTables/queryTable919.xml"/><Relationship Id="rId353" Type="http://schemas.openxmlformats.org/officeDocument/2006/relationships/queryTable" Target="../queryTables/queryTable940.xml"/><Relationship Id="rId374" Type="http://schemas.openxmlformats.org/officeDocument/2006/relationships/queryTable" Target="../queryTables/queryTable961.xml"/><Relationship Id="rId395" Type="http://schemas.openxmlformats.org/officeDocument/2006/relationships/queryTable" Target="../queryTables/queryTable982.xml"/><Relationship Id="rId409" Type="http://schemas.openxmlformats.org/officeDocument/2006/relationships/queryTable" Target="../queryTables/queryTable996.xml"/><Relationship Id="rId71" Type="http://schemas.openxmlformats.org/officeDocument/2006/relationships/queryTable" Target="../queryTables/queryTable658.xml"/><Relationship Id="rId92" Type="http://schemas.openxmlformats.org/officeDocument/2006/relationships/queryTable" Target="../queryTables/queryTable679.xml"/><Relationship Id="rId213" Type="http://schemas.openxmlformats.org/officeDocument/2006/relationships/queryTable" Target="../queryTables/queryTable800.xml"/><Relationship Id="rId234" Type="http://schemas.openxmlformats.org/officeDocument/2006/relationships/queryTable" Target="../queryTables/queryTable821.xml"/><Relationship Id="rId420" Type="http://schemas.openxmlformats.org/officeDocument/2006/relationships/queryTable" Target="../queryTables/queryTable1007.xml"/><Relationship Id="rId2" Type="http://schemas.openxmlformats.org/officeDocument/2006/relationships/drawing" Target="../drawings/drawing3.xml"/><Relationship Id="rId29" Type="http://schemas.openxmlformats.org/officeDocument/2006/relationships/queryTable" Target="../queryTables/queryTable616.xml"/><Relationship Id="rId255" Type="http://schemas.openxmlformats.org/officeDocument/2006/relationships/queryTable" Target="../queryTables/queryTable842.xml"/><Relationship Id="rId276" Type="http://schemas.openxmlformats.org/officeDocument/2006/relationships/queryTable" Target="../queryTables/queryTable863.xml"/><Relationship Id="rId297" Type="http://schemas.openxmlformats.org/officeDocument/2006/relationships/queryTable" Target="../queryTables/queryTable884.xml"/><Relationship Id="rId441" Type="http://schemas.openxmlformats.org/officeDocument/2006/relationships/queryTable" Target="../queryTables/queryTable1028.xml"/><Relationship Id="rId40" Type="http://schemas.openxmlformats.org/officeDocument/2006/relationships/queryTable" Target="../queryTables/queryTable627.xml"/><Relationship Id="rId115" Type="http://schemas.openxmlformats.org/officeDocument/2006/relationships/queryTable" Target="../queryTables/queryTable702.xml"/><Relationship Id="rId136" Type="http://schemas.openxmlformats.org/officeDocument/2006/relationships/queryTable" Target="../queryTables/queryTable723.xml"/><Relationship Id="rId157" Type="http://schemas.openxmlformats.org/officeDocument/2006/relationships/queryTable" Target="../queryTables/queryTable744.xml"/><Relationship Id="rId178" Type="http://schemas.openxmlformats.org/officeDocument/2006/relationships/queryTable" Target="../queryTables/queryTable765.xml"/><Relationship Id="rId301" Type="http://schemas.openxmlformats.org/officeDocument/2006/relationships/queryTable" Target="../queryTables/queryTable888.xml"/><Relationship Id="rId322" Type="http://schemas.openxmlformats.org/officeDocument/2006/relationships/queryTable" Target="../queryTables/queryTable909.xml"/><Relationship Id="rId343" Type="http://schemas.openxmlformats.org/officeDocument/2006/relationships/queryTable" Target="../queryTables/queryTable930.xml"/><Relationship Id="rId364" Type="http://schemas.openxmlformats.org/officeDocument/2006/relationships/queryTable" Target="../queryTables/queryTable951.xml"/><Relationship Id="rId61" Type="http://schemas.openxmlformats.org/officeDocument/2006/relationships/queryTable" Target="../queryTables/queryTable648.xml"/><Relationship Id="rId82" Type="http://schemas.openxmlformats.org/officeDocument/2006/relationships/queryTable" Target="../queryTables/queryTable669.xml"/><Relationship Id="rId199" Type="http://schemas.openxmlformats.org/officeDocument/2006/relationships/queryTable" Target="../queryTables/queryTable786.xml"/><Relationship Id="rId203" Type="http://schemas.openxmlformats.org/officeDocument/2006/relationships/queryTable" Target="../queryTables/queryTable790.xml"/><Relationship Id="rId385" Type="http://schemas.openxmlformats.org/officeDocument/2006/relationships/queryTable" Target="../queryTables/queryTable972.xml"/><Relationship Id="rId19" Type="http://schemas.openxmlformats.org/officeDocument/2006/relationships/queryTable" Target="../queryTables/queryTable606.xml"/><Relationship Id="rId224" Type="http://schemas.openxmlformats.org/officeDocument/2006/relationships/queryTable" Target="../queryTables/queryTable811.xml"/><Relationship Id="rId245" Type="http://schemas.openxmlformats.org/officeDocument/2006/relationships/queryTable" Target="../queryTables/queryTable832.xml"/><Relationship Id="rId266" Type="http://schemas.openxmlformats.org/officeDocument/2006/relationships/queryTable" Target="../queryTables/queryTable853.xml"/><Relationship Id="rId287" Type="http://schemas.openxmlformats.org/officeDocument/2006/relationships/queryTable" Target="../queryTables/queryTable874.xml"/><Relationship Id="rId410" Type="http://schemas.openxmlformats.org/officeDocument/2006/relationships/queryTable" Target="../queryTables/queryTable997.xml"/><Relationship Id="rId431" Type="http://schemas.openxmlformats.org/officeDocument/2006/relationships/queryTable" Target="../queryTables/queryTable1018.xml"/><Relationship Id="rId30" Type="http://schemas.openxmlformats.org/officeDocument/2006/relationships/queryTable" Target="../queryTables/queryTable617.xml"/><Relationship Id="rId105" Type="http://schemas.openxmlformats.org/officeDocument/2006/relationships/queryTable" Target="../queryTables/queryTable692.xml"/><Relationship Id="rId126" Type="http://schemas.openxmlformats.org/officeDocument/2006/relationships/queryTable" Target="../queryTables/queryTable713.xml"/><Relationship Id="rId147" Type="http://schemas.openxmlformats.org/officeDocument/2006/relationships/queryTable" Target="../queryTables/queryTable734.xml"/><Relationship Id="rId168" Type="http://schemas.openxmlformats.org/officeDocument/2006/relationships/queryTable" Target="../queryTables/queryTable755.xml"/><Relationship Id="rId312" Type="http://schemas.openxmlformats.org/officeDocument/2006/relationships/queryTable" Target="../queryTables/queryTable899.xml"/><Relationship Id="rId333" Type="http://schemas.openxmlformats.org/officeDocument/2006/relationships/queryTable" Target="../queryTables/queryTable920.xml"/><Relationship Id="rId354" Type="http://schemas.openxmlformats.org/officeDocument/2006/relationships/queryTable" Target="../queryTables/queryTable941.xml"/><Relationship Id="rId51" Type="http://schemas.openxmlformats.org/officeDocument/2006/relationships/queryTable" Target="../queryTables/queryTable638.xml"/><Relationship Id="rId72" Type="http://schemas.openxmlformats.org/officeDocument/2006/relationships/queryTable" Target="../queryTables/queryTable659.xml"/><Relationship Id="rId93" Type="http://schemas.openxmlformats.org/officeDocument/2006/relationships/queryTable" Target="../queryTables/queryTable680.xml"/><Relationship Id="rId189" Type="http://schemas.openxmlformats.org/officeDocument/2006/relationships/queryTable" Target="../queryTables/queryTable776.xml"/><Relationship Id="rId375" Type="http://schemas.openxmlformats.org/officeDocument/2006/relationships/queryTable" Target="../queryTables/queryTable962.xml"/><Relationship Id="rId396" Type="http://schemas.openxmlformats.org/officeDocument/2006/relationships/queryTable" Target="../queryTables/queryTable983.xml"/><Relationship Id="rId3" Type="http://schemas.openxmlformats.org/officeDocument/2006/relationships/vmlDrawing" Target="../drawings/vmlDrawing3.vml"/><Relationship Id="rId214" Type="http://schemas.openxmlformats.org/officeDocument/2006/relationships/queryTable" Target="../queryTables/queryTable801.xml"/><Relationship Id="rId235" Type="http://schemas.openxmlformats.org/officeDocument/2006/relationships/queryTable" Target="../queryTables/queryTable822.xml"/><Relationship Id="rId256" Type="http://schemas.openxmlformats.org/officeDocument/2006/relationships/queryTable" Target="../queryTables/queryTable843.xml"/><Relationship Id="rId277" Type="http://schemas.openxmlformats.org/officeDocument/2006/relationships/queryTable" Target="../queryTables/queryTable864.xml"/><Relationship Id="rId298" Type="http://schemas.openxmlformats.org/officeDocument/2006/relationships/queryTable" Target="../queryTables/queryTable885.xml"/><Relationship Id="rId400" Type="http://schemas.openxmlformats.org/officeDocument/2006/relationships/queryTable" Target="../queryTables/queryTable987.xml"/><Relationship Id="rId421" Type="http://schemas.openxmlformats.org/officeDocument/2006/relationships/queryTable" Target="../queryTables/queryTable1008.xml"/><Relationship Id="rId116" Type="http://schemas.openxmlformats.org/officeDocument/2006/relationships/queryTable" Target="../queryTables/queryTable703.xml"/><Relationship Id="rId137" Type="http://schemas.openxmlformats.org/officeDocument/2006/relationships/queryTable" Target="../queryTables/queryTable724.xml"/><Relationship Id="rId158" Type="http://schemas.openxmlformats.org/officeDocument/2006/relationships/queryTable" Target="../queryTables/queryTable745.xml"/><Relationship Id="rId302" Type="http://schemas.openxmlformats.org/officeDocument/2006/relationships/queryTable" Target="../queryTables/queryTable889.xml"/><Relationship Id="rId323" Type="http://schemas.openxmlformats.org/officeDocument/2006/relationships/queryTable" Target="../queryTables/queryTable910.xml"/><Relationship Id="rId344" Type="http://schemas.openxmlformats.org/officeDocument/2006/relationships/queryTable" Target="../queryTables/queryTable931.xml"/><Relationship Id="rId20" Type="http://schemas.openxmlformats.org/officeDocument/2006/relationships/queryTable" Target="../queryTables/queryTable607.xml"/><Relationship Id="rId41" Type="http://schemas.openxmlformats.org/officeDocument/2006/relationships/queryTable" Target="../queryTables/queryTable628.xml"/><Relationship Id="rId62" Type="http://schemas.openxmlformats.org/officeDocument/2006/relationships/queryTable" Target="../queryTables/queryTable649.xml"/><Relationship Id="rId83" Type="http://schemas.openxmlformats.org/officeDocument/2006/relationships/queryTable" Target="../queryTables/queryTable670.xml"/><Relationship Id="rId179" Type="http://schemas.openxmlformats.org/officeDocument/2006/relationships/queryTable" Target="../queryTables/queryTable766.xml"/><Relationship Id="rId365" Type="http://schemas.openxmlformats.org/officeDocument/2006/relationships/queryTable" Target="../queryTables/queryTable952.xml"/><Relationship Id="rId386" Type="http://schemas.openxmlformats.org/officeDocument/2006/relationships/queryTable" Target="../queryTables/queryTable973.xml"/><Relationship Id="rId190" Type="http://schemas.openxmlformats.org/officeDocument/2006/relationships/queryTable" Target="../queryTables/queryTable777.xml"/><Relationship Id="rId204" Type="http://schemas.openxmlformats.org/officeDocument/2006/relationships/queryTable" Target="../queryTables/queryTable791.xml"/><Relationship Id="rId225" Type="http://schemas.openxmlformats.org/officeDocument/2006/relationships/queryTable" Target="../queryTables/queryTable812.xml"/><Relationship Id="rId246" Type="http://schemas.openxmlformats.org/officeDocument/2006/relationships/queryTable" Target="../queryTables/queryTable833.xml"/><Relationship Id="rId267" Type="http://schemas.openxmlformats.org/officeDocument/2006/relationships/queryTable" Target="../queryTables/queryTable854.xml"/><Relationship Id="rId288" Type="http://schemas.openxmlformats.org/officeDocument/2006/relationships/queryTable" Target="../queryTables/queryTable875.xml"/><Relationship Id="rId411" Type="http://schemas.openxmlformats.org/officeDocument/2006/relationships/queryTable" Target="../queryTables/queryTable998.xml"/><Relationship Id="rId432" Type="http://schemas.openxmlformats.org/officeDocument/2006/relationships/queryTable" Target="../queryTables/queryTable1019.xml"/><Relationship Id="rId106" Type="http://schemas.openxmlformats.org/officeDocument/2006/relationships/queryTable" Target="../queryTables/queryTable693.xml"/><Relationship Id="rId127" Type="http://schemas.openxmlformats.org/officeDocument/2006/relationships/queryTable" Target="../queryTables/queryTable714.xml"/><Relationship Id="rId313" Type="http://schemas.openxmlformats.org/officeDocument/2006/relationships/queryTable" Target="../queryTables/queryTable900.xml"/><Relationship Id="rId10" Type="http://schemas.openxmlformats.org/officeDocument/2006/relationships/queryTable" Target="../queryTables/queryTable597.xml"/><Relationship Id="rId31" Type="http://schemas.openxmlformats.org/officeDocument/2006/relationships/queryTable" Target="../queryTables/queryTable618.xml"/><Relationship Id="rId52" Type="http://schemas.openxmlformats.org/officeDocument/2006/relationships/queryTable" Target="../queryTables/queryTable639.xml"/><Relationship Id="rId73" Type="http://schemas.openxmlformats.org/officeDocument/2006/relationships/queryTable" Target="../queryTables/queryTable660.xml"/><Relationship Id="rId94" Type="http://schemas.openxmlformats.org/officeDocument/2006/relationships/queryTable" Target="../queryTables/queryTable681.xml"/><Relationship Id="rId148" Type="http://schemas.openxmlformats.org/officeDocument/2006/relationships/queryTable" Target="../queryTables/queryTable735.xml"/><Relationship Id="rId169" Type="http://schemas.openxmlformats.org/officeDocument/2006/relationships/queryTable" Target="../queryTables/queryTable756.xml"/><Relationship Id="rId334" Type="http://schemas.openxmlformats.org/officeDocument/2006/relationships/queryTable" Target="../queryTables/queryTable921.xml"/><Relationship Id="rId355" Type="http://schemas.openxmlformats.org/officeDocument/2006/relationships/queryTable" Target="../queryTables/queryTable942.xml"/><Relationship Id="rId376" Type="http://schemas.openxmlformats.org/officeDocument/2006/relationships/queryTable" Target="../queryTables/queryTable963.xml"/><Relationship Id="rId397" Type="http://schemas.openxmlformats.org/officeDocument/2006/relationships/queryTable" Target="../queryTables/queryTable984.xml"/><Relationship Id="rId4" Type="http://schemas.openxmlformats.org/officeDocument/2006/relationships/ctrlProp" Target="../ctrlProps/ctrlProp3.xml"/><Relationship Id="rId180" Type="http://schemas.openxmlformats.org/officeDocument/2006/relationships/queryTable" Target="../queryTables/queryTable767.xml"/><Relationship Id="rId215" Type="http://schemas.openxmlformats.org/officeDocument/2006/relationships/queryTable" Target="../queryTables/queryTable802.xml"/><Relationship Id="rId236" Type="http://schemas.openxmlformats.org/officeDocument/2006/relationships/queryTable" Target="../queryTables/queryTable823.xml"/><Relationship Id="rId257" Type="http://schemas.openxmlformats.org/officeDocument/2006/relationships/queryTable" Target="../queryTables/queryTable844.xml"/><Relationship Id="rId278" Type="http://schemas.openxmlformats.org/officeDocument/2006/relationships/queryTable" Target="../queryTables/queryTable865.xml"/><Relationship Id="rId401" Type="http://schemas.openxmlformats.org/officeDocument/2006/relationships/queryTable" Target="../queryTables/queryTable988.xml"/><Relationship Id="rId422" Type="http://schemas.openxmlformats.org/officeDocument/2006/relationships/queryTable" Target="../queryTables/queryTable1009.xml"/><Relationship Id="rId303" Type="http://schemas.openxmlformats.org/officeDocument/2006/relationships/queryTable" Target="../queryTables/queryTable890.xml"/><Relationship Id="rId42" Type="http://schemas.openxmlformats.org/officeDocument/2006/relationships/queryTable" Target="../queryTables/queryTable629.xml"/><Relationship Id="rId84" Type="http://schemas.openxmlformats.org/officeDocument/2006/relationships/queryTable" Target="../queryTables/queryTable671.xml"/><Relationship Id="rId138" Type="http://schemas.openxmlformats.org/officeDocument/2006/relationships/queryTable" Target="../queryTables/queryTable725.xml"/><Relationship Id="rId345" Type="http://schemas.openxmlformats.org/officeDocument/2006/relationships/queryTable" Target="../queryTables/queryTable932.xml"/><Relationship Id="rId387" Type="http://schemas.openxmlformats.org/officeDocument/2006/relationships/queryTable" Target="../queryTables/queryTable974.xml"/><Relationship Id="rId191" Type="http://schemas.openxmlformats.org/officeDocument/2006/relationships/queryTable" Target="../queryTables/queryTable778.xml"/><Relationship Id="rId205" Type="http://schemas.openxmlformats.org/officeDocument/2006/relationships/queryTable" Target="../queryTables/queryTable792.xml"/><Relationship Id="rId247" Type="http://schemas.openxmlformats.org/officeDocument/2006/relationships/queryTable" Target="../queryTables/queryTable834.xml"/><Relationship Id="rId412" Type="http://schemas.openxmlformats.org/officeDocument/2006/relationships/queryTable" Target="../queryTables/queryTable999.xml"/><Relationship Id="rId107" Type="http://schemas.openxmlformats.org/officeDocument/2006/relationships/queryTable" Target="../queryTables/queryTable694.xml"/><Relationship Id="rId289" Type="http://schemas.openxmlformats.org/officeDocument/2006/relationships/queryTable" Target="../queryTables/queryTable876.xml"/><Relationship Id="rId11" Type="http://schemas.openxmlformats.org/officeDocument/2006/relationships/queryTable" Target="../queryTables/queryTable598.xml"/><Relationship Id="rId53" Type="http://schemas.openxmlformats.org/officeDocument/2006/relationships/queryTable" Target="../queryTables/queryTable640.xml"/><Relationship Id="rId149" Type="http://schemas.openxmlformats.org/officeDocument/2006/relationships/queryTable" Target="../queryTables/queryTable736.xml"/><Relationship Id="rId314" Type="http://schemas.openxmlformats.org/officeDocument/2006/relationships/queryTable" Target="../queryTables/queryTable901.xml"/><Relationship Id="rId356" Type="http://schemas.openxmlformats.org/officeDocument/2006/relationships/queryTable" Target="../queryTables/queryTable943.xml"/><Relationship Id="rId398" Type="http://schemas.openxmlformats.org/officeDocument/2006/relationships/queryTable" Target="../queryTables/queryTable985.xml"/><Relationship Id="rId95" Type="http://schemas.openxmlformats.org/officeDocument/2006/relationships/queryTable" Target="../queryTables/queryTable682.xml"/><Relationship Id="rId160" Type="http://schemas.openxmlformats.org/officeDocument/2006/relationships/queryTable" Target="../queryTables/queryTable747.xml"/><Relationship Id="rId216" Type="http://schemas.openxmlformats.org/officeDocument/2006/relationships/queryTable" Target="../queryTables/queryTable803.xml"/><Relationship Id="rId423" Type="http://schemas.openxmlformats.org/officeDocument/2006/relationships/queryTable" Target="../queryTables/queryTable1010.xml"/><Relationship Id="rId258" Type="http://schemas.openxmlformats.org/officeDocument/2006/relationships/queryTable" Target="../queryTables/queryTable845.xml"/><Relationship Id="rId22" Type="http://schemas.openxmlformats.org/officeDocument/2006/relationships/queryTable" Target="../queryTables/queryTable609.xml"/><Relationship Id="rId64" Type="http://schemas.openxmlformats.org/officeDocument/2006/relationships/queryTable" Target="../queryTables/queryTable651.xml"/><Relationship Id="rId118" Type="http://schemas.openxmlformats.org/officeDocument/2006/relationships/queryTable" Target="../queryTables/queryTable705.xml"/><Relationship Id="rId325" Type="http://schemas.openxmlformats.org/officeDocument/2006/relationships/queryTable" Target="../queryTables/queryTable912.xml"/><Relationship Id="rId367" Type="http://schemas.openxmlformats.org/officeDocument/2006/relationships/queryTable" Target="../queryTables/queryTable954.xml"/><Relationship Id="rId171" Type="http://schemas.openxmlformats.org/officeDocument/2006/relationships/queryTable" Target="../queryTables/queryTable758.xml"/><Relationship Id="rId227" Type="http://schemas.openxmlformats.org/officeDocument/2006/relationships/queryTable" Target="../queryTables/queryTable814.xml"/><Relationship Id="rId269" Type="http://schemas.openxmlformats.org/officeDocument/2006/relationships/queryTable" Target="../queryTables/queryTable856.xml"/><Relationship Id="rId434" Type="http://schemas.openxmlformats.org/officeDocument/2006/relationships/queryTable" Target="../queryTables/queryTable1021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40.xml"/><Relationship Id="rId299" Type="http://schemas.openxmlformats.org/officeDocument/2006/relationships/queryTable" Target="../queryTables/queryTable1322.xml"/><Relationship Id="rId21" Type="http://schemas.openxmlformats.org/officeDocument/2006/relationships/queryTable" Target="../queryTables/queryTable1044.xml"/><Relationship Id="rId63" Type="http://schemas.openxmlformats.org/officeDocument/2006/relationships/queryTable" Target="../queryTables/queryTable1086.xml"/><Relationship Id="rId159" Type="http://schemas.openxmlformats.org/officeDocument/2006/relationships/queryTable" Target="../queryTables/queryTable1182.xml"/><Relationship Id="rId324" Type="http://schemas.openxmlformats.org/officeDocument/2006/relationships/queryTable" Target="../queryTables/queryTable1347.xml"/><Relationship Id="rId366" Type="http://schemas.openxmlformats.org/officeDocument/2006/relationships/queryTable" Target="../queryTables/queryTable1389.xml"/><Relationship Id="rId170" Type="http://schemas.openxmlformats.org/officeDocument/2006/relationships/queryTable" Target="../queryTables/queryTable1193.xml"/><Relationship Id="rId226" Type="http://schemas.openxmlformats.org/officeDocument/2006/relationships/queryTable" Target="../queryTables/queryTable1249.xml"/><Relationship Id="rId433" Type="http://schemas.openxmlformats.org/officeDocument/2006/relationships/queryTable" Target="../queryTables/queryTable1456.xml"/><Relationship Id="rId268" Type="http://schemas.openxmlformats.org/officeDocument/2006/relationships/queryTable" Target="../queryTables/queryTable1291.xml"/><Relationship Id="rId475" Type="http://schemas.openxmlformats.org/officeDocument/2006/relationships/queryTable" Target="../queryTables/queryTable1498.xml"/><Relationship Id="rId32" Type="http://schemas.openxmlformats.org/officeDocument/2006/relationships/queryTable" Target="../queryTables/queryTable1055.xml"/><Relationship Id="rId74" Type="http://schemas.openxmlformats.org/officeDocument/2006/relationships/queryTable" Target="../queryTables/queryTable1097.xml"/><Relationship Id="rId128" Type="http://schemas.openxmlformats.org/officeDocument/2006/relationships/queryTable" Target="../queryTables/queryTable1151.xml"/><Relationship Id="rId335" Type="http://schemas.openxmlformats.org/officeDocument/2006/relationships/queryTable" Target="../queryTables/queryTable1358.xml"/><Relationship Id="rId377" Type="http://schemas.openxmlformats.org/officeDocument/2006/relationships/queryTable" Target="../queryTables/queryTable1400.xml"/><Relationship Id="rId500" Type="http://schemas.openxmlformats.org/officeDocument/2006/relationships/queryTable" Target="../queryTables/queryTable1523.xml"/><Relationship Id="rId5" Type="http://schemas.openxmlformats.org/officeDocument/2006/relationships/table" Target="../tables/table5.xml"/><Relationship Id="rId181" Type="http://schemas.openxmlformats.org/officeDocument/2006/relationships/queryTable" Target="../queryTables/queryTable1204.xml"/><Relationship Id="rId237" Type="http://schemas.openxmlformats.org/officeDocument/2006/relationships/queryTable" Target="../queryTables/queryTable1260.xml"/><Relationship Id="rId402" Type="http://schemas.openxmlformats.org/officeDocument/2006/relationships/queryTable" Target="../queryTables/queryTable1425.xml"/><Relationship Id="rId279" Type="http://schemas.openxmlformats.org/officeDocument/2006/relationships/queryTable" Target="../queryTables/queryTable1302.xml"/><Relationship Id="rId444" Type="http://schemas.openxmlformats.org/officeDocument/2006/relationships/queryTable" Target="../queryTables/queryTable1467.xml"/><Relationship Id="rId486" Type="http://schemas.openxmlformats.org/officeDocument/2006/relationships/queryTable" Target="../queryTables/queryTable1509.xml"/><Relationship Id="rId43" Type="http://schemas.openxmlformats.org/officeDocument/2006/relationships/queryTable" Target="../queryTables/queryTable1066.xml"/><Relationship Id="rId139" Type="http://schemas.openxmlformats.org/officeDocument/2006/relationships/queryTable" Target="../queryTables/queryTable1162.xml"/><Relationship Id="rId290" Type="http://schemas.openxmlformats.org/officeDocument/2006/relationships/queryTable" Target="../queryTables/queryTable1313.xml"/><Relationship Id="rId304" Type="http://schemas.openxmlformats.org/officeDocument/2006/relationships/queryTable" Target="../queryTables/queryTable1327.xml"/><Relationship Id="rId346" Type="http://schemas.openxmlformats.org/officeDocument/2006/relationships/queryTable" Target="../queryTables/queryTable1369.xml"/><Relationship Id="rId388" Type="http://schemas.openxmlformats.org/officeDocument/2006/relationships/queryTable" Target="../queryTables/queryTable1411.xml"/><Relationship Id="rId85" Type="http://schemas.openxmlformats.org/officeDocument/2006/relationships/queryTable" Target="../queryTables/queryTable1108.xml"/><Relationship Id="rId150" Type="http://schemas.openxmlformats.org/officeDocument/2006/relationships/queryTable" Target="../queryTables/queryTable1173.xml"/><Relationship Id="rId192" Type="http://schemas.openxmlformats.org/officeDocument/2006/relationships/queryTable" Target="../queryTables/queryTable1215.xml"/><Relationship Id="rId206" Type="http://schemas.openxmlformats.org/officeDocument/2006/relationships/queryTable" Target="../queryTables/queryTable1229.xml"/><Relationship Id="rId413" Type="http://schemas.openxmlformats.org/officeDocument/2006/relationships/queryTable" Target="../queryTables/queryTable1436.xml"/><Relationship Id="rId248" Type="http://schemas.openxmlformats.org/officeDocument/2006/relationships/queryTable" Target="../queryTables/queryTable1271.xml"/><Relationship Id="rId455" Type="http://schemas.openxmlformats.org/officeDocument/2006/relationships/queryTable" Target="../queryTables/queryTable1478.xml"/><Relationship Id="rId497" Type="http://schemas.openxmlformats.org/officeDocument/2006/relationships/queryTable" Target="../queryTables/queryTable1520.xml"/><Relationship Id="rId12" Type="http://schemas.openxmlformats.org/officeDocument/2006/relationships/queryTable" Target="../queryTables/queryTable1035.xml"/><Relationship Id="rId108" Type="http://schemas.openxmlformats.org/officeDocument/2006/relationships/queryTable" Target="../queryTables/queryTable1131.xml"/><Relationship Id="rId315" Type="http://schemas.openxmlformats.org/officeDocument/2006/relationships/queryTable" Target="../queryTables/queryTable1338.xml"/><Relationship Id="rId357" Type="http://schemas.openxmlformats.org/officeDocument/2006/relationships/queryTable" Target="../queryTables/queryTable1380.xml"/><Relationship Id="rId54" Type="http://schemas.openxmlformats.org/officeDocument/2006/relationships/queryTable" Target="../queryTables/queryTable1077.xml"/><Relationship Id="rId96" Type="http://schemas.openxmlformats.org/officeDocument/2006/relationships/queryTable" Target="../queryTables/queryTable1119.xml"/><Relationship Id="rId161" Type="http://schemas.openxmlformats.org/officeDocument/2006/relationships/queryTable" Target="../queryTables/queryTable1184.xml"/><Relationship Id="rId217" Type="http://schemas.openxmlformats.org/officeDocument/2006/relationships/queryTable" Target="../queryTables/queryTable1240.xml"/><Relationship Id="rId399" Type="http://schemas.openxmlformats.org/officeDocument/2006/relationships/queryTable" Target="../queryTables/queryTable1422.xml"/><Relationship Id="rId259" Type="http://schemas.openxmlformats.org/officeDocument/2006/relationships/queryTable" Target="../queryTables/queryTable1282.xml"/><Relationship Id="rId424" Type="http://schemas.openxmlformats.org/officeDocument/2006/relationships/queryTable" Target="../queryTables/queryTable1447.xml"/><Relationship Id="rId466" Type="http://schemas.openxmlformats.org/officeDocument/2006/relationships/queryTable" Target="../queryTables/queryTable1489.xml"/><Relationship Id="rId23" Type="http://schemas.openxmlformats.org/officeDocument/2006/relationships/queryTable" Target="../queryTables/queryTable1046.xml"/><Relationship Id="rId119" Type="http://schemas.openxmlformats.org/officeDocument/2006/relationships/queryTable" Target="../queryTables/queryTable1142.xml"/><Relationship Id="rId270" Type="http://schemas.openxmlformats.org/officeDocument/2006/relationships/queryTable" Target="../queryTables/queryTable1293.xml"/><Relationship Id="rId326" Type="http://schemas.openxmlformats.org/officeDocument/2006/relationships/queryTable" Target="../queryTables/queryTable1349.xml"/><Relationship Id="rId65" Type="http://schemas.openxmlformats.org/officeDocument/2006/relationships/queryTable" Target="../queryTables/queryTable1088.xml"/><Relationship Id="rId130" Type="http://schemas.openxmlformats.org/officeDocument/2006/relationships/queryTable" Target="../queryTables/queryTable1153.xml"/><Relationship Id="rId368" Type="http://schemas.openxmlformats.org/officeDocument/2006/relationships/queryTable" Target="../queryTables/queryTable1391.xml"/><Relationship Id="rId172" Type="http://schemas.openxmlformats.org/officeDocument/2006/relationships/queryTable" Target="../queryTables/queryTable1195.xml"/><Relationship Id="rId228" Type="http://schemas.openxmlformats.org/officeDocument/2006/relationships/queryTable" Target="../queryTables/queryTable1251.xml"/><Relationship Id="rId435" Type="http://schemas.openxmlformats.org/officeDocument/2006/relationships/queryTable" Target="../queryTables/queryTable1458.xml"/><Relationship Id="rId477" Type="http://schemas.openxmlformats.org/officeDocument/2006/relationships/queryTable" Target="../queryTables/queryTable1500.xml"/><Relationship Id="rId281" Type="http://schemas.openxmlformats.org/officeDocument/2006/relationships/queryTable" Target="../queryTables/queryTable1304.xml"/><Relationship Id="rId337" Type="http://schemas.openxmlformats.org/officeDocument/2006/relationships/queryTable" Target="../queryTables/queryTable1360.xml"/><Relationship Id="rId502" Type="http://schemas.openxmlformats.org/officeDocument/2006/relationships/queryTable" Target="../queryTables/queryTable1525.xml"/><Relationship Id="rId34" Type="http://schemas.openxmlformats.org/officeDocument/2006/relationships/queryTable" Target="../queryTables/queryTable1057.xml"/><Relationship Id="rId76" Type="http://schemas.openxmlformats.org/officeDocument/2006/relationships/queryTable" Target="../queryTables/queryTable1099.xml"/><Relationship Id="rId141" Type="http://schemas.openxmlformats.org/officeDocument/2006/relationships/queryTable" Target="../queryTables/queryTable1164.xml"/><Relationship Id="rId379" Type="http://schemas.openxmlformats.org/officeDocument/2006/relationships/queryTable" Target="../queryTables/queryTable1402.xml"/><Relationship Id="rId7" Type="http://schemas.openxmlformats.org/officeDocument/2006/relationships/queryTable" Target="../queryTables/queryTable1030.xml"/><Relationship Id="rId183" Type="http://schemas.openxmlformats.org/officeDocument/2006/relationships/queryTable" Target="../queryTables/queryTable1206.xml"/><Relationship Id="rId239" Type="http://schemas.openxmlformats.org/officeDocument/2006/relationships/queryTable" Target="../queryTables/queryTable1262.xml"/><Relationship Id="rId390" Type="http://schemas.openxmlformats.org/officeDocument/2006/relationships/queryTable" Target="../queryTables/queryTable1413.xml"/><Relationship Id="rId404" Type="http://schemas.openxmlformats.org/officeDocument/2006/relationships/queryTable" Target="../queryTables/queryTable1427.xml"/><Relationship Id="rId446" Type="http://schemas.openxmlformats.org/officeDocument/2006/relationships/queryTable" Target="../queryTables/queryTable1469.xml"/><Relationship Id="rId250" Type="http://schemas.openxmlformats.org/officeDocument/2006/relationships/queryTable" Target="../queryTables/queryTable1273.xml"/><Relationship Id="rId292" Type="http://schemas.openxmlformats.org/officeDocument/2006/relationships/queryTable" Target="../queryTables/queryTable1315.xml"/><Relationship Id="rId306" Type="http://schemas.openxmlformats.org/officeDocument/2006/relationships/queryTable" Target="../queryTables/queryTable1329.xml"/><Relationship Id="rId488" Type="http://schemas.openxmlformats.org/officeDocument/2006/relationships/queryTable" Target="../queryTables/queryTable1511.xml"/><Relationship Id="rId45" Type="http://schemas.openxmlformats.org/officeDocument/2006/relationships/queryTable" Target="../queryTables/queryTable1068.xml"/><Relationship Id="rId87" Type="http://schemas.openxmlformats.org/officeDocument/2006/relationships/queryTable" Target="../queryTables/queryTable1110.xml"/><Relationship Id="rId110" Type="http://schemas.openxmlformats.org/officeDocument/2006/relationships/queryTable" Target="../queryTables/queryTable1133.xml"/><Relationship Id="rId348" Type="http://schemas.openxmlformats.org/officeDocument/2006/relationships/queryTable" Target="../queryTables/queryTable1371.xml"/><Relationship Id="rId152" Type="http://schemas.openxmlformats.org/officeDocument/2006/relationships/queryTable" Target="../queryTables/queryTable1175.xml"/><Relationship Id="rId173" Type="http://schemas.openxmlformats.org/officeDocument/2006/relationships/queryTable" Target="../queryTables/queryTable1196.xml"/><Relationship Id="rId194" Type="http://schemas.openxmlformats.org/officeDocument/2006/relationships/queryTable" Target="../queryTables/queryTable1217.xml"/><Relationship Id="rId208" Type="http://schemas.openxmlformats.org/officeDocument/2006/relationships/queryTable" Target="../queryTables/queryTable1231.xml"/><Relationship Id="rId229" Type="http://schemas.openxmlformats.org/officeDocument/2006/relationships/queryTable" Target="../queryTables/queryTable1252.xml"/><Relationship Id="rId380" Type="http://schemas.openxmlformats.org/officeDocument/2006/relationships/queryTable" Target="../queryTables/queryTable1403.xml"/><Relationship Id="rId415" Type="http://schemas.openxmlformats.org/officeDocument/2006/relationships/queryTable" Target="../queryTables/queryTable1438.xml"/><Relationship Id="rId436" Type="http://schemas.openxmlformats.org/officeDocument/2006/relationships/queryTable" Target="../queryTables/queryTable1459.xml"/><Relationship Id="rId457" Type="http://schemas.openxmlformats.org/officeDocument/2006/relationships/queryTable" Target="../queryTables/queryTable1480.xml"/><Relationship Id="rId240" Type="http://schemas.openxmlformats.org/officeDocument/2006/relationships/queryTable" Target="../queryTables/queryTable1263.xml"/><Relationship Id="rId261" Type="http://schemas.openxmlformats.org/officeDocument/2006/relationships/queryTable" Target="../queryTables/queryTable1284.xml"/><Relationship Id="rId478" Type="http://schemas.openxmlformats.org/officeDocument/2006/relationships/queryTable" Target="../queryTables/queryTable1501.xml"/><Relationship Id="rId499" Type="http://schemas.openxmlformats.org/officeDocument/2006/relationships/queryTable" Target="../queryTables/queryTable1522.xml"/><Relationship Id="rId14" Type="http://schemas.openxmlformats.org/officeDocument/2006/relationships/queryTable" Target="../queryTables/queryTable1037.xml"/><Relationship Id="rId35" Type="http://schemas.openxmlformats.org/officeDocument/2006/relationships/queryTable" Target="../queryTables/queryTable1058.xml"/><Relationship Id="rId56" Type="http://schemas.openxmlformats.org/officeDocument/2006/relationships/queryTable" Target="../queryTables/queryTable1079.xml"/><Relationship Id="rId77" Type="http://schemas.openxmlformats.org/officeDocument/2006/relationships/queryTable" Target="../queryTables/queryTable1100.xml"/><Relationship Id="rId100" Type="http://schemas.openxmlformats.org/officeDocument/2006/relationships/queryTable" Target="../queryTables/queryTable1123.xml"/><Relationship Id="rId282" Type="http://schemas.openxmlformats.org/officeDocument/2006/relationships/queryTable" Target="../queryTables/queryTable1305.xml"/><Relationship Id="rId317" Type="http://schemas.openxmlformats.org/officeDocument/2006/relationships/queryTable" Target="../queryTables/queryTable1340.xml"/><Relationship Id="rId338" Type="http://schemas.openxmlformats.org/officeDocument/2006/relationships/queryTable" Target="../queryTables/queryTable1361.xml"/><Relationship Id="rId359" Type="http://schemas.openxmlformats.org/officeDocument/2006/relationships/queryTable" Target="../queryTables/queryTable1382.xml"/><Relationship Id="rId503" Type="http://schemas.openxmlformats.org/officeDocument/2006/relationships/queryTable" Target="../queryTables/queryTable1526.xml"/><Relationship Id="rId8" Type="http://schemas.openxmlformats.org/officeDocument/2006/relationships/queryTable" Target="../queryTables/queryTable1031.xml"/><Relationship Id="rId98" Type="http://schemas.openxmlformats.org/officeDocument/2006/relationships/queryTable" Target="../queryTables/queryTable1121.xml"/><Relationship Id="rId121" Type="http://schemas.openxmlformats.org/officeDocument/2006/relationships/queryTable" Target="../queryTables/queryTable1144.xml"/><Relationship Id="rId142" Type="http://schemas.openxmlformats.org/officeDocument/2006/relationships/queryTable" Target="../queryTables/queryTable1165.xml"/><Relationship Id="rId163" Type="http://schemas.openxmlformats.org/officeDocument/2006/relationships/queryTable" Target="../queryTables/queryTable1186.xml"/><Relationship Id="rId184" Type="http://schemas.openxmlformats.org/officeDocument/2006/relationships/queryTable" Target="../queryTables/queryTable1207.xml"/><Relationship Id="rId219" Type="http://schemas.openxmlformats.org/officeDocument/2006/relationships/queryTable" Target="../queryTables/queryTable1242.xml"/><Relationship Id="rId370" Type="http://schemas.openxmlformats.org/officeDocument/2006/relationships/queryTable" Target="../queryTables/queryTable1393.xml"/><Relationship Id="rId391" Type="http://schemas.openxmlformats.org/officeDocument/2006/relationships/queryTable" Target="../queryTables/queryTable1414.xml"/><Relationship Id="rId405" Type="http://schemas.openxmlformats.org/officeDocument/2006/relationships/queryTable" Target="../queryTables/queryTable1428.xml"/><Relationship Id="rId426" Type="http://schemas.openxmlformats.org/officeDocument/2006/relationships/queryTable" Target="../queryTables/queryTable1449.xml"/><Relationship Id="rId447" Type="http://schemas.openxmlformats.org/officeDocument/2006/relationships/queryTable" Target="../queryTables/queryTable1470.xml"/><Relationship Id="rId230" Type="http://schemas.openxmlformats.org/officeDocument/2006/relationships/queryTable" Target="../queryTables/queryTable1253.xml"/><Relationship Id="rId251" Type="http://schemas.openxmlformats.org/officeDocument/2006/relationships/queryTable" Target="../queryTables/queryTable1274.xml"/><Relationship Id="rId468" Type="http://schemas.openxmlformats.org/officeDocument/2006/relationships/queryTable" Target="../queryTables/queryTable1491.xml"/><Relationship Id="rId489" Type="http://schemas.openxmlformats.org/officeDocument/2006/relationships/queryTable" Target="../queryTables/queryTable1512.xml"/><Relationship Id="rId25" Type="http://schemas.openxmlformats.org/officeDocument/2006/relationships/queryTable" Target="../queryTables/queryTable1048.xml"/><Relationship Id="rId46" Type="http://schemas.openxmlformats.org/officeDocument/2006/relationships/queryTable" Target="../queryTables/queryTable1069.xml"/><Relationship Id="rId67" Type="http://schemas.openxmlformats.org/officeDocument/2006/relationships/queryTable" Target="../queryTables/queryTable1090.xml"/><Relationship Id="rId272" Type="http://schemas.openxmlformats.org/officeDocument/2006/relationships/queryTable" Target="../queryTables/queryTable1295.xml"/><Relationship Id="rId293" Type="http://schemas.openxmlformats.org/officeDocument/2006/relationships/queryTable" Target="../queryTables/queryTable1316.xml"/><Relationship Id="rId307" Type="http://schemas.openxmlformats.org/officeDocument/2006/relationships/queryTable" Target="../queryTables/queryTable1330.xml"/><Relationship Id="rId328" Type="http://schemas.openxmlformats.org/officeDocument/2006/relationships/queryTable" Target="../queryTables/queryTable1351.xml"/><Relationship Id="rId349" Type="http://schemas.openxmlformats.org/officeDocument/2006/relationships/queryTable" Target="../queryTables/queryTable1372.xml"/><Relationship Id="rId88" Type="http://schemas.openxmlformats.org/officeDocument/2006/relationships/queryTable" Target="../queryTables/queryTable1111.xml"/><Relationship Id="rId111" Type="http://schemas.openxmlformats.org/officeDocument/2006/relationships/queryTable" Target="../queryTables/queryTable1134.xml"/><Relationship Id="rId132" Type="http://schemas.openxmlformats.org/officeDocument/2006/relationships/queryTable" Target="../queryTables/queryTable1155.xml"/><Relationship Id="rId153" Type="http://schemas.openxmlformats.org/officeDocument/2006/relationships/queryTable" Target="../queryTables/queryTable1176.xml"/><Relationship Id="rId174" Type="http://schemas.openxmlformats.org/officeDocument/2006/relationships/queryTable" Target="../queryTables/queryTable1197.xml"/><Relationship Id="rId195" Type="http://schemas.openxmlformats.org/officeDocument/2006/relationships/queryTable" Target="../queryTables/queryTable1218.xml"/><Relationship Id="rId209" Type="http://schemas.openxmlformats.org/officeDocument/2006/relationships/queryTable" Target="../queryTables/queryTable1232.xml"/><Relationship Id="rId360" Type="http://schemas.openxmlformats.org/officeDocument/2006/relationships/queryTable" Target="../queryTables/queryTable1383.xml"/><Relationship Id="rId381" Type="http://schemas.openxmlformats.org/officeDocument/2006/relationships/queryTable" Target="../queryTables/queryTable1404.xml"/><Relationship Id="rId416" Type="http://schemas.openxmlformats.org/officeDocument/2006/relationships/queryTable" Target="../queryTables/queryTable1439.xml"/><Relationship Id="rId220" Type="http://schemas.openxmlformats.org/officeDocument/2006/relationships/queryTable" Target="../queryTables/queryTable1243.xml"/><Relationship Id="rId241" Type="http://schemas.openxmlformats.org/officeDocument/2006/relationships/queryTable" Target="../queryTables/queryTable1264.xml"/><Relationship Id="rId437" Type="http://schemas.openxmlformats.org/officeDocument/2006/relationships/queryTable" Target="../queryTables/queryTable1460.xml"/><Relationship Id="rId458" Type="http://schemas.openxmlformats.org/officeDocument/2006/relationships/queryTable" Target="../queryTables/queryTable1481.xml"/><Relationship Id="rId479" Type="http://schemas.openxmlformats.org/officeDocument/2006/relationships/queryTable" Target="../queryTables/queryTable1502.xml"/><Relationship Id="rId15" Type="http://schemas.openxmlformats.org/officeDocument/2006/relationships/queryTable" Target="../queryTables/queryTable1038.xml"/><Relationship Id="rId36" Type="http://schemas.openxmlformats.org/officeDocument/2006/relationships/queryTable" Target="../queryTables/queryTable1059.xml"/><Relationship Id="rId57" Type="http://schemas.openxmlformats.org/officeDocument/2006/relationships/queryTable" Target="../queryTables/queryTable1080.xml"/><Relationship Id="rId262" Type="http://schemas.openxmlformats.org/officeDocument/2006/relationships/queryTable" Target="../queryTables/queryTable1285.xml"/><Relationship Id="rId283" Type="http://schemas.openxmlformats.org/officeDocument/2006/relationships/queryTable" Target="../queryTables/queryTable1306.xml"/><Relationship Id="rId318" Type="http://schemas.openxmlformats.org/officeDocument/2006/relationships/queryTable" Target="../queryTables/queryTable1341.xml"/><Relationship Id="rId339" Type="http://schemas.openxmlformats.org/officeDocument/2006/relationships/queryTable" Target="../queryTables/queryTable1362.xml"/><Relationship Id="rId490" Type="http://schemas.openxmlformats.org/officeDocument/2006/relationships/queryTable" Target="../queryTables/queryTable1513.xml"/><Relationship Id="rId504" Type="http://schemas.openxmlformats.org/officeDocument/2006/relationships/queryTable" Target="../queryTables/queryTable1527.xml"/><Relationship Id="rId78" Type="http://schemas.openxmlformats.org/officeDocument/2006/relationships/queryTable" Target="../queryTables/queryTable1101.xml"/><Relationship Id="rId99" Type="http://schemas.openxmlformats.org/officeDocument/2006/relationships/queryTable" Target="../queryTables/queryTable1122.xml"/><Relationship Id="rId101" Type="http://schemas.openxmlformats.org/officeDocument/2006/relationships/queryTable" Target="../queryTables/queryTable1124.xml"/><Relationship Id="rId122" Type="http://schemas.openxmlformats.org/officeDocument/2006/relationships/queryTable" Target="../queryTables/queryTable1145.xml"/><Relationship Id="rId143" Type="http://schemas.openxmlformats.org/officeDocument/2006/relationships/queryTable" Target="../queryTables/queryTable1166.xml"/><Relationship Id="rId164" Type="http://schemas.openxmlformats.org/officeDocument/2006/relationships/queryTable" Target="../queryTables/queryTable1187.xml"/><Relationship Id="rId185" Type="http://schemas.openxmlformats.org/officeDocument/2006/relationships/queryTable" Target="../queryTables/queryTable1208.xml"/><Relationship Id="rId350" Type="http://schemas.openxmlformats.org/officeDocument/2006/relationships/queryTable" Target="../queryTables/queryTable1373.xml"/><Relationship Id="rId371" Type="http://schemas.openxmlformats.org/officeDocument/2006/relationships/queryTable" Target="../queryTables/queryTable1394.xml"/><Relationship Id="rId406" Type="http://schemas.openxmlformats.org/officeDocument/2006/relationships/queryTable" Target="../queryTables/queryTable1429.xml"/><Relationship Id="rId9" Type="http://schemas.openxmlformats.org/officeDocument/2006/relationships/queryTable" Target="../queryTables/queryTable1032.xml"/><Relationship Id="rId210" Type="http://schemas.openxmlformats.org/officeDocument/2006/relationships/queryTable" Target="../queryTables/queryTable1233.xml"/><Relationship Id="rId392" Type="http://schemas.openxmlformats.org/officeDocument/2006/relationships/queryTable" Target="../queryTables/queryTable1415.xml"/><Relationship Id="rId427" Type="http://schemas.openxmlformats.org/officeDocument/2006/relationships/queryTable" Target="../queryTables/queryTable1450.xml"/><Relationship Id="rId448" Type="http://schemas.openxmlformats.org/officeDocument/2006/relationships/queryTable" Target="../queryTables/queryTable1471.xml"/><Relationship Id="rId469" Type="http://schemas.openxmlformats.org/officeDocument/2006/relationships/queryTable" Target="../queryTables/queryTable1492.xml"/><Relationship Id="rId26" Type="http://schemas.openxmlformats.org/officeDocument/2006/relationships/queryTable" Target="../queryTables/queryTable1049.xml"/><Relationship Id="rId231" Type="http://schemas.openxmlformats.org/officeDocument/2006/relationships/queryTable" Target="../queryTables/queryTable1254.xml"/><Relationship Id="rId252" Type="http://schemas.openxmlformats.org/officeDocument/2006/relationships/queryTable" Target="../queryTables/queryTable1275.xml"/><Relationship Id="rId273" Type="http://schemas.openxmlformats.org/officeDocument/2006/relationships/queryTable" Target="../queryTables/queryTable1296.xml"/><Relationship Id="rId294" Type="http://schemas.openxmlformats.org/officeDocument/2006/relationships/queryTable" Target="../queryTables/queryTable1317.xml"/><Relationship Id="rId308" Type="http://schemas.openxmlformats.org/officeDocument/2006/relationships/queryTable" Target="../queryTables/queryTable1331.xml"/><Relationship Id="rId329" Type="http://schemas.openxmlformats.org/officeDocument/2006/relationships/queryTable" Target="../queryTables/queryTable1352.xml"/><Relationship Id="rId480" Type="http://schemas.openxmlformats.org/officeDocument/2006/relationships/queryTable" Target="../queryTables/queryTable1503.xml"/><Relationship Id="rId47" Type="http://schemas.openxmlformats.org/officeDocument/2006/relationships/queryTable" Target="../queryTables/queryTable1070.xml"/><Relationship Id="rId68" Type="http://schemas.openxmlformats.org/officeDocument/2006/relationships/queryTable" Target="../queryTables/queryTable1091.xml"/><Relationship Id="rId89" Type="http://schemas.openxmlformats.org/officeDocument/2006/relationships/queryTable" Target="../queryTables/queryTable1112.xml"/><Relationship Id="rId112" Type="http://schemas.openxmlformats.org/officeDocument/2006/relationships/queryTable" Target="../queryTables/queryTable1135.xml"/><Relationship Id="rId133" Type="http://schemas.openxmlformats.org/officeDocument/2006/relationships/queryTable" Target="../queryTables/queryTable1156.xml"/><Relationship Id="rId154" Type="http://schemas.openxmlformats.org/officeDocument/2006/relationships/queryTable" Target="../queryTables/queryTable1177.xml"/><Relationship Id="rId175" Type="http://schemas.openxmlformats.org/officeDocument/2006/relationships/queryTable" Target="../queryTables/queryTable1198.xml"/><Relationship Id="rId340" Type="http://schemas.openxmlformats.org/officeDocument/2006/relationships/queryTable" Target="../queryTables/queryTable1363.xml"/><Relationship Id="rId361" Type="http://schemas.openxmlformats.org/officeDocument/2006/relationships/queryTable" Target="../queryTables/queryTable1384.xml"/><Relationship Id="rId196" Type="http://schemas.openxmlformats.org/officeDocument/2006/relationships/queryTable" Target="../queryTables/queryTable1219.xml"/><Relationship Id="rId200" Type="http://schemas.openxmlformats.org/officeDocument/2006/relationships/queryTable" Target="../queryTables/queryTable1223.xml"/><Relationship Id="rId382" Type="http://schemas.openxmlformats.org/officeDocument/2006/relationships/queryTable" Target="../queryTables/queryTable1405.xml"/><Relationship Id="rId417" Type="http://schemas.openxmlformats.org/officeDocument/2006/relationships/queryTable" Target="../queryTables/queryTable1440.xml"/><Relationship Id="rId438" Type="http://schemas.openxmlformats.org/officeDocument/2006/relationships/queryTable" Target="../queryTables/queryTable1461.xml"/><Relationship Id="rId459" Type="http://schemas.openxmlformats.org/officeDocument/2006/relationships/queryTable" Target="../queryTables/queryTable1482.xml"/><Relationship Id="rId16" Type="http://schemas.openxmlformats.org/officeDocument/2006/relationships/queryTable" Target="../queryTables/queryTable1039.xml"/><Relationship Id="rId221" Type="http://schemas.openxmlformats.org/officeDocument/2006/relationships/queryTable" Target="../queryTables/queryTable1244.xml"/><Relationship Id="rId242" Type="http://schemas.openxmlformats.org/officeDocument/2006/relationships/queryTable" Target="../queryTables/queryTable1265.xml"/><Relationship Id="rId263" Type="http://schemas.openxmlformats.org/officeDocument/2006/relationships/queryTable" Target="../queryTables/queryTable1286.xml"/><Relationship Id="rId284" Type="http://schemas.openxmlformats.org/officeDocument/2006/relationships/queryTable" Target="../queryTables/queryTable1307.xml"/><Relationship Id="rId319" Type="http://schemas.openxmlformats.org/officeDocument/2006/relationships/queryTable" Target="../queryTables/queryTable1342.xml"/><Relationship Id="rId470" Type="http://schemas.openxmlformats.org/officeDocument/2006/relationships/queryTable" Target="../queryTables/queryTable1493.xml"/><Relationship Id="rId491" Type="http://schemas.openxmlformats.org/officeDocument/2006/relationships/queryTable" Target="../queryTables/queryTable1514.xml"/><Relationship Id="rId505" Type="http://schemas.openxmlformats.org/officeDocument/2006/relationships/queryTable" Target="../queryTables/queryTable1528.xml"/><Relationship Id="rId37" Type="http://schemas.openxmlformats.org/officeDocument/2006/relationships/queryTable" Target="../queryTables/queryTable1060.xml"/><Relationship Id="rId58" Type="http://schemas.openxmlformats.org/officeDocument/2006/relationships/queryTable" Target="../queryTables/queryTable1081.xml"/><Relationship Id="rId79" Type="http://schemas.openxmlformats.org/officeDocument/2006/relationships/queryTable" Target="../queryTables/queryTable1102.xml"/><Relationship Id="rId102" Type="http://schemas.openxmlformats.org/officeDocument/2006/relationships/queryTable" Target="../queryTables/queryTable1125.xml"/><Relationship Id="rId123" Type="http://schemas.openxmlformats.org/officeDocument/2006/relationships/queryTable" Target="../queryTables/queryTable1146.xml"/><Relationship Id="rId144" Type="http://schemas.openxmlformats.org/officeDocument/2006/relationships/queryTable" Target="../queryTables/queryTable1167.xml"/><Relationship Id="rId330" Type="http://schemas.openxmlformats.org/officeDocument/2006/relationships/queryTable" Target="../queryTables/queryTable1353.xml"/><Relationship Id="rId90" Type="http://schemas.openxmlformats.org/officeDocument/2006/relationships/queryTable" Target="../queryTables/queryTable1113.xml"/><Relationship Id="rId165" Type="http://schemas.openxmlformats.org/officeDocument/2006/relationships/queryTable" Target="../queryTables/queryTable1188.xml"/><Relationship Id="rId186" Type="http://schemas.openxmlformats.org/officeDocument/2006/relationships/queryTable" Target="../queryTables/queryTable1209.xml"/><Relationship Id="rId351" Type="http://schemas.openxmlformats.org/officeDocument/2006/relationships/queryTable" Target="../queryTables/queryTable1374.xml"/><Relationship Id="rId372" Type="http://schemas.openxmlformats.org/officeDocument/2006/relationships/queryTable" Target="../queryTables/queryTable1395.xml"/><Relationship Id="rId393" Type="http://schemas.openxmlformats.org/officeDocument/2006/relationships/queryTable" Target="../queryTables/queryTable1416.xml"/><Relationship Id="rId407" Type="http://schemas.openxmlformats.org/officeDocument/2006/relationships/queryTable" Target="../queryTables/queryTable1430.xml"/><Relationship Id="rId428" Type="http://schemas.openxmlformats.org/officeDocument/2006/relationships/queryTable" Target="../queryTables/queryTable1451.xml"/><Relationship Id="rId449" Type="http://schemas.openxmlformats.org/officeDocument/2006/relationships/queryTable" Target="../queryTables/queryTable1472.xml"/><Relationship Id="rId211" Type="http://schemas.openxmlformats.org/officeDocument/2006/relationships/queryTable" Target="../queryTables/queryTable1234.xml"/><Relationship Id="rId232" Type="http://schemas.openxmlformats.org/officeDocument/2006/relationships/queryTable" Target="../queryTables/queryTable1255.xml"/><Relationship Id="rId253" Type="http://schemas.openxmlformats.org/officeDocument/2006/relationships/queryTable" Target="../queryTables/queryTable1276.xml"/><Relationship Id="rId274" Type="http://schemas.openxmlformats.org/officeDocument/2006/relationships/queryTable" Target="../queryTables/queryTable1297.xml"/><Relationship Id="rId295" Type="http://schemas.openxmlformats.org/officeDocument/2006/relationships/queryTable" Target="../queryTables/queryTable1318.xml"/><Relationship Id="rId309" Type="http://schemas.openxmlformats.org/officeDocument/2006/relationships/queryTable" Target="../queryTables/queryTable1332.xml"/><Relationship Id="rId460" Type="http://schemas.openxmlformats.org/officeDocument/2006/relationships/queryTable" Target="../queryTables/queryTable1483.xml"/><Relationship Id="rId481" Type="http://schemas.openxmlformats.org/officeDocument/2006/relationships/queryTable" Target="../queryTables/queryTable1504.xml"/><Relationship Id="rId27" Type="http://schemas.openxmlformats.org/officeDocument/2006/relationships/queryTable" Target="../queryTables/queryTable1050.xml"/><Relationship Id="rId48" Type="http://schemas.openxmlformats.org/officeDocument/2006/relationships/queryTable" Target="../queryTables/queryTable1071.xml"/><Relationship Id="rId69" Type="http://schemas.openxmlformats.org/officeDocument/2006/relationships/queryTable" Target="../queryTables/queryTable1092.xml"/><Relationship Id="rId113" Type="http://schemas.openxmlformats.org/officeDocument/2006/relationships/queryTable" Target="../queryTables/queryTable1136.xml"/><Relationship Id="rId134" Type="http://schemas.openxmlformats.org/officeDocument/2006/relationships/queryTable" Target="../queryTables/queryTable1157.xml"/><Relationship Id="rId320" Type="http://schemas.openxmlformats.org/officeDocument/2006/relationships/queryTable" Target="../queryTables/queryTable1343.xml"/><Relationship Id="rId80" Type="http://schemas.openxmlformats.org/officeDocument/2006/relationships/queryTable" Target="../queryTables/queryTable1103.xml"/><Relationship Id="rId155" Type="http://schemas.openxmlformats.org/officeDocument/2006/relationships/queryTable" Target="../queryTables/queryTable1178.xml"/><Relationship Id="rId176" Type="http://schemas.openxmlformats.org/officeDocument/2006/relationships/queryTable" Target="../queryTables/queryTable1199.xml"/><Relationship Id="rId197" Type="http://schemas.openxmlformats.org/officeDocument/2006/relationships/queryTable" Target="../queryTables/queryTable1220.xml"/><Relationship Id="rId341" Type="http://schemas.openxmlformats.org/officeDocument/2006/relationships/queryTable" Target="../queryTables/queryTable1364.xml"/><Relationship Id="rId362" Type="http://schemas.openxmlformats.org/officeDocument/2006/relationships/queryTable" Target="../queryTables/queryTable1385.xml"/><Relationship Id="rId383" Type="http://schemas.openxmlformats.org/officeDocument/2006/relationships/queryTable" Target="../queryTables/queryTable1406.xml"/><Relationship Id="rId418" Type="http://schemas.openxmlformats.org/officeDocument/2006/relationships/queryTable" Target="../queryTables/queryTable1441.xml"/><Relationship Id="rId439" Type="http://schemas.openxmlformats.org/officeDocument/2006/relationships/queryTable" Target="../queryTables/queryTable1462.xml"/><Relationship Id="rId201" Type="http://schemas.openxmlformats.org/officeDocument/2006/relationships/queryTable" Target="../queryTables/queryTable1224.xml"/><Relationship Id="rId222" Type="http://schemas.openxmlformats.org/officeDocument/2006/relationships/queryTable" Target="../queryTables/queryTable1245.xml"/><Relationship Id="rId243" Type="http://schemas.openxmlformats.org/officeDocument/2006/relationships/queryTable" Target="../queryTables/queryTable1266.xml"/><Relationship Id="rId264" Type="http://schemas.openxmlformats.org/officeDocument/2006/relationships/queryTable" Target="../queryTables/queryTable1287.xml"/><Relationship Id="rId285" Type="http://schemas.openxmlformats.org/officeDocument/2006/relationships/queryTable" Target="../queryTables/queryTable1308.xml"/><Relationship Id="rId450" Type="http://schemas.openxmlformats.org/officeDocument/2006/relationships/queryTable" Target="../queryTables/queryTable1473.xml"/><Relationship Id="rId471" Type="http://schemas.openxmlformats.org/officeDocument/2006/relationships/queryTable" Target="../queryTables/queryTable1494.xml"/><Relationship Id="rId506" Type="http://schemas.openxmlformats.org/officeDocument/2006/relationships/queryTable" Target="../queryTables/queryTable1529.xml"/><Relationship Id="rId17" Type="http://schemas.openxmlformats.org/officeDocument/2006/relationships/queryTable" Target="../queryTables/queryTable1040.xml"/><Relationship Id="rId38" Type="http://schemas.openxmlformats.org/officeDocument/2006/relationships/queryTable" Target="../queryTables/queryTable1061.xml"/><Relationship Id="rId59" Type="http://schemas.openxmlformats.org/officeDocument/2006/relationships/queryTable" Target="../queryTables/queryTable1082.xml"/><Relationship Id="rId103" Type="http://schemas.openxmlformats.org/officeDocument/2006/relationships/queryTable" Target="../queryTables/queryTable1126.xml"/><Relationship Id="rId124" Type="http://schemas.openxmlformats.org/officeDocument/2006/relationships/queryTable" Target="../queryTables/queryTable1147.xml"/><Relationship Id="rId310" Type="http://schemas.openxmlformats.org/officeDocument/2006/relationships/queryTable" Target="../queryTables/queryTable1333.xml"/><Relationship Id="rId492" Type="http://schemas.openxmlformats.org/officeDocument/2006/relationships/queryTable" Target="../queryTables/queryTable1515.xml"/><Relationship Id="rId70" Type="http://schemas.openxmlformats.org/officeDocument/2006/relationships/queryTable" Target="../queryTables/queryTable1093.xml"/><Relationship Id="rId91" Type="http://schemas.openxmlformats.org/officeDocument/2006/relationships/queryTable" Target="../queryTables/queryTable1114.xml"/><Relationship Id="rId145" Type="http://schemas.openxmlformats.org/officeDocument/2006/relationships/queryTable" Target="../queryTables/queryTable1168.xml"/><Relationship Id="rId166" Type="http://schemas.openxmlformats.org/officeDocument/2006/relationships/queryTable" Target="../queryTables/queryTable1189.xml"/><Relationship Id="rId187" Type="http://schemas.openxmlformats.org/officeDocument/2006/relationships/queryTable" Target="../queryTables/queryTable1210.xml"/><Relationship Id="rId331" Type="http://schemas.openxmlformats.org/officeDocument/2006/relationships/queryTable" Target="../queryTables/queryTable1354.xml"/><Relationship Id="rId352" Type="http://schemas.openxmlformats.org/officeDocument/2006/relationships/queryTable" Target="../queryTables/queryTable1375.xml"/><Relationship Id="rId373" Type="http://schemas.openxmlformats.org/officeDocument/2006/relationships/queryTable" Target="../queryTables/queryTable1396.xml"/><Relationship Id="rId394" Type="http://schemas.openxmlformats.org/officeDocument/2006/relationships/queryTable" Target="../queryTables/queryTable1417.xml"/><Relationship Id="rId408" Type="http://schemas.openxmlformats.org/officeDocument/2006/relationships/queryTable" Target="../queryTables/queryTable1431.xml"/><Relationship Id="rId429" Type="http://schemas.openxmlformats.org/officeDocument/2006/relationships/queryTable" Target="../queryTables/queryTable1452.xml"/><Relationship Id="rId1" Type="http://schemas.openxmlformats.org/officeDocument/2006/relationships/printerSettings" Target="../printerSettings/printerSettings5.bin"/><Relationship Id="rId212" Type="http://schemas.openxmlformats.org/officeDocument/2006/relationships/queryTable" Target="../queryTables/queryTable1235.xml"/><Relationship Id="rId233" Type="http://schemas.openxmlformats.org/officeDocument/2006/relationships/queryTable" Target="../queryTables/queryTable1256.xml"/><Relationship Id="rId254" Type="http://schemas.openxmlformats.org/officeDocument/2006/relationships/queryTable" Target="../queryTables/queryTable1277.xml"/><Relationship Id="rId440" Type="http://schemas.openxmlformats.org/officeDocument/2006/relationships/queryTable" Target="../queryTables/queryTable1463.xml"/><Relationship Id="rId28" Type="http://schemas.openxmlformats.org/officeDocument/2006/relationships/queryTable" Target="../queryTables/queryTable1051.xml"/><Relationship Id="rId49" Type="http://schemas.openxmlformats.org/officeDocument/2006/relationships/queryTable" Target="../queryTables/queryTable1072.xml"/><Relationship Id="rId114" Type="http://schemas.openxmlformats.org/officeDocument/2006/relationships/queryTable" Target="../queryTables/queryTable1137.xml"/><Relationship Id="rId275" Type="http://schemas.openxmlformats.org/officeDocument/2006/relationships/queryTable" Target="../queryTables/queryTable1298.xml"/><Relationship Id="rId296" Type="http://schemas.openxmlformats.org/officeDocument/2006/relationships/queryTable" Target="../queryTables/queryTable1319.xml"/><Relationship Id="rId300" Type="http://schemas.openxmlformats.org/officeDocument/2006/relationships/queryTable" Target="../queryTables/queryTable1323.xml"/><Relationship Id="rId461" Type="http://schemas.openxmlformats.org/officeDocument/2006/relationships/queryTable" Target="../queryTables/queryTable1484.xml"/><Relationship Id="rId482" Type="http://schemas.openxmlformats.org/officeDocument/2006/relationships/queryTable" Target="../queryTables/queryTable1505.xml"/><Relationship Id="rId60" Type="http://schemas.openxmlformats.org/officeDocument/2006/relationships/queryTable" Target="../queryTables/queryTable1083.xml"/><Relationship Id="rId81" Type="http://schemas.openxmlformats.org/officeDocument/2006/relationships/queryTable" Target="../queryTables/queryTable1104.xml"/><Relationship Id="rId135" Type="http://schemas.openxmlformats.org/officeDocument/2006/relationships/queryTable" Target="../queryTables/queryTable1158.xml"/><Relationship Id="rId156" Type="http://schemas.openxmlformats.org/officeDocument/2006/relationships/queryTable" Target="../queryTables/queryTable1179.xml"/><Relationship Id="rId177" Type="http://schemas.openxmlformats.org/officeDocument/2006/relationships/queryTable" Target="../queryTables/queryTable1200.xml"/><Relationship Id="rId198" Type="http://schemas.openxmlformats.org/officeDocument/2006/relationships/queryTable" Target="../queryTables/queryTable1221.xml"/><Relationship Id="rId321" Type="http://schemas.openxmlformats.org/officeDocument/2006/relationships/queryTable" Target="../queryTables/queryTable1344.xml"/><Relationship Id="rId342" Type="http://schemas.openxmlformats.org/officeDocument/2006/relationships/queryTable" Target="../queryTables/queryTable1365.xml"/><Relationship Id="rId363" Type="http://schemas.openxmlformats.org/officeDocument/2006/relationships/queryTable" Target="../queryTables/queryTable1386.xml"/><Relationship Id="rId384" Type="http://schemas.openxmlformats.org/officeDocument/2006/relationships/queryTable" Target="../queryTables/queryTable1407.xml"/><Relationship Id="rId419" Type="http://schemas.openxmlformats.org/officeDocument/2006/relationships/queryTable" Target="../queryTables/queryTable1442.xml"/><Relationship Id="rId202" Type="http://schemas.openxmlformats.org/officeDocument/2006/relationships/queryTable" Target="../queryTables/queryTable1225.xml"/><Relationship Id="rId223" Type="http://schemas.openxmlformats.org/officeDocument/2006/relationships/queryTable" Target="../queryTables/queryTable1246.xml"/><Relationship Id="rId244" Type="http://schemas.openxmlformats.org/officeDocument/2006/relationships/queryTable" Target="../queryTables/queryTable1267.xml"/><Relationship Id="rId430" Type="http://schemas.openxmlformats.org/officeDocument/2006/relationships/queryTable" Target="../queryTables/queryTable1453.xml"/><Relationship Id="rId18" Type="http://schemas.openxmlformats.org/officeDocument/2006/relationships/queryTable" Target="../queryTables/queryTable1041.xml"/><Relationship Id="rId39" Type="http://schemas.openxmlformats.org/officeDocument/2006/relationships/queryTable" Target="../queryTables/queryTable1062.xml"/><Relationship Id="rId265" Type="http://schemas.openxmlformats.org/officeDocument/2006/relationships/queryTable" Target="../queryTables/queryTable1288.xml"/><Relationship Id="rId286" Type="http://schemas.openxmlformats.org/officeDocument/2006/relationships/queryTable" Target="../queryTables/queryTable1309.xml"/><Relationship Id="rId451" Type="http://schemas.openxmlformats.org/officeDocument/2006/relationships/queryTable" Target="../queryTables/queryTable1474.xml"/><Relationship Id="rId472" Type="http://schemas.openxmlformats.org/officeDocument/2006/relationships/queryTable" Target="../queryTables/queryTable1495.xml"/><Relationship Id="rId493" Type="http://schemas.openxmlformats.org/officeDocument/2006/relationships/queryTable" Target="../queryTables/queryTable1516.xml"/><Relationship Id="rId507" Type="http://schemas.openxmlformats.org/officeDocument/2006/relationships/queryTable" Target="../queryTables/queryTable1530.xml"/><Relationship Id="rId50" Type="http://schemas.openxmlformats.org/officeDocument/2006/relationships/queryTable" Target="../queryTables/queryTable1073.xml"/><Relationship Id="rId104" Type="http://schemas.openxmlformats.org/officeDocument/2006/relationships/queryTable" Target="../queryTables/queryTable1127.xml"/><Relationship Id="rId125" Type="http://schemas.openxmlformats.org/officeDocument/2006/relationships/queryTable" Target="../queryTables/queryTable1148.xml"/><Relationship Id="rId146" Type="http://schemas.openxmlformats.org/officeDocument/2006/relationships/queryTable" Target="../queryTables/queryTable1169.xml"/><Relationship Id="rId167" Type="http://schemas.openxmlformats.org/officeDocument/2006/relationships/queryTable" Target="../queryTables/queryTable1190.xml"/><Relationship Id="rId188" Type="http://schemas.openxmlformats.org/officeDocument/2006/relationships/queryTable" Target="../queryTables/queryTable1211.xml"/><Relationship Id="rId311" Type="http://schemas.openxmlformats.org/officeDocument/2006/relationships/queryTable" Target="../queryTables/queryTable1334.xml"/><Relationship Id="rId332" Type="http://schemas.openxmlformats.org/officeDocument/2006/relationships/queryTable" Target="../queryTables/queryTable1355.xml"/><Relationship Id="rId353" Type="http://schemas.openxmlformats.org/officeDocument/2006/relationships/queryTable" Target="../queryTables/queryTable1376.xml"/><Relationship Id="rId374" Type="http://schemas.openxmlformats.org/officeDocument/2006/relationships/queryTable" Target="../queryTables/queryTable1397.xml"/><Relationship Id="rId395" Type="http://schemas.openxmlformats.org/officeDocument/2006/relationships/queryTable" Target="../queryTables/queryTable1418.xml"/><Relationship Id="rId409" Type="http://schemas.openxmlformats.org/officeDocument/2006/relationships/queryTable" Target="../queryTables/queryTable1432.xml"/><Relationship Id="rId71" Type="http://schemas.openxmlformats.org/officeDocument/2006/relationships/queryTable" Target="../queryTables/queryTable1094.xml"/><Relationship Id="rId92" Type="http://schemas.openxmlformats.org/officeDocument/2006/relationships/queryTable" Target="../queryTables/queryTable1115.xml"/><Relationship Id="rId213" Type="http://schemas.openxmlformats.org/officeDocument/2006/relationships/queryTable" Target="../queryTables/queryTable1236.xml"/><Relationship Id="rId234" Type="http://schemas.openxmlformats.org/officeDocument/2006/relationships/queryTable" Target="../queryTables/queryTable1257.xml"/><Relationship Id="rId420" Type="http://schemas.openxmlformats.org/officeDocument/2006/relationships/queryTable" Target="../queryTables/queryTable1443.xml"/><Relationship Id="rId2" Type="http://schemas.openxmlformats.org/officeDocument/2006/relationships/drawing" Target="../drawings/drawing4.xml"/><Relationship Id="rId29" Type="http://schemas.openxmlformats.org/officeDocument/2006/relationships/queryTable" Target="../queryTables/queryTable1052.xml"/><Relationship Id="rId255" Type="http://schemas.openxmlformats.org/officeDocument/2006/relationships/queryTable" Target="../queryTables/queryTable1278.xml"/><Relationship Id="rId276" Type="http://schemas.openxmlformats.org/officeDocument/2006/relationships/queryTable" Target="../queryTables/queryTable1299.xml"/><Relationship Id="rId297" Type="http://schemas.openxmlformats.org/officeDocument/2006/relationships/queryTable" Target="../queryTables/queryTable1320.xml"/><Relationship Id="rId441" Type="http://schemas.openxmlformats.org/officeDocument/2006/relationships/queryTable" Target="../queryTables/queryTable1464.xml"/><Relationship Id="rId462" Type="http://schemas.openxmlformats.org/officeDocument/2006/relationships/queryTable" Target="../queryTables/queryTable1485.xml"/><Relationship Id="rId483" Type="http://schemas.openxmlformats.org/officeDocument/2006/relationships/queryTable" Target="../queryTables/queryTable1506.xml"/><Relationship Id="rId40" Type="http://schemas.openxmlformats.org/officeDocument/2006/relationships/queryTable" Target="../queryTables/queryTable1063.xml"/><Relationship Id="rId115" Type="http://schemas.openxmlformats.org/officeDocument/2006/relationships/queryTable" Target="../queryTables/queryTable1138.xml"/><Relationship Id="rId136" Type="http://schemas.openxmlformats.org/officeDocument/2006/relationships/queryTable" Target="../queryTables/queryTable1159.xml"/><Relationship Id="rId157" Type="http://schemas.openxmlformats.org/officeDocument/2006/relationships/queryTable" Target="../queryTables/queryTable1180.xml"/><Relationship Id="rId178" Type="http://schemas.openxmlformats.org/officeDocument/2006/relationships/queryTable" Target="../queryTables/queryTable1201.xml"/><Relationship Id="rId301" Type="http://schemas.openxmlformats.org/officeDocument/2006/relationships/queryTable" Target="../queryTables/queryTable1324.xml"/><Relationship Id="rId322" Type="http://schemas.openxmlformats.org/officeDocument/2006/relationships/queryTable" Target="../queryTables/queryTable1345.xml"/><Relationship Id="rId343" Type="http://schemas.openxmlformats.org/officeDocument/2006/relationships/queryTable" Target="../queryTables/queryTable1366.xml"/><Relationship Id="rId364" Type="http://schemas.openxmlformats.org/officeDocument/2006/relationships/queryTable" Target="../queryTables/queryTable1387.xml"/><Relationship Id="rId61" Type="http://schemas.openxmlformats.org/officeDocument/2006/relationships/queryTable" Target="../queryTables/queryTable1084.xml"/><Relationship Id="rId82" Type="http://schemas.openxmlformats.org/officeDocument/2006/relationships/queryTable" Target="../queryTables/queryTable1105.xml"/><Relationship Id="rId199" Type="http://schemas.openxmlformats.org/officeDocument/2006/relationships/queryTable" Target="../queryTables/queryTable1222.xml"/><Relationship Id="rId203" Type="http://schemas.openxmlformats.org/officeDocument/2006/relationships/queryTable" Target="../queryTables/queryTable1226.xml"/><Relationship Id="rId385" Type="http://schemas.openxmlformats.org/officeDocument/2006/relationships/queryTable" Target="../queryTables/queryTable1408.xml"/><Relationship Id="rId19" Type="http://schemas.openxmlformats.org/officeDocument/2006/relationships/queryTable" Target="../queryTables/queryTable1042.xml"/><Relationship Id="rId224" Type="http://schemas.openxmlformats.org/officeDocument/2006/relationships/queryTable" Target="../queryTables/queryTable1247.xml"/><Relationship Id="rId245" Type="http://schemas.openxmlformats.org/officeDocument/2006/relationships/queryTable" Target="../queryTables/queryTable1268.xml"/><Relationship Id="rId266" Type="http://schemas.openxmlformats.org/officeDocument/2006/relationships/queryTable" Target="../queryTables/queryTable1289.xml"/><Relationship Id="rId287" Type="http://schemas.openxmlformats.org/officeDocument/2006/relationships/queryTable" Target="../queryTables/queryTable1310.xml"/><Relationship Id="rId410" Type="http://schemas.openxmlformats.org/officeDocument/2006/relationships/queryTable" Target="../queryTables/queryTable1433.xml"/><Relationship Id="rId431" Type="http://schemas.openxmlformats.org/officeDocument/2006/relationships/queryTable" Target="../queryTables/queryTable1454.xml"/><Relationship Id="rId452" Type="http://schemas.openxmlformats.org/officeDocument/2006/relationships/queryTable" Target="../queryTables/queryTable1475.xml"/><Relationship Id="rId473" Type="http://schemas.openxmlformats.org/officeDocument/2006/relationships/queryTable" Target="../queryTables/queryTable1496.xml"/><Relationship Id="rId494" Type="http://schemas.openxmlformats.org/officeDocument/2006/relationships/queryTable" Target="../queryTables/queryTable1517.xml"/><Relationship Id="rId508" Type="http://schemas.openxmlformats.org/officeDocument/2006/relationships/queryTable" Target="../queryTables/queryTable1531.xml"/><Relationship Id="rId30" Type="http://schemas.openxmlformats.org/officeDocument/2006/relationships/queryTable" Target="../queryTables/queryTable1053.xml"/><Relationship Id="rId105" Type="http://schemas.openxmlformats.org/officeDocument/2006/relationships/queryTable" Target="../queryTables/queryTable1128.xml"/><Relationship Id="rId126" Type="http://schemas.openxmlformats.org/officeDocument/2006/relationships/queryTable" Target="../queryTables/queryTable1149.xml"/><Relationship Id="rId147" Type="http://schemas.openxmlformats.org/officeDocument/2006/relationships/queryTable" Target="../queryTables/queryTable1170.xml"/><Relationship Id="rId168" Type="http://schemas.openxmlformats.org/officeDocument/2006/relationships/queryTable" Target="../queryTables/queryTable1191.xml"/><Relationship Id="rId312" Type="http://schemas.openxmlformats.org/officeDocument/2006/relationships/queryTable" Target="../queryTables/queryTable1335.xml"/><Relationship Id="rId333" Type="http://schemas.openxmlformats.org/officeDocument/2006/relationships/queryTable" Target="../queryTables/queryTable1356.xml"/><Relationship Id="rId354" Type="http://schemas.openxmlformats.org/officeDocument/2006/relationships/queryTable" Target="../queryTables/queryTable1377.xml"/><Relationship Id="rId51" Type="http://schemas.openxmlformats.org/officeDocument/2006/relationships/queryTable" Target="../queryTables/queryTable1074.xml"/><Relationship Id="rId72" Type="http://schemas.openxmlformats.org/officeDocument/2006/relationships/queryTable" Target="../queryTables/queryTable1095.xml"/><Relationship Id="rId93" Type="http://schemas.openxmlformats.org/officeDocument/2006/relationships/queryTable" Target="../queryTables/queryTable1116.xml"/><Relationship Id="rId189" Type="http://schemas.openxmlformats.org/officeDocument/2006/relationships/queryTable" Target="../queryTables/queryTable1212.xml"/><Relationship Id="rId375" Type="http://schemas.openxmlformats.org/officeDocument/2006/relationships/queryTable" Target="../queryTables/queryTable1398.xml"/><Relationship Id="rId396" Type="http://schemas.openxmlformats.org/officeDocument/2006/relationships/queryTable" Target="../queryTables/queryTable1419.xml"/><Relationship Id="rId3" Type="http://schemas.openxmlformats.org/officeDocument/2006/relationships/vmlDrawing" Target="../drawings/vmlDrawing4.vml"/><Relationship Id="rId214" Type="http://schemas.openxmlformats.org/officeDocument/2006/relationships/queryTable" Target="../queryTables/queryTable1237.xml"/><Relationship Id="rId235" Type="http://schemas.openxmlformats.org/officeDocument/2006/relationships/queryTable" Target="../queryTables/queryTable1258.xml"/><Relationship Id="rId256" Type="http://schemas.openxmlformats.org/officeDocument/2006/relationships/queryTable" Target="../queryTables/queryTable1279.xml"/><Relationship Id="rId277" Type="http://schemas.openxmlformats.org/officeDocument/2006/relationships/queryTable" Target="../queryTables/queryTable1300.xml"/><Relationship Id="rId298" Type="http://schemas.openxmlformats.org/officeDocument/2006/relationships/queryTable" Target="../queryTables/queryTable1321.xml"/><Relationship Id="rId400" Type="http://schemas.openxmlformats.org/officeDocument/2006/relationships/queryTable" Target="../queryTables/queryTable1423.xml"/><Relationship Id="rId421" Type="http://schemas.openxmlformats.org/officeDocument/2006/relationships/queryTable" Target="../queryTables/queryTable1444.xml"/><Relationship Id="rId442" Type="http://schemas.openxmlformats.org/officeDocument/2006/relationships/queryTable" Target="../queryTables/queryTable1465.xml"/><Relationship Id="rId463" Type="http://schemas.openxmlformats.org/officeDocument/2006/relationships/queryTable" Target="../queryTables/queryTable1486.xml"/><Relationship Id="rId484" Type="http://schemas.openxmlformats.org/officeDocument/2006/relationships/queryTable" Target="../queryTables/queryTable1507.xml"/><Relationship Id="rId116" Type="http://schemas.openxmlformats.org/officeDocument/2006/relationships/queryTable" Target="../queryTables/queryTable1139.xml"/><Relationship Id="rId137" Type="http://schemas.openxmlformats.org/officeDocument/2006/relationships/queryTable" Target="../queryTables/queryTable1160.xml"/><Relationship Id="rId158" Type="http://schemas.openxmlformats.org/officeDocument/2006/relationships/queryTable" Target="../queryTables/queryTable1181.xml"/><Relationship Id="rId302" Type="http://schemas.openxmlformats.org/officeDocument/2006/relationships/queryTable" Target="../queryTables/queryTable1325.xml"/><Relationship Id="rId323" Type="http://schemas.openxmlformats.org/officeDocument/2006/relationships/queryTable" Target="../queryTables/queryTable1346.xml"/><Relationship Id="rId344" Type="http://schemas.openxmlformats.org/officeDocument/2006/relationships/queryTable" Target="../queryTables/queryTable1367.xml"/><Relationship Id="rId20" Type="http://schemas.openxmlformats.org/officeDocument/2006/relationships/queryTable" Target="../queryTables/queryTable1043.xml"/><Relationship Id="rId41" Type="http://schemas.openxmlformats.org/officeDocument/2006/relationships/queryTable" Target="../queryTables/queryTable1064.xml"/><Relationship Id="rId62" Type="http://schemas.openxmlformats.org/officeDocument/2006/relationships/queryTable" Target="../queryTables/queryTable1085.xml"/><Relationship Id="rId83" Type="http://schemas.openxmlformats.org/officeDocument/2006/relationships/queryTable" Target="../queryTables/queryTable1106.xml"/><Relationship Id="rId179" Type="http://schemas.openxmlformats.org/officeDocument/2006/relationships/queryTable" Target="../queryTables/queryTable1202.xml"/><Relationship Id="rId365" Type="http://schemas.openxmlformats.org/officeDocument/2006/relationships/queryTable" Target="../queryTables/queryTable1388.xml"/><Relationship Id="rId386" Type="http://schemas.openxmlformats.org/officeDocument/2006/relationships/queryTable" Target="../queryTables/queryTable1409.xml"/><Relationship Id="rId190" Type="http://schemas.openxmlformats.org/officeDocument/2006/relationships/queryTable" Target="../queryTables/queryTable1213.xml"/><Relationship Id="rId204" Type="http://schemas.openxmlformats.org/officeDocument/2006/relationships/queryTable" Target="../queryTables/queryTable1227.xml"/><Relationship Id="rId225" Type="http://schemas.openxmlformats.org/officeDocument/2006/relationships/queryTable" Target="../queryTables/queryTable1248.xml"/><Relationship Id="rId246" Type="http://schemas.openxmlformats.org/officeDocument/2006/relationships/queryTable" Target="../queryTables/queryTable1269.xml"/><Relationship Id="rId267" Type="http://schemas.openxmlformats.org/officeDocument/2006/relationships/queryTable" Target="../queryTables/queryTable1290.xml"/><Relationship Id="rId288" Type="http://schemas.openxmlformats.org/officeDocument/2006/relationships/queryTable" Target="../queryTables/queryTable1311.xml"/><Relationship Id="rId411" Type="http://schemas.openxmlformats.org/officeDocument/2006/relationships/queryTable" Target="../queryTables/queryTable1434.xml"/><Relationship Id="rId432" Type="http://schemas.openxmlformats.org/officeDocument/2006/relationships/queryTable" Target="../queryTables/queryTable1455.xml"/><Relationship Id="rId453" Type="http://schemas.openxmlformats.org/officeDocument/2006/relationships/queryTable" Target="../queryTables/queryTable1476.xml"/><Relationship Id="rId474" Type="http://schemas.openxmlformats.org/officeDocument/2006/relationships/queryTable" Target="../queryTables/queryTable1497.xml"/><Relationship Id="rId509" Type="http://schemas.openxmlformats.org/officeDocument/2006/relationships/queryTable" Target="../queryTables/queryTable1532.xml"/><Relationship Id="rId106" Type="http://schemas.openxmlformats.org/officeDocument/2006/relationships/queryTable" Target="../queryTables/queryTable1129.xml"/><Relationship Id="rId127" Type="http://schemas.openxmlformats.org/officeDocument/2006/relationships/queryTable" Target="../queryTables/queryTable1150.xml"/><Relationship Id="rId313" Type="http://schemas.openxmlformats.org/officeDocument/2006/relationships/queryTable" Target="../queryTables/queryTable1336.xml"/><Relationship Id="rId495" Type="http://schemas.openxmlformats.org/officeDocument/2006/relationships/queryTable" Target="../queryTables/queryTable1518.xml"/><Relationship Id="rId10" Type="http://schemas.openxmlformats.org/officeDocument/2006/relationships/queryTable" Target="../queryTables/queryTable1033.xml"/><Relationship Id="rId31" Type="http://schemas.openxmlformats.org/officeDocument/2006/relationships/queryTable" Target="../queryTables/queryTable1054.xml"/><Relationship Id="rId52" Type="http://schemas.openxmlformats.org/officeDocument/2006/relationships/queryTable" Target="../queryTables/queryTable1075.xml"/><Relationship Id="rId73" Type="http://schemas.openxmlformats.org/officeDocument/2006/relationships/queryTable" Target="../queryTables/queryTable1096.xml"/><Relationship Id="rId94" Type="http://schemas.openxmlformats.org/officeDocument/2006/relationships/queryTable" Target="../queryTables/queryTable1117.xml"/><Relationship Id="rId148" Type="http://schemas.openxmlformats.org/officeDocument/2006/relationships/queryTable" Target="../queryTables/queryTable1171.xml"/><Relationship Id="rId169" Type="http://schemas.openxmlformats.org/officeDocument/2006/relationships/queryTable" Target="../queryTables/queryTable1192.xml"/><Relationship Id="rId334" Type="http://schemas.openxmlformats.org/officeDocument/2006/relationships/queryTable" Target="../queryTables/queryTable1357.xml"/><Relationship Id="rId355" Type="http://schemas.openxmlformats.org/officeDocument/2006/relationships/queryTable" Target="../queryTables/queryTable1378.xml"/><Relationship Id="rId376" Type="http://schemas.openxmlformats.org/officeDocument/2006/relationships/queryTable" Target="../queryTables/queryTable1399.xml"/><Relationship Id="rId397" Type="http://schemas.openxmlformats.org/officeDocument/2006/relationships/queryTable" Target="../queryTables/queryTable1420.xml"/><Relationship Id="rId4" Type="http://schemas.openxmlformats.org/officeDocument/2006/relationships/ctrlProp" Target="../ctrlProps/ctrlProp4.xml"/><Relationship Id="rId180" Type="http://schemas.openxmlformats.org/officeDocument/2006/relationships/queryTable" Target="../queryTables/queryTable1203.xml"/><Relationship Id="rId215" Type="http://schemas.openxmlformats.org/officeDocument/2006/relationships/queryTable" Target="../queryTables/queryTable1238.xml"/><Relationship Id="rId236" Type="http://schemas.openxmlformats.org/officeDocument/2006/relationships/queryTable" Target="../queryTables/queryTable1259.xml"/><Relationship Id="rId257" Type="http://schemas.openxmlformats.org/officeDocument/2006/relationships/queryTable" Target="../queryTables/queryTable1280.xml"/><Relationship Id="rId278" Type="http://schemas.openxmlformats.org/officeDocument/2006/relationships/queryTable" Target="../queryTables/queryTable1301.xml"/><Relationship Id="rId401" Type="http://schemas.openxmlformats.org/officeDocument/2006/relationships/queryTable" Target="../queryTables/queryTable1424.xml"/><Relationship Id="rId422" Type="http://schemas.openxmlformats.org/officeDocument/2006/relationships/queryTable" Target="../queryTables/queryTable1445.xml"/><Relationship Id="rId443" Type="http://schemas.openxmlformats.org/officeDocument/2006/relationships/queryTable" Target="../queryTables/queryTable1466.xml"/><Relationship Id="rId464" Type="http://schemas.openxmlformats.org/officeDocument/2006/relationships/queryTable" Target="../queryTables/queryTable1487.xml"/><Relationship Id="rId303" Type="http://schemas.openxmlformats.org/officeDocument/2006/relationships/queryTable" Target="../queryTables/queryTable1326.xml"/><Relationship Id="rId485" Type="http://schemas.openxmlformats.org/officeDocument/2006/relationships/queryTable" Target="../queryTables/queryTable1508.xml"/><Relationship Id="rId42" Type="http://schemas.openxmlformats.org/officeDocument/2006/relationships/queryTable" Target="../queryTables/queryTable1065.xml"/><Relationship Id="rId84" Type="http://schemas.openxmlformats.org/officeDocument/2006/relationships/queryTable" Target="../queryTables/queryTable1107.xml"/><Relationship Id="rId138" Type="http://schemas.openxmlformats.org/officeDocument/2006/relationships/queryTable" Target="../queryTables/queryTable1161.xml"/><Relationship Id="rId345" Type="http://schemas.openxmlformats.org/officeDocument/2006/relationships/queryTable" Target="../queryTables/queryTable1368.xml"/><Relationship Id="rId387" Type="http://schemas.openxmlformats.org/officeDocument/2006/relationships/queryTable" Target="../queryTables/queryTable1410.xml"/><Relationship Id="rId191" Type="http://schemas.openxmlformats.org/officeDocument/2006/relationships/queryTable" Target="../queryTables/queryTable1214.xml"/><Relationship Id="rId205" Type="http://schemas.openxmlformats.org/officeDocument/2006/relationships/queryTable" Target="../queryTables/queryTable1228.xml"/><Relationship Id="rId247" Type="http://schemas.openxmlformats.org/officeDocument/2006/relationships/queryTable" Target="../queryTables/queryTable1270.xml"/><Relationship Id="rId412" Type="http://schemas.openxmlformats.org/officeDocument/2006/relationships/queryTable" Target="../queryTables/queryTable1435.xml"/><Relationship Id="rId107" Type="http://schemas.openxmlformats.org/officeDocument/2006/relationships/queryTable" Target="../queryTables/queryTable1130.xml"/><Relationship Id="rId289" Type="http://schemas.openxmlformats.org/officeDocument/2006/relationships/queryTable" Target="../queryTables/queryTable1312.xml"/><Relationship Id="rId454" Type="http://schemas.openxmlformats.org/officeDocument/2006/relationships/queryTable" Target="../queryTables/queryTable1477.xml"/><Relationship Id="rId496" Type="http://schemas.openxmlformats.org/officeDocument/2006/relationships/queryTable" Target="../queryTables/queryTable1519.xml"/><Relationship Id="rId11" Type="http://schemas.openxmlformats.org/officeDocument/2006/relationships/queryTable" Target="../queryTables/queryTable1034.xml"/><Relationship Id="rId53" Type="http://schemas.openxmlformats.org/officeDocument/2006/relationships/queryTable" Target="../queryTables/queryTable1076.xml"/><Relationship Id="rId149" Type="http://schemas.openxmlformats.org/officeDocument/2006/relationships/queryTable" Target="../queryTables/queryTable1172.xml"/><Relationship Id="rId314" Type="http://schemas.openxmlformats.org/officeDocument/2006/relationships/queryTable" Target="../queryTables/queryTable1337.xml"/><Relationship Id="rId356" Type="http://schemas.openxmlformats.org/officeDocument/2006/relationships/queryTable" Target="../queryTables/queryTable1379.xml"/><Relationship Id="rId398" Type="http://schemas.openxmlformats.org/officeDocument/2006/relationships/queryTable" Target="../queryTables/queryTable1421.xml"/><Relationship Id="rId95" Type="http://schemas.openxmlformats.org/officeDocument/2006/relationships/queryTable" Target="../queryTables/queryTable1118.xml"/><Relationship Id="rId160" Type="http://schemas.openxmlformats.org/officeDocument/2006/relationships/queryTable" Target="../queryTables/queryTable1183.xml"/><Relationship Id="rId216" Type="http://schemas.openxmlformats.org/officeDocument/2006/relationships/queryTable" Target="../queryTables/queryTable1239.xml"/><Relationship Id="rId423" Type="http://schemas.openxmlformats.org/officeDocument/2006/relationships/queryTable" Target="../queryTables/queryTable1446.xml"/><Relationship Id="rId258" Type="http://schemas.openxmlformats.org/officeDocument/2006/relationships/queryTable" Target="../queryTables/queryTable1281.xml"/><Relationship Id="rId465" Type="http://schemas.openxmlformats.org/officeDocument/2006/relationships/queryTable" Target="../queryTables/queryTable1488.xml"/><Relationship Id="rId22" Type="http://schemas.openxmlformats.org/officeDocument/2006/relationships/queryTable" Target="../queryTables/queryTable1045.xml"/><Relationship Id="rId64" Type="http://schemas.openxmlformats.org/officeDocument/2006/relationships/queryTable" Target="../queryTables/queryTable1087.xml"/><Relationship Id="rId118" Type="http://schemas.openxmlformats.org/officeDocument/2006/relationships/queryTable" Target="../queryTables/queryTable1141.xml"/><Relationship Id="rId325" Type="http://schemas.openxmlformats.org/officeDocument/2006/relationships/queryTable" Target="../queryTables/queryTable1348.xml"/><Relationship Id="rId367" Type="http://schemas.openxmlformats.org/officeDocument/2006/relationships/queryTable" Target="../queryTables/queryTable1390.xml"/><Relationship Id="rId171" Type="http://schemas.openxmlformats.org/officeDocument/2006/relationships/queryTable" Target="../queryTables/queryTable1194.xml"/><Relationship Id="rId227" Type="http://schemas.openxmlformats.org/officeDocument/2006/relationships/queryTable" Target="../queryTables/queryTable1250.xml"/><Relationship Id="rId269" Type="http://schemas.openxmlformats.org/officeDocument/2006/relationships/queryTable" Target="../queryTables/queryTable1292.xml"/><Relationship Id="rId434" Type="http://schemas.openxmlformats.org/officeDocument/2006/relationships/queryTable" Target="../queryTables/queryTable1457.xml"/><Relationship Id="rId476" Type="http://schemas.openxmlformats.org/officeDocument/2006/relationships/queryTable" Target="../queryTables/queryTable1499.xml"/><Relationship Id="rId33" Type="http://schemas.openxmlformats.org/officeDocument/2006/relationships/queryTable" Target="../queryTables/queryTable1056.xml"/><Relationship Id="rId129" Type="http://schemas.openxmlformats.org/officeDocument/2006/relationships/queryTable" Target="../queryTables/queryTable1152.xml"/><Relationship Id="rId280" Type="http://schemas.openxmlformats.org/officeDocument/2006/relationships/queryTable" Target="../queryTables/queryTable1303.xml"/><Relationship Id="rId336" Type="http://schemas.openxmlformats.org/officeDocument/2006/relationships/queryTable" Target="../queryTables/queryTable1359.xml"/><Relationship Id="rId501" Type="http://schemas.openxmlformats.org/officeDocument/2006/relationships/queryTable" Target="../queryTables/queryTable1524.xml"/><Relationship Id="rId75" Type="http://schemas.openxmlformats.org/officeDocument/2006/relationships/queryTable" Target="../queryTables/queryTable1098.xml"/><Relationship Id="rId140" Type="http://schemas.openxmlformats.org/officeDocument/2006/relationships/queryTable" Target="../queryTables/queryTable1163.xml"/><Relationship Id="rId182" Type="http://schemas.openxmlformats.org/officeDocument/2006/relationships/queryTable" Target="../queryTables/queryTable1205.xml"/><Relationship Id="rId378" Type="http://schemas.openxmlformats.org/officeDocument/2006/relationships/queryTable" Target="../queryTables/queryTable1401.xml"/><Relationship Id="rId403" Type="http://schemas.openxmlformats.org/officeDocument/2006/relationships/queryTable" Target="../queryTables/queryTable1426.xml"/><Relationship Id="rId6" Type="http://schemas.openxmlformats.org/officeDocument/2006/relationships/queryTable" Target="../queryTables/queryTable1029.xml"/><Relationship Id="rId238" Type="http://schemas.openxmlformats.org/officeDocument/2006/relationships/queryTable" Target="../queryTables/queryTable1261.xml"/><Relationship Id="rId445" Type="http://schemas.openxmlformats.org/officeDocument/2006/relationships/queryTable" Target="../queryTables/queryTable1468.xml"/><Relationship Id="rId487" Type="http://schemas.openxmlformats.org/officeDocument/2006/relationships/queryTable" Target="../queryTables/queryTable1510.xml"/><Relationship Id="rId291" Type="http://schemas.openxmlformats.org/officeDocument/2006/relationships/queryTable" Target="../queryTables/queryTable1314.xml"/><Relationship Id="rId305" Type="http://schemas.openxmlformats.org/officeDocument/2006/relationships/queryTable" Target="../queryTables/queryTable1328.xml"/><Relationship Id="rId347" Type="http://schemas.openxmlformats.org/officeDocument/2006/relationships/queryTable" Target="../queryTables/queryTable1370.xml"/><Relationship Id="rId44" Type="http://schemas.openxmlformats.org/officeDocument/2006/relationships/queryTable" Target="../queryTables/queryTable1067.xml"/><Relationship Id="rId86" Type="http://schemas.openxmlformats.org/officeDocument/2006/relationships/queryTable" Target="../queryTables/queryTable1109.xml"/><Relationship Id="rId151" Type="http://schemas.openxmlformats.org/officeDocument/2006/relationships/queryTable" Target="../queryTables/queryTable1174.xml"/><Relationship Id="rId389" Type="http://schemas.openxmlformats.org/officeDocument/2006/relationships/queryTable" Target="../queryTables/queryTable1412.xml"/><Relationship Id="rId193" Type="http://schemas.openxmlformats.org/officeDocument/2006/relationships/queryTable" Target="../queryTables/queryTable1216.xml"/><Relationship Id="rId207" Type="http://schemas.openxmlformats.org/officeDocument/2006/relationships/queryTable" Target="../queryTables/queryTable1230.xml"/><Relationship Id="rId249" Type="http://schemas.openxmlformats.org/officeDocument/2006/relationships/queryTable" Target="../queryTables/queryTable1272.xml"/><Relationship Id="rId414" Type="http://schemas.openxmlformats.org/officeDocument/2006/relationships/queryTable" Target="../queryTables/queryTable1437.xml"/><Relationship Id="rId456" Type="http://schemas.openxmlformats.org/officeDocument/2006/relationships/queryTable" Target="../queryTables/queryTable1479.xml"/><Relationship Id="rId498" Type="http://schemas.openxmlformats.org/officeDocument/2006/relationships/queryTable" Target="../queryTables/queryTable1521.xml"/><Relationship Id="rId13" Type="http://schemas.openxmlformats.org/officeDocument/2006/relationships/queryTable" Target="../queryTables/queryTable1036.xml"/><Relationship Id="rId109" Type="http://schemas.openxmlformats.org/officeDocument/2006/relationships/queryTable" Target="../queryTables/queryTable1132.xml"/><Relationship Id="rId260" Type="http://schemas.openxmlformats.org/officeDocument/2006/relationships/queryTable" Target="../queryTables/queryTable1283.xml"/><Relationship Id="rId316" Type="http://schemas.openxmlformats.org/officeDocument/2006/relationships/queryTable" Target="../queryTables/queryTable1339.xml"/><Relationship Id="rId55" Type="http://schemas.openxmlformats.org/officeDocument/2006/relationships/queryTable" Target="../queryTables/queryTable1078.xml"/><Relationship Id="rId97" Type="http://schemas.openxmlformats.org/officeDocument/2006/relationships/queryTable" Target="../queryTables/queryTable1120.xml"/><Relationship Id="rId120" Type="http://schemas.openxmlformats.org/officeDocument/2006/relationships/queryTable" Target="../queryTables/queryTable1143.xml"/><Relationship Id="rId358" Type="http://schemas.openxmlformats.org/officeDocument/2006/relationships/queryTable" Target="../queryTables/queryTable1381.xml"/><Relationship Id="rId162" Type="http://schemas.openxmlformats.org/officeDocument/2006/relationships/queryTable" Target="../queryTables/queryTable1185.xml"/><Relationship Id="rId218" Type="http://schemas.openxmlformats.org/officeDocument/2006/relationships/queryTable" Target="../queryTables/queryTable1241.xml"/><Relationship Id="rId425" Type="http://schemas.openxmlformats.org/officeDocument/2006/relationships/queryTable" Target="../queryTables/queryTable1448.xml"/><Relationship Id="rId467" Type="http://schemas.openxmlformats.org/officeDocument/2006/relationships/queryTable" Target="../queryTables/queryTable1490.xml"/><Relationship Id="rId271" Type="http://schemas.openxmlformats.org/officeDocument/2006/relationships/queryTable" Target="../queryTables/queryTable1294.xml"/><Relationship Id="rId24" Type="http://schemas.openxmlformats.org/officeDocument/2006/relationships/queryTable" Target="../queryTables/queryTable1047.xml"/><Relationship Id="rId66" Type="http://schemas.openxmlformats.org/officeDocument/2006/relationships/queryTable" Target="../queryTables/queryTable1089.xml"/><Relationship Id="rId131" Type="http://schemas.openxmlformats.org/officeDocument/2006/relationships/queryTable" Target="../queryTables/queryTable1154.xml"/><Relationship Id="rId327" Type="http://schemas.openxmlformats.org/officeDocument/2006/relationships/queryTable" Target="../queryTables/queryTable1350.xml"/><Relationship Id="rId369" Type="http://schemas.openxmlformats.org/officeDocument/2006/relationships/queryTable" Target="../queryTables/queryTable1392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644.xml"/><Relationship Id="rId299" Type="http://schemas.openxmlformats.org/officeDocument/2006/relationships/queryTable" Target="../queryTables/queryTable1826.xml"/><Relationship Id="rId21" Type="http://schemas.openxmlformats.org/officeDocument/2006/relationships/queryTable" Target="../queryTables/queryTable1548.xml"/><Relationship Id="rId63" Type="http://schemas.openxmlformats.org/officeDocument/2006/relationships/queryTable" Target="../queryTables/queryTable1590.xml"/><Relationship Id="rId159" Type="http://schemas.openxmlformats.org/officeDocument/2006/relationships/queryTable" Target="../queryTables/queryTable1686.xml"/><Relationship Id="rId324" Type="http://schemas.openxmlformats.org/officeDocument/2006/relationships/queryTable" Target="../queryTables/queryTable1851.xml"/><Relationship Id="rId366" Type="http://schemas.openxmlformats.org/officeDocument/2006/relationships/queryTable" Target="../queryTables/queryTable1893.xml"/><Relationship Id="rId531" Type="http://schemas.openxmlformats.org/officeDocument/2006/relationships/queryTable" Target="../queryTables/queryTable2058.xml"/><Relationship Id="rId170" Type="http://schemas.openxmlformats.org/officeDocument/2006/relationships/queryTable" Target="../queryTables/queryTable1697.xml"/><Relationship Id="rId226" Type="http://schemas.openxmlformats.org/officeDocument/2006/relationships/queryTable" Target="../queryTables/queryTable1753.xml"/><Relationship Id="rId433" Type="http://schemas.openxmlformats.org/officeDocument/2006/relationships/queryTable" Target="../queryTables/queryTable1960.xml"/><Relationship Id="rId268" Type="http://schemas.openxmlformats.org/officeDocument/2006/relationships/queryTable" Target="../queryTables/queryTable1795.xml"/><Relationship Id="rId475" Type="http://schemas.openxmlformats.org/officeDocument/2006/relationships/queryTable" Target="../queryTables/queryTable2002.xml"/><Relationship Id="rId32" Type="http://schemas.openxmlformats.org/officeDocument/2006/relationships/queryTable" Target="../queryTables/queryTable1559.xml"/><Relationship Id="rId74" Type="http://schemas.openxmlformats.org/officeDocument/2006/relationships/queryTable" Target="../queryTables/queryTable1601.xml"/><Relationship Id="rId128" Type="http://schemas.openxmlformats.org/officeDocument/2006/relationships/queryTable" Target="../queryTables/queryTable1655.xml"/><Relationship Id="rId335" Type="http://schemas.openxmlformats.org/officeDocument/2006/relationships/queryTable" Target="../queryTables/queryTable1862.xml"/><Relationship Id="rId377" Type="http://schemas.openxmlformats.org/officeDocument/2006/relationships/queryTable" Target="../queryTables/queryTable1904.xml"/><Relationship Id="rId500" Type="http://schemas.openxmlformats.org/officeDocument/2006/relationships/queryTable" Target="../queryTables/queryTable2027.xml"/><Relationship Id="rId5" Type="http://schemas.openxmlformats.org/officeDocument/2006/relationships/table" Target="../tables/table6.xml"/><Relationship Id="rId181" Type="http://schemas.openxmlformats.org/officeDocument/2006/relationships/queryTable" Target="../queryTables/queryTable1708.xml"/><Relationship Id="rId237" Type="http://schemas.openxmlformats.org/officeDocument/2006/relationships/queryTable" Target="../queryTables/queryTable1764.xml"/><Relationship Id="rId402" Type="http://schemas.openxmlformats.org/officeDocument/2006/relationships/queryTable" Target="../queryTables/queryTable1929.xml"/><Relationship Id="rId279" Type="http://schemas.openxmlformats.org/officeDocument/2006/relationships/queryTable" Target="../queryTables/queryTable1806.xml"/><Relationship Id="rId444" Type="http://schemas.openxmlformats.org/officeDocument/2006/relationships/queryTable" Target="../queryTables/queryTable1971.xml"/><Relationship Id="rId486" Type="http://schemas.openxmlformats.org/officeDocument/2006/relationships/queryTable" Target="../queryTables/queryTable2013.xml"/><Relationship Id="rId43" Type="http://schemas.openxmlformats.org/officeDocument/2006/relationships/queryTable" Target="../queryTables/queryTable1570.xml"/><Relationship Id="rId139" Type="http://schemas.openxmlformats.org/officeDocument/2006/relationships/queryTable" Target="../queryTables/queryTable1666.xml"/><Relationship Id="rId290" Type="http://schemas.openxmlformats.org/officeDocument/2006/relationships/queryTable" Target="../queryTables/queryTable1817.xml"/><Relationship Id="rId304" Type="http://schemas.openxmlformats.org/officeDocument/2006/relationships/queryTable" Target="../queryTables/queryTable1831.xml"/><Relationship Id="rId346" Type="http://schemas.openxmlformats.org/officeDocument/2006/relationships/queryTable" Target="../queryTables/queryTable1873.xml"/><Relationship Id="rId388" Type="http://schemas.openxmlformats.org/officeDocument/2006/relationships/queryTable" Target="../queryTables/queryTable1915.xml"/><Relationship Id="rId511" Type="http://schemas.openxmlformats.org/officeDocument/2006/relationships/queryTable" Target="../queryTables/queryTable2038.xml"/><Relationship Id="rId85" Type="http://schemas.openxmlformats.org/officeDocument/2006/relationships/queryTable" Target="../queryTables/queryTable1612.xml"/><Relationship Id="rId150" Type="http://schemas.openxmlformats.org/officeDocument/2006/relationships/queryTable" Target="../queryTables/queryTable1677.xml"/><Relationship Id="rId192" Type="http://schemas.openxmlformats.org/officeDocument/2006/relationships/queryTable" Target="../queryTables/queryTable1719.xml"/><Relationship Id="rId206" Type="http://schemas.openxmlformats.org/officeDocument/2006/relationships/queryTable" Target="../queryTables/queryTable1733.xml"/><Relationship Id="rId413" Type="http://schemas.openxmlformats.org/officeDocument/2006/relationships/queryTable" Target="../queryTables/queryTable1940.xml"/><Relationship Id="rId248" Type="http://schemas.openxmlformats.org/officeDocument/2006/relationships/queryTable" Target="../queryTables/queryTable1775.xml"/><Relationship Id="rId455" Type="http://schemas.openxmlformats.org/officeDocument/2006/relationships/queryTable" Target="../queryTables/queryTable1982.xml"/><Relationship Id="rId497" Type="http://schemas.openxmlformats.org/officeDocument/2006/relationships/queryTable" Target="../queryTables/queryTable2024.xml"/><Relationship Id="rId12" Type="http://schemas.openxmlformats.org/officeDocument/2006/relationships/queryTable" Target="../queryTables/queryTable1539.xml"/><Relationship Id="rId108" Type="http://schemas.openxmlformats.org/officeDocument/2006/relationships/queryTable" Target="../queryTables/queryTable1635.xml"/><Relationship Id="rId315" Type="http://schemas.openxmlformats.org/officeDocument/2006/relationships/queryTable" Target="../queryTables/queryTable1842.xml"/><Relationship Id="rId357" Type="http://schemas.openxmlformats.org/officeDocument/2006/relationships/queryTable" Target="../queryTables/queryTable1884.xml"/><Relationship Id="rId522" Type="http://schemas.openxmlformats.org/officeDocument/2006/relationships/queryTable" Target="../queryTables/queryTable2049.xml"/><Relationship Id="rId54" Type="http://schemas.openxmlformats.org/officeDocument/2006/relationships/queryTable" Target="../queryTables/queryTable1581.xml"/><Relationship Id="rId96" Type="http://schemas.openxmlformats.org/officeDocument/2006/relationships/queryTable" Target="../queryTables/queryTable1623.xml"/><Relationship Id="rId161" Type="http://schemas.openxmlformats.org/officeDocument/2006/relationships/queryTable" Target="../queryTables/queryTable1688.xml"/><Relationship Id="rId217" Type="http://schemas.openxmlformats.org/officeDocument/2006/relationships/queryTable" Target="../queryTables/queryTable1744.xml"/><Relationship Id="rId399" Type="http://schemas.openxmlformats.org/officeDocument/2006/relationships/queryTable" Target="../queryTables/queryTable1926.xml"/><Relationship Id="rId259" Type="http://schemas.openxmlformats.org/officeDocument/2006/relationships/queryTable" Target="../queryTables/queryTable1786.xml"/><Relationship Id="rId424" Type="http://schemas.openxmlformats.org/officeDocument/2006/relationships/queryTable" Target="../queryTables/queryTable1951.xml"/><Relationship Id="rId466" Type="http://schemas.openxmlformats.org/officeDocument/2006/relationships/queryTable" Target="../queryTables/queryTable1993.xml"/><Relationship Id="rId23" Type="http://schemas.openxmlformats.org/officeDocument/2006/relationships/queryTable" Target="../queryTables/queryTable1550.xml"/><Relationship Id="rId119" Type="http://schemas.openxmlformats.org/officeDocument/2006/relationships/queryTable" Target="../queryTables/queryTable1646.xml"/><Relationship Id="rId270" Type="http://schemas.openxmlformats.org/officeDocument/2006/relationships/queryTable" Target="../queryTables/queryTable1797.xml"/><Relationship Id="rId326" Type="http://schemas.openxmlformats.org/officeDocument/2006/relationships/queryTable" Target="../queryTables/queryTable1853.xml"/><Relationship Id="rId533" Type="http://schemas.openxmlformats.org/officeDocument/2006/relationships/queryTable" Target="../queryTables/queryTable2060.xml"/><Relationship Id="rId65" Type="http://schemas.openxmlformats.org/officeDocument/2006/relationships/queryTable" Target="../queryTables/queryTable1592.xml"/><Relationship Id="rId130" Type="http://schemas.openxmlformats.org/officeDocument/2006/relationships/queryTable" Target="../queryTables/queryTable1657.xml"/><Relationship Id="rId368" Type="http://schemas.openxmlformats.org/officeDocument/2006/relationships/queryTable" Target="../queryTables/queryTable1895.xml"/><Relationship Id="rId172" Type="http://schemas.openxmlformats.org/officeDocument/2006/relationships/queryTable" Target="../queryTables/queryTable1699.xml"/><Relationship Id="rId228" Type="http://schemas.openxmlformats.org/officeDocument/2006/relationships/queryTable" Target="../queryTables/queryTable1755.xml"/><Relationship Id="rId435" Type="http://schemas.openxmlformats.org/officeDocument/2006/relationships/queryTable" Target="../queryTables/queryTable1962.xml"/><Relationship Id="rId477" Type="http://schemas.openxmlformats.org/officeDocument/2006/relationships/queryTable" Target="../queryTables/queryTable2004.xml"/><Relationship Id="rId281" Type="http://schemas.openxmlformats.org/officeDocument/2006/relationships/queryTable" Target="../queryTables/queryTable1808.xml"/><Relationship Id="rId337" Type="http://schemas.openxmlformats.org/officeDocument/2006/relationships/queryTable" Target="../queryTables/queryTable1864.xml"/><Relationship Id="rId502" Type="http://schemas.openxmlformats.org/officeDocument/2006/relationships/queryTable" Target="../queryTables/queryTable2029.xml"/><Relationship Id="rId34" Type="http://schemas.openxmlformats.org/officeDocument/2006/relationships/queryTable" Target="../queryTables/queryTable1561.xml"/><Relationship Id="rId76" Type="http://schemas.openxmlformats.org/officeDocument/2006/relationships/queryTable" Target="../queryTables/queryTable1603.xml"/><Relationship Id="rId141" Type="http://schemas.openxmlformats.org/officeDocument/2006/relationships/queryTable" Target="../queryTables/queryTable1668.xml"/><Relationship Id="rId379" Type="http://schemas.openxmlformats.org/officeDocument/2006/relationships/queryTable" Target="../queryTables/queryTable1906.xml"/><Relationship Id="rId7" Type="http://schemas.openxmlformats.org/officeDocument/2006/relationships/queryTable" Target="../queryTables/queryTable1534.xml"/><Relationship Id="rId183" Type="http://schemas.openxmlformats.org/officeDocument/2006/relationships/queryTable" Target="../queryTables/queryTable1710.xml"/><Relationship Id="rId239" Type="http://schemas.openxmlformats.org/officeDocument/2006/relationships/queryTable" Target="../queryTables/queryTable1766.xml"/><Relationship Id="rId390" Type="http://schemas.openxmlformats.org/officeDocument/2006/relationships/queryTable" Target="../queryTables/queryTable1917.xml"/><Relationship Id="rId404" Type="http://schemas.openxmlformats.org/officeDocument/2006/relationships/queryTable" Target="../queryTables/queryTable1931.xml"/><Relationship Id="rId446" Type="http://schemas.openxmlformats.org/officeDocument/2006/relationships/queryTable" Target="../queryTables/queryTable1973.xml"/><Relationship Id="rId250" Type="http://schemas.openxmlformats.org/officeDocument/2006/relationships/queryTable" Target="../queryTables/queryTable1777.xml"/><Relationship Id="rId292" Type="http://schemas.openxmlformats.org/officeDocument/2006/relationships/queryTable" Target="../queryTables/queryTable1819.xml"/><Relationship Id="rId306" Type="http://schemas.openxmlformats.org/officeDocument/2006/relationships/queryTable" Target="../queryTables/queryTable1833.xml"/><Relationship Id="rId488" Type="http://schemas.openxmlformats.org/officeDocument/2006/relationships/queryTable" Target="../queryTables/queryTable2015.xml"/><Relationship Id="rId45" Type="http://schemas.openxmlformats.org/officeDocument/2006/relationships/queryTable" Target="../queryTables/queryTable1572.xml"/><Relationship Id="rId87" Type="http://schemas.openxmlformats.org/officeDocument/2006/relationships/queryTable" Target="../queryTables/queryTable1614.xml"/><Relationship Id="rId110" Type="http://schemas.openxmlformats.org/officeDocument/2006/relationships/queryTable" Target="../queryTables/queryTable1637.xml"/><Relationship Id="rId348" Type="http://schemas.openxmlformats.org/officeDocument/2006/relationships/queryTable" Target="../queryTables/queryTable1875.xml"/><Relationship Id="rId513" Type="http://schemas.openxmlformats.org/officeDocument/2006/relationships/queryTable" Target="../queryTables/queryTable2040.xml"/><Relationship Id="rId152" Type="http://schemas.openxmlformats.org/officeDocument/2006/relationships/queryTable" Target="../queryTables/queryTable1679.xml"/><Relationship Id="rId194" Type="http://schemas.openxmlformats.org/officeDocument/2006/relationships/queryTable" Target="../queryTables/queryTable1721.xml"/><Relationship Id="rId208" Type="http://schemas.openxmlformats.org/officeDocument/2006/relationships/queryTable" Target="../queryTables/queryTable1735.xml"/><Relationship Id="rId415" Type="http://schemas.openxmlformats.org/officeDocument/2006/relationships/queryTable" Target="../queryTables/queryTable1942.xml"/><Relationship Id="rId457" Type="http://schemas.openxmlformats.org/officeDocument/2006/relationships/queryTable" Target="../queryTables/queryTable1984.xml"/><Relationship Id="rId261" Type="http://schemas.openxmlformats.org/officeDocument/2006/relationships/queryTable" Target="../queryTables/queryTable1788.xml"/><Relationship Id="rId499" Type="http://schemas.openxmlformats.org/officeDocument/2006/relationships/queryTable" Target="../queryTables/queryTable2026.xml"/><Relationship Id="rId14" Type="http://schemas.openxmlformats.org/officeDocument/2006/relationships/queryTable" Target="../queryTables/queryTable1541.xml"/><Relationship Id="rId56" Type="http://schemas.openxmlformats.org/officeDocument/2006/relationships/queryTable" Target="../queryTables/queryTable1583.xml"/><Relationship Id="rId317" Type="http://schemas.openxmlformats.org/officeDocument/2006/relationships/queryTable" Target="../queryTables/queryTable1844.xml"/><Relationship Id="rId359" Type="http://schemas.openxmlformats.org/officeDocument/2006/relationships/queryTable" Target="../queryTables/queryTable1886.xml"/><Relationship Id="rId524" Type="http://schemas.openxmlformats.org/officeDocument/2006/relationships/queryTable" Target="../queryTables/queryTable2051.xml"/><Relationship Id="rId98" Type="http://schemas.openxmlformats.org/officeDocument/2006/relationships/queryTable" Target="../queryTables/queryTable1625.xml"/><Relationship Id="rId121" Type="http://schemas.openxmlformats.org/officeDocument/2006/relationships/queryTable" Target="../queryTables/queryTable1648.xml"/><Relationship Id="rId163" Type="http://schemas.openxmlformats.org/officeDocument/2006/relationships/queryTable" Target="../queryTables/queryTable1690.xml"/><Relationship Id="rId219" Type="http://schemas.openxmlformats.org/officeDocument/2006/relationships/queryTable" Target="../queryTables/queryTable1746.xml"/><Relationship Id="rId370" Type="http://schemas.openxmlformats.org/officeDocument/2006/relationships/queryTable" Target="../queryTables/queryTable1897.xml"/><Relationship Id="rId426" Type="http://schemas.openxmlformats.org/officeDocument/2006/relationships/queryTable" Target="../queryTables/queryTable1953.xml"/><Relationship Id="rId230" Type="http://schemas.openxmlformats.org/officeDocument/2006/relationships/queryTable" Target="../queryTables/queryTable1757.xml"/><Relationship Id="rId468" Type="http://schemas.openxmlformats.org/officeDocument/2006/relationships/queryTable" Target="../queryTables/queryTable1995.xml"/><Relationship Id="rId25" Type="http://schemas.openxmlformats.org/officeDocument/2006/relationships/queryTable" Target="../queryTables/queryTable1552.xml"/><Relationship Id="rId46" Type="http://schemas.openxmlformats.org/officeDocument/2006/relationships/queryTable" Target="../queryTables/queryTable1573.xml"/><Relationship Id="rId67" Type="http://schemas.openxmlformats.org/officeDocument/2006/relationships/queryTable" Target="../queryTables/queryTable1594.xml"/><Relationship Id="rId272" Type="http://schemas.openxmlformats.org/officeDocument/2006/relationships/queryTable" Target="../queryTables/queryTable1799.xml"/><Relationship Id="rId293" Type="http://schemas.openxmlformats.org/officeDocument/2006/relationships/queryTable" Target="../queryTables/queryTable1820.xml"/><Relationship Id="rId307" Type="http://schemas.openxmlformats.org/officeDocument/2006/relationships/queryTable" Target="../queryTables/queryTable1834.xml"/><Relationship Id="rId328" Type="http://schemas.openxmlformats.org/officeDocument/2006/relationships/queryTable" Target="../queryTables/queryTable1855.xml"/><Relationship Id="rId349" Type="http://schemas.openxmlformats.org/officeDocument/2006/relationships/queryTable" Target="../queryTables/queryTable1876.xml"/><Relationship Id="rId514" Type="http://schemas.openxmlformats.org/officeDocument/2006/relationships/queryTable" Target="../queryTables/queryTable2041.xml"/><Relationship Id="rId535" Type="http://schemas.openxmlformats.org/officeDocument/2006/relationships/queryTable" Target="../queryTables/queryTable2062.xml"/><Relationship Id="rId88" Type="http://schemas.openxmlformats.org/officeDocument/2006/relationships/queryTable" Target="../queryTables/queryTable1615.xml"/><Relationship Id="rId111" Type="http://schemas.openxmlformats.org/officeDocument/2006/relationships/queryTable" Target="../queryTables/queryTable1638.xml"/><Relationship Id="rId132" Type="http://schemas.openxmlformats.org/officeDocument/2006/relationships/queryTable" Target="../queryTables/queryTable1659.xml"/><Relationship Id="rId153" Type="http://schemas.openxmlformats.org/officeDocument/2006/relationships/queryTable" Target="../queryTables/queryTable1680.xml"/><Relationship Id="rId174" Type="http://schemas.openxmlformats.org/officeDocument/2006/relationships/queryTable" Target="../queryTables/queryTable1701.xml"/><Relationship Id="rId195" Type="http://schemas.openxmlformats.org/officeDocument/2006/relationships/queryTable" Target="../queryTables/queryTable1722.xml"/><Relationship Id="rId209" Type="http://schemas.openxmlformats.org/officeDocument/2006/relationships/queryTable" Target="../queryTables/queryTable1736.xml"/><Relationship Id="rId360" Type="http://schemas.openxmlformats.org/officeDocument/2006/relationships/queryTable" Target="../queryTables/queryTable1887.xml"/><Relationship Id="rId381" Type="http://schemas.openxmlformats.org/officeDocument/2006/relationships/queryTable" Target="../queryTables/queryTable1908.xml"/><Relationship Id="rId416" Type="http://schemas.openxmlformats.org/officeDocument/2006/relationships/queryTable" Target="../queryTables/queryTable1943.xml"/><Relationship Id="rId220" Type="http://schemas.openxmlformats.org/officeDocument/2006/relationships/queryTable" Target="../queryTables/queryTable1747.xml"/><Relationship Id="rId241" Type="http://schemas.openxmlformats.org/officeDocument/2006/relationships/queryTable" Target="../queryTables/queryTable1768.xml"/><Relationship Id="rId437" Type="http://schemas.openxmlformats.org/officeDocument/2006/relationships/queryTable" Target="../queryTables/queryTable1964.xml"/><Relationship Id="rId458" Type="http://schemas.openxmlformats.org/officeDocument/2006/relationships/queryTable" Target="../queryTables/queryTable1985.xml"/><Relationship Id="rId479" Type="http://schemas.openxmlformats.org/officeDocument/2006/relationships/queryTable" Target="../queryTables/queryTable2006.xml"/><Relationship Id="rId15" Type="http://schemas.openxmlformats.org/officeDocument/2006/relationships/queryTable" Target="../queryTables/queryTable1542.xml"/><Relationship Id="rId36" Type="http://schemas.openxmlformats.org/officeDocument/2006/relationships/queryTable" Target="../queryTables/queryTable1563.xml"/><Relationship Id="rId57" Type="http://schemas.openxmlformats.org/officeDocument/2006/relationships/queryTable" Target="../queryTables/queryTable1584.xml"/><Relationship Id="rId262" Type="http://schemas.openxmlformats.org/officeDocument/2006/relationships/queryTable" Target="../queryTables/queryTable1789.xml"/><Relationship Id="rId283" Type="http://schemas.openxmlformats.org/officeDocument/2006/relationships/queryTable" Target="../queryTables/queryTable1810.xml"/><Relationship Id="rId318" Type="http://schemas.openxmlformats.org/officeDocument/2006/relationships/queryTable" Target="../queryTables/queryTable1845.xml"/><Relationship Id="rId339" Type="http://schemas.openxmlformats.org/officeDocument/2006/relationships/queryTable" Target="../queryTables/queryTable1866.xml"/><Relationship Id="rId490" Type="http://schemas.openxmlformats.org/officeDocument/2006/relationships/queryTable" Target="../queryTables/queryTable2017.xml"/><Relationship Id="rId504" Type="http://schemas.openxmlformats.org/officeDocument/2006/relationships/queryTable" Target="../queryTables/queryTable2031.xml"/><Relationship Id="rId525" Type="http://schemas.openxmlformats.org/officeDocument/2006/relationships/queryTable" Target="../queryTables/queryTable2052.xml"/><Relationship Id="rId78" Type="http://schemas.openxmlformats.org/officeDocument/2006/relationships/queryTable" Target="../queryTables/queryTable1605.xml"/><Relationship Id="rId99" Type="http://schemas.openxmlformats.org/officeDocument/2006/relationships/queryTable" Target="../queryTables/queryTable1626.xml"/><Relationship Id="rId101" Type="http://schemas.openxmlformats.org/officeDocument/2006/relationships/queryTable" Target="../queryTables/queryTable1628.xml"/><Relationship Id="rId122" Type="http://schemas.openxmlformats.org/officeDocument/2006/relationships/queryTable" Target="../queryTables/queryTable1649.xml"/><Relationship Id="rId143" Type="http://schemas.openxmlformats.org/officeDocument/2006/relationships/queryTable" Target="../queryTables/queryTable1670.xml"/><Relationship Id="rId164" Type="http://schemas.openxmlformats.org/officeDocument/2006/relationships/queryTable" Target="../queryTables/queryTable1691.xml"/><Relationship Id="rId185" Type="http://schemas.openxmlformats.org/officeDocument/2006/relationships/queryTable" Target="../queryTables/queryTable1712.xml"/><Relationship Id="rId350" Type="http://schemas.openxmlformats.org/officeDocument/2006/relationships/queryTable" Target="../queryTables/queryTable1877.xml"/><Relationship Id="rId371" Type="http://schemas.openxmlformats.org/officeDocument/2006/relationships/queryTable" Target="../queryTables/queryTable1898.xml"/><Relationship Id="rId406" Type="http://schemas.openxmlformats.org/officeDocument/2006/relationships/queryTable" Target="../queryTables/queryTable1933.xml"/><Relationship Id="rId9" Type="http://schemas.openxmlformats.org/officeDocument/2006/relationships/queryTable" Target="../queryTables/queryTable1536.xml"/><Relationship Id="rId210" Type="http://schemas.openxmlformats.org/officeDocument/2006/relationships/queryTable" Target="../queryTables/queryTable1737.xml"/><Relationship Id="rId392" Type="http://schemas.openxmlformats.org/officeDocument/2006/relationships/queryTable" Target="../queryTables/queryTable1919.xml"/><Relationship Id="rId427" Type="http://schemas.openxmlformats.org/officeDocument/2006/relationships/queryTable" Target="../queryTables/queryTable1954.xml"/><Relationship Id="rId448" Type="http://schemas.openxmlformats.org/officeDocument/2006/relationships/queryTable" Target="../queryTables/queryTable1975.xml"/><Relationship Id="rId469" Type="http://schemas.openxmlformats.org/officeDocument/2006/relationships/queryTable" Target="../queryTables/queryTable1996.xml"/><Relationship Id="rId26" Type="http://schemas.openxmlformats.org/officeDocument/2006/relationships/queryTable" Target="../queryTables/queryTable1553.xml"/><Relationship Id="rId231" Type="http://schemas.openxmlformats.org/officeDocument/2006/relationships/queryTable" Target="../queryTables/queryTable1758.xml"/><Relationship Id="rId252" Type="http://schemas.openxmlformats.org/officeDocument/2006/relationships/queryTable" Target="../queryTables/queryTable1779.xml"/><Relationship Id="rId273" Type="http://schemas.openxmlformats.org/officeDocument/2006/relationships/queryTable" Target="../queryTables/queryTable1800.xml"/><Relationship Id="rId294" Type="http://schemas.openxmlformats.org/officeDocument/2006/relationships/queryTable" Target="../queryTables/queryTable1821.xml"/><Relationship Id="rId308" Type="http://schemas.openxmlformats.org/officeDocument/2006/relationships/queryTable" Target="../queryTables/queryTable1835.xml"/><Relationship Id="rId329" Type="http://schemas.openxmlformats.org/officeDocument/2006/relationships/queryTable" Target="../queryTables/queryTable1856.xml"/><Relationship Id="rId480" Type="http://schemas.openxmlformats.org/officeDocument/2006/relationships/queryTable" Target="../queryTables/queryTable2007.xml"/><Relationship Id="rId515" Type="http://schemas.openxmlformats.org/officeDocument/2006/relationships/queryTable" Target="../queryTables/queryTable2042.xml"/><Relationship Id="rId536" Type="http://schemas.openxmlformats.org/officeDocument/2006/relationships/queryTable" Target="../queryTables/queryTable2063.xml"/><Relationship Id="rId47" Type="http://schemas.openxmlformats.org/officeDocument/2006/relationships/queryTable" Target="../queryTables/queryTable1574.xml"/><Relationship Id="rId68" Type="http://schemas.openxmlformats.org/officeDocument/2006/relationships/queryTable" Target="../queryTables/queryTable1595.xml"/><Relationship Id="rId89" Type="http://schemas.openxmlformats.org/officeDocument/2006/relationships/queryTable" Target="../queryTables/queryTable1616.xml"/><Relationship Id="rId112" Type="http://schemas.openxmlformats.org/officeDocument/2006/relationships/queryTable" Target="../queryTables/queryTable1639.xml"/><Relationship Id="rId133" Type="http://schemas.openxmlformats.org/officeDocument/2006/relationships/queryTable" Target="../queryTables/queryTable1660.xml"/><Relationship Id="rId154" Type="http://schemas.openxmlformats.org/officeDocument/2006/relationships/queryTable" Target="../queryTables/queryTable1681.xml"/><Relationship Id="rId175" Type="http://schemas.openxmlformats.org/officeDocument/2006/relationships/queryTable" Target="../queryTables/queryTable1702.xml"/><Relationship Id="rId340" Type="http://schemas.openxmlformats.org/officeDocument/2006/relationships/queryTable" Target="../queryTables/queryTable1867.xml"/><Relationship Id="rId361" Type="http://schemas.openxmlformats.org/officeDocument/2006/relationships/queryTable" Target="../queryTables/queryTable1888.xml"/><Relationship Id="rId196" Type="http://schemas.openxmlformats.org/officeDocument/2006/relationships/queryTable" Target="../queryTables/queryTable1723.xml"/><Relationship Id="rId200" Type="http://schemas.openxmlformats.org/officeDocument/2006/relationships/queryTable" Target="../queryTables/queryTable1727.xml"/><Relationship Id="rId382" Type="http://schemas.openxmlformats.org/officeDocument/2006/relationships/queryTable" Target="../queryTables/queryTable1909.xml"/><Relationship Id="rId417" Type="http://schemas.openxmlformats.org/officeDocument/2006/relationships/queryTable" Target="../queryTables/queryTable1944.xml"/><Relationship Id="rId438" Type="http://schemas.openxmlformats.org/officeDocument/2006/relationships/queryTable" Target="../queryTables/queryTable1965.xml"/><Relationship Id="rId459" Type="http://schemas.openxmlformats.org/officeDocument/2006/relationships/queryTable" Target="../queryTables/queryTable1986.xml"/><Relationship Id="rId16" Type="http://schemas.openxmlformats.org/officeDocument/2006/relationships/queryTable" Target="../queryTables/queryTable1543.xml"/><Relationship Id="rId221" Type="http://schemas.openxmlformats.org/officeDocument/2006/relationships/queryTable" Target="../queryTables/queryTable1748.xml"/><Relationship Id="rId242" Type="http://schemas.openxmlformats.org/officeDocument/2006/relationships/queryTable" Target="../queryTables/queryTable1769.xml"/><Relationship Id="rId263" Type="http://schemas.openxmlformats.org/officeDocument/2006/relationships/queryTable" Target="../queryTables/queryTable1790.xml"/><Relationship Id="rId284" Type="http://schemas.openxmlformats.org/officeDocument/2006/relationships/queryTable" Target="../queryTables/queryTable1811.xml"/><Relationship Id="rId319" Type="http://schemas.openxmlformats.org/officeDocument/2006/relationships/queryTable" Target="../queryTables/queryTable1846.xml"/><Relationship Id="rId470" Type="http://schemas.openxmlformats.org/officeDocument/2006/relationships/queryTable" Target="../queryTables/queryTable1997.xml"/><Relationship Id="rId491" Type="http://schemas.openxmlformats.org/officeDocument/2006/relationships/queryTable" Target="../queryTables/queryTable2018.xml"/><Relationship Id="rId505" Type="http://schemas.openxmlformats.org/officeDocument/2006/relationships/queryTable" Target="../queryTables/queryTable2032.xml"/><Relationship Id="rId526" Type="http://schemas.openxmlformats.org/officeDocument/2006/relationships/queryTable" Target="../queryTables/queryTable2053.xml"/><Relationship Id="rId37" Type="http://schemas.openxmlformats.org/officeDocument/2006/relationships/queryTable" Target="../queryTables/queryTable1564.xml"/><Relationship Id="rId58" Type="http://schemas.openxmlformats.org/officeDocument/2006/relationships/queryTable" Target="../queryTables/queryTable1585.xml"/><Relationship Id="rId79" Type="http://schemas.openxmlformats.org/officeDocument/2006/relationships/queryTable" Target="../queryTables/queryTable1606.xml"/><Relationship Id="rId102" Type="http://schemas.openxmlformats.org/officeDocument/2006/relationships/queryTable" Target="../queryTables/queryTable1629.xml"/><Relationship Id="rId123" Type="http://schemas.openxmlformats.org/officeDocument/2006/relationships/queryTable" Target="../queryTables/queryTable1650.xml"/><Relationship Id="rId144" Type="http://schemas.openxmlformats.org/officeDocument/2006/relationships/queryTable" Target="../queryTables/queryTable1671.xml"/><Relationship Id="rId330" Type="http://schemas.openxmlformats.org/officeDocument/2006/relationships/queryTable" Target="../queryTables/queryTable1857.xml"/><Relationship Id="rId90" Type="http://schemas.openxmlformats.org/officeDocument/2006/relationships/queryTable" Target="../queryTables/queryTable1617.xml"/><Relationship Id="rId165" Type="http://schemas.openxmlformats.org/officeDocument/2006/relationships/queryTable" Target="../queryTables/queryTable1692.xml"/><Relationship Id="rId186" Type="http://schemas.openxmlformats.org/officeDocument/2006/relationships/queryTable" Target="../queryTables/queryTable1713.xml"/><Relationship Id="rId351" Type="http://schemas.openxmlformats.org/officeDocument/2006/relationships/queryTable" Target="../queryTables/queryTable1878.xml"/><Relationship Id="rId372" Type="http://schemas.openxmlformats.org/officeDocument/2006/relationships/queryTable" Target="../queryTables/queryTable1899.xml"/><Relationship Id="rId393" Type="http://schemas.openxmlformats.org/officeDocument/2006/relationships/queryTable" Target="../queryTables/queryTable1920.xml"/><Relationship Id="rId407" Type="http://schemas.openxmlformats.org/officeDocument/2006/relationships/queryTable" Target="../queryTables/queryTable1934.xml"/><Relationship Id="rId428" Type="http://schemas.openxmlformats.org/officeDocument/2006/relationships/queryTable" Target="../queryTables/queryTable1955.xml"/><Relationship Id="rId449" Type="http://schemas.openxmlformats.org/officeDocument/2006/relationships/queryTable" Target="../queryTables/queryTable1976.xml"/><Relationship Id="rId211" Type="http://schemas.openxmlformats.org/officeDocument/2006/relationships/queryTable" Target="../queryTables/queryTable1738.xml"/><Relationship Id="rId232" Type="http://schemas.openxmlformats.org/officeDocument/2006/relationships/queryTable" Target="../queryTables/queryTable1759.xml"/><Relationship Id="rId253" Type="http://schemas.openxmlformats.org/officeDocument/2006/relationships/queryTable" Target="../queryTables/queryTable1780.xml"/><Relationship Id="rId274" Type="http://schemas.openxmlformats.org/officeDocument/2006/relationships/queryTable" Target="../queryTables/queryTable1801.xml"/><Relationship Id="rId295" Type="http://schemas.openxmlformats.org/officeDocument/2006/relationships/queryTable" Target="../queryTables/queryTable1822.xml"/><Relationship Id="rId309" Type="http://schemas.openxmlformats.org/officeDocument/2006/relationships/queryTable" Target="../queryTables/queryTable1836.xml"/><Relationship Id="rId460" Type="http://schemas.openxmlformats.org/officeDocument/2006/relationships/queryTable" Target="../queryTables/queryTable1987.xml"/><Relationship Id="rId481" Type="http://schemas.openxmlformats.org/officeDocument/2006/relationships/queryTable" Target="../queryTables/queryTable2008.xml"/><Relationship Id="rId516" Type="http://schemas.openxmlformats.org/officeDocument/2006/relationships/queryTable" Target="../queryTables/queryTable2043.xml"/><Relationship Id="rId27" Type="http://schemas.openxmlformats.org/officeDocument/2006/relationships/queryTable" Target="../queryTables/queryTable1554.xml"/><Relationship Id="rId48" Type="http://schemas.openxmlformats.org/officeDocument/2006/relationships/queryTable" Target="../queryTables/queryTable1575.xml"/><Relationship Id="rId69" Type="http://schemas.openxmlformats.org/officeDocument/2006/relationships/queryTable" Target="../queryTables/queryTable1596.xml"/><Relationship Id="rId113" Type="http://schemas.openxmlformats.org/officeDocument/2006/relationships/queryTable" Target="../queryTables/queryTable1640.xml"/><Relationship Id="rId134" Type="http://schemas.openxmlformats.org/officeDocument/2006/relationships/queryTable" Target="../queryTables/queryTable1661.xml"/><Relationship Id="rId320" Type="http://schemas.openxmlformats.org/officeDocument/2006/relationships/queryTable" Target="../queryTables/queryTable1847.xml"/><Relationship Id="rId537" Type="http://schemas.openxmlformats.org/officeDocument/2006/relationships/queryTable" Target="../queryTables/queryTable2064.xml"/><Relationship Id="rId80" Type="http://schemas.openxmlformats.org/officeDocument/2006/relationships/queryTable" Target="../queryTables/queryTable1607.xml"/><Relationship Id="rId155" Type="http://schemas.openxmlformats.org/officeDocument/2006/relationships/queryTable" Target="../queryTables/queryTable1682.xml"/><Relationship Id="rId176" Type="http://schemas.openxmlformats.org/officeDocument/2006/relationships/queryTable" Target="../queryTables/queryTable1703.xml"/><Relationship Id="rId197" Type="http://schemas.openxmlformats.org/officeDocument/2006/relationships/queryTable" Target="../queryTables/queryTable1724.xml"/><Relationship Id="rId341" Type="http://schemas.openxmlformats.org/officeDocument/2006/relationships/queryTable" Target="../queryTables/queryTable1868.xml"/><Relationship Id="rId362" Type="http://schemas.openxmlformats.org/officeDocument/2006/relationships/queryTable" Target="../queryTables/queryTable1889.xml"/><Relationship Id="rId383" Type="http://schemas.openxmlformats.org/officeDocument/2006/relationships/queryTable" Target="../queryTables/queryTable1910.xml"/><Relationship Id="rId418" Type="http://schemas.openxmlformats.org/officeDocument/2006/relationships/queryTable" Target="../queryTables/queryTable1945.xml"/><Relationship Id="rId439" Type="http://schemas.openxmlformats.org/officeDocument/2006/relationships/queryTable" Target="../queryTables/queryTable1966.xml"/><Relationship Id="rId201" Type="http://schemas.openxmlformats.org/officeDocument/2006/relationships/queryTable" Target="../queryTables/queryTable1728.xml"/><Relationship Id="rId222" Type="http://schemas.openxmlformats.org/officeDocument/2006/relationships/queryTable" Target="../queryTables/queryTable1749.xml"/><Relationship Id="rId243" Type="http://schemas.openxmlformats.org/officeDocument/2006/relationships/queryTable" Target="../queryTables/queryTable1770.xml"/><Relationship Id="rId264" Type="http://schemas.openxmlformats.org/officeDocument/2006/relationships/queryTable" Target="../queryTables/queryTable1791.xml"/><Relationship Id="rId285" Type="http://schemas.openxmlformats.org/officeDocument/2006/relationships/queryTable" Target="../queryTables/queryTable1812.xml"/><Relationship Id="rId450" Type="http://schemas.openxmlformats.org/officeDocument/2006/relationships/queryTable" Target="../queryTables/queryTable1977.xml"/><Relationship Id="rId471" Type="http://schemas.openxmlformats.org/officeDocument/2006/relationships/queryTable" Target="../queryTables/queryTable1998.xml"/><Relationship Id="rId506" Type="http://schemas.openxmlformats.org/officeDocument/2006/relationships/queryTable" Target="../queryTables/queryTable2033.xml"/><Relationship Id="rId17" Type="http://schemas.openxmlformats.org/officeDocument/2006/relationships/queryTable" Target="../queryTables/queryTable1544.xml"/><Relationship Id="rId38" Type="http://schemas.openxmlformats.org/officeDocument/2006/relationships/queryTable" Target="../queryTables/queryTable1565.xml"/><Relationship Id="rId59" Type="http://schemas.openxmlformats.org/officeDocument/2006/relationships/queryTable" Target="../queryTables/queryTable1586.xml"/><Relationship Id="rId103" Type="http://schemas.openxmlformats.org/officeDocument/2006/relationships/queryTable" Target="../queryTables/queryTable1630.xml"/><Relationship Id="rId124" Type="http://schemas.openxmlformats.org/officeDocument/2006/relationships/queryTable" Target="../queryTables/queryTable1651.xml"/><Relationship Id="rId310" Type="http://schemas.openxmlformats.org/officeDocument/2006/relationships/queryTable" Target="../queryTables/queryTable1837.xml"/><Relationship Id="rId492" Type="http://schemas.openxmlformats.org/officeDocument/2006/relationships/queryTable" Target="../queryTables/queryTable2019.xml"/><Relationship Id="rId527" Type="http://schemas.openxmlformats.org/officeDocument/2006/relationships/queryTable" Target="../queryTables/queryTable2054.xml"/><Relationship Id="rId70" Type="http://schemas.openxmlformats.org/officeDocument/2006/relationships/queryTable" Target="../queryTables/queryTable1597.xml"/><Relationship Id="rId91" Type="http://schemas.openxmlformats.org/officeDocument/2006/relationships/queryTable" Target="../queryTables/queryTable1618.xml"/><Relationship Id="rId145" Type="http://schemas.openxmlformats.org/officeDocument/2006/relationships/queryTable" Target="../queryTables/queryTable1672.xml"/><Relationship Id="rId166" Type="http://schemas.openxmlformats.org/officeDocument/2006/relationships/queryTable" Target="../queryTables/queryTable1693.xml"/><Relationship Id="rId187" Type="http://schemas.openxmlformats.org/officeDocument/2006/relationships/queryTable" Target="../queryTables/queryTable1714.xml"/><Relationship Id="rId331" Type="http://schemas.openxmlformats.org/officeDocument/2006/relationships/queryTable" Target="../queryTables/queryTable1858.xml"/><Relationship Id="rId352" Type="http://schemas.openxmlformats.org/officeDocument/2006/relationships/queryTable" Target="../queryTables/queryTable1879.xml"/><Relationship Id="rId373" Type="http://schemas.openxmlformats.org/officeDocument/2006/relationships/queryTable" Target="../queryTables/queryTable1900.xml"/><Relationship Id="rId394" Type="http://schemas.openxmlformats.org/officeDocument/2006/relationships/queryTable" Target="../queryTables/queryTable1921.xml"/><Relationship Id="rId408" Type="http://schemas.openxmlformats.org/officeDocument/2006/relationships/queryTable" Target="../queryTables/queryTable1935.xml"/><Relationship Id="rId429" Type="http://schemas.openxmlformats.org/officeDocument/2006/relationships/queryTable" Target="../queryTables/queryTable1956.xml"/><Relationship Id="rId1" Type="http://schemas.openxmlformats.org/officeDocument/2006/relationships/printerSettings" Target="../printerSettings/printerSettings6.bin"/><Relationship Id="rId212" Type="http://schemas.openxmlformats.org/officeDocument/2006/relationships/queryTable" Target="../queryTables/queryTable1739.xml"/><Relationship Id="rId233" Type="http://schemas.openxmlformats.org/officeDocument/2006/relationships/queryTable" Target="../queryTables/queryTable1760.xml"/><Relationship Id="rId254" Type="http://schemas.openxmlformats.org/officeDocument/2006/relationships/queryTable" Target="../queryTables/queryTable1781.xml"/><Relationship Id="rId440" Type="http://schemas.openxmlformats.org/officeDocument/2006/relationships/queryTable" Target="../queryTables/queryTable1967.xml"/><Relationship Id="rId28" Type="http://schemas.openxmlformats.org/officeDocument/2006/relationships/queryTable" Target="../queryTables/queryTable1555.xml"/><Relationship Id="rId49" Type="http://schemas.openxmlformats.org/officeDocument/2006/relationships/queryTable" Target="../queryTables/queryTable1576.xml"/><Relationship Id="rId114" Type="http://schemas.openxmlformats.org/officeDocument/2006/relationships/queryTable" Target="../queryTables/queryTable1641.xml"/><Relationship Id="rId275" Type="http://schemas.openxmlformats.org/officeDocument/2006/relationships/queryTable" Target="../queryTables/queryTable1802.xml"/><Relationship Id="rId296" Type="http://schemas.openxmlformats.org/officeDocument/2006/relationships/queryTable" Target="../queryTables/queryTable1823.xml"/><Relationship Id="rId300" Type="http://schemas.openxmlformats.org/officeDocument/2006/relationships/queryTable" Target="../queryTables/queryTable1827.xml"/><Relationship Id="rId461" Type="http://schemas.openxmlformats.org/officeDocument/2006/relationships/queryTable" Target="../queryTables/queryTable1988.xml"/><Relationship Id="rId482" Type="http://schemas.openxmlformats.org/officeDocument/2006/relationships/queryTable" Target="../queryTables/queryTable2009.xml"/><Relationship Id="rId517" Type="http://schemas.openxmlformats.org/officeDocument/2006/relationships/queryTable" Target="../queryTables/queryTable2044.xml"/><Relationship Id="rId60" Type="http://schemas.openxmlformats.org/officeDocument/2006/relationships/queryTable" Target="../queryTables/queryTable1587.xml"/><Relationship Id="rId81" Type="http://schemas.openxmlformats.org/officeDocument/2006/relationships/queryTable" Target="../queryTables/queryTable1608.xml"/><Relationship Id="rId135" Type="http://schemas.openxmlformats.org/officeDocument/2006/relationships/queryTable" Target="../queryTables/queryTable1662.xml"/><Relationship Id="rId156" Type="http://schemas.openxmlformats.org/officeDocument/2006/relationships/queryTable" Target="../queryTables/queryTable1683.xml"/><Relationship Id="rId177" Type="http://schemas.openxmlformats.org/officeDocument/2006/relationships/queryTable" Target="../queryTables/queryTable1704.xml"/><Relationship Id="rId198" Type="http://schemas.openxmlformats.org/officeDocument/2006/relationships/queryTable" Target="../queryTables/queryTable1725.xml"/><Relationship Id="rId321" Type="http://schemas.openxmlformats.org/officeDocument/2006/relationships/queryTable" Target="../queryTables/queryTable1848.xml"/><Relationship Id="rId342" Type="http://schemas.openxmlformats.org/officeDocument/2006/relationships/queryTable" Target="../queryTables/queryTable1869.xml"/><Relationship Id="rId363" Type="http://schemas.openxmlformats.org/officeDocument/2006/relationships/queryTable" Target="../queryTables/queryTable1890.xml"/><Relationship Id="rId384" Type="http://schemas.openxmlformats.org/officeDocument/2006/relationships/queryTable" Target="../queryTables/queryTable1911.xml"/><Relationship Id="rId419" Type="http://schemas.openxmlformats.org/officeDocument/2006/relationships/queryTable" Target="../queryTables/queryTable1946.xml"/><Relationship Id="rId202" Type="http://schemas.openxmlformats.org/officeDocument/2006/relationships/queryTable" Target="../queryTables/queryTable1729.xml"/><Relationship Id="rId223" Type="http://schemas.openxmlformats.org/officeDocument/2006/relationships/queryTable" Target="../queryTables/queryTable1750.xml"/><Relationship Id="rId244" Type="http://schemas.openxmlformats.org/officeDocument/2006/relationships/queryTable" Target="../queryTables/queryTable1771.xml"/><Relationship Id="rId430" Type="http://schemas.openxmlformats.org/officeDocument/2006/relationships/queryTable" Target="../queryTables/queryTable1957.xml"/><Relationship Id="rId18" Type="http://schemas.openxmlformats.org/officeDocument/2006/relationships/queryTable" Target="../queryTables/queryTable1545.xml"/><Relationship Id="rId39" Type="http://schemas.openxmlformats.org/officeDocument/2006/relationships/queryTable" Target="../queryTables/queryTable1566.xml"/><Relationship Id="rId265" Type="http://schemas.openxmlformats.org/officeDocument/2006/relationships/queryTable" Target="../queryTables/queryTable1792.xml"/><Relationship Id="rId286" Type="http://schemas.openxmlformats.org/officeDocument/2006/relationships/queryTable" Target="../queryTables/queryTable1813.xml"/><Relationship Id="rId451" Type="http://schemas.openxmlformats.org/officeDocument/2006/relationships/queryTable" Target="../queryTables/queryTable1978.xml"/><Relationship Id="rId472" Type="http://schemas.openxmlformats.org/officeDocument/2006/relationships/queryTable" Target="../queryTables/queryTable1999.xml"/><Relationship Id="rId493" Type="http://schemas.openxmlformats.org/officeDocument/2006/relationships/queryTable" Target="../queryTables/queryTable2020.xml"/><Relationship Id="rId507" Type="http://schemas.openxmlformats.org/officeDocument/2006/relationships/queryTable" Target="../queryTables/queryTable2034.xml"/><Relationship Id="rId528" Type="http://schemas.openxmlformats.org/officeDocument/2006/relationships/queryTable" Target="../queryTables/queryTable2055.xml"/><Relationship Id="rId50" Type="http://schemas.openxmlformats.org/officeDocument/2006/relationships/queryTable" Target="../queryTables/queryTable1577.xml"/><Relationship Id="rId104" Type="http://schemas.openxmlformats.org/officeDocument/2006/relationships/queryTable" Target="../queryTables/queryTable1631.xml"/><Relationship Id="rId125" Type="http://schemas.openxmlformats.org/officeDocument/2006/relationships/queryTable" Target="../queryTables/queryTable1652.xml"/><Relationship Id="rId146" Type="http://schemas.openxmlformats.org/officeDocument/2006/relationships/queryTable" Target="../queryTables/queryTable1673.xml"/><Relationship Id="rId167" Type="http://schemas.openxmlformats.org/officeDocument/2006/relationships/queryTable" Target="../queryTables/queryTable1694.xml"/><Relationship Id="rId188" Type="http://schemas.openxmlformats.org/officeDocument/2006/relationships/queryTable" Target="../queryTables/queryTable1715.xml"/><Relationship Id="rId311" Type="http://schemas.openxmlformats.org/officeDocument/2006/relationships/queryTable" Target="../queryTables/queryTable1838.xml"/><Relationship Id="rId332" Type="http://schemas.openxmlformats.org/officeDocument/2006/relationships/queryTable" Target="../queryTables/queryTable1859.xml"/><Relationship Id="rId353" Type="http://schemas.openxmlformats.org/officeDocument/2006/relationships/queryTable" Target="../queryTables/queryTable1880.xml"/><Relationship Id="rId374" Type="http://schemas.openxmlformats.org/officeDocument/2006/relationships/queryTable" Target="../queryTables/queryTable1901.xml"/><Relationship Id="rId395" Type="http://schemas.openxmlformats.org/officeDocument/2006/relationships/queryTable" Target="../queryTables/queryTable1922.xml"/><Relationship Id="rId409" Type="http://schemas.openxmlformats.org/officeDocument/2006/relationships/queryTable" Target="../queryTables/queryTable1936.xml"/><Relationship Id="rId71" Type="http://schemas.openxmlformats.org/officeDocument/2006/relationships/queryTable" Target="../queryTables/queryTable1598.xml"/><Relationship Id="rId92" Type="http://schemas.openxmlformats.org/officeDocument/2006/relationships/queryTable" Target="../queryTables/queryTable1619.xml"/><Relationship Id="rId213" Type="http://schemas.openxmlformats.org/officeDocument/2006/relationships/queryTable" Target="../queryTables/queryTable1740.xml"/><Relationship Id="rId234" Type="http://schemas.openxmlformats.org/officeDocument/2006/relationships/queryTable" Target="../queryTables/queryTable1761.xml"/><Relationship Id="rId420" Type="http://schemas.openxmlformats.org/officeDocument/2006/relationships/queryTable" Target="../queryTables/queryTable1947.xml"/><Relationship Id="rId2" Type="http://schemas.openxmlformats.org/officeDocument/2006/relationships/drawing" Target="../drawings/drawing5.xml"/><Relationship Id="rId29" Type="http://schemas.openxmlformats.org/officeDocument/2006/relationships/queryTable" Target="../queryTables/queryTable1556.xml"/><Relationship Id="rId255" Type="http://schemas.openxmlformats.org/officeDocument/2006/relationships/queryTable" Target="../queryTables/queryTable1782.xml"/><Relationship Id="rId276" Type="http://schemas.openxmlformats.org/officeDocument/2006/relationships/queryTable" Target="../queryTables/queryTable1803.xml"/><Relationship Id="rId297" Type="http://schemas.openxmlformats.org/officeDocument/2006/relationships/queryTable" Target="../queryTables/queryTable1824.xml"/><Relationship Id="rId441" Type="http://schemas.openxmlformats.org/officeDocument/2006/relationships/queryTable" Target="../queryTables/queryTable1968.xml"/><Relationship Id="rId462" Type="http://schemas.openxmlformats.org/officeDocument/2006/relationships/queryTable" Target="../queryTables/queryTable1989.xml"/><Relationship Id="rId483" Type="http://schemas.openxmlformats.org/officeDocument/2006/relationships/queryTable" Target="../queryTables/queryTable2010.xml"/><Relationship Id="rId518" Type="http://schemas.openxmlformats.org/officeDocument/2006/relationships/queryTable" Target="../queryTables/queryTable2045.xml"/><Relationship Id="rId40" Type="http://schemas.openxmlformats.org/officeDocument/2006/relationships/queryTable" Target="../queryTables/queryTable1567.xml"/><Relationship Id="rId115" Type="http://schemas.openxmlformats.org/officeDocument/2006/relationships/queryTable" Target="../queryTables/queryTable1642.xml"/><Relationship Id="rId136" Type="http://schemas.openxmlformats.org/officeDocument/2006/relationships/queryTable" Target="../queryTables/queryTable1663.xml"/><Relationship Id="rId157" Type="http://schemas.openxmlformats.org/officeDocument/2006/relationships/queryTable" Target="../queryTables/queryTable1684.xml"/><Relationship Id="rId178" Type="http://schemas.openxmlformats.org/officeDocument/2006/relationships/queryTable" Target="../queryTables/queryTable1705.xml"/><Relationship Id="rId301" Type="http://schemas.openxmlformats.org/officeDocument/2006/relationships/queryTable" Target="../queryTables/queryTable1828.xml"/><Relationship Id="rId322" Type="http://schemas.openxmlformats.org/officeDocument/2006/relationships/queryTable" Target="../queryTables/queryTable1849.xml"/><Relationship Id="rId343" Type="http://schemas.openxmlformats.org/officeDocument/2006/relationships/queryTable" Target="../queryTables/queryTable1870.xml"/><Relationship Id="rId364" Type="http://schemas.openxmlformats.org/officeDocument/2006/relationships/queryTable" Target="../queryTables/queryTable1891.xml"/><Relationship Id="rId61" Type="http://schemas.openxmlformats.org/officeDocument/2006/relationships/queryTable" Target="../queryTables/queryTable1588.xml"/><Relationship Id="rId82" Type="http://schemas.openxmlformats.org/officeDocument/2006/relationships/queryTable" Target="../queryTables/queryTable1609.xml"/><Relationship Id="rId199" Type="http://schemas.openxmlformats.org/officeDocument/2006/relationships/queryTable" Target="../queryTables/queryTable1726.xml"/><Relationship Id="rId203" Type="http://schemas.openxmlformats.org/officeDocument/2006/relationships/queryTable" Target="../queryTables/queryTable1730.xml"/><Relationship Id="rId385" Type="http://schemas.openxmlformats.org/officeDocument/2006/relationships/queryTable" Target="../queryTables/queryTable1912.xml"/><Relationship Id="rId19" Type="http://schemas.openxmlformats.org/officeDocument/2006/relationships/queryTable" Target="../queryTables/queryTable1546.xml"/><Relationship Id="rId224" Type="http://schemas.openxmlformats.org/officeDocument/2006/relationships/queryTable" Target="../queryTables/queryTable1751.xml"/><Relationship Id="rId245" Type="http://schemas.openxmlformats.org/officeDocument/2006/relationships/queryTable" Target="../queryTables/queryTable1772.xml"/><Relationship Id="rId266" Type="http://schemas.openxmlformats.org/officeDocument/2006/relationships/queryTable" Target="../queryTables/queryTable1793.xml"/><Relationship Id="rId287" Type="http://schemas.openxmlformats.org/officeDocument/2006/relationships/queryTable" Target="../queryTables/queryTable1814.xml"/><Relationship Id="rId410" Type="http://schemas.openxmlformats.org/officeDocument/2006/relationships/queryTable" Target="../queryTables/queryTable1937.xml"/><Relationship Id="rId431" Type="http://schemas.openxmlformats.org/officeDocument/2006/relationships/queryTable" Target="../queryTables/queryTable1958.xml"/><Relationship Id="rId452" Type="http://schemas.openxmlformats.org/officeDocument/2006/relationships/queryTable" Target="../queryTables/queryTable1979.xml"/><Relationship Id="rId473" Type="http://schemas.openxmlformats.org/officeDocument/2006/relationships/queryTable" Target="../queryTables/queryTable2000.xml"/><Relationship Id="rId494" Type="http://schemas.openxmlformats.org/officeDocument/2006/relationships/queryTable" Target="../queryTables/queryTable2021.xml"/><Relationship Id="rId508" Type="http://schemas.openxmlformats.org/officeDocument/2006/relationships/queryTable" Target="../queryTables/queryTable2035.xml"/><Relationship Id="rId529" Type="http://schemas.openxmlformats.org/officeDocument/2006/relationships/queryTable" Target="../queryTables/queryTable2056.xml"/><Relationship Id="rId30" Type="http://schemas.openxmlformats.org/officeDocument/2006/relationships/queryTable" Target="../queryTables/queryTable1557.xml"/><Relationship Id="rId105" Type="http://schemas.openxmlformats.org/officeDocument/2006/relationships/queryTable" Target="../queryTables/queryTable1632.xml"/><Relationship Id="rId126" Type="http://schemas.openxmlformats.org/officeDocument/2006/relationships/queryTable" Target="../queryTables/queryTable1653.xml"/><Relationship Id="rId147" Type="http://schemas.openxmlformats.org/officeDocument/2006/relationships/queryTable" Target="../queryTables/queryTable1674.xml"/><Relationship Id="rId168" Type="http://schemas.openxmlformats.org/officeDocument/2006/relationships/queryTable" Target="../queryTables/queryTable1695.xml"/><Relationship Id="rId312" Type="http://schemas.openxmlformats.org/officeDocument/2006/relationships/queryTable" Target="../queryTables/queryTable1839.xml"/><Relationship Id="rId333" Type="http://schemas.openxmlformats.org/officeDocument/2006/relationships/queryTable" Target="../queryTables/queryTable1860.xml"/><Relationship Id="rId354" Type="http://schemas.openxmlformats.org/officeDocument/2006/relationships/queryTable" Target="../queryTables/queryTable1881.xml"/><Relationship Id="rId51" Type="http://schemas.openxmlformats.org/officeDocument/2006/relationships/queryTable" Target="../queryTables/queryTable1578.xml"/><Relationship Id="rId72" Type="http://schemas.openxmlformats.org/officeDocument/2006/relationships/queryTable" Target="../queryTables/queryTable1599.xml"/><Relationship Id="rId93" Type="http://schemas.openxmlformats.org/officeDocument/2006/relationships/queryTable" Target="../queryTables/queryTable1620.xml"/><Relationship Id="rId189" Type="http://schemas.openxmlformats.org/officeDocument/2006/relationships/queryTable" Target="../queryTables/queryTable1716.xml"/><Relationship Id="rId375" Type="http://schemas.openxmlformats.org/officeDocument/2006/relationships/queryTable" Target="../queryTables/queryTable1902.xml"/><Relationship Id="rId396" Type="http://schemas.openxmlformats.org/officeDocument/2006/relationships/queryTable" Target="../queryTables/queryTable1923.xml"/><Relationship Id="rId3" Type="http://schemas.openxmlformats.org/officeDocument/2006/relationships/vmlDrawing" Target="../drawings/vmlDrawing5.vml"/><Relationship Id="rId214" Type="http://schemas.openxmlformats.org/officeDocument/2006/relationships/queryTable" Target="../queryTables/queryTable1741.xml"/><Relationship Id="rId235" Type="http://schemas.openxmlformats.org/officeDocument/2006/relationships/queryTable" Target="../queryTables/queryTable1762.xml"/><Relationship Id="rId256" Type="http://schemas.openxmlformats.org/officeDocument/2006/relationships/queryTable" Target="../queryTables/queryTable1783.xml"/><Relationship Id="rId277" Type="http://schemas.openxmlformats.org/officeDocument/2006/relationships/queryTable" Target="../queryTables/queryTable1804.xml"/><Relationship Id="rId298" Type="http://schemas.openxmlformats.org/officeDocument/2006/relationships/queryTable" Target="../queryTables/queryTable1825.xml"/><Relationship Id="rId400" Type="http://schemas.openxmlformats.org/officeDocument/2006/relationships/queryTable" Target="../queryTables/queryTable1927.xml"/><Relationship Id="rId421" Type="http://schemas.openxmlformats.org/officeDocument/2006/relationships/queryTable" Target="../queryTables/queryTable1948.xml"/><Relationship Id="rId442" Type="http://schemas.openxmlformats.org/officeDocument/2006/relationships/queryTable" Target="../queryTables/queryTable1969.xml"/><Relationship Id="rId463" Type="http://schemas.openxmlformats.org/officeDocument/2006/relationships/queryTable" Target="../queryTables/queryTable1990.xml"/><Relationship Id="rId484" Type="http://schemas.openxmlformats.org/officeDocument/2006/relationships/queryTable" Target="../queryTables/queryTable2011.xml"/><Relationship Id="rId519" Type="http://schemas.openxmlformats.org/officeDocument/2006/relationships/queryTable" Target="../queryTables/queryTable2046.xml"/><Relationship Id="rId116" Type="http://schemas.openxmlformats.org/officeDocument/2006/relationships/queryTable" Target="../queryTables/queryTable1643.xml"/><Relationship Id="rId137" Type="http://schemas.openxmlformats.org/officeDocument/2006/relationships/queryTable" Target="../queryTables/queryTable1664.xml"/><Relationship Id="rId158" Type="http://schemas.openxmlformats.org/officeDocument/2006/relationships/queryTable" Target="../queryTables/queryTable1685.xml"/><Relationship Id="rId302" Type="http://schemas.openxmlformats.org/officeDocument/2006/relationships/queryTable" Target="../queryTables/queryTable1829.xml"/><Relationship Id="rId323" Type="http://schemas.openxmlformats.org/officeDocument/2006/relationships/queryTable" Target="../queryTables/queryTable1850.xml"/><Relationship Id="rId344" Type="http://schemas.openxmlformats.org/officeDocument/2006/relationships/queryTable" Target="../queryTables/queryTable1871.xml"/><Relationship Id="rId530" Type="http://schemas.openxmlformats.org/officeDocument/2006/relationships/queryTable" Target="../queryTables/queryTable2057.xml"/><Relationship Id="rId20" Type="http://schemas.openxmlformats.org/officeDocument/2006/relationships/queryTable" Target="../queryTables/queryTable1547.xml"/><Relationship Id="rId41" Type="http://schemas.openxmlformats.org/officeDocument/2006/relationships/queryTable" Target="../queryTables/queryTable1568.xml"/><Relationship Id="rId62" Type="http://schemas.openxmlformats.org/officeDocument/2006/relationships/queryTable" Target="../queryTables/queryTable1589.xml"/><Relationship Id="rId83" Type="http://schemas.openxmlformats.org/officeDocument/2006/relationships/queryTable" Target="../queryTables/queryTable1610.xml"/><Relationship Id="rId179" Type="http://schemas.openxmlformats.org/officeDocument/2006/relationships/queryTable" Target="../queryTables/queryTable1706.xml"/><Relationship Id="rId365" Type="http://schemas.openxmlformats.org/officeDocument/2006/relationships/queryTable" Target="../queryTables/queryTable1892.xml"/><Relationship Id="rId386" Type="http://schemas.openxmlformats.org/officeDocument/2006/relationships/queryTable" Target="../queryTables/queryTable1913.xml"/><Relationship Id="rId190" Type="http://schemas.openxmlformats.org/officeDocument/2006/relationships/queryTable" Target="../queryTables/queryTable1717.xml"/><Relationship Id="rId204" Type="http://schemas.openxmlformats.org/officeDocument/2006/relationships/queryTable" Target="../queryTables/queryTable1731.xml"/><Relationship Id="rId225" Type="http://schemas.openxmlformats.org/officeDocument/2006/relationships/queryTable" Target="../queryTables/queryTable1752.xml"/><Relationship Id="rId246" Type="http://schemas.openxmlformats.org/officeDocument/2006/relationships/queryTable" Target="../queryTables/queryTable1773.xml"/><Relationship Id="rId267" Type="http://schemas.openxmlformats.org/officeDocument/2006/relationships/queryTable" Target="../queryTables/queryTable1794.xml"/><Relationship Id="rId288" Type="http://schemas.openxmlformats.org/officeDocument/2006/relationships/queryTable" Target="../queryTables/queryTable1815.xml"/><Relationship Id="rId411" Type="http://schemas.openxmlformats.org/officeDocument/2006/relationships/queryTable" Target="../queryTables/queryTable1938.xml"/><Relationship Id="rId432" Type="http://schemas.openxmlformats.org/officeDocument/2006/relationships/queryTable" Target="../queryTables/queryTable1959.xml"/><Relationship Id="rId453" Type="http://schemas.openxmlformats.org/officeDocument/2006/relationships/queryTable" Target="../queryTables/queryTable1980.xml"/><Relationship Id="rId474" Type="http://schemas.openxmlformats.org/officeDocument/2006/relationships/queryTable" Target="../queryTables/queryTable2001.xml"/><Relationship Id="rId509" Type="http://schemas.openxmlformats.org/officeDocument/2006/relationships/queryTable" Target="../queryTables/queryTable2036.xml"/><Relationship Id="rId106" Type="http://schemas.openxmlformats.org/officeDocument/2006/relationships/queryTable" Target="../queryTables/queryTable1633.xml"/><Relationship Id="rId127" Type="http://schemas.openxmlformats.org/officeDocument/2006/relationships/queryTable" Target="../queryTables/queryTable1654.xml"/><Relationship Id="rId313" Type="http://schemas.openxmlformats.org/officeDocument/2006/relationships/queryTable" Target="../queryTables/queryTable1840.xml"/><Relationship Id="rId495" Type="http://schemas.openxmlformats.org/officeDocument/2006/relationships/queryTable" Target="../queryTables/queryTable2022.xml"/><Relationship Id="rId10" Type="http://schemas.openxmlformats.org/officeDocument/2006/relationships/queryTable" Target="../queryTables/queryTable1537.xml"/><Relationship Id="rId31" Type="http://schemas.openxmlformats.org/officeDocument/2006/relationships/queryTable" Target="../queryTables/queryTable1558.xml"/><Relationship Id="rId52" Type="http://schemas.openxmlformats.org/officeDocument/2006/relationships/queryTable" Target="../queryTables/queryTable1579.xml"/><Relationship Id="rId73" Type="http://schemas.openxmlformats.org/officeDocument/2006/relationships/queryTable" Target="../queryTables/queryTable1600.xml"/><Relationship Id="rId94" Type="http://schemas.openxmlformats.org/officeDocument/2006/relationships/queryTable" Target="../queryTables/queryTable1621.xml"/><Relationship Id="rId148" Type="http://schemas.openxmlformats.org/officeDocument/2006/relationships/queryTable" Target="../queryTables/queryTable1675.xml"/><Relationship Id="rId169" Type="http://schemas.openxmlformats.org/officeDocument/2006/relationships/queryTable" Target="../queryTables/queryTable1696.xml"/><Relationship Id="rId334" Type="http://schemas.openxmlformats.org/officeDocument/2006/relationships/queryTable" Target="../queryTables/queryTable1861.xml"/><Relationship Id="rId355" Type="http://schemas.openxmlformats.org/officeDocument/2006/relationships/queryTable" Target="../queryTables/queryTable1882.xml"/><Relationship Id="rId376" Type="http://schemas.openxmlformats.org/officeDocument/2006/relationships/queryTable" Target="../queryTables/queryTable1903.xml"/><Relationship Id="rId397" Type="http://schemas.openxmlformats.org/officeDocument/2006/relationships/queryTable" Target="../queryTables/queryTable1924.xml"/><Relationship Id="rId520" Type="http://schemas.openxmlformats.org/officeDocument/2006/relationships/queryTable" Target="../queryTables/queryTable2047.xml"/><Relationship Id="rId4" Type="http://schemas.openxmlformats.org/officeDocument/2006/relationships/ctrlProp" Target="../ctrlProps/ctrlProp5.xml"/><Relationship Id="rId180" Type="http://schemas.openxmlformats.org/officeDocument/2006/relationships/queryTable" Target="../queryTables/queryTable1707.xml"/><Relationship Id="rId215" Type="http://schemas.openxmlformats.org/officeDocument/2006/relationships/queryTable" Target="../queryTables/queryTable1742.xml"/><Relationship Id="rId236" Type="http://schemas.openxmlformats.org/officeDocument/2006/relationships/queryTable" Target="../queryTables/queryTable1763.xml"/><Relationship Id="rId257" Type="http://schemas.openxmlformats.org/officeDocument/2006/relationships/queryTable" Target="../queryTables/queryTable1784.xml"/><Relationship Id="rId278" Type="http://schemas.openxmlformats.org/officeDocument/2006/relationships/queryTable" Target="../queryTables/queryTable1805.xml"/><Relationship Id="rId401" Type="http://schemas.openxmlformats.org/officeDocument/2006/relationships/queryTable" Target="../queryTables/queryTable1928.xml"/><Relationship Id="rId422" Type="http://schemas.openxmlformats.org/officeDocument/2006/relationships/queryTable" Target="../queryTables/queryTable1949.xml"/><Relationship Id="rId443" Type="http://schemas.openxmlformats.org/officeDocument/2006/relationships/queryTable" Target="../queryTables/queryTable1970.xml"/><Relationship Id="rId464" Type="http://schemas.openxmlformats.org/officeDocument/2006/relationships/queryTable" Target="../queryTables/queryTable1991.xml"/><Relationship Id="rId303" Type="http://schemas.openxmlformats.org/officeDocument/2006/relationships/queryTable" Target="../queryTables/queryTable1830.xml"/><Relationship Id="rId485" Type="http://schemas.openxmlformats.org/officeDocument/2006/relationships/queryTable" Target="../queryTables/queryTable2012.xml"/><Relationship Id="rId42" Type="http://schemas.openxmlformats.org/officeDocument/2006/relationships/queryTable" Target="../queryTables/queryTable1569.xml"/><Relationship Id="rId84" Type="http://schemas.openxmlformats.org/officeDocument/2006/relationships/queryTable" Target="../queryTables/queryTable1611.xml"/><Relationship Id="rId138" Type="http://schemas.openxmlformats.org/officeDocument/2006/relationships/queryTable" Target="../queryTables/queryTable1665.xml"/><Relationship Id="rId345" Type="http://schemas.openxmlformats.org/officeDocument/2006/relationships/queryTable" Target="../queryTables/queryTable1872.xml"/><Relationship Id="rId387" Type="http://schemas.openxmlformats.org/officeDocument/2006/relationships/queryTable" Target="../queryTables/queryTable1914.xml"/><Relationship Id="rId510" Type="http://schemas.openxmlformats.org/officeDocument/2006/relationships/queryTable" Target="../queryTables/queryTable2037.xml"/><Relationship Id="rId191" Type="http://schemas.openxmlformats.org/officeDocument/2006/relationships/queryTable" Target="../queryTables/queryTable1718.xml"/><Relationship Id="rId205" Type="http://schemas.openxmlformats.org/officeDocument/2006/relationships/queryTable" Target="../queryTables/queryTable1732.xml"/><Relationship Id="rId247" Type="http://schemas.openxmlformats.org/officeDocument/2006/relationships/queryTable" Target="../queryTables/queryTable1774.xml"/><Relationship Id="rId412" Type="http://schemas.openxmlformats.org/officeDocument/2006/relationships/queryTable" Target="../queryTables/queryTable1939.xml"/><Relationship Id="rId107" Type="http://schemas.openxmlformats.org/officeDocument/2006/relationships/queryTable" Target="../queryTables/queryTable1634.xml"/><Relationship Id="rId289" Type="http://schemas.openxmlformats.org/officeDocument/2006/relationships/queryTable" Target="../queryTables/queryTable1816.xml"/><Relationship Id="rId454" Type="http://schemas.openxmlformats.org/officeDocument/2006/relationships/queryTable" Target="../queryTables/queryTable1981.xml"/><Relationship Id="rId496" Type="http://schemas.openxmlformats.org/officeDocument/2006/relationships/queryTable" Target="../queryTables/queryTable2023.xml"/><Relationship Id="rId11" Type="http://schemas.openxmlformats.org/officeDocument/2006/relationships/queryTable" Target="../queryTables/queryTable1538.xml"/><Relationship Id="rId53" Type="http://schemas.openxmlformats.org/officeDocument/2006/relationships/queryTable" Target="../queryTables/queryTable1580.xml"/><Relationship Id="rId149" Type="http://schemas.openxmlformats.org/officeDocument/2006/relationships/queryTable" Target="../queryTables/queryTable1676.xml"/><Relationship Id="rId314" Type="http://schemas.openxmlformats.org/officeDocument/2006/relationships/queryTable" Target="../queryTables/queryTable1841.xml"/><Relationship Id="rId356" Type="http://schemas.openxmlformats.org/officeDocument/2006/relationships/queryTable" Target="../queryTables/queryTable1883.xml"/><Relationship Id="rId398" Type="http://schemas.openxmlformats.org/officeDocument/2006/relationships/queryTable" Target="../queryTables/queryTable1925.xml"/><Relationship Id="rId521" Type="http://schemas.openxmlformats.org/officeDocument/2006/relationships/queryTable" Target="../queryTables/queryTable2048.xml"/><Relationship Id="rId95" Type="http://schemas.openxmlformats.org/officeDocument/2006/relationships/queryTable" Target="../queryTables/queryTable1622.xml"/><Relationship Id="rId160" Type="http://schemas.openxmlformats.org/officeDocument/2006/relationships/queryTable" Target="../queryTables/queryTable1687.xml"/><Relationship Id="rId216" Type="http://schemas.openxmlformats.org/officeDocument/2006/relationships/queryTable" Target="../queryTables/queryTable1743.xml"/><Relationship Id="rId423" Type="http://schemas.openxmlformats.org/officeDocument/2006/relationships/queryTable" Target="../queryTables/queryTable1950.xml"/><Relationship Id="rId258" Type="http://schemas.openxmlformats.org/officeDocument/2006/relationships/queryTable" Target="../queryTables/queryTable1785.xml"/><Relationship Id="rId465" Type="http://schemas.openxmlformats.org/officeDocument/2006/relationships/queryTable" Target="../queryTables/queryTable1992.xml"/><Relationship Id="rId22" Type="http://schemas.openxmlformats.org/officeDocument/2006/relationships/queryTable" Target="../queryTables/queryTable1549.xml"/><Relationship Id="rId64" Type="http://schemas.openxmlformats.org/officeDocument/2006/relationships/queryTable" Target="../queryTables/queryTable1591.xml"/><Relationship Id="rId118" Type="http://schemas.openxmlformats.org/officeDocument/2006/relationships/queryTable" Target="../queryTables/queryTable1645.xml"/><Relationship Id="rId325" Type="http://schemas.openxmlformats.org/officeDocument/2006/relationships/queryTable" Target="../queryTables/queryTable1852.xml"/><Relationship Id="rId367" Type="http://schemas.openxmlformats.org/officeDocument/2006/relationships/queryTable" Target="../queryTables/queryTable1894.xml"/><Relationship Id="rId532" Type="http://schemas.openxmlformats.org/officeDocument/2006/relationships/queryTable" Target="../queryTables/queryTable2059.xml"/><Relationship Id="rId171" Type="http://schemas.openxmlformats.org/officeDocument/2006/relationships/queryTable" Target="../queryTables/queryTable1698.xml"/><Relationship Id="rId227" Type="http://schemas.openxmlformats.org/officeDocument/2006/relationships/queryTable" Target="../queryTables/queryTable1754.xml"/><Relationship Id="rId269" Type="http://schemas.openxmlformats.org/officeDocument/2006/relationships/queryTable" Target="../queryTables/queryTable1796.xml"/><Relationship Id="rId434" Type="http://schemas.openxmlformats.org/officeDocument/2006/relationships/queryTable" Target="../queryTables/queryTable1961.xml"/><Relationship Id="rId476" Type="http://schemas.openxmlformats.org/officeDocument/2006/relationships/queryTable" Target="../queryTables/queryTable2003.xml"/><Relationship Id="rId33" Type="http://schemas.openxmlformats.org/officeDocument/2006/relationships/queryTable" Target="../queryTables/queryTable1560.xml"/><Relationship Id="rId129" Type="http://schemas.openxmlformats.org/officeDocument/2006/relationships/queryTable" Target="../queryTables/queryTable1656.xml"/><Relationship Id="rId280" Type="http://schemas.openxmlformats.org/officeDocument/2006/relationships/queryTable" Target="../queryTables/queryTable1807.xml"/><Relationship Id="rId336" Type="http://schemas.openxmlformats.org/officeDocument/2006/relationships/queryTable" Target="../queryTables/queryTable1863.xml"/><Relationship Id="rId501" Type="http://schemas.openxmlformats.org/officeDocument/2006/relationships/queryTable" Target="../queryTables/queryTable2028.xml"/><Relationship Id="rId75" Type="http://schemas.openxmlformats.org/officeDocument/2006/relationships/queryTable" Target="../queryTables/queryTable1602.xml"/><Relationship Id="rId140" Type="http://schemas.openxmlformats.org/officeDocument/2006/relationships/queryTable" Target="../queryTables/queryTable1667.xml"/><Relationship Id="rId182" Type="http://schemas.openxmlformats.org/officeDocument/2006/relationships/queryTable" Target="../queryTables/queryTable1709.xml"/><Relationship Id="rId378" Type="http://schemas.openxmlformats.org/officeDocument/2006/relationships/queryTable" Target="../queryTables/queryTable1905.xml"/><Relationship Id="rId403" Type="http://schemas.openxmlformats.org/officeDocument/2006/relationships/queryTable" Target="../queryTables/queryTable1930.xml"/><Relationship Id="rId6" Type="http://schemas.openxmlformats.org/officeDocument/2006/relationships/queryTable" Target="../queryTables/queryTable1533.xml"/><Relationship Id="rId238" Type="http://schemas.openxmlformats.org/officeDocument/2006/relationships/queryTable" Target="../queryTables/queryTable1765.xml"/><Relationship Id="rId445" Type="http://schemas.openxmlformats.org/officeDocument/2006/relationships/queryTable" Target="../queryTables/queryTable1972.xml"/><Relationship Id="rId487" Type="http://schemas.openxmlformats.org/officeDocument/2006/relationships/queryTable" Target="../queryTables/queryTable2014.xml"/><Relationship Id="rId291" Type="http://schemas.openxmlformats.org/officeDocument/2006/relationships/queryTable" Target="../queryTables/queryTable1818.xml"/><Relationship Id="rId305" Type="http://schemas.openxmlformats.org/officeDocument/2006/relationships/queryTable" Target="../queryTables/queryTable1832.xml"/><Relationship Id="rId347" Type="http://schemas.openxmlformats.org/officeDocument/2006/relationships/queryTable" Target="../queryTables/queryTable1874.xml"/><Relationship Id="rId512" Type="http://schemas.openxmlformats.org/officeDocument/2006/relationships/queryTable" Target="../queryTables/queryTable2039.xml"/><Relationship Id="rId44" Type="http://schemas.openxmlformats.org/officeDocument/2006/relationships/queryTable" Target="../queryTables/queryTable1571.xml"/><Relationship Id="rId86" Type="http://schemas.openxmlformats.org/officeDocument/2006/relationships/queryTable" Target="../queryTables/queryTable1613.xml"/><Relationship Id="rId151" Type="http://schemas.openxmlformats.org/officeDocument/2006/relationships/queryTable" Target="../queryTables/queryTable1678.xml"/><Relationship Id="rId389" Type="http://schemas.openxmlformats.org/officeDocument/2006/relationships/queryTable" Target="../queryTables/queryTable1916.xml"/><Relationship Id="rId193" Type="http://schemas.openxmlformats.org/officeDocument/2006/relationships/queryTable" Target="../queryTables/queryTable1720.xml"/><Relationship Id="rId207" Type="http://schemas.openxmlformats.org/officeDocument/2006/relationships/queryTable" Target="../queryTables/queryTable1734.xml"/><Relationship Id="rId249" Type="http://schemas.openxmlformats.org/officeDocument/2006/relationships/queryTable" Target="../queryTables/queryTable1776.xml"/><Relationship Id="rId414" Type="http://schemas.openxmlformats.org/officeDocument/2006/relationships/queryTable" Target="../queryTables/queryTable1941.xml"/><Relationship Id="rId456" Type="http://schemas.openxmlformats.org/officeDocument/2006/relationships/queryTable" Target="../queryTables/queryTable1983.xml"/><Relationship Id="rId498" Type="http://schemas.openxmlformats.org/officeDocument/2006/relationships/queryTable" Target="../queryTables/queryTable2025.xml"/><Relationship Id="rId13" Type="http://schemas.openxmlformats.org/officeDocument/2006/relationships/queryTable" Target="../queryTables/queryTable1540.xml"/><Relationship Id="rId109" Type="http://schemas.openxmlformats.org/officeDocument/2006/relationships/queryTable" Target="../queryTables/queryTable1636.xml"/><Relationship Id="rId260" Type="http://schemas.openxmlformats.org/officeDocument/2006/relationships/queryTable" Target="../queryTables/queryTable1787.xml"/><Relationship Id="rId316" Type="http://schemas.openxmlformats.org/officeDocument/2006/relationships/queryTable" Target="../queryTables/queryTable1843.xml"/><Relationship Id="rId523" Type="http://schemas.openxmlformats.org/officeDocument/2006/relationships/queryTable" Target="../queryTables/queryTable2050.xml"/><Relationship Id="rId55" Type="http://schemas.openxmlformats.org/officeDocument/2006/relationships/queryTable" Target="../queryTables/queryTable1582.xml"/><Relationship Id="rId97" Type="http://schemas.openxmlformats.org/officeDocument/2006/relationships/queryTable" Target="../queryTables/queryTable1624.xml"/><Relationship Id="rId120" Type="http://schemas.openxmlformats.org/officeDocument/2006/relationships/queryTable" Target="../queryTables/queryTable1647.xml"/><Relationship Id="rId358" Type="http://schemas.openxmlformats.org/officeDocument/2006/relationships/queryTable" Target="../queryTables/queryTable1885.xml"/><Relationship Id="rId162" Type="http://schemas.openxmlformats.org/officeDocument/2006/relationships/queryTable" Target="../queryTables/queryTable1689.xml"/><Relationship Id="rId218" Type="http://schemas.openxmlformats.org/officeDocument/2006/relationships/queryTable" Target="../queryTables/queryTable1745.xml"/><Relationship Id="rId425" Type="http://schemas.openxmlformats.org/officeDocument/2006/relationships/queryTable" Target="../queryTables/queryTable1952.xml"/><Relationship Id="rId467" Type="http://schemas.openxmlformats.org/officeDocument/2006/relationships/queryTable" Target="../queryTables/queryTable1994.xml"/><Relationship Id="rId271" Type="http://schemas.openxmlformats.org/officeDocument/2006/relationships/queryTable" Target="../queryTables/queryTable1798.xml"/><Relationship Id="rId24" Type="http://schemas.openxmlformats.org/officeDocument/2006/relationships/queryTable" Target="../queryTables/queryTable1551.xml"/><Relationship Id="rId66" Type="http://schemas.openxmlformats.org/officeDocument/2006/relationships/queryTable" Target="../queryTables/queryTable1593.xml"/><Relationship Id="rId131" Type="http://schemas.openxmlformats.org/officeDocument/2006/relationships/queryTable" Target="../queryTables/queryTable1658.xml"/><Relationship Id="rId327" Type="http://schemas.openxmlformats.org/officeDocument/2006/relationships/queryTable" Target="../queryTables/queryTable1854.xml"/><Relationship Id="rId369" Type="http://schemas.openxmlformats.org/officeDocument/2006/relationships/queryTable" Target="../queryTables/queryTable1896.xml"/><Relationship Id="rId534" Type="http://schemas.openxmlformats.org/officeDocument/2006/relationships/queryTable" Target="../queryTables/queryTable2061.xml"/><Relationship Id="rId173" Type="http://schemas.openxmlformats.org/officeDocument/2006/relationships/queryTable" Target="../queryTables/queryTable1700.xml"/><Relationship Id="rId229" Type="http://schemas.openxmlformats.org/officeDocument/2006/relationships/queryTable" Target="../queryTables/queryTable1756.xml"/><Relationship Id="rId380" Type="http://schemas.openxmlformats.org/officeDocument/2006/relationships/queryTable" Target="../queryTables/queryTable1907.xml"/><Relationship Id="rId436" Type="http://schemas.openxmlformats.org/officeDocument/2006/relationships/queryTable" Target="../queryTables/queryTable1963.xml"/><Relationship Id="rId240" Type="http://schemas.openxmlformats.org/officeDocument/2006/relationships/queryTable" Target="../queryTables/queryTable1767.xml"/><Relationship Id="rId478" Type="http://schemas.openxmlformats.org/officeDocument/2006/relationships/queryTable" Target="../queryTables/queryTable2005.xml"/><Relationship Id="rId35" Type="http://schemas.openxmlformats.org/officeDocument/2006/relationships/queryTable" Target="../queryTables/queryTable1562.xml"/><Relationship Id="rId77" Type="http://schemas.openxmlformats.org/officeDocument/2006/relationships/queryTable" Target="../queryTables/queryTable1604.xml"/><Relationship Id="rId100" Type="http://schemas.openxmlformats.org/officeDocument/2006/relationships/queryTable" Target="../queryTables/queryTable1627.xml"/><Relationship Id="rId282" Type="http://schemas.openxmlformats.org/officeDocument/2006/relationships/queryTable" Target="../queryTables/queryTable1809.xml"/><Relationship Id="rId338" Type="http://schemas.openxmlformats.org/officeDocument/2006/relationships/queryTable" Target="../queryTables/queryTable1865.xml"/><Relationship Id="rId503" Type="http://schemas.openxmlformats.org/officeDocument/2006/relationships/queryTable" Target="../queryTables/queryTable2030.xml"/><Relationship Id="rId8" Type="http://schemas.openxmlformats.org/officeDocument/2006/relationships/queryTable" Target="../queryTables/queryTable1535.xml"/><Relationship Id="rId142" Type="http://schemas.openxmlformats.org/officeDocument/2006/relationships/queryTable" Target="../queryTables/queryTable1669.xml"/><Relationship Id="rId184" Type="http://schemas.openxmlformats.org/officeDocument/2006/relationships/queryTable" Target="../queryTables/queryTable1711.xml"/><Relationship Id="rId391" Type="http://schemas.openxmlformats.org/officeDocument/2006/relationships/queryTable" Target="../queryTables/queryTable1918.xml"/><Relationship Id="rId405" Type="http://schemas.openxmlformats.org/officeDocument/2006/relationships/queryTable" Target="../queryTables/queryTable1932.xml"/><Relationship Id="rId447" Type="http://schemas.openxmlformats.org/officeDocument/2006/relationships/queryTable" Target="../queryTables/queryTable1974.xml"/><Relationship Id="rId251" Type="http://schemas.openxmlformats.org/officeDocument/2006/relationships/queryTable" Target="../queryTables/queryTable1778.xml"/><Relationship Id="rId489" Type="http://schemas.openxmlformats.org/officeDocument/2006/relationships/queryTable" Target="../queryTables/queryTable201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H520"/>
  <sheetViews>
    <sheetView tabSelected="1" workbookViewId="0">
      <pane xSplit="4" topLeftCell="M1" activePane="topRight" state="frozen"/>
      <selection pane="topRight" activeCell="N80" sqref="N80"/>
    </sheetView>
  </sheetViews>
  <sheetFormatPr defaultRowHeight="11.25" x14ac:dyDescent="0.2"/>
  <cols>
    <col min="1" max="1" width="5.28515625" style="3" customWidth="1"/>
    <col min="2" max="2" width="7.28515625" style="3" bestFit="1" customWidth="1"/>
    <col min="3" max="3" width="5.42578125" style="16" hidden="1" customWidth="1"/>
    <col min="4" max="4" width="5.42578125" style="12" bestFit="1" customWidth="1"/>
    <col min="5" max="5" width="17.85546875" style="56" bestFit="1" customWidth="1"/>
    <col min="6" max="6" width="16.5703125" style="81" bestFit="1" customWidth="1"/>
    <col min="7" max="7" width="7.5703125" style="18" customWidth="1"/>
    <col min="8" max="8" width="10.140625" style="23" customWidth="1"/>
    <col min="9" max="9" width="8.42578125" style="18" customWidth="1"/>
    <col min="10" max="10" width="6" style="77" customWidth="1"/>
    <col min="11" max="11" width="5.5703125" style="75" customWidth="1"/>
    <col min="12" max="12" width="4.5703125" style="47" customWidth="1"/>
    <col min="13" max="13" width="19.140625" style="47" bestFit="1" customWidth="1"/>
    <col min="14" max="14" width="17.85546875" style="47" bestFit="1" customWidth="1"/>
    <col min="15" max="15" width="17.85546875" style="72" bestFit="1" customWidth="1"/>
    <col min="16" max="16" width="20.85546875" style="47" bestFit="1" customWidth="1"/>
    <col min="17" max="17" width="19.140625" style="56" bestFit="1" customWidth="1"/>
    <col min="18" max="18" width="19.140625" style="85" bestFit="1" customWidth="1"/>
    <col min="19" max="19" width="6.85546875" style="18" customWidth="1"/>
    <col min="20" max="20" width="6.7109375" style="18" customWidth="1"/>
    <col min="21" max="21" width="8.7109375" style="18" customWidth="1"/>
    <col min="22" max="22" width="8.140625" style="3" customWidth="1"/>
    <col min="23" max="23" width="10.28515625" style="3" bestFit="1" customWidth="1"/>
    <col min="24" max="24" width="8.7109375" style="74" customWidth="1"/>
    <col min="25" max="25" width="9.28515625" style="5" customWidth="1"/>
    <col min="26" max="26" width="14.7109375" style="3" bestFit="1" customWidth="1"/>
    <col min="27" max="27" width="16.85546875" style="3" bestFit="1" customWidth="1"/>
    <col min="28" max="28" width="16" style="3" bestFit="1" customWidth="1"/>
    <col min="29" max="29" width="16.5703125" style="3" bestFit="1" customWidth="1"/>
    <col min="30" max="30" width="10.28515625" style="3" bestFit="1" customWidth="1"/>
    <col min="31" max="31" width="11.85546875" style="3" bestFit="1" customWidth="1"/>
    <col min="32" max="32" width="12.28515625" style="3" bestFit="1" customWidth="1"/>
    <col min="33" max="33" width="16" style="3" bestFit="1" customWidth="1"/>
    <col min="34" max="34" width="9.5703125" style="3" bestFit="1" customWidth="1"/>
    <col min="35" max="37" width="16" style="3" bestFit="1" customWidth="1"/>
    <col min="38" max="38" width="9.140625" style="3" customWidth="1"/>
    <col min="39" max="39" width="9.85546875" style="3" customWidth="1"/>
    <col min="40" max="40" width="11.5703125" style="3" customWidth="1"/>
    <col min="41" max="41" width="9.85546875" style="3" bestFit="1" customWidth="1"/>
    <col min="42" max="42" width="10.7109375" style="3" bestFit="1" customWidth="1"/>
    <col min="43" max="16384" width="9.140625" style="3"/>
  </cols>
  <sheetData>
    <row r="1" spans="1:60" x14ac:dyDescent="0.2">
      <c r="A1" s="5" t="s">
        <v>13</v>
      </c>
      <c r="B1" s="16" t="s">
        <v>9</v>
      </c>
      <c r="C1" s="16" t="s">
        <v>388</v>
      </c>
      <c r="D1" s="16" t="s">
        <v>63</v>
      </c>
      <c r="E1" s="5" t="s">
        <v>417</v>
      </c>
      <c r="F1" s="56" t="s">
        <v>423</v>
      </c>
      <c r="G1" s="81" t="s">
        <v>448</v>
      </c>
      <c r="H1" s="18" t="s">
        <v>418</v>
      </c>
      <c r="I1" s="23" t="s">
        <v>419</v>
      </c>
      <c r="J1" s="18" t="s">
        <v>433</v>
      </c>
      <c r="K1" s="18" t="s">
        <v>449</v>
      </c>
      <c r="L1" s="18" t="s">
        <v>450</v>
      </c>
      <c r="M1" s="47" t="s">
        <v>2075</v>
      </c>
      <c r="N1" s="47" t="s">
        <v>2067</v>
      </c>
      <c r="O1" s="47" t="s">
        <v>2068</v>
      </c>
      <c r="P1" s="72" t="s">
        <v>3</v>
      </c>
      <c r="Q1" s="72" t="s">
        <v>53</v>
      </c>
      <c r="R1" s="72" t="s">
        <v>2065</v>
      </c>
      <c r="S1" s="47" t="s">
        <v>2066</v>
      </c>
      <c r="T1" s="132" t="s">
        <v>2069</v>
      </c>
      <c r="U1" s="132" t="s">
        <v>2072</v>
      </c>
      <c r="V1" s="18" t="s">
        <v>2070</v>
      </c>
      <c r="W1" s="18" t="s">
        <v>2073</v>
      </c>
      <c r="X1" s="18" t="s">
        <v>2071</v>
      </c>
      <c r="Y1" s="18" t="s">
        <v>2074</v>
      </c>
      <c r="Z1" s="5" t="s">
        <v>428</v>
      </c>
      <c r="AA1" s="5" t="s">
        <v>426</v>
      </c>
      <c r="AB1" s="72" t="s">
        <v>427</v>
      </c>
      <c r="AC1" s="72" t="s">
        <v>440</v>
      </c>
      <c r="AD1" s="56" t="s">
        <v>4</v>
      </c>
      <c r="AE1" s="5" t="s">
        <v>442</v>
      </c>
      <c r="AF1" s="77" t="s">
        <v>84</v>
      </c>
      <c r="AG1" s="77" t="s">
        <v>429</v>
      </c>
      <c r="AH1" s="77" t="s">
        <v>420</v>
      </c>
      <c r="AI1" s="77" t="s">
        <v>421</v>
      </c>
      <c r="AJ1" s="77" t="s">
        <v>441</v>
      </c>
      <c r="AK1" s="5" t="s">
        <v>430</v>
      </c>
      <c r="AL1" s="5" t="s">
        <v>313</v>
      </c>
      <c r="AM1" s="5" t="s">
        <v>5</v>
      </c>
      <c r="AN1" s="12" t="s">
        <v>6</v>
      </c>
      <c r="AO1" s="23" t="s">
        <v>7</v>
      </c>
      <c r="AP1" s="34" t="s">
        <v>52</v>
      </c>
      <c r="AQ1" s="77" t="s">
        <v>436</v>
      </c>
      <c r="AR1" s="77" t="s">
        <v>435</v>
      </c>
      <c r="AS1" s="3" t="s">
        <v>8</v>
      </c>
      <c r="AT1" s="3" t="s">
        <v>301</v>
      </c>
      <c r="AU1" s="18" t="s">
        <v>416</v>
      </c>
      <c r="AV1" s="3" t="s">
        <v>41</v>
      </c>
      <c r="AW1" s="5" t="s">
        <v>60</v>
      </c>
      <c r="AX1" s="5" t="s">
        <v>241</v>
      </c>
      <c r="AY1" s="5" t="s">
        <v>242</v>
      </c>
      <c r="AZ1" s="3" t="s">
        <v>552</v>
      </c>
      <c r="BA1" s="3" t="s">
        <v>881</v>
      </c>
      <c r="BB1" s="3" t="s">
        <v>1411</v>
      </c>
      <c r="BH1" s="5">
        <v>500</v>
      </c>
    </row>
    <row r="2" spans="1:60" hidden="1" x14ac:dyDescent="0.2">
      <c r="A2" s="3" t="s">
        <v>1330</v>
      </c>
      <c r="B2" s="58" t="s">
        <v>1333</v>
      </c>
      <c r="C2" s="16" t="str">
        <f>LEFT(Tabela3[PAPEL],LEN(Tabela3[PAPEL])-(LEN(Tabela3[PAPEL])-4))</f>
        <v>CALI</v>
      </c>
      <c r="D2" s="16">
        <v>3</v>
      </c>
      <c r="E2" s="5">
        <v>38968552.789999999</v>
      </c>
      <c r="F2" s="56">
        <v>124040</v>
      </c>
      <c r="G2" s="81">
        <v>0.25</v>
      </c>
      <c r="H2" s="87"/>
      <c r="J2" s="18"/>
      <c r="K2" s="16"/>
      <c r="L2" s="87"/>
      <c r="M2" s="54">
        <v>22719000</v>
      </c>
      <c r="N2" s="54">
        <v>6643000</v>
      </c>
      <c r="O2" s="54">
        <v>3658000</v>
      </c>
      <c r="P2" s="91">
        <v>4577000</v>
      </c>
      <c r="Q2" s="73">
        <v>8961000</v>
      </c>
      <c r="R2" s="73">
        <f>IF(Tabela3[[#This Row],[Ativo || Passivo]]&gt;0,Tabela3[[#This Row],[Ativo || Passivo]]-Tabela3[[#This Row],[Patrimônio Líquido]],0)</f>
        <v>18142000</v>
      </c>
      <c r="S2" s="73">
        <f>Tabela3[[#This Row],[Cotação]]*Tabela3[[#This Row],[Total Ações]]</f>
        <v>46890715.190000005</v>
      </c>
      <c r="T2" s="37">
        <f>IF(Tabela3[[#This Row],[Passivo Circulante]]&gt;0,Tabela3[[#This Row],[Ativo Circulante]]/Tabela3[[#This Row],[Passivo Circulante]],0)</f>
        <v>1.8160196828868234</v>
      </c>
      <c r="U2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" s="18">
        <f>IF(Tabela3[[#This Row],[Lucro Líquido]]&gt;0,Tabela3[[#This Row],[Lucro Líquido]]/Tabela3[[#This Row],[Patrimônio Líquido]],0)</f>
        <v>1.9578326414682106</v>
      </c>
      <c r="W2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" s="18">
        <f>IF(Tabela3[[#This Row],[Dívida]]&gt;0,Tabela3[[#This Row],[Dívida]]/Tabela3[[#This Row],[Patrimônio Líquido]],0)</f>
        <v>3.9637317019882019</v>
      </c>
      <c r="Y2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" s="7">
        <f>Tabela3[[#This Row],[Capital Social]]*20%</f>
        <v>7793710.5580000002</v>
      </c>
      <c r="AA2" s="47">
        <f>IF((Tabela3[Lucro Líquido]*5%)&gt;Tabela3[Teto R. Legal],Tabela3[Teto R. Legal],Tabela3[Lucro Líquido]*5%)</f>
        <v>448050</v>
      </c>
      <c r="AB2" s="47">
        <f>IF(Tabela3[Lucro Líquido]&lt;0,0,Tabela3[Lucro Líquido]-Tabela3[Reserva Legal])</f>
        <v>8512950</v>
      </c>
      <c r="AC2" s="47">
        <f>Tabela3[[#This Row],[Lucro Distribuir]]*Tabela3[%Div]</f>
        <v>2128237.5</v>
      </c>
      <c r="AD2" s="56">
        <f>SUMPRODUCT(N(Tabela3[Nome]=Tabela3[[#This Row],[Nome]]),Tabela3[Ações])</f>
        <v>372119</v>
      </c>
      <c r="AE2" s="85">
        <f>Tabela3[Capital Social]/Tabela3[Total Ações]</f>
        <v>104.72067481101476</v>
      </c>
      <c r="AF2" s="85">
        <f>Tabela3[[#This Row],[Lucro Líquido]]/Tabela3[[#This Row],[Total Ações]]</f>
        <v>24.081006344744559</v>
      </c>
      <c r="AG2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5.7192390068768324</v>
      </c>
      <c r="AH2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3.5440380633770343</v>
      </c>
      <c r="AJ2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3.5440380633770343</v>
      </c>
      <c r="AK2" s="7">
        <f>Tabela3[Div Base]*Tabela3[Ações]</f>
        <v>439602.48138128733</v>
      </c>
      <c r="AL2" s="121">
        <f>SUMPRODUCT(N(Tabela3[Nome]=Tabela3[[#This Row],[Nome]]),Tabela3[Div Base]*Tabela3[Ações])</f>
        <v>2128237.5</v>
      </c>
      <c r="AM2" s="5">
        <f>Tabela3[Patrimônio Líquido]/Tabela3[Total Ações]</f>
        <v>12.299828818200629</v>
      </c>
      <c r="AN2" s="52">
        <f>MAX(Tabela3[[#This Row],[Cotação 1]:[Cotação 5]])</f>
        <v>126.01</v>
      </c>
      <c r="AO2" s="53">
        <f>Tabela3[Cotação]/Tabela3[VPA]</f>
        <v>10.244858027091983</v>
      </c>
      <c r="AP2" s="37">
        <f>IF(Tabela3[[#This Row],[Lucro/Ação]]&gt;0,Tabela3[[#This Row],[Cotação]]/(Tabela3[[#This Row],[Lucro/Ação]]/Tabela3[Ref]*4),0)</f>
        <v>3.9245660520589221</v>
      </c>
      <c r="AQ2" s="85">
        <f>Tabela3[Lucro Distribuir]/Tabela3[Total Ações]</f>
        <v>22.87695602750733</v>
      </c>
      <c r="AR2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3.5440380633770343</v>
      </c>
      <c r="AS2" s="10" t="str">
        <f>IF(AND(Tabela3[% A.A.]&gt;=6%,SUMPRODUCT(N(Tabela3[Nome]=Tabela3[[#This Row],[Nome]]),Tabela3[PL])&gt;0,Tabela3[Rentabilidade s/ PL]&gt;=Tabela3[Rentabilidade s/ PL Média]),"Sim","Não")</f>
        <v>Não</v>
      </c>
      <c r="AT2" s="22">
        <f>IF(Tabela3[Cotação]&gt;0,Tabela3[[#This Row],[Lucro]]/Tabela3[[#This Row],[Cotação]],0)</f>
        <v>2.8125054070129624E-2</v>
      </c>
      <c r="AU2" s="22">
        <f>((1+Tabela3[[#This Row],[% Yield]])^(1/(3*Tabela3[[#This Row],[Ref]])))^(12)-1</f>
        <v>3.767476806507486E-2</v>
      </c>
      <c r="AV2" s="10">
        <f>IF(Tabela3[Cotação]&gt;0,($BH$1/Tabela3[[#This Row],[Cotação]]-MOD($BH$1/Tabela3[[#This Row],[Cotação]],100)),)</f>
        <v>0</v>
      </c>
      <c r="AW2" s="7">
        <f>Tabela3[[#This Row],[Ativos]]*Tabela3[Lucro]</f>
        <v>0</v>
      </c>
      <c r="AX2" s="7">
        <f>SUMPRODUCT(N(Tabela1[Código]=Tabela3[[#This Row],[PAPEL]]),Tabela1[Fechamento])</f>
        <v>0</v>
      </c>
      <c r="AY2" s="7">
        <f>SUMPRODUCT(N(Tabela17[Código]=Tabela3[[#This Row],[PAPEL]]),Tabela17[Fechamento])</f>
        <v>0</v>
      </c>
      <c r="AZ2" s="7">
        <f>SUMPRODUCT(N(Tabela176[Código]=Tabela3[[#This Row],[PAPEL]]),Tabela176[Fechamento])</f>
        <v>0</v>
      </c>
      <c r="BA2" s="7">
        <f>SUMPRODUCT(N(Tabela1768[Código]=Tabela3[[#This Row],[PAPEL]]),Tabela1768[Fechamento])</f>
        <v>126.01</v>
      </c>
      <c r="BB2" s="7">
        <f>SUMPRODUCT(N(Tabela17683[Código]=Tabela3[[#This Row],[PAPEL]]),Tabela17683[Fechamento])</f>
        <v>0</v>
      </c>
    </row>
    <row r="3" spans="1:60" hidden="1" x14ac:dyDescent="0.2">
      <c r="A3" s="3" t="s">
        <v>1330</v>
      </c>
      <c r="B3" s="58" t="s">
        <v>1334</v>
      </c>
      <c r="C3" s="16" t="str">
        <f>LEFT(Tabela3[PAPEL],LEN(Tabela3[PAPEL])-(LEN(Tabela3[PAPEL])-4))</f>
        <v>CALI</v>
      </c>
      <c r="D3" s="16">
        <v>3</v>
      </c>
      <c r="E3" s="5">
        <v>38968552.789999999</v>
      </c>
      <c r="F3" s="56">
        <v>248079</v>
      </c>
      <c r="G3" s="81">
        <v>0.25</v>
      </c>
      <c r="H3" s="87"/>
      <c r="I3" s="18">
        <v>6.5000000000000002E-2</v>
      </c>
      <c r="J3" s="18"/>
      <c r="K3" s="16"/>
      <c r="L3" s="87"/>
      <c r="M3" s="54">
        <v>22719000</v>
      </c>
      <c r="N3" s="54">
        <v>6643000</v>
      </c>
      <c r="O3" s="54">
        <v>3658000</v>
      </c>
      <c r="P3" s="91">
        <v>4577000</v>
      </c>
      <c r="Q3" s="73">
        <v>8961000</v>
      </c>
      <c r="R3" s="73">
        <f>IF(Tabela3[[#This Row],[Ativo || Passivo]]&gt;0,Tabela3[[#This Row],[Ativo || Passivo]]-Tabela3[[#This Row],[Patrimônio Líquido]],0)</f>
        <v>18142000</v>
      </c>
      <c r="S3" s="73">
        <f>Tabela3[[#This Row],[Cotação]]*Tabela3[[#This Row],[Total Ações]]</f>
        <v>93029750</v>
      </c>
      <c r="T3" s="37">
        <f>IF(Tabela3[[#This Row],[Passivo Circulante]]&gt;0,Tabela3[[#This Row],[Ativo Circulante]]/Tabela3[[#This Row],[Passivo Circulante]],0)</f>
        <v>1.8160196828868234</v>
      </c>
      <c r="U3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" s="18">
        <f>IF(Tabela3[[#This Row],[Lucro Líquido]]&gt;0,Tabela3[[#This Row],[Lucro Líquido]]/Tabela3[[#This Row],[Patrimônio Líquido]],0)</f>
        <v>1.9578326414682106</v>
      </c>
      <c r="W3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" s="18">
        <f>IF(Tabela3[[#This Row],[Dívida]]&gt;0,Tabela3[[#This Row],[Dívida]]/Tabela3[[#This Row],[Patrimônio Líquido]],0)</f>
        <v>3.9637317019882019</v>
      </c>
      <c r="Y3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" s="7">
        <f>Tabela3[[#This Row],[Capital Social]]*20%</f>
        <v>7793710.5580000002</v>
      </c>
      <c r="AA3" s="47">
        <f>IF((Tabela3[Lucro Líquido]*5%)&gt;Tabela3[Teto R. Legal],Tabela3[Teto R. Legal],Tabela3[Lucro Líquido]*5%)</f>
        <v>448050</v>
      </c>
      <c r="AB3" s="47">
        <f>IF(Tabela3[Lucro Líquido]&lt;0,0,Tabela3[Lucro Líquido]-Tabela3[Reserva Legal])</f>
        <v>8512950</v>
      </c>
      <c r="AC3" s="47">
        <f>Tabela3[[#This Row],[Lucro Distribuir]]*Tabela3[%Div]</f>
        <v>2128237.5</v>
      </c>
      <c r="AD3" s="56">
        <f>SUMPRODUCT(N(Tabela3[Nome]=Tabela3[[#This Row],[Nome]]),Tabela3[Ações])</f>
        <v>372119</v>
      </c>
      <c r="AE3" s="85">
        <f>Tabela3[Capital Social]/Tabela3[Total Ações]</f>
        <v>104.72067481101476</v>
      </c>
      <c r="AF3" s="85">
        <f>Tabela3[[#This Row],[Lucro Líquido]]/Tabela3[[#This Row],[Total Ações]]</f>
        <v>24.081006344744559</v>
      </c>
      <c r="AG3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5.7192390068768324</v>
      </c>
      <c r="AH3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6.8068438627159598</v>
      </c>
      <c r="AJ3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6.8068438627159598</v>
      </c>
      <c r="AK3" s="7">
        <f>Tabela3[Div Base]*Tabela3[Ações]</f>
        <v>1688635.0186187127</v>
      </c>
      <c r="AL3" s="121">
        <f>SUMPRODUCT(N(Tabela3[Nome]=Tabela3[[#This Row],[Nome]]),Tabela3[Div Base]*Tabela3[Ações])</f>
        <v>2128237.5</v>
      </c>
      <c r="AM3" s="5">
        <f>Tabela3[Patrimônio Líquido]/Tabela3[Total Ações]</f>
        <v>12.299828818200629</v>
      </c>
      <c r="AN3" s="52">
        <f>MAX(Tabela3[[#This Row],[Cotação 1]:[Cotação 5]])</f>
        <v>250</v>
      </c>
      <c r="AO3" s="53">
        <f>Tabela3[Cotação]/Tabela3[VPA]</f>
        <v>20.325486126283593</v>
      </c>
      <c r="AP3" s="37">
        <f>IF(Tabela3[[#This Row],[Lucro/Ação]]&gt;0,Tabela3[[#This Row],[Cotação]]/(Tabela3[[#This Row],[Lucro/Ação]]/Tabela3[Ref]*4),0)</f>
        <v>7.7862194509541345</v>
      </c>
      <c r="AQ3" s="85">
        <f>Tabela3[Lucro Distribuir]/Tabela3[Total Ações]</f>
        <v>22.87695602750733</v>
      </c>
      <c r="AR3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6.8068438627159598</v>
      </c>
      <c r="AS3" s="10" t="str">
        <f>IF(AND(Tabela3[% A.A.]&gt;=6%,SUMPRODUCT(N(Tabela3[Nome]=Tabela3[[#This Row],[Nome]]),Tabela3[PL])&gt;0,Tabela3[Rentabilidade s/ PL]&gt;=Tabela3[Rentabilidade s/ PL Média]),"Sim","Não")</f>
        <v>Não</v>
      </c>
      <c r="AT3" s="22">
        <f>IF(Tabela3[Cotação]&gt;0,Tabela3[[#This Row],[Lucro]]/Tabela3[[#This Row],[Cotação]],0)</f>
        <v>2.7227375450863837E-2</v>
      </c>
      <c r="AU3" s="22">
        <f>((1+Tabela3[[#This Row],[% Yield]])^(1/(3*Tabela3[[#This Row],[Ref]])))^(12)-1</f>
        <v>3.6466921644602968E-2</v>
      </c>
      <c r="AV3" s="10">
        <f>IF(Tabela3[Cotação]&gt;0,($BH$1/Tabela3[[#This Row],[Cotação]]-MOD($BH$1/Tabela3[[#This Row],[Cotação]],100)),)</f>
        <v>0</v>
      </c>
      <c r="AW3" s="7">
        <f>Tabela3[[#This Row],[Ativos]]*Tabela3[Lucro]</f>
        <v>0</v>
      </c>
      <c r="AX3" s="7">
        <f>SUMPRODUCT(N(Tabela1[Código]=Tabela3[[#This Row],[PAPEL]]),Tabela1[Fechamento])</f>
        <v>0</v>
      </c>
      <c r="AY3" s="7">
        <f>SUMPRODUCT(N(Tabela17[Código]=Tabela3[[#This Row],[PAPEL]]),Tabela17[Fechamento])</f>
        <v>0</v>
      </c>
      <c r="AZ3" s="7">
        <f>SUMPRODUCT(N(Tabela176[Código]=Tabela3[[#This Row],[PAPEL]]),Tabela176[Fechamento])</f>
        <v>0</v>
      </c>
      <c r="BA3" s="7">
        <f>SUMPRODUCT(N(Tabela1768[Código]=Tabela3[[#This Row],[PAPEL]]),Tabela1768[Fechamento])</f>
        <v>250</v>
      </c>
      <c r="BB3" s="7">
        <f>SUMPRODUCT(N(Tabela17683[Código]=Tabela3[[#This Row],[PAPEL]]),Tabela17683[Fechamento])</f>
        <v>0</v>
      </c>
      <c r="BC3" s="5"/>
    </row>
    <row r="4" spans="1:60" hidden="1" x14ac:dyDescent="0.2">
      <c r="A4" s="4" t="s">
        <v>376</v>
      </c>
      <c r="B4" s="57" t="s">
        <v>375</v>
      </c>
      <c r="C4" s="82" t="str">
        <f>LEFT(Tabela3[PAPEL],LEN(Tabela3[PAPEL])-(LEN(Tabela3[PAPEL])-4))</f>
        <v>TRPN</v>
      </c>
      <c r="D4" s="15">
        <v>4</v>
      </c>
      <c r="E4" s="6">
        <v>6610322.96</v>
      </c>
      <c r="F4" s="38">
        <v>46288258</v>
      </c>
      <c r="G4" s="86">
        <v>0.25</v>
      </c>
      <c r="H4" s="15"/>
      <c r="I4" s="19"/>
      <c r="J4" s="19"/>
      <c r="K4" s="88"/>
      <c r="L4" s="88"/>
      <c r="M4" s="55">
        <v>75216000</v>
      </c>
      <c r="N4" s="55">
        <v>14613000</v>
      </c>
      <c r="O4" s="55">
        <v>4084000</v>
      </c>
      <c r="P4" s="6">
        <v>71132000</v>
      </c>
      <c r="Q4" s="6">
        <v>74040000</v>
      </c>
      <c r="R4" s="6">
        <f>IF(Tabela3[[#This Row],[Ativo || Passivo]]&gt;0,Tabela3[[#This Row],[Ativo || Passivo]]-Tabela3[[#This Row],[Patrimônio Líquido]],0)</f>
        <v>4084000</v>
      </c>
      <c r="S4" s="6">
        <f>Tabela3[[#This Row],[Cotação]]*Tabela3[[#This Row],[Total Ações]]</f>
        <v>634149134.60000002</v>
      </c>
      <c r="T4" s="134">
        <f>IF(Tabela3[[#This Row],[Passivo Circulante]]&gt;0,Tabela3[[#This Row],[Ativo Circulante]]/Tabela3[[#This Row],[Passivo Circulante]],0)</f>
        <v>3.5781096963761017</v>
      </c>
      <c r="U4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" s="19">
        <f>IF(Tabela3[[#This Row],[Lucro Líquido]]&gt;0,Tabela3[[#This Row],[Lucro Líquido]]/Tabela3[[#This Row],[Patrimônio Líquido]],0)</f>
        <v>1.0408817409885847</v>
      </c>
      <c r="W4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" s="19">
        <f>IF(Tabela3[[#This Row],[Dívida]]&gt;0,Tabela3[[#This Row],[Dívida]]/Tabela3[[#This Row],[Patrimônio Líquido]],0)</f>
        <v>5.7414384524545913E-2</v>
      </c>
      <c r="Y4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" s="6">
        <f>Tabela3[[#This Row],[Capital Social]]*20%</f>
        <v>1322064.5920000002</v>
      </c>
      <c r="AA4" s="6">
        <f>IF((Tabela3[Lucro Líquido]*5%)&gt;Tabela3[Teto R. Legal],Tabela3[Teto R. Legal],Tabela3[Lucro Líquido]*5%)</f>
        <v>1322064.5920000002</v>
      </c>
      <c r="AB4" s="6">
        <f>IF(Tabela3[Lucro Líquido]&lt;0,0,Tabela3[Lucro Líquido]-Tabela3[Reserva Legal])</f>
        <v>72717935.407999992</v>
      </c>
      <c r="AC4" s="6">
        <f>Tabela3[[#This Row],[Lucro Distribuir]]*Tabela3[%Div]</f>
        <v>18179483.851999998</v>
      </c>
      <c r="AD4" s="56">
        <f>SUMPRODUCT(N(Tabela3[Nome]=Tabela3[[#This Row],[Nome]]),Tabela3[Ações])</f>
        <v>46288258</v>
      </c>
      <c r="AE4" s="6">
        <f>Tabela3[Capital Social]/Tabela3[Total Ações]</f>
        <v>0.14280777124946029</v>
      </c>
      <c r="AF4" s="78">
        <f>Tabela3[[#This Row],[Lucro Líquido]]/Tabela3[[#This Row],[Total Ações]]</f>
        <v>1.5995417239508127</v>
      </c>
      <c r="AG4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0.39274504242523012</v>
      </c>
      <c r="AH4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0.39274504242523012</v>
      </c>
      <c r="AK4" s="6">
        <f>Tabela3[Div Base]*Tabela3[Ações]</f>
        <v>18179483.851999998</v>
      </c>
      <c r="AL4" s="6">
        <f>SUMPRODUCT(N(Tabela3[Nome]=Tabela3[[#This Row],[Nome]]),Tabela3[Div Base]*Tabela3[Ações])</f>
        <v>18179483.851999998</v>
      </c>
      <c r="AM4" s="6">
        <f>Tabela3[Patrimônio Líquido]/Tabela3[Total Ações]</f>
        <v>1.5367180160463156</v>
      </c>
      <c r="AN4" s="48">
        <f>MAX(Tabela3[[#This Row],[Cotação 1]:[Cotação 5]])</f>
        <v>13.7</v>
      </c>
      <c r="AO4" s="44">
        <f>Tabela3[Cotação]/Tabela3[VPA]</f>
        <v>8.9151033936906039</v>
      </c>
      <c r="AP4" s="40">
        <f>IF(Tabela3[[#This Row],[Lucro/Ação]]&gt;0,Tabela3[[#This Row],[Cotação]]/(Tabela3[[#This Row],[Lucro/Ação]]/Tabela3[Ref]*4),0)</f>
        <v>8.5649531955699612</v>
      </c>
      <c r="AQ4" s="78">
        <f>Tabela3[Lucro Distribuir]/Tabela3[Total Ações]</f>
        <v>1.5709801697009205</v>
      </c>
      <c r="AR4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0.39274504242523012</v>
      </c>
      <c r="AS4" s="15" t="str">
        <f>IF(AND(Tabela3[% A.A.]&gt;=6%,SUMPRODUCT(N(Tabela3[Nome]=Tabela3[[#This Row],[Nome]]),Tabela3[PL])&gt;0,Tabela3[Rentabilidade s/ PL]&gt;=Tabela3[Rentabilidade s/ PL Média]),"Sim","Não")</f>
        <v>Não</v>
      </c>
      <c r="AT4" s="42">
        <f>IF(Tabela3[Cotação]&gt;0,Tabela3[[#This Row],[Lucro]]/Tabela3[[#This Row],[Cotação]],0)</f>
        <v>2.8667521344907309E-2</v>
      </c>
      <c r="AU4" s="19">
        <f>((1+Tabela3[[#This Row],[% Yield]])^(1/(3*Tabela3[[#This Row],[Ref]])))^(12)-1</f>
        <v>2.8667521344907465E-2</v>
      </c>
      <c r="AV4" s="14">
        <f>IF(Tabela3[Cotação]&gt;0,($BD$1/Tabela3[[#This Row],[Cotação]]-MOD($BD$1/Tabela3[[#This Row],[Cotação]],100)),)</f>
        <v>0</v>
      </c>
      <c r="AW4" s="17">
        <f>Tabela3[[#This Row],[Ativos]]*Tabela3[Lucro]</f>
        <v>0</v>
      </c>
      <c r="AX4" s="13">
        <f>SUMPRODUCT(N(Tabela1[Código]=Tabela3[[#This Row],[PAPEL]]),Tabela1[Fechamento])</f>
        <v>0</v>
      </c>
      <c r="AY4" s="55">
        <f>SUMPRODUCT(N(Tabela17[Código]=Tabela3[[#This Row],[PAPEL]]),Tabela17[Fechamento])</f>
        <v>13.7</v>
      </c>
      <c r="AZ4" s="7">
        <f>SUMPRODUCT(N(Tabela176[Código]=Tabela3[[#This Row],[PAPEL]]),Tabela176[Fechamento])</f>
        <v>0</v>
      </c>
      <c r="BA4" s="7">
        <f>SUMPRODUCT(N(Tabela1768[Código]=Tabela3[[#This Row],[PAPEL]]),Tabela1768[Fechamento])</f>
        <v>0</v>
      </c>
      <c r="BB4" s="7">
        <f>SUMPRODUCT(N(Tabela17683[Código]=Tabela3[[#This Row],[PAPEL]]),Tabela17683[Fechamento])</f>
        <v>0</v>
      </c>
    </row>
    <row r="5" spans="1:60" hidden="1" x14ac:dyDescent="0.2">
      <c r="A5" s="4" t="s">
        <v>379</v>
      </c>
      <c r="B5" s="57" t="s">
        <v>382</v>
      </c>
      <c r="C5" s="82" t="str">
        <f>LEFT(Tabela3[PAPEL],LEN(Tabela3[PAPEL])-(LEN(Tabela3[PAPEL])-4))</f>
        <v>CIEL</v>
      </c>
      <c r="D5" s="15">
        <v>4</v>
      </c>
      <c r="E5" s="6">
        <v>1000000000</v>
      </c>
      <c r="F5" s="38">
        <v>786115469</v>
      </c>
      <c r="G5" s="81">
        <v>0.5</v>
      </c>
      <c r="H5" s="15"/>
      <c r="I5" s="19"/>
      <c r="J5" s="19"/>
      <c r="K5" s="88"/>
      <c r="L5" s="88"/>
      <c r="M5" s="55">
        <v>11585874000</v>
      </c>
      <c r="N5" s="55">
        <v>8606432000</v>
      </c>
      <c r="O5" s="55">
        <v>5958069000</v>
      </c>
      <c r="P5" s="6">
        <v>3319825000</v>
      </c>
      <c r="Q5" s="6">
        <v>2673601000</v>
      </c>
      <c r="R5" s="6">
        <f>IF(Tabela3[[#This Row],[Ativo || Passivo]]&gt;0,Tabela3[[#This Row],[Ativo || Passivo]]-Tabela3[[#This Row],[Patrimônio Líquido]],0)</f>
        <v>8266049000</v>
      </c>
      <c r="S5" s="6">
        <f>Tabela3[[#This Row],[Cotação]]*Tabela3[[#This Row],[Total Ações]]</f>
        <v>51128950103.760002</v>
      </c>
      <c r="T5" s="134">
        <f>IF(Tabela3[[#This Row],[Passivo Circulante]]&gt;0,Tabela3[[#This Row],[Ativo Circulante]]/Tabela3[[#This Row],[Passivo Circulante]],0)</f>
        <v>1.4445002231427666</v>
      </c>
      <c r="U5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5" s="19">
        <f>IF(Tabela3[[#This Row],[Lucro Líquido]]&gt;0,Tabela3[[#This Row],[Lucro Líquido]]/Tabela3[[#This Row],[Patrimônio Líquido]],0)</f>
        <v>0.80534395638324308</v>
      </c>
      <c r="W5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5" s="19">
        <f>IF(Tabela3[[#This Row],[Dívida]]&gt;0,Tabela3[[#This Row],[Dívida]]/Tabela3[[#This Row],[Patrimônio Líquido]],0)</f>
        <v>2.4899050401753104</v>
      </c>
      <c r="Y5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5" s="6">
        <f>Tabela3[[#This Row],[Capital Social]]*20%</f>
        <v>200000000</v>
      </c>
      <c r="AA5" s="6">
        <f>IF((Tabela3[Lucro Líquido]*5%)&gt;Tabela3[Teto R. Legal],Tabela3[Teto R. Legal],Tabela3[Lucro Líquido]*5%)</f>
        <v>133680050</v>
      </c>
      <c r="AB5" s="6">
        <f>IF(Tabela3[Lucro Líquido]&lt;0,0,Tabela3[Lucro Líquido]-Tabela3[Reserva Legal])</f>
        <v>2539920950</v>
      </c>
      <c r="AC5" s="6">
        <f>Tabela3[[#This Row],[Lucro Distribuir]]*Tabela3[%Div]</f>
        <v>1269960475</v>
      </c>
      <c r="AD5" s="56">
        <f>SUMPRODUCT(N(Tabela3[Nome]=Tabela3[[#This Row],[Nome]]),Tabela3[Ações])</f>
        <v>786115469</v>
      </c>
      <c r="AE5" s="6">
        <f>Tabela3[Capital Social]/Tabela3[Total Ações]</f>
        <v>1.2720777537580805</v>
      </c>
      <c r="AF5" s="78">
        <f>Tabela3[[#This Row],[Lucro Líquido]]/Tabela3[[#This Row],[Total Ações]]</f>
        <v>3.4010283545253581</v>
      </c>
      <c r="AG5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1.615488468399545</v>
      </c>
      <c r="AH5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5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5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1.615488468399545</v>
      </c>
      <c r="AK5" s="6">
        <f>Tabela3[Div Base]*Tabela3[Ações]</f>
        <v>1269960475</v>
      </c>
      <c r="AL5" s="6">
        <f>SUMPRODUCT(N(Tabela3[Nome]=Tabela3[[#This Row],[Nome]]),Tabela3[Div Base]*Tabela3[Ações])</f>
        <v>1269960475</v>
      </c>
      <c r="AM5" s="6">
        <f>Tabela3[Patrimônio Líquido]/Tabela3[Total Ações]</f>
        <v>4.22307552886992</v>
      </c>
      <c r="AN5" s="48">
        <f>MAX(Tabela3[[#This Row],[Cotação 1]:[Cotação 5]])</f>
        <v>65.040000000000006</v>
      </c>
      <c r="AO5" s="44">
        <f>Tabela3[Cotação]/Tabela3[VPA]</f>
        <v>15.401097980694766</v>
      </c>
      <c r="AP5" s="40">
        <f>IF(Tabela3[[#This Row],[Lucro/Ação]]&gt;0,Tabela3[[#This Row],[Cotação]]/(Tabela3[[#This Row],[Lucro/Ação]]/Tabela3[Ref]*4),0)</f>
        <v>19.123627685567143</v>
      </c>
      <c r="AQ5" s="78">
        <f>Tabela3[Lucro Distribuir]/Tabela3[Total Ações]</f>
        <v>3.2309769367990899</v>
      </c>
      <c r="AR5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1.615488468399545</v>
      </c>
      <c r="AS5" s="15" t="str">
        <f>IF(AND(Tabela3[% A.A.]&gt;=6%,SUMPRODUCT(N(Tabela3[Nome]=Tabela3[[#This Row],[Nome]]),Tabela3[PL])&gt;0,Tabela3[Rentabilidade s/ PL]&gt;=Tabela3[Rentabilidade s/ PL Média]),"Sim","Não")</f>
        <v>Não</v>
      </c>
      <c r="AT5" s="42">
        <f>IF(Tabela3[Cotação]&gt;0,Tabela3[[#This Row],[Lucro]]/Tabela3[[#This Row],[Cotação]],0)</f>
        <v>2.4838383585478855E-2</v>
      </c>
      <c r="AU5" s="19">
        <f>((1+Tabela3[[#This Row],[% Yield]])^(1/(3*Tabela3[[#This Row],[Ref]])))^(12)-1</f>
        <v>2.4838383585479074E-2</v>
      </c>
      <c r="AV5" s="14">
        <f>IF(Tabela3[Cotação]&gt;0,($BH$1/Tabela3[[#This Row],[Cotação]]-MOD($BH$1/Tabela3[[#This Row],[Cotação]],100)),)</f>
        <v>0</v>
      </c>
      <c r="AW5" s="17">
        <f>Tabela3[[#This Row],[Ativos]]*Tabela3[Lucro]</f>
        <v>0</v>
      </c>
      <c r="AX5" s="13">
        <f>SUMPRODUCT(N(Tabela1[Código]=Tabela3[[#This Row],[PAPEL]]),Tabela1[Fechamento])</f>
        <v>0</v>
      </c>
      <c r="AY5" s="55">
        <f>SUMPRODUCT(N(Tabela17[Código]=Tabela3[[#This Row],[PAPEL]]),Tabela17[Fechamento])</f>
        <v>65.040000000000006</v>
      </c>
      <c r="AZ5" s="7">
        <f>SUMPRODUCT(N(Tabela176[Código]=Tabela3[[#This Row],[PAPEL]]),Tabela176[Fechamento])</f>
        <v>0</v>
      </c>
      <c r="BA5" s="7">
        <f>SUMPRODUCT(N(Tabela1768[Código]=Tabela3[[#This Row],[PAPEL]]),Tabela1768[Fechamento])</f>
        <v>0</v>
      </c>
      <c r="BB5" s="7">
        <f>SUMPRODUCT(N(Tabela17683[Código]=Tabela3[[#This Row],[PAPEL]]),Tabela17683[Fechamento])</f>
        <v>0</v>
      </c>
    </row>
    <row r="6" spans="1:60" hidden="1" x14ac:dyDescent="0.2">
      <c r="A6" s="3" t="s">
        <v>810</v>
      </c>
      <c r="B6" s="58" t="s">
        <v>811</v>
      </c>
      <c r="C6" s="16" t="str">
        <f>LEFT(Tabela3[PAPEL],LEN(Tabela3[PAPEL])-(LEN(Tabela3[PAPEL])-4))</f>
        <v>NATU</v>
      </c>
      <c r="D6" s="16">
        <v>4</v>
      </c>
      <c r="E6" s="5">
        <v>427072707.31999999</v>
      </c>
      <c r="F6" s="56">
        <v>431239264</v>
      </c>
      <c r="G6" s="81">
        <v>0.3</v>
      </c>
      <c r="H6" s="87"/>
      <c r="J6" s="18"/>
      <c r="K6" s="16"/>
      <c r="L6" s="87"/>
      <c r="M6" s="54">
        <v>5038768000</v>
      </c>
      <c r="N6" s="54">
        <v>2239016000</v>
      </c>
      <c r="O6" s="54">
        <v>1674745000</v>
      </c>
      <c r="P6" s="91">
        <v>1145637000</v>
      </c>
      <c r="Q6" s="73">
        <v>842608000</v>
      </c>
      <c r="R6" s="73">
        <f>IF(Tabela3[[#This Row],[Ativo || Passivo]]&gt;0,Tabela3[[#This Row],[Ativo || Passivo]]-Tabela3[[#This Row],[Patrimônio Líquido]],0)</f>
        <v>3893131000</v>
      </c>
      <c r="S6" s="73">
        <f>Tabela3[[#This Row],[Cotação]]*Tabela3[[#This Row],[Total Ações]]</f>
        <v>15317618657.280001</v>
      </c>
      <c r="T6" s="37">
        <f>IF(Tabela3[[#This Row],[Passivo Circulante]]&gt;0,Tabela3[[#This Row],[Ativo Circulante]]/Tabela3[[#This Row],[Passivo Circulante]],0)</f>
        <v>1.3369295027004111</v>
      </c>
      <c r="U6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6" s="18">
        <f>IF(Tabela3[[#This Row],[Lucro Líquido]]&gt;0,Tabela3[[#This Row],[Lucro Líquido]]/Tabela3[[#This Row],[Patrimônio Líquido]],0)</f>
        <v>0.73549300520147309</v>
      </c>
      <c r="W6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6" s="18">
        <f>IF(Tabela3[[#This Row],[Dívida]]&gt;0,Tabela3[[#This Row],[Dívida]]/Tabela3[[#This Row],[Patrimônio Líquido]],0)</f>
        <v>3.3982238702136889</v>
      </c>
      <c r="Y6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6" s="7">
        <f>Tabela3[[#This Row],[Capital Social]]*20%</f>
        <v>85414541.464000002</v>
      </c>
      <c r="AA6" s="47">
        <f>IF((Tabela3[Lucro Líquido]*5%)&gt;Tabela3[Teto R. Legal],Tabela3[Teto R. Legal],Tabela3[Lucro Líquido]*5%)</f>
        <v>42130400</v>
      </c>
      <c r="AB6" s="47">
        <f>IF(Tabela3[Lucro Líquido]&lt;0,0,Tabela3[Lucro Líquido]-Tabela3[Reserva Legal])</f>
        <v>800477600</v>
      </c>
      <c r="AC6" s="47">
        <f>Tabela3[[#This Row],[Lucro Distribuir]]*Tabela3[%Div]</f>
        <v>240143280</v>
      </c>
      <c r="AD6" s="56">
        <f>SUMPRODUCT(N(Tabela3[Nome]=Tabela3[[#This Row],[Nome]]),Tabela3[Ações])</f>
        <v>431239264</v>
      </c>
      <c r="AE6" s="85">
        <f>Tabela3[Capital Social]/Tabela3[Total Ações]</f>
        <v>0.99033817876101371</v>
      </c>
      <c r="AF6" s="85">
        <f>Tabela3[[#This Row],[Lucro Líquido]]/Tabela3[[#This Row],[Total Ações]]</f>
        <v>1.9539222662248121</v>
      </c>
      <c r="AG6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0.55686784587407145</v>
      </c>
      <c r="AH6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6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6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0.55686784587407145</v>
      </c>
      <c r="AK6" s="7">
        <f>Tabela3[Div Base]*Tabela3[Ações]</f>
        <v>240143280</v>
      </c>
      <c r="AL6" s="7">
        <f>SUMPRODUCT(N(Tabela3[Nome]=Tabela3[[#This Row],[Nome]]),Tabela3[Div Base]*Tabela3[Ações])</f>
        <v>240143280</v>
      </c>
      <c r="AM6" s="5">
        <f>Tabela3[Patrimônio Líquido]/Tabela3[Total Ações]</f>
        <v>2.6566157018577976</v>
      </c>
      <c r="AN6" s="52">
        <f>MAX(Tabela3[[#This Row],[Cotação 1]:[Cotação 5]])</f>
        <v>35.520000000000003</v>
      </c>
      <c r="AO6" s="53">
        <f>Tabela3[Cotação]/Tabela3[VPA]</f>
        <v>13.370394511769435</v>
      </c>
      <c r="AP6" s="37">
        <f>IF(Tabela3[[#This Row],[Lucro/Ação]]&gt;0,Tabela3[[#This Row],[Cotação]]/(Tabela3[[#This Row],[Lucro/Ação]]/Tabela3[Ref]*4),0)</f>
        <v>18.178819400338</v>
      </c>
      <c r="AQ6" s="85">
        <f>Tabela3[Lucro Distribuir]/Tabela3[Total Ações]</f>
        <v>1.8562261529135715</v>
      </c>
      <c r="AR6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0.55686784587407145</v>
      </c>
      <c r="AS6" s="10" t="str">
        <f>IF(AND(Tabela3[% A.A.]&gt;=6%,SUMPRODUCT(N(Tabela3[Nome]=Tabela3[[#This Row],[Nome]]),Tabela3[PL])&gt;0,Tabela3[Rentabilidade s/ PL]&gt;=Tabela3[Rentabilidade s/ PL Média]),"Sim","Não")</f>
        <v>Não</v>
      </c>
      <c r="AT6" s="22">
        <f>IF(Tabela3[Cotação]&gt;0,Tabela3[[#This Row],[Lucro]]/Tabela3[[#This Row],[Cotação]],0)</f>
        <v>1.5677585750959216E-2</v>
      </c>
      <c r="AU6" s="22">
        <f>((1+Tabela3[[#This Row],[% Yield]])^(1/(3*Tabela3[[#This Row],[Ref]])))^(12)-1</f>
        <v>1.5677585750958345E-2</v>
      </c>
      <c r="AV6" s="10">
        <f>IF(Tabela3[Cotação]&gt;0,($BD$1/Tabela3[[#This Row],[Cotação]]-MOD($BD$1/Tabela3[[#This Row],[Cotação]],100)),)</f>
        <v>0</v>
      </c>
      <c r="AW6" s="7">
        <f>Tabela3[[#This Row],[Ativos]]*Tabela3[Lucro]</f>
        <v>0</v>
      </c>
      <c r="AX6" s="7">
        <f>SUMPRODUCT(N(Tabela1[Código]=Tabela3[[#This Row],[PAPEL]]),Tabela1[Fechamento])</f>
        <v>0</v>
      </c>
      <c r="AY6" s="7">
        <f>SUMPRODUCT(N(Tabela17[Código]=Tabela3[[#This Row],[PAPEL]]),Tabela17[Fechamento])</f>
        <v>0</v>
      </c>
      <c r="AZ6" s="7">
        <f>SUMPRODUCT(N(Tabela176[Código]=Tabela3[[#This Row],[PAPEL]]),Tabela176[Fechamento])</f>
        <v>35.520000000000003</v>
      </c>
      <c r="BA6" s="7">
        <f>SUMPRODUCT(N(Tabela1768[Código]=Tabela3[[#This Row],[PAPEL]]),Tabela1768[Fechamento])</f>
        <v>0</v>
      </c>
      <c r="BB6" s="7">
        <f>SUMPRODUCT(N(Tabela17683[Código]=Tabela3[[#This Row],[PAPEL]]),Tabela17683[Fechamento])</f>
        <v>0</v>
      </c>
    </row>
    <row r="7" spans="1:60" hidden="1" x14ac:dyDescent="0.2">
      <c r="A7" s="3" t="s">
        <v>821</v>
      </c>
      <c r="B7" s="58" t="s">
        <v>820</v>
      </c>
      <c r="C7" s="16" t="str">
        <f>LEFT(Tabela3[PAPEL],LEN(Tabela3[PAPEL])-(LEN(Tabela3[PAPEL])-4))</f>
        <v>CRUZ</v>
      </c>
      <c r="D7" s="16">
        <v>4</v>
      </c>
      <c r="E7" s="5">
        <v>854755740.32000005</v>
      </c>
      <c r="F7" s="56">
        <v>1528450500</v>
      </c>
      <c r="G7" s="81">
        <v>0.25</v>
      </c>
      <c r="H7" s="87"/>
      <c r="J7" s="18"/>
      <c r="K7" s="16"/>
      <c r="L7" s="87"/>
      <c r="M7" s="54">
        <v>6386762000</v>
      </c>
      <c r="N7" s="54">
        <v>4562775000</v>
      </c>
      <c r="O7" s="54">
        <v>3281657000</v>
      </c>
      <c r="P7" s="91">
        <v>2440374000</v>
      </c>
      <c r="Q7" s="73">
        <v>1694282000</v>
      </c>
      <c r="R7" s="73">
        <f>IF(Tabela3[[#This Row],[Ativo || Passivo]]&gt;0,Tabela3[[#This Row],[Ativo || Passivo]]-Tabela3[[#This Row],[Patrimônio Líquido]],0)</f>
        <v>3946388000</v>
      </c>
      <c r="S7" s="73">
        <f>Tabela3[[#This Row],[Cotação]]*Tabela3[[#This Row],[Total Ações]]</f>
        <v>31149821190</v>
      </c>
      <c r="T7" s="37">
        <f>IF(Tabela3[[#This Row],[Passivo Circulante]]&gt;0,Tabela3[[#This Row],[Ativo Circulante]]/Tabela3[[#This Row],[Passivo Circulante]],0)</f>
        <v>1.3903875389780225</v>
      </c>
      <c r="U7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7" s="18">
        <f>IF(Tabela3[[#This Row],[Lucro Líquido]]&gt;0,Tabela3[[#This Row],[Lucro Líquido]]/Tabela3[[#This Row],[Patrimônio Líquido]],0)</f>
        <v>0.69427145183484174</v>
      </c>
      <c r="W7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7" s="18">
        <f>IF(Tabela3[[#This Row],[Dívida]]&gt;0,Tabela3[[#This Row],[Dívida]]/Tabela3[[#This Row],[Patrimônio Líquido]],0)</f>
        <v>1.6171242604617162</v>
      </c>
      <c r="Y7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7" s="7">
        <f>Tabela3[[#This Row],[Capital Social]]*20%</f>
        <v>170951148.06400001</v>
      </c>
      <c r="AA7" s="47">
        <f>IF((Tabela3[Lucro Líquido]*5%)&gt;Tabela3[Teto R. Legal],Tabela3[Teto R. Legal],Tabela3[Lucro Líquido]*5%)</f>
        <v>84714100</v>
      </c>
      <c r="AB7" s="47">
        <f>IF(Tabela3[Lucro Líquido]&lt;0,0,Tabela3[Lucro Líquido]-Tabela3[Reserva Legal])</f>
        <v>1609567900</v>
      </c>
      <c r="AC7" s="47">
        <f>Tabela3[[#This Row],[Lucro Distribuir]]*Tabela3[%Div]</f>
        <v>402391975</v>
      </c>
      <c r="AD7" s="56">
        <f>SUMPRODUCT(N(Tabela3[Nome]=Tabela3[[#This Row],[Nome]]),Tabela3[Ações])</f>
        <v>1528450500</v>
      </c>
      <c r="AE7" s="85">
        <f>Tabela3[Capital Social]/Tabela3[Total Ações]</f>
        <v>0.55923024024657653</v>
      </c>
      <c r="AF7" s="85">
        <f>Tabela3[[#This Row],[Lucro Líquido]]/Tabela3[[#This Row],[Total Ações]]</f>
        <v>1.1084964805860575</v>
      </c>
      <c r="AG7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0.26326791413918865</v>
      </c>
      <c r="AH7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7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7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0.26326791413918865</v>
      </c>
      <c r="AK7" s="7">
        <f>Tabela3[Div Base]*Tabela3[Ações]</f>
        <v>402391974.99999994</v>
      </c>
      <c r="AL7" s="7">
        <f>SUMPRODUCT(N(Tabela3[Nome]=Tabela3[[#This Row],[Nome]]),Tabela3[Div Base]*Tabela3[Ações])</f>
        <v>402391974.99999994</v>
      </c>
      <c r="AM7" s="5">
        <f>Tabela3[Patrimônio Líquido]/Tabela3[Total Ações]</f>
        <v>1.5966326681825811</v>
      </c>
      <c r="AN7" s="52">
        <f>MAX(Tabela3[[#This Row],[Cotação 1]:[Cotação 5]])</f>
        <v>20.38</v>
      </c>
      <c r="AO7" s="53">
        <f>Tabela3[Cotação]/Tabela3[VPA]</f>
        <v>12.764363654915188</v>
      </c>
      <c r="AP7" s="37">
        <f>IF(Tabela3[[#This Row],[Lucro/Ação]]&gt;0,Tabela3[[#This Row],[Cotação]]/(Tabela3[[#This Row],[Lucro/Ação]]/Tabela3[Ref]*4),0)</f>
        <v>18.385263604287832</v>
      </c>
      <c r="AQ7" s="85">
        <f>Tabela3[Lucro Distribuir]/Tabela3[Total Ações]</f>
        <v>1.0530716565567546</v>
      </c>
      <c r="AR7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0.26326791413918865</v>
      </c>
      <c r="AS7" s="10" t="str">
        <f>IF(AND(Tabela3[% A.A.]&gt;=6%,SUMPRODUCT(N(Tabela3[Nome]=Tabela3[[#This Row],[Nome]]),Tabela3[PL])&gt;0,Tabela3[Rentabilidade s/ PL]&gt;=Tabela3[Rentabilidade s/ PL Média]),"Sim","Não")</f>
        <v>Não</v>
      </c>
      <c r="AT7" s="22">
        <f>IF(Tabela3[Cotação]&gt;0,Tabela3[[#This Row],[Lucro]]/Tabela3[[#This Row],[Cotação]],0)</f>
        <v>1.2917954570127019E-2</v>
      </c>
      <c r="AU7" s="22">
        <f>((1+Tabela3[[#This Row],[% Yield]])^(1/(3*Tabela3[[#This Row],[Ref]])))^(12)-1</f>
        <v>1.2917954570127899E-2</v>
      </c>
      <c r="AV7" s="10">
        <f>IF(Tabela3[Cotação]&gt;0,($BH$1/Tabela3[[#This Row],[Cotação]]-MOD($BH$1/Tabela3[[#This Row],[Cotação]],100)),)</f>
        <v>0</v>
      </c>
      <c r="AW7" s="7">
        <f>Tabela3[[#This Row],[Ativos]]*Tabela3[Lucro]</f>
        <v>0</v>
      </c>
      <c r="AX7" s="7">
        <f>SUMPRODUCT(N(Tabela1[Código]=Tabela3[[#This Row],[PAPEL]]),Tabela1[Fechamento])</f>
        <v>0</v>
      </c>
      <c r="AY7" s="7">
        <f>SUMPRODUCT(N(Tabela17[Código]=Tabela3[[#This Row],[PAPEL]]),Tabela17[Fechamento])</f>
        <v>0</v>
      </c>
      <c r="AZ7" s="7">
        <f>SUMPRODUCT(N(Tabela176[Código]=Tabela3[[#This Row],[PAPEL]]),Tabela176[Fechamento])</f>
        <v>20.38</v>
      </c>
      <c r="BA7" s="7">
        <f>SUMPRODUCT(N(Tabela1768[Código]=Tabela3[[#This Row],[PAPEL]]),Tabela1768[Fechamento])</f>
        <v>0</v>
      </c>
      <c r="BB7" s="7">
        <f>SUMPRODUCT(N(Tabela17683[Código]=Tabela3[[#This Row],[PAPEL]]),Tabela17683[Fechamento])</f>
        <v>0</v>
      </c>
    </row>
    <row r="8" spans="1:60" x14ac:dyDescent="0.2">
      <c r="A8" s="24" t="s">
        <v>40</v>
      </c>
      <c r="B8" s="57" t="s">
        <v>39</v>
      </c>
      <c r="C8" s="82" t="str">
        <f>LEFT(Tabela3[PAPEL],LEN(Tabela3[PAPEL])-(LEN(Tabela3[PAPEL])-4))</f>
        <v>UNIP</v>
      </c>
      <c r="D8" s="15">
        <v>3</v>
      </c>
      <c r="E8" s="6">
        <v>384330953.12</v>
      </c>
      <c r="F8" s="8">
        <v>531094273</v>
      </c>
      <c r="G8" s="86">
        <v>0.25</v>
      </c>
      <c r="H8" s="19"/>
      <c r="I8" s="19">
        <v>0.1</v>
      </c>
      <c r="J8" s="19"/>
      <c r="K8" s="88"/>
      <c r="L8" s="88"/>
      <c r="M8" s="13">
        <v>1728469000</v>
      </c>
      <c r="N8" s="13">
        <v>380787000</v>
      </c>
      <c r="O8" s="13">
        <v>247703000</v>
      </c>
      <c r="P8" s="28">
        <v>740932000</v>
      </c>
      <c r="Q8" s="28">
        <v>342727000</v>
      </c>
      <c r="R8" s="28">
        <f>IF(Tabela3[[#This Row],[Ativo || Passivo]]&gt;0,Tabela3[[#This Row],[Ativo || Passivo]]-Tabela3[[#This Row],[Patrimônio Líquido]],0)</f>
        <v>987537000</v>
      </c>
      <c r="S8" s="130">
        <f>Tabela3[[#This Row],[Cotação]]*Tabela3[[#This Row],[Total Ações]]</f>
        <v>375975932.40000004</v>
      </c>
      <c r="T8" s="133">
        <f>IF(Tabela3[[#This Row],[Passivo Circulante]]&gt;0,Tabela3[[#This Row],[Ativo Circulante]]/Tabela3[[#This Row],[Passivo Circulante]],0)</f>
        <v>1.5372724593565681</v>
      </c>
      <c r="U8" s="133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8" s="49">
        <f>IF(Tabela3[[#This Row],[Lucro Líquido]]&gt;0,Tabela3[[#This Row],[Lucro Líquido]]/Tabela3[[#This Row],[Patrimônio Líquido]],0)</f>
        <v>0.46256201648734296</v>
      </c>
      <c r="W8" s="4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8" s="49">
        <f>IF(Tabela3[[#This Row],[Dívida]]&gt;0,Tabela3[[#This Row],[Dívida]]/Tabela3[[#This Row],[Patrimônio Líquido]],0)</f>
        <v>1.3328308130840616</v>
      </c>
      <c r="Y8" s="4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8" s="28">
        <f>Tabela3[[#This Row],[Capital Social]]*20%</f>
        <v>76866190.623999998</v>
      </c>
      <c r="AA8" s="28">
        <f>IF((Tabela3[Lucro Líquido]*5%)&gt;Tabela3[Teto R. Legal],Tabela3[Teto R. Legal],Tabela3[Lucro Líquido]*5%)</f>
        <v>17136350</v>
      </c>
      <c r="AB8" s="28">
        <f>IF(Tabela3[Lucro Líquido]&lt;0,0,Tabela3[Lucro Líquido]-Tabela3[Reserva Legal])</f>
        <v>325590650</v>
      </c>
      <c r="AC8" s="28">
        <f>Tabela3[[#This Row],[Lucro Distribuir]]*Tabela3[%Div]</f>
        <v>81397662.5</v>
      </c>
      <c r="AD8" s="21">
        <f>SUMPRODUCT(N(Tabela3[Nome]=Tabela3[[#This Row],[Nome]]),Tabela3[Ações])</f>
        <v>835502072</v>
      </c>
      <c r="AE8" s="5">
        <f>Tabela3[Capital Social]/Tabela3[Total Ações]</f>
        <v>0.46</v>
      </c>
      <c r="AF8" s="78">
        <f>Tabela3[[#This Row],[Lucro Líquido]]/Tabela3[[#This Row],[Total Ações]]</f>
        <v>0.4102048474632628</v>
      </c>
      <c r="AG8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9.7423651272524905E-2</v>
      </c>
      <c r="AH8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8" s="79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4.5999999999999999E-2</v>
      </c>
      <c r="AJ8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9.7423651272524905E-2</v>
      </c>
      <c r="AK8" s="28">
        <f>Tabela3[Div Base]*Tabela3[Ações]</f>
        <v>51741143.24558714</v>
      </c>
      <c r="AL8" s="28">
        <f>SUMPRODUCT(N(Tabela3[Nome]=Tabela3[[#This Row],[Nome]]),Tabela3[Div Base]*Tabela3[Ações])</f>
        <v>81397662.5</v>
      </c>
      <c r="AM8" s="6">
        <f>Tabela3[Patrimônio Líquido]/Tabela3[Total Ações]</f>
        <v>0.88681048776621108</v>
      </c>
      <c r="AN8" s="48">
        <f>MAX(Tabela3[[#This Row],[Cotação 1]:[Cotação 5]])</f>
        <v>0.45</v>
      </c>
      <c r="AO8" s="44">
        <f>Tabela3[Cotação]/Tabela3[VPA]</f>
        <v>0.50743648863863355</v>
      </c>
      <c r="AP8" s="40">
        <f>IF(Tabela3[[#This Row],[Lucro/Ação]]&gt;0,Tabela3[[#This Row],[Cotação]]/(Tabela3[[#This Row],[Lucro/Ação]]/Tabela3[Ref]*4),0)</f>
        <v>0.82275965797850759</v>
      </c>
      <c r="AQ8" s="78">
        <f>Tabela3[Lucro Distribuir]/Tabela3[Total Ações]</f>
        <v>0.38969460509009962</v>
      </c>
      <c r="AR8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9.7423651272524905E-2</v>
      </c>
      <c r="AS8" s="14" t="str">
        <f>IF(AND(Tabela3[% A.A.]&gt;=6%,SUMPRODUCT(N(Tabela3[Nome]=Tabela3[[#This Row],[Nome]]),Tabela3[PL])&gt;0,Tabela3[Rentabilidade s/ PL]&gt;=Tabela3[Rentabilidade s/ PL Média]),"Sim","Não")</f>
        <v>Sim</v>
      </c>
      <c r="AT8" s="42">
        <f>IF(Tabela3[Cotação]&gt;0,Tabela3[[#This Row],[Lucro]]/Tabela3[[#This Row],[Cotação]],0)</f>
        <v>0.21649700282783313</v>
      </c>
      <c r="AU8" s="19">
        <f>((1+Tabela3[[#This Row],[% Yield]])^(1/(3*Tabela3[[#This Row],[Ref]])))^(12)-1</f>
        <v>0.29861791847053376</v>
      </c>
      <c r="AV8" s="14">
        <f>IF(Tabela3[Cotação]&gt;0,($BH$1/Tabela3[[#This Row],[Cotação]]-MOD($BH$1/Tabela3[[#This Row],[Cotação]],100)),)</f>
        <v>1100</v>
      </c>
      <c r="AW8" s="17">
        <f>Tabela3[[#This Row],[Ativos]]*Tabela3[Lucro]</f>
        <v>107.16601639977739</v>
      </c>
      <c r="AX8" s="17">
        <f>SUMPRODUCT(N(Tabela1[Código]=Tabela3[[#This Row],[PAPEL]]),Tabela1[Fechamento])</f>
        <v>0.45</v>
      </c>
      <c r="AY8" s="17">
        <f>SUMPRODUCT(N(Tabela17[Código]=Tabela3[[#This Row],[PAPEL]]),Tabela17[Fechamento])</f>
        <v>0</v>
      </c>
      <c r="AZ8" s="7">
        <f>SUMPRODUCT(N(Tabela176[Código]=Tabela3[[#This Row],[PAPEL]]),Tabela176[Fechamento])</f>
        <v>0</v>
      </c>
      <c r="BA8" s="7">
        <f>SUMPRODUCT(N(Tabela1768[Código]=Tabela3[[#This Row],[PAPEL]]),Tabela1768[Fechamento])</f>
        <v>0</v>
      </c>
      <c r="BB8" s="7">
        <f>SUMPRODUCT(N(Tabela17683[Código]=Tabela3[[#This Row],[PAPEL]]),Tabela17683[Fechamento])</f>
        <v>0</v>
      </c>
    </row>
    <row r="9" spans="1:60" x14ac:dyDescent="0.2">
      <c r="A9" s="24" t="s">
        <v>40</v>
      </c>
      <c r="B9" s="57" t="s">
        <v>431</v>
      </c>
      <c r="C9" s="84" t="str">
        <f>LEFT(Tabela3[PAPEL],LEN(Tabela3[PAPEL])-(LEN(Tabela3[PAPEL])-4))</f>
        <v>UNIP</v>
      </c>
      <c r="D9" s="15">
        <v>3</v>
      </c>
      <c r="E9" s="6">
        <v>384330953.12</v>
      </c>
      <c r="F9" s="8">
        <v>278500690</v>
      </c>
      <c r="G9" s="86">
        <v>0.25</v>
      </c>
      <c r="H9" s="15"/>
      <c r="I9" s="19"/>
      <c r="J9" s="19"/>
      <c r="K9" s="88"/>
      <c r="L9" s="88"/>
      <c r="M9" s="13">
        <v>1728469000</v>
      </c>
      <c r="N9" s="13">
        <v>380787000</v>
      </c>
      <c r="O9" s="13">
        <v>247703000</v>
      </c>
      <c r="P9" s="28">
        <v>740932000</v>
      </c>
      <c r="Q9" s="28">
        <v>342727000</v>
      </c>
      <c r="R9" s="28">
        <f>IF(Tabela3[[#This Row],[Ativo || Passivo]]&gt;0,Tabela3[[#This Row],[Ativo || Passivo]]-Tabela3[[#This Row],[Patrimônio Líquido]],0)</f>
        <v>987537000</v>
      </c>
      <c r="S9" s="130">
        <f>Tabela3[[#This Row],[Cotação]]*Tabela3[[#This Row],[Total Ações]]</f>
        <v>459526139.60000002</v>
      </c>
      <c r="T9" s="133">
        <f>IF(Tabela3[[#This Row],[Passivo Circulante]]&gt;0,Tabela3[[#This Row],[Ativo Circulante]]/Tabela3[[#This Row],[Passivo Circulante]],0)</f>
        <v>1.5372724593565681</v>
      </c>
      <c r="U9" s="133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9" s="49">
        <f>IF(Tabela3[[#This Row],[Lucro Líquido]]&gt;0,Tabela3[[#This Row],[Lucro Líquido]]/Tabela3[[#This Row],[Patrimônio Líquido]],0)</f>
        <v>0.46256201648734296</v>
      </c>
      <c r="W9" s="4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9" s="49">
        <f>IF(Tabela3[[#This Row],[Dívida]]&gt;0,Tabela3[[#This Row],[Dívida]]/Tabela3[[#This Row],[Patrimônio Líquido]],0)</f>
        <v>1.3328308130840616</v>
      </c>
      <c r="Y9" s="4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9" s="13">
        <f>Tabela3[[#This Row],[Capital Social]]*20%</f>
        <v>76866190.623999998</v>
      </c>
      <c r="AA9" s="13">
        <f>IF((Tabela3[Lucro Líquido]*5%)&gt;Tabela3[Teto R. Legal],Tabela3[Teto R. Legal],Tabela3[Lucro Líquido]*5%)</f>
        <v>17136350</v>
      </c>
      <c r="AB9" s="13">
        <f>IF(Tabela3[Lucro Líquido]&lt;0,0,Tabela3[Lucro Líquido]-Tabela3[Reserva Legal])</f>
        <v>325590650</v>
      </c>
      <c r="AC9" s="13">
        <f>Tabela3[[#This Row],[Lucro Distribuir]]*Tabela3[%Div]</f>
        <v>81397662.5</v>
      </c>
      <c r="AD9" s="21">
        <f>SUMPRODUCT(N(Tabela3[Nome]=Tabela3[[#This Row],[Nome]]),Tabela3[Ações])</f>
        <v>835502072</v>
      </c>
      <c r="AE9" s="5">
        <f>Tabela3[Capital Social]/Tabela3[Total Ações]</f>
        <v>0.46</v>
      </c>
      <c r="AF9" s="78">
        <f>Tabela3[[#This Row],[Lucro Líquido]]/Tabela3[[#This Row],[Total Ações]]</f>
        <v>0.4102048474632628</v>
      </c>
      <c r="AG9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9.7423651272524905E-2</v>
      </c>
      <c r="AH9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9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0.20027095418686397</v>
      </c>
      <c r="AJ9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9.7423651272524905E-2</v>
      </c>
      <c r="AK9" s="13">
        <f>Tabela3[Div Base]*Tabela3[Ações]</f>
        <v>27132554.101717565</v>
      </c>
      <c r="AL9" s="13">
        <f>SUMPRODUCT(N(Tabela3[Nome]=Tabela3[[#This Row],[Nome]]),Tabela3[Div Base]*Tabela3[Ações])</f>
        <v>81397662.5</v>
      </c>
      <c r="AM9" s="6">
        <f>Tabela3[Patrimônio Líquido]/Tabela3[Total Ações]</f>
        <v>0.88681048776621108</v>
      </c>
      <c r="AN9" s="48">
        <f>MAX(Tabela3[[#This Row],[Cotação 1]:[Cotação 5]])</f>
        <v>0.55000000000000004</v>
      </c>
      <c r="AO9" s="44">
        <f>Tabela3[Cotação]/Tabela3[VPA]</f>
        <v>0.62020015278055207</v>
      </c>
      <c r="AP9" s="40">
        <f>IF(Tabela3[[#This Row],[Lucro/Ação]]&gt;0,Tabela3[[#This Row],[Cotação]]/(Tabela3[[#This Row],[Lucro/Ação]]/Tabela3[Ref]*4),0)</f>
        <v>1.0055951375292871</v>
      </c>
      <c r="AQ9" s="78">
        <f>Tabela3[Lucro Distribuir]/Tabela3[Total Ações]</f>
        <v>0.38969460509009962</v>
      </c>
      <c r="AR9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9.7423651272524905E-2</v>
      </c>
      <c r="AS9" s="15" t="str">
        <f>IF(AND(Tabela3[% A.A.]&gt;=6%,SUMPRODUCT(N(Tabela3[Nome]=Tabela3[[#This Row],[Nome]]),Tabela3[PL])&gt;0,Tabela3[Rentabilidade s/ PL]&gt;=Tabela3[Rentabilidade s/ PL Média]),"Sim","Não")</f>
        <v>Sim</v>
      </c>
      <c r="AT9" s="42">
        <f>IF(Tabela3[Cotação]&gt;0,Tabela3[[#This Row],[Lucro]]/Tabela3[[#This Row],[Cotação]],0)</f>
        <v>0.17713391140459073</v>
      </c>
      <c r="AU9" s="19">
        <f>((1+Tabela3[[#This Row],[% Yield]])^(1/(3*Tabela3[[#This Row],[Ref]])))^(12)-1</f>
        <v>0.24289515472994361</v>
      </c>
      <c r="AV9" s="14">
        <f>IF(Tabela3[Cotação]&gt;0,($BH$1/Tabela3[[#This Row],[Cotação]]-MOD($BH$1/Tabela3[[#This Row],[Cotação]],100)),)</f>
        <v>900</v>
      </c>
      <c r="AW9" s="17">
        <f>Tabela3[[#This Row],[Ativos]]*Tabela3[Lucro]</f>
        <v>87.681286145272409</v>
      </c>
      <c r="AX9" s="13">
        <f>SUMPRODUCT(N(Tabela1[Código]=Tabela3[[#This Row],[PAPEL]]),Tabela1[Fechamento])</f>
        <v>0</v>
      </c>
      <c r="AY9" s="55">
        <f>SUMPRODUCT(N(Tabela17[Código]=Tabela3[[#This Row],[PAPEL]]),Tabela17[Fechamento])</f>
        <v>0.55000000000000004</v>
      </c>
      <c r="AZ9" s="7">
        <f>SUMPRODUCT(N(Tabela176[Código]=Tabela3[[#This Row],[PAPEL]]),Tabela176[Fechamento])</f>
        <v>0</v>
      </c>
      <c r="BA9" s="7">
        <f>SUMPRODUCT(N(Tabela1768[Código]=Tabela3[[#This Row],[PAPEL]]),Tabela1768[Fechamento])</f>
        <v>0</v>
      </c>
      <c r="BB9" s="7">
        <f>SUMPRODUCT(N(Tabela17683[Código]=Tabela3[[#This Row],[PAPEL]]),Tabela17683[Fechamento])</f>
        <v>0</v>
      </c>
    </row>
    <row r="10" spans="1:60" x14ac:dyDescent="0.2">
      <c r="A10" s="24" t="s">
        <v>40</v>
      </c>
      <c r="B10" s="57" t="s">
        <v>73</v>
      </c>
      <c r="C10" s="84" t="str">
        <f>LEFT(Tabela3[PAPEL],LEN(Tabela3[PAPEL])-(LEN(Tabela3[PAPEL])-4))</f>
        <v>UNIP</v>
      </c>
      <c r="D10" s="15">
        <v>3</v>
      </c>
      <c r="E10" s="6">
        <v>384330953.12</v>
      </c>
      <c r="F10" s="8">
        <v>25907109</v>
      </c>
      <c r="G10" s="81">
        <v>0.25</v>
      </c>
      <c r="H10" s="15"/>
      <c r="I10" s="19">
        <v>0.1</v>
      </c>
      <c r="J10" s="19"/>
      <c r="K10" s="88"/>
      <c r="L10" s="88"/>
      <c r="M10" s="13">
        <v>1728469000</v>
      </c>
      <c r="N10" s="13">
        <v>380787000</v>
      </c>
      <c r="O10" s="13">
        <v>247703000</v>
      </c>
      <c r="P10" s="28">
        <v>740932000</v>
      </c>
      <c r="Q10" s="28">
        <v>342727000</v>
      </c>
      <c r="R10" s="28">
        <f>IF(Tabela3[[#This Row],[Ativo || Passivo]]&gt;0,Tabela3[[#This Row],[Ativo || Passivo]]-Tabela3[[#This Row],[Patrimônio Líquido]],0)</f>
        <v>987537000</v>
      </c>
      <c r="S10" s="130">
        <f>Tabela3[[#This Row],[Cotação]]*Tabela3[[#This Row],[Total Ações]]</f>
        <v>501301243.19999999</v>
      </c>
      <c r="T10" s="133">
        <f>IF(Tabela3[[#This Row],[Passivo Circulante]]&gt;0,Tabela3[[#This Row],[Ativo Circulante]]/Tabela3[[#This Row],[Passivo Circulante]],0)</f>
        <v>1.5372724593565681</v>
      </c>
      <c r="U10" s="133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0" s="49">
        <f>IF(Tabela3[[#This Row],[Lucro Líquido]]&gt;0,Tabela3[[#This Row],[Lucro Líquido]]/Tabela3[[#This Row],[Patrimônio Líquido]],0)</f>
        <v>0.46256201648734296</v>
      </c>
      <c r="W10" s="4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0" s="49">
        <f>IF(Tabela3[[#This Row],[Dívida]]&gt;0,Tabela3[[#This Row],[Dívida]]/Tabela3[[#This Row],[Patrimônio Líquido]],0)</f>
        <v>1.3328308130840616</v>
      </c>
      <c r="Y10" s="4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0" s="13">
        <f>Tabela3[[#This Row],[Capital Social]]*20%</f>
        <v>76866190.623999998</v>
      </c>
      <c r="AA10" s="13">
        <f>IF((Tabela3[Lucro Líquido]*5%)&gt;Tabela3[Teto R. Legal],Tabela3[Teto R. Legal],Tabela3[Lucro Líquido]*5%)</f>
        <v>17136350</v>
      </c>
      <c r="AB10" s="13">
        <f>IF(Tabela3[Lucro Líquido]&lt;0,0,Tabela3[Lucro Líquido]-Tabela3[Reserva Legal])</f>
        <v>325590650</v>
      </c>
      <c r="AC10" s="13">
        <f>Tabela3[[#This Row],[Lucro Distribuir]]*Tabela3[%Div]</f>
        <v>81397662.5</v>
      </c>
      <c r="AD10" s="21">
        <f>SUMPRODUCT(N(Tabela3[Nome]=Tabela3[[#This Row],[Nome]]),Tabela3[Ações])</f>
        <v>835502072</v>
      </c>
      <c r="AE10" s="5">
        <f>Tabela3[Capital Social]/Tabela3[Total Ações]</f>
        <v>0.46</v>
      </c>
      <c r="AF10" s="78">
        <f>Tabela3[[#This Row],[Lucro Líquido]]/Tabela3[[#This Row],[Total Ações]]</f>
        <v>0.4102048474632628</v>
      </c>
      <c r="AG10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9.7423651272524905E-2</v>
      </c>
      <c r="AH10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0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4.5999999999999999E-2</v>
      </c>
      <c r="AJ10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9.7423651272524905E-2</v>
      </c>
      <c r="AK10" s="13">
        <f>Tabela3[Div Base]*Tabela3[Ações]</f>
        <v>2523965.1526952912</v>
      </c>
      <c r="AL10" s="13">
        <f>SUMPRODUCT(N(Tabela3[Nome]=Tabela3[[#This Row],[Nome]]),Tabela3[Div Base]*Tabela3[Ações])</f>
        <v>81397662.5</v>
      </c>
      <c r="AM10" s="6">
        <f>Tabela3[Patrimônio Líquido]/Tabela3[Total Ações]</f>
        <v>0.88681048776621108</v>
      </c>
      <c r="AN10" s="48">
        <f>MAX(Tabela3[[#This Row],[Cotação 1]:[Cotação 5]])</f>
        <v>0.6</v>
      </c>
      <c r="AO10" s="44">
        <f>Tabela3[Cotação]/Tabela3[VPA]</f>
        <v>0.67658198485151133</v>
      </c>
      <c r="AP10" s="40">
        <f>IF(Tabela3[[#This Row],[Lucro/Ação]]&gt;0,Tabela3[[#This Row],[Cotação]]/(Tabela3[[#This Row],[Lucro/Ação]]/Tabela3[Ref]*4),0)</f>
        <v>1.0970128773046768</v>
      </c>
      <c r="AQ10" s="78">
        <f>Tabela3[Lucro Distribuir]/Tabela3[Total Ações]</f>
        <v>0.38969460509009962</v>
      </c>
      <c r="AR10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9.7423651272524905E-2</v>
      </c>
      <c r="AS10" s="15" t="str">
        <f>IF(AND(Tabela3[% A.A.]&gt;=6%,SUMPRODUCT(N(Tabela3[Nome]=Tabela3[[#This Row],[Nome]]),Tabela3[PL])&gt;0,Tabela3[Rentabilidade s/ PL]&gt;=Tabela3[Rentabilidade s/ PL Média]),"Sim","Não")</f>
        <v>Sim</v>
      </c>
      <c r="AT10" s="42">
        <f>IF(Tabela3[Cotação]&gt;0,Tabela3[[#This Row],[Lucro]]/Tabela3[[#This Row],[Cotação]],0)</f>
        <v>0.16237275212087485</v>
      </c>
      <c r="AU10" s="19">
        <f>((1+Tabela3[[#This Row],[% Yield]])^(1/(3*Tabela3[[#This Row],[Ref]])))^(12)-1</f>
        <v>0.22215764227711854</v>
      </c>
      <c r="AV10" s="14">
        <f>IF(Tabela3[Cotação]&gt;0,($BH$1/Tabela3[[#This Row],[Cotação]]-MOD($BH$1/Tabela3[[#This Row],[Cotação]],100)),)</f>
        <v>800</v>
      </c>
      <c r="AW10" s="17">
        <f>Tabela3[[#This Row],[Ativos]]*Tabela3[Lucro]</f>
        <v>77.938921018019926</v>
      </c>
      <c r="AX10" s="13">
        <f>SUMPRODUCT(N(Tabela1[Código]=Tabela3[[#This Row],[PAPEL]]),Tabela1[Fechamento])</f>
        <v>0.6</v>
      </c>
      <c r="AY10" s="55">
        <f>SUMPRODUCT(N(Tabela17[Código]=Tabela3[[#This Row],[PAPEL]]),Tabela17[Fechamento])</f>
        <v>0</v>
      </c>
      <c r="AZ10" s="7">
        <f>SUMPRODUCT(N(Tabela176[Código]=Tabela3[[#This Row],[PAPEL]]),Tabela176[Fechamento])</f>
        <v>0</v>
      </c>
      <c r="BA10" s="7">
        <f>SUMPRODUCT(N(Tabela1768[Código]=Tabela3[[#This Row],[PAPEL]]),Tabela1768[Fechamento])</f>
        <v>0</v>
      </c>
      <c r="BB10" s="7">
        <f>SUMPRODUCT(N(Tabela17683[Código]=Tabela3[[#This Row],[PAPEL]]),Tabela17683[Fechamento])</f>
        <v>0</v>
      </c>
    </row>
    <row r="11" spans="1:60" hidden="1" x14ac:dyDescent="0.2">
      <c r="A11" s="3" t="s">
        <v>279</v>
      </c>
      <c r="B11" s="58" t="s">
        <v>861</v>
      </c>
      <c r="C11" s="16" t="str">
        <f>LEFT(Tabela3[PAPEL],LEN(Tabela3[PAPEL])-(LEN(Tabela3[PAPEL])-4))</f>
        <v>BAUH</v>
      </c>
      <c r="D11" s="16">
        <v>3</v>
      </c>
      <c r="E11" s="5">
        <v>14000000</v>
      </c>
      <c r="F11" s="56">
        <v>2846929</v>
      </c>
      <c r="G11" s="81">
        <v>0.25</v>
      </c>
      <c r="H11" s="87"/>
      <c r="J11" s="18"/>
      <c r="K11" s="16"/>
      <c r="L11" s="87"/>
      <c r="M11" s="54">
        <v>44793000</v>
      </c>
      <c r="N11" s="54">
        <v>26562000</v>
      </c>
      <c r="O11" s="54">
        <v>24428000</v>
      </c>
      <c r="P11" s="91">
        <v>14950000</v>
      </c>
      <c r="Q11" s="73">
        <v>6719000</v>
      </c>
      <c r="R11" s="73">
        <f>IF(Tabela3[[#This Row],[Ativo || Passivo]]&gt;0,Tabela3[[#This Row],[Ativo || Passivo]]-Tabela3[[#This Row],[Patrimônio Líquido]],0)</f>
        <v>29843000</v>
      </c>
      <c r="S11" s="73">
        <f>Tabela3[[#This Row],[Cotação]]*Tabela3[[#This Row],[Total Ações]]</f>
        <v>0</v>
      </c>
      <c r="T11" s="37">
        <f>IF(Tabela3[[#This Row],[Passivo Circulante]]&gt;0,Tabela3[[#This Row],[Ativo Circulante]]/Tabela3[[#This Row],[Passivo Circulante]],0)</f>
        <v>1.0873587686261668</v>
      </c>
      <c r="U11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1" s="18">
        <f>IF(Tabela3[[#This Row],[Lucro Líquido]]&gt;0,Tabela3[[#This Row],[Lucro Líquido]]/Tabela3[[#This Row],[Patrimônio Líquido]],0)</f>
        <v>0.4494314381270903</v>
      </c>
      <c r="W11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1" s="18">
        <f>IF(Tabela3[[#This Row],[Dívida]]&gt;0,Tabela3[[#This Row],[Dívida]]/Tabela3[[#This Row],[Patrimônio Líquido]],0)</f>
        <v>1.9961872909698997</v>
      </c>
      <c r="Y11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1" s="7">
        <f>Tabela3[[#This Row],[Capital Social]]*20%</f>
        <v>2800000</v>
      </c>
      <c r="AA11" s="47">
        <f>IF((Tabela3[Lucro Líquido]*5%)&gt;Tabela3[Teto R. Legal],Tabela3[Teto R. Legal],Tabela3[Lucro Líquido]*5%)</f>
        <v>335950</v>
      </c>
      <c r="AB11" s="47">
        <f>IF(Tabela3[Lucro Líquido]&lt;0,0,Tabela3[Lucro Líquido]-Tabela3[Reserva Legal])</f>
        <v>6383050</v>
      </c>
      <c r="AC11" s="47">
        <f>Tabela3[[#This Row],[Lucro Distribuir]]*Tabela3[%Div]</f>
        <v>1595762.5</v>
      </c>
      <c r="AD11" s="56">
        <f>SUMPRODUCT(N(Tabela3[Nome]=Tabela3[[#This Row],[Nome]]),Tabela3[Ações])</f>
        <v>5222222</v>
      </c>
      <c r="AE11" s="85">
        <f>Tabela3[Capital Social]/Tabela3[Total Ações]</f>
        <v>2.6808511779085609</v>
      </c>
      <c r="AF11" s="85">
        <f>Tabela3[[#This Row],[Lucro Líquido]]/Tabela3[[#This Row],[Total Ações]]</f>
        <v>1.2866170760262585</v>
      </c>
      <c r="AG11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0.2960640624964847</v>
      </c>
      <c r="AH11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1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1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0.2960640624964847</v>
      </c>
      <c r="AK11" s="7">
        <f>Tabela3[Div Base]*Tabela3[Ações]</f>
        <v>842873.36537905468</v>
      </c>
      <c r="AL11" s="7">
        <f>SUMPRODUCT(N(Tabela3[Nome]=Tabela3[[#This Row],[Nome]]),Tabela3[Div Base]*Tabela3[Ações])</f>
        <v>1616436.1511581638</v>
      </c>
      <c r="AM11" s="5">
        <f>Tabela3[Patrimônio Líquido]/Tabela3[Total Ações]</f>
        <v>2.8627660792666418</v>
      </c>
      <c r="AN11" s="52">
        <f>MAX(Tabela3[[#This Row],[Cotação 1]:[Cotação 5]])</f>
        <v>0</v>
      </c>
      <c r="AO11" s="53">
        <f>Tabela3[Cotação]/Tabela3[VPA]</f>
        <v>0</v>
      </c>
      <c r="AP11" s="37">
        <f>IF(Tabela3[[#This Row],[Lucro/Ação]]&gt;0,Tabela3[[#This Row],[Cotação]]/(Tabela3[[#This Row],[Lucro/Ação]]/Tabela3[Ref]*4),0)</f>
        <v>0</v>
      </c>
      <c r="AQ11" s="85">
        <f>Tabela3[Lucro Distribuir]/Tabela3[Total Ações]</f>
        <v>1.2222862222249455</v>
      </c>
      <c r="AR11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0.2960640624964847</v>
      </c>
      <c r="AS11" s="10" t="str">
        <f>IF(AND(Tabela3[% A.A.]&gt;=6%,SUMPRODUCT(N(Tabela3[Nome]=Tabela3[[#This Row],[Nome]]),Tabela3[PL])&gt;0,Tabela3[Rentabilidade s/ PL]&gt;=Tabela3[Rentabilidade s/ PL Média]),"Sim","Não")</f>
        <v>Não</v>
      </c>
      <c r="AT11" s="22">
        <f>IF(Tabela3[Cotação]&gt;0,Tabela3[[#This Row],[Lucro]]/Tabela3[[#This Row],[Cotação]],0)</f>
        <v>0</v>
      </c>
      <c r="AU11" s="22">
        <f>((1+Tabela3[[#This Row],[% Yield]])^(1/(3*Tabela3[[#This Row],[Ref]])))^(12)-1</f>
        <v>0</v>
      </c>
      <c r="AV11" s="10">
        <f>IF(Tabela3[Cotação]&gt;0,($BH$1/Tabela3[[#This Row],[Cotação]]-MOD($BH$1/Tabela3[[#This Row],[Cotação]],100)),)</f>
        <v>0</v>
      </c>
      <c r="AW11" s="7">
        <f>Tabela3[[#This Row],[Ativos]]*Tabela3[Lucro]</f>
        <v>0</v>
      </c>
      <c r="AX11" s="7">
        <f>SUMPRODUCT(N(Tabela1[Código]=Tabela3[[#This Row],[PAPEL]]),Tabela1[Fechamento])</f>
        <v>0</v>
      </c>
      <c r="AY11" s="7">
        <f>SUMPRODUCT(N(Tabela17[Código]=Tabela3[[#This Row],[PAPEL]]),Tabela17[Fechamento])</f>
        <v>0</v>
      </c>
      <c r="AZ11" s="7">
        <f>SUMPRODUCT(N(Tabela176[Código]=Tabela3[[#This Row],[PAPEL]]),Tabela176[Fechamento])</f>
        <v>0</v>
      </c>
      <c r="BA11" s="7">
        <f>SUMPRODUCT(N(Tabela1768[Código]=Tabela3[[#This Row],[PAPEL]]),Tabela1768[Fechamento])</f>
        <v>0</v>
      </c>
      <c r="BB11" s="7">
        <f>SUMPRODUCT(N(Tabela17683[Código]=Tabela3[[#This Row],[PAPEL]]),Tabela17683[Fechamento])</f>
        <v>0</v>
      </c>
    </row>
    <row r="12" spans="1:60" hidden="1" x14ac:dyDescent="0.2">
      <c r="A12" s="3" t="s">
        <v>279</v>
      </c>
      <c r="B12" s="58" t="s">
        <v>862</v>
      </c>
      <c r="C12" s="16" t="str">
        <f>LEFT(Tabela3[PAPEL],LEN(Tabela3[PAPEL])-(LEN(Tabela3[PAPEL])-4))</f>
        <v>BAUH</v>
      </c>
      <c r="D12" s="16">
        <v>3</v>
      </c>
      <c r="E12" s="5">
        <v>14000000</v>
      </c>
      <c r="F12" s="56">
        <v>2375293</v>
      </c>
      <c r="G12" s="81">
        <v>0.25</v>
      </c>
      <c r="H12" s="87"/>
      <c r="J12" s="18">
        <v>0.1</v>
      </c>
      <c r="K12" s="16"/>
      <c r="L12" s="87"/>
      <c r="M12" s="54">
        <v>44793000</v>
      </c>
      <c r="N12" s="54">
        <v>26562000</v>
      </c>
      <c r="O12" s="54">
        <v>24428000</v>
      </c>
      <c r="P12" s="91">
        <v>14950000</v>
      </c>
      <c r="Q12" s="73">
        <v>6719000</v>
      </c>
      <c r="R12" s="73">
        <f>IF(Tabela3[[#This Row],[Ativo || Passivo]]&gt;0,Tabela3[[#This Row],[Ativo || Passivo]]-Tabela3[[#This Row],[Patrimônio Líquido]],0)</f>
        <v>29843000</v>
      </c>
      <c r="S12" s="73">
        <f>Tabela3[[#This Row],[Cotação]]*Tabela3[[#This Row],[Total Ações]]</f>
        <v>48566664.600000001</v>
      </c>
      <c r="T12" s="37">
        <f>IF(Tabela3[[#This Row],[Passivo Circulante]]&gt;0,Tabela3[[#This Row],[Ativo Circulante]]/Tabela3[[#This Row],[Passivo Circulante]],0)</f>
        <v>1.0873587686261668</v>
      </c>
      <c r="U12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2" s="18">
        <f>IF(Tabela3[[#This Row],[Lucro Líquido]]&gt;0,Tabela3[[#This Row],[Lucro Líquido]]/Tabela3[[#This Row],[Patrimônio Líquido]],0)</f>
        <v>0.4494314381270903</v>
      </c>
      <c r="W12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2" s="18">
        <f>IF(Tabela3[[#This Row],[Dívida]]&gt;0,Tabela3[[#This Row],[Dívida]]/Tabela3[[#This Row],[Patrimônio Líquido]],0)</f>
        <v>1.9961872909698997</v>
      </c>
      <c r="Y12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2" s="7">
        <f>Tabela3[[#This Row],[Capital Social]]*20%</f>
        <v>2800000</v>
      </c>
      <c r="AA12" s="47">
        <f>IF((Tabela3[Lucro Líquido]*5%)&gt;Tabela3[Teto R. Legal],Tabela3[Teto R. Legal],Tabela3[Lucro Líquido]*5%)</f>
        <v>335950</v>
      </c>
      <c r="AB12" s="47">
        <f>IF(Tabela3[Lucro Líquido]&lt;0,0,Tabela3[Lucro Líquido]-Tabela3[Reserva Legal])</f>
        <v>6383050</v>
      </c>
      <c r="AC12" s="47">
        <f>Tabela3[[#This Row],[Lucro Distribuir]]*Tabela3[%Div]</f>
        <v>1595762.5</v>
      </c>
      <c r="AD12" s="56">
        <f>SUMPRODUCT(N(Tabela3[Nome]=Tabela3[[#This Row],[Nome]]),Tabela3[Ações])</f>
        <v>5222222</v>
      </c>
      <c r="AE12" s="85">
        <f>Tabela3[Capital Social]/Tabela3[Total Ações]</f>
        <v>2.6808511779085609</v>
      </c>
      <c r="AF12" s="85">
        <f>Tabela3[[#This Row],[Lucro Líquido]]/Tabela3[[#This Row],[Total Ações]]</f>
        <v>1.2866170760262585</v>
      </c>
      <c r="AG12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0.32567046919226766</v>
      </c>
      <c r="AH12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2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2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0.32567046919226766</v>
      </c>
      <c r="AK12" s="7">
        <f>Tabela3[Div Base]*Tabela3[Ações]</f>
        <v>773562.78577910899</v>
      </c>
      <c r="AL12" s="7">
        <f>SUMPRODUCT(N(Tabela3[Nome]=Tabela3[[#This Row],[Nome]]),Tabela3[Div Base]*Tabela3[Ações])</f>
        <v>1616436.1511581638</v>
      </c>
      <c r="AM12" s="5">
        <f>Tabela3[Patrimônio Líquido]/Tabela3[Total Ações]</f>
        <v>2.8627660792666418</v>
      </c>
      <c r="AN12" s="52">
        <f>MAX(Tabela3[[#This Row],[Cotação 1]:[Cotação 5]])</f>
        <v>9.3000000000000007</v>
      </c>
      <c r="AO12" s="53">
        <f>Tabela3[Cotação]/Tabela3[VPA]</f>
        <v>3.2486063277591972</v>
      </c>
      <c r="AP12" s="37">
        <f>IF(Tabela3[[#This Row],[Lucro/Ação]]&gt;0,Tabela3[[#This Row],[Cotação]]/(Tabela3[[#This Row],[Lucro/Ação]]/Tabela3[Ref]*4),0)</f>
        <v>5.4211933993153751</v>
      </c>
      <c r="AQ12" s="85">
        <f>Tabela3[Lucro Distribuir]/Tabela3[Total Ações]</f>
        <v>1.2222862222249455</v>
      </c>
      <c r="AR12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0.32567046919226766</v>
      </c>
      <c r="AS12" s="10" t="str">
        <f>IF(AND(Tabela3[% A.A.]&gt;=6%,SUMPRODUCT(N(Tabela3[Nome]=Tabela3[[#This Row],[Nome]]),Tabela3[PL])&gt;0,Tabela3[Rentabilidade s/ PL]&gt;=Tabela3[Rentabilidade s/ PL Média]),"Sim","Não")</f>
        <v>Não</v>
      </c>
      <c r="AT12" s="22">
        <f>IF(Tabela3[Cotação]&gt;0,Tabela3[[#This Row],[Lucro]]/Tabela3[[#This Row],[Cotação]],0)</f>
        <v>3.5018330020673942E-2</v>
      </c>
      <c r="AU12" s="22">
        <f>((1+Tabela3[[#This Row],[% Yield]])^(1/(3*Tabela3[[#This Row],[Ref]])))^(12)-1</f>
        <v>4.696152388851571E-2</v>
      </c>
      <c r="AV12" s="10">
        <f>IF(Tabela3[Cotação]&gt;0,($BH$1/Tabela3[[#This Row],[Cotação]]-MOD($BH$1/Tabela3[[#This Row],[Cotação]],100)),)</f>
        <v>0</v>
      </c>
      <c r="AW12" s="7">
        <f>Tabela3[[#This Row],[Ativos]]*Tabela3[Lucro]</f>
        <v>0</v>
      </c>
      <c r="AX12" s="7">
        <f>SUMPRODUCT(N(Tabela1[Código]=Tabela3[[#This Row],[PAPEL]]),Tabela1[Fechamento])</f>
        <v>0</v>
      </c>
      <c r="AY12" s="7">
        <f>SUMPRODUCT(N(Tabela17[Código]=Tabela3[[#This Row],[PAPEL]]),Tabela17[Fechamento])</f>
        <v>0</v>
      </c>
      <c r="AZ12" s="7">
        <f>SUMPRODUCT(N(Tabela176[Código]=Tabela3[[#This Row],[PAPEL]]),Tabela176[Fechamento])</f>
        <v>9.3000000000000007</v>
      </c>
      <c r="BA12" s="7">
        <f>SUMPRODUCT(N(Tabela1768[Código]=Tabela3[[#This Row],[PAPEL]]),Tabela1768[Fechamento])</f>
        <v>0</v>
      </c>
      <c r="BB12" s="7">
        <f>SUMPRODUCT(N(Tabela17683[Código]=Tabela3[[#This Row],[PAPEL]]),Tabela17683[Fechamento])</f>
        <v>0</v>
      </c>
    </row>
    <row r="13" spans="1:60" hidden="1" x14ac:dyDescent="0.2">
      <c r="A13" s="24" t="s">
        <v>12</v>
      </c>
      <c r="B13" s="57" t="s">
        <v>29</v>
      </c>
      <c r="C13" s="15" t="str">
        <f>LEFT(Tabela3[PAPEL],LEN(Tabela3[PAPEL])-(LEN(Tabela3[PAPEL])-4))</f>
        <v>GETI</v>
      </c>
      <c r="D13" s="16">
        <v>3</v>
      </c>
      <c r="E13" s="6">
        <v>207227038.81</v>
      </c>
      <c r="F13" s="56">
        <v>197461211</v>
      </c>
      <c r="G13" s="81">
        <v>0.25</v>
      </c>
      <c r="H13" s="16"/>
      <c r="J13" s="18"/>
      <c r="K13" s="87"/>
      <c r="L13" s="87"/>
      <c r="M13" s="54">
        <v>4055326000</v>
      </c>
      <c r="N13" s="54">
        <v>794855000</v>
      </c>
      <c r="O13" s="54">
        <v>839032000</v>
      </c>
      <c r="P13" s="90">
        <v>1813045000</v>
      </c>
      <c r="Q13" s="90">
        <v>650993000</v>
      </c>
      <c r="R13" s="90">
        <f>IF(Tabela3[[#This Row],[Ativo || Passivo]]&gt;0,Tabela3[[#This Row],[Ativo || Passivo]]-Tabela3[[#This Row],[Patrimônio Líquido]],0)</f>
        <v>2242281000</v>
      </c>
      <c r="S13" s="90">
        <f>Tabela3[[#This Row],[Cotação]]*Tabela3[[#This Row],[Total Ações]]</f>
        <v>5524363113.5699997</v>
      </c>
      <c r="T13" s="133">
        <f>IF(Tabela3[[#This Row],[Passivo Circulante]]&gt;0,Tabela3[[#This Row],[Ativo Circulante]]/Tabela3[[#This Row],[Passivo Circulante]],0)</f>
        <v>0.94734765777705732</v>
      </c>
      <c r="U13" s="133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3" s="49">
        <f>IF(Tabela3[[#This Row],[Lucro Líquido]]&gt;0,Tabela3[[#This Row],[Lucro Líquido]]/Tabela3[[#This Row],[Patrimônio Líquido]],0)</f>
        <v>0.35906058592037154</v>
      </c>
      <c r="W13" s="4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3" s="49">
        <f>IF(Tabela3[[#This Row],[Dívida]]&gt;0,Tabela3[[#This Row],[Dívida]]/Tabela3[[#This Row],[Patrimônio Líquido]],0)</f>
        <v>1.2367486741917604</v>
      </c>
      <c r="Y13" s="4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3" s="28">
        <f>Tabela3[[#This Row],[Capital Social]]*20%</f>
        <v>41445407.762000002</v>
      </c>
      <c r="AA13" s="28">
        <f>IF((Tabela3[Lucro Líquido]*5%)&gt;Tabela3[Teto R. Legal],Tabela3[Teto R. Legal],Tabela3[Lucro Líquido]*5%)</f>
        <v>32549650</v>
      </c>
      <c r="AB13" s="90">
        <f>IF(Tabela3[Lucro Líquido]&lt;0,0,Tabela3[Lucro Líquido]-Tabela3[Reserva Legal])</f>
        <v>618443350</v>
      </c>
      <c r="AC13" s="90">
        <f>Tabela3[[#This Row],[Lucro Distribuir]]*Tabela3[%Div]</f>
        <v>154610837.5</v>
      </c>
      <c r="AD13" s="56">
        <f>SUMPRODUCT(N(Tabela3[Nome]=Tabela3[[#This Row],[Nome]]),Tabela3[Ações])</f>
        <v>381253493</v>
      </c>
      <c r="AE13" s="28">
        <f>Tabela3[Capital Social]/Tabela3[Total Ações]</f>
        <v>0.54354135139687754</v>
      </c>
      <c r="AF13" s="79">
        <f>Tabela3[[#This Row],[Lucro Líquido]]/Tabela3[[#This Row],[Total Ações]]</f>
        <v>1.7075069788278634</v>
      </c>
      <c r="AG13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0.39291523664074163</v>
      </c>
      <c r="AH13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3" s="79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3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0.39291523664074163</v>
      </c>
      <c r="AK13" s="28">
        <f>Tabela3[Div Base]*Tabela3[Ações]</f>
        <v>77585518.447432414</v>
      </c>
      <c r="AL13" s="28">
        <f>SUMPRODUCT(N(Tabela3[Nome]=Tabela3[[#This Row],[Nome]]),Tabela3[Div Base]*Tabela3[Ações])</f>
        <v>157021785.3285009</v>
      </c>
      <c r="AM13" s="28">
        <f>Tabela3[Patrimônio Líquido]/Tabela3[Total Ações]</f>
        <v>4.7554842992612265</v>
      </c>
      <c r="AN13" s="29">
        <f>MAX(Tabela3[[#This Row],[Cotação 1]:[Cotação 5]])</f>
        <v>14.49</v>
      </c>
      <c r="AO13" s="30">
        <f>Tabela3[Cotação]/Tabela3[VPA]</f>
        <v>3.0470082725856229</v>
      </c>
      <c r="AP13" s="35">
        <f>IF(Tabela3[[#This Row],[Lucro/Ação]]&gt;0,Tabela3[[#This Row],[Cotação]]/(Tabela3[[#This Row],[Lucro/Ação]]/Tabela3[Ref]*4),0)</f>
        <v>6.3645420690813888</v>
      </c>
      <c r="AQ13" s="78">
        <f>Tabela3[Lucro Distribuir]/Tabela3[Total Ações]</f>
        <v>1.6221316298864703</v>
      </c>
      <c r="AR13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0.39291523664074163</v>
      </c>
      <c r="AS13" s="25" t="str">
        <f>IF(AND(Tabela3[% A.A.]&gt;=6%,SUMPRODUCT(N(Tabela3[Nome]=Tabela3[[#This Row],[Nome]]),Tabela3[PL])&gt;0,Tabela3[Rentabilidade s/ PL]&gt;=Tabela3[Rentabilidade s/ PL Média]),"Sim","Não")</f>
        <v>Não</v>
      </c>
      <c r="AT13" s="27">
        <f>IF(Tabela3[Cotação]&gt;0,Tabela3[[#This Row],[Lucro]]/Tabela3[[#This Row],[Cotação]],0)</f>
        <v>2.7116303425862087E-2</v>
      </c>
      <c r="AU13" s="49">
        <f>((1+Tabela3[[#This Row],[% Yield]])^(1/(3*Tabela3[[#This Row],[Ref]])))^(12)-1</f>
        <v>3.6317496232893154E-2</v>
      </c>
      <c r="AV13" s="10">
        <f>IF(Tabela3[Cotação]&gt;0,($BD$1/Tabela3[[#This Row],[Cotação]]-MOD($BD$1/Tabela3[[#This Row],[Cotação]],100)),)</f>
        <v>0</v>
      </c>
      <c r="AW13" s="7">
        <f>Tabela3[[#This Row],[Ativos]]*Tabela3[Lucro]</f>
        <v>0</v>
      </c>
      <c r="AX13" s="5">
        <f>SUMPRODUCT(N(Tabela1[Código]=Tabela3[[#This Row],[PAPEL]]),Tabela1[Fechamento])</f>
        <v>14.49</v>
      </c>
      <c r="AY13" s="5">
        <f>SUMPRODUCT(N(Tabela17[Código]=Tabela3[[#This Row],[PAPEL]]),Tabela17[Fechamento])</f>
        <v>0</v>
      </c>
      <c r="AZ13" s="7">
        <f>SUMPRODUCT(N(Tabela176[Código]=Tabela3[[#This Row],[PAPEL]]),Tabela176[Fechamento])</f>
        <v>0</v>
      </c>
      <c r="BA13" s="7">
        <f>SUMPRODUCT(N(Tabela1768[Código]=Tabela3[[#This Row],[PAPEL]]),Tabela1768[Fechamento])</f>
        <v>0</v>
      </c>
      <c r="BB13" s="7">
        <f>SUMPRODUCT(N(Tabela17683[Código]=Tabela3[[#This Row],[PAPEL]]),Tabela17683[Fechamento])</f>
        <v>0</v>
      </c>
    </row>
    <row r="14" spans="1:60" hidden="1" x14ac:dyDescent="0.2">
      <c r="A14" s="24" t="s">
        <v>12</v>
      </c>
      <c r="B14" s="57" t="s">
        <v>33</v>
      </c>
      <c r="C14" s="15" t="str">
        <f>LEFT(Tabela3[PAPEL],LEN(Tabela3[PAPEL])-(LEN(Tabela3[PAPEL])-4))</f>
        <v>GETI</v>
      </c>
      <c r="D14" s="15">
        <v>3</v>
      </c>
      <c r="E14" s="6">
        <v>207227038.81</v>
      </c>
      <c r="F14" s="8">
        <v>183792282</v>
      </c>
      <c r="G14" s="86">
        <v>0.25</v>
      </c>
      <c r="H14" s="15"/>
      <c r="I14" s="19"/>
      <c r="J14" s="19">
        <v>0.1</v>
      </c>
      <c r="K14" s="88"/>
      <c r="L14" s="88"/>
      <c r="M14" s="54">
        <v>4055326000</v>
      </c>
      <c r="N14" s="54">
        <v>794855000</v>
      </c>
      <c r="O14" s="54">
        <v>839032000</v>
      </c>
      <c r="P14" s="90">
        <v>1813045000</v>
      </c>
      <c r="Q14" s="90">
        <v>650993000</v>
      </c>
      <c r="R14" s="90">
        <f>IF(Tabela3[[#This Row],[Ativo || Passivo]]&gt;0,Tabela3[[#This Row],[Ativo || Passivo]]-Tabela3[[#This Row],[Patrimônio Líquido]],0)</f>
        <v>2242281000</v>
      </c>
      <c r="S14" s="90">
        <f>Tabela3[[#This Row],[Cotação]]*Tabela3[[#This Row],[Total Ações]]</f>
        <v>6332620518.7299995</v>
      </c>
      <c r="T14" s="133">
        <f>IF(Tabela3[[#This Row],[Passivo Circulante]]&gt;0,Tabela3[[#This Row],[Ativo Circulante]]/Tabela3[[#This Row],[Passivo Circulante]],0)</f>
        <v>0.94734765777705732</v>
      </c>
      <c r="U14" s="133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4" s="49">
        <f>IF(Tabela3[[#This Row],[Lucro Líquido]]&gt;0,Tabela3[[#This Row],[Lucro Líquido]]/Tabela3[[#This Row],[Patrimônio Líquido]],0)</f>
        <v>0.35906058592037154</v>
      </c>
      <c r="W14" s="4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4" s="49">
        <f>IF(Tabela3[[#This Row],[Dívida]]&gt;0,Tabela3[[#This Row],[Dívida]]/Tabela3[[#This Row],[Patrimônio Líquido]],0)</f>
        <v>1.2367486741917604</v>
      </c>
      <c r="Y14" s="4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4" s="28">
        <f>Tabela3[[#This Row],[Capital Social]]*20%</f>
        <v>41445407.762000002</v>
      </c>
      <c r="AA14" s="28">
        <f>IF((Tabela3[Lucro Líquido]*5%)&gt;Tabela3[Teto R. Legal],Tabela3[Teto R. Legal],Tabela3[Lucro Líquido]*5%)</f>
        <v>32549650</v>
      </c>
      <c r="AB14" s="90">
        <f>IF(Tabela3[Lucro Líquido]&lt;0,0,Tabela3[Lucro Líquido]-Tabela3[Reserva Legal])</f>
        <v>618443350</v>
      </c>
      <c r="AC14" s="90">
        <f>Tabela3[[#This Row],[Lucro Distribuir]]*Tabela3[%Div]</f>
        <v>154610837.5</v>
      </c>
      <c r="AD14" s="56">
        <f>SUMPRODUCT(N(Tabela3[Nome]=Tabela3[[#This Row],[Nome]]),Tabela3[Ações])</f>
        <v>381253493</v>
      </c>
      <c r="AE14" s="28">
        <f>Tabela3[Capital Social]/Tabela3[Total Ações]</f>
        <v>0.54354135139687754</v>
      </c>
      <c r="AF14" s="79">
        <f>Tabela3[[#This Row],[Lucro Líquido]]/Tabela3[[#This Row],[Total Ações]]</f>
        <v>1.7075069788278634</v>
      </c>
      <c r="AG14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0.4322067608968938</v>
      </c>
      <c r="AH14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4" s="79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4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0.4322067608968938</v>
      </c>
      <c r="AK14" s="28">
        <f>Tabela3[Div Base]*Tabela3[Ações]</f>
        <v>79436266.881068483</v>
      </c>
      <c r="AL14" s="28">
        <f>SUMPRODUCT(N(Tabela3[Nome]=Tabela3[[#This Row],[Nome]]),Tabela3[Div Base]*Tabela3[Ações])</f>
        <v>157021785.3285009</v>
      </c>
      <c r="AM14" s="28">
        <f>Tabela3[Patrimônio Líquido]/Tabela3[Total Ações]</f>
        <v>4.7554842992612265</v>
      </c>
      <c r="AN14" s="29">
        <f>MAX(Tabela3[[#This Row],[Cotação 1]:[Cotação 5]])</f>
        <v>16.61</v>
      </c>
      <c r="AO14" s="30">
        <f>Tabela3[Cotação]/Tabela3[VPA]</f>
        <v>3.4928093449031876</v>
      </c>
      <c r="AP14" s="35">
        <f>IF(Tabela3[[#This Row],[Lucro/Ação]]&gt;0,Tabela3[[#This Row],[Cotação]]/(Tabela3[[#This Row],[Lucro/Ação]]/Tabela3[Ref]*4),0)</f>
        <v>7.2957242075529232</v>
      </c>
      <c r="AQ14" s="78">
        <f>Tabela3[Lucro Distribuir]/Tabela3[Total Ações]</f>
        <v>1.6221316298864703</v>
      </c>
      <c r="AR14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0.4322067608968938</v>
      </c>
      <c r="AS14" s="25" t="str">
        <f>IF(AND(Tabela3[% A.A.]&gt;=6%,SUMPRODUCT(N(Tabela3[Nome]=Tabela3[[#This Row],[Nome]]),Tabela3[PL])&gt;0,Tabela3[Rentabilidade s/ PL]&gt;=Tabela3[Rentabilidade s/ PL Média]),"Sim","Não")</f>
        <v>Não</v>
      </c>
      <c r="AT14" s="27">
        <f>IF(Tabela3[Cotação]&gt;0,Tabela3[[#This Row],[Lucro]]/Tabela3[[#This Row],[Cotação]],0)</f>
        <v>2.6020876634370489E-2</v>
      </c>
      <c r="AU14" s="49">
        <f>((1+Tabela3[[#This Row],[% Yield]])^(1/(3*Tabela3[[#This Row],[Ref]])))^(12)-1</f>
        <v>3.484410500046109E-2</v>
      </c>
      <c r="AV14" s="10">
        <f>IF(Tabela3[Cotação]&gt;0,($BD$1/Tabela3[[#This Row],[Cotação]]-MOD($BD$1/Tabela3[[#This Row],[Cotação]],100)),)</f>
        <v>0</v>
      </c>
      <c r="AW14" s="7">
        <f>Tabela3[[#This Row],[Ativos]]*Tabela3[Lucro]</f>
        <v>0</v>
      </c>
      <c r="AX14" s="5">
        <f>SUMPRODUCT(N(Tabela1[Código]=Tabela3[[#This Row],[PAPEL]]),Tabela1[Fechamento])</f>
        <v>16.61</v>
      </c>
      <c r="AY14" s="5">
        <f>SUMPRODUCT(N(Tabela17[Código]=Tabela3[[#This Row],[PAPEL]]),Tabela17[Fechamento])</f>
        <v>0</v>
      </c>
      <c r="AZ14" s="7">
        <f>SUMPRODUCT(N(Tabela176[Código]=Tabela3[[#This Row],[PAPEL]]),Tabela176[Fechamento])</f>
        <v>0</v>
      </c>
      <c r="BA14" s="7">
        <f>SUMPRODUCT(N(Tabela1768[Código]=Tabela3[[#This Row],[PAPEL]]),Tabela1768[Fechamento])</f>
        <v>0</v>
      </c>
      <c r="BB14" s="7">
        <f>SUMPRODUCT(N(Tabela17683[Código]=Tabela3[[#This Row],[PAPEL]]),Tabela17683[Fechamento])</f>
        <v>0</v>
      </c>
    </row>
    <row r="15" spans="1:60" hidden="1" x14ac:dyDescent="0.2">
      <c r="A15" s="4" t="s">
        <v>26</v>
      </c>
      <c r="B15" s="57" t="s">
        <v>25</v>
      </c>
      <c r="C15" s="82" t="str">
        <f>LEFT(Tabela3[PAPEL],LEN(Tabela3[PAPEL])-(LEN(Tabela3[PAPEL])-4))</f>
        <v>BBSE</v>
      </c>
      <c r="D15" s="15">
        <v>4</v>
      </c>
      <c r="E15" s="6">
        <v>5646767124.9300003</v>
      </c>
      <c r="F15" s="8">
        <v>2000000000</v>
      </c>
      <c r="G15" s="86">
        <v>0.25</v>
      </c>
      <c r="H15" s="15"/>
      <c r="I15" s="19"/>
      <c r="J15" s="19"/>
      <c r="K15" s="88"/>
      <c r="L15" s="88"/>
      <c r="M15" s="55">
        <v>7289465000</v>
      </c>
      <c r="N15" s="55">
        <v>1265436000</v>
      </c>
      <c r="O15" s="55">
        <v>348192000</v>
      </c>
      <c r="P15" s="6">
        <v>6941273000</v>
      </c>
      <c r="Q15" s="6">
        <v>2473752000</v>
      </c>
      <c r="R15" s="6">
        <f>IF(Tabela3[[#This Row],[Ativo || Passivo]]&gt;0,Tabela3[[#This Row],[Ativo || Passivo]]-Tabela3[[#This Row],[Patrimônio Líquido]],0)</f>
        <v>348192000</v>
      </c>
      <c r="S15" s="6">
        <f>Tabela3[[#This Row],[Cotação]]*Tabela3[[#This Row],[Total Ações]]</f>
        <v>46600000000</v>
      </c>
      <c r="T15" s="134">
        <f>IF(Tabela3[[#This Row],[Passivo Circulante]]&gt;0,Tabela3[[#This Row],[Ativo Circulante]]/Tabela3[[#This Row],[Passivo Circulante]],0)</f>
        <v>3.634305210918114</v>
      </c>
      <c r="U15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5" s="19">
        <f>IF(Tabela3[[#This Row],[Lucro Líquido]]&gt;0,Tabela3[[#This Row],[Lucro Líquido]]/Tabela3[[#This Row],[Patrimônio Líquido]],0)</f>
        <v>0.35638304385953412</v>
      </c>
      <c r="W15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5" s="19">
        <f>IF(Tabela3[[#This Row],[Dívida]]&gt;0,Tabela3[[#This Row],[Dívida]]/Tabela3[[#This Row],[Patrimônio Líquido]],0)</f>
        <v>5.0162556637665744E-2</v>
      </c>
      <c r="Y15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5" s="6">
        <f>Tabela3[[#This Row],[Capital Social]]*20%</f>
        <v>1129353424.9860001</v>
      </c>
      <c r="AA15" s="6">
        <f>IF((Tabela3[Lucro Líquido]*5%)&gt;Tabela3[Teto R. Legal],Tabela3[Teto R. Legal],Tabela3[Lucro Líquido]*5%)</f>
        <v>123687600</v>
      </c>
      <c r="AB15" s="6">
        <f>IF(Tabela3[Lucro Líquido]&lt;0,0,Tabela3[Lucro Líquido]-Tabela3[Reserva Legal])</f>
        <v>2350064400</v>
      </c>
      <c r="AC15" s="6">
        <f>Tabela3[[#This Row],[Lucro Distribuir]]*Tabela3[%Div]</f>
        <v>587516100</v>
      </c>
      <c r="AD15" s="21">
        <f>SUMPRODUCT(N(Tabela3[Nome]=Tabela3[[#This Row],[Nome]]),Tabela3[Ações])</f>
        <v>2000000000</v>
      </c>
      <c r="AE15" s="6">
        <f>Tabela3[Capital Social]/Tabela3[Total Ações]</f>
        <v>2.8233835624650001</v>
      </c>
      <c r="AF15" s="78">
        <f>Tabela3[[#This Row],[Lucro Líquido]]/Tabela3[[#This Row],[Total Ações]]</f>
        <v>1.2368760000000001</v>
      </c>
      <c r="AG15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0.29375804999999999</v>
      </c>
      <c r="AH15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5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5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0.29375804999999999</v>
      </c>
      <c r="AK15" s="6">
        <f>Tabela3[Div Base]*Tabela3[Ações]</f>
        <v>587516100</v>
      </c>
      <c r="AL15" s="6">
        <f>SUMPRODUCT(N(Tabela3[Nome]=Tabela3[[#This Row],[Nome]]),Tabela3[Div Base]*Tabela3[Ações])</f>
        <v>587516100</v>
      </c>
      <c r="AM15" s="6">
        <f>Tabela3[Patrimônio Líquido]/Tabela3[Total Ações]</f>
        <v>3.4706364999999999</v>
      </c>
      <c r="AN15" s="48">
        <f>MAX(Tabela3[[#This Row],[Cotação 1]:[Cotação 5]])</f>
        <v>23.3</v>
      </c>
      <c r="AO15" s="44">
        <f>Tabela3[Cotação]/Tabela3[VPA]</f>
        <v>6.7134659593420407</v>
      </c>
      <c r="AP15" s="40">
        <f>IF(Tabela3[[#This Row],[Lucro/Ação]]&gt;0,Tabela3[[#This Row],[Cotação]]/(Tabela3[[#This Row],[Lucro/Ação]]/Tabela3[Ref]*4),0)</f>
        <v>18.837781636962799</v>
      </c>
      <c r="AQ15" s="78">
        <f>Tabela3[Lucro Distribuir]/Tabela3[Total Ações]</f>
        <v>1.1750322</v>
      </c>
      <c r="AR15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0.29375804999999999</v>
      </c>
      <c r="AS15" s="15" t="str">
        <f>IF(AND(Tabela3[% A.A.]&gt;=6%,SUMPRODUCT(N(Tabela3[Nome]=Tabela3[[#This Row],[Nome]]),Tabela3[PL])&gt;0,Tabela3[Rentabilidade s/ PL]&gt;=Tabela3[Rentabilidade s/ PL Média]),"Sim","Não")</f>
        <v>Não</v>
      </c>
      <c r="AT15" s="42">
        <f>IF(Tabela3[Cotação]&gt;0,Tabela3[[#This Row],[Lucro]]/Tabela3[[#This Row],[Cotação]],0)</f>
        <v>1.2607641630901287E-2</v>
      </c>
      <c r="AU15" s="19">
        <f>((1+Tabela3[[#This Row],[% Yield]])^(1/(3*Tabela3[[#This Row],[Ref]])))^(12)-1</f>
        <v>1.2607641630900668E-2</v>
      </c>
      <c r="AV15" s="14">
        <f>IF(Tabela3[Cotação]&gt;0,($BH$1/Tabela3[[#This Row],[Cotação]]-MOD($BH$1/Tabela3[[#This Row],[Cotação]],100)),)</f>
        <v>0</v>
      </c>
      <c r="AW15" s="17">
        <f>Tabela3[[#This Row],[Ativos]]*Tabela3[Lucro]</f>
        <v>0</v>
      </c>
      <c r="AX15" s="13">
        <f>SUMPRODUCT(N(Tabela1[Código]=Tabela3[[#This Row],[PAPEL]]),Tabela1[Fechamento])</f>
        <v>0</v>
      </c>
      <c r="AY15" s="13">
        <f>SUMPRODUCT(N(Tabela17[Código]=Tabela3[[#This Row],[PAPEL]]),Tabela17[Fechamento])</f>
        <v>23.3</v>
      </c>
      <c r="AZ15" s="7">
        <f>SUMPRODUCT(N(Tabela176[Código]=Tabela3[[#This Row],[PAPEL]]),Tabela176[Fechamento])</f>
        <v>0</v>
      </c>
      <c r="BA15" s="7">
        <f>SUMPRODUCT(N(Tabela1768[Código]=Tabela3[[#This Row],[PAPEL]]),Tabela1768[Fechamento])</f>
        <v>0</v>
      </c>
      <c r="BB15" s="7">
        <f>SUMPRODUCT(N(Tabela17683[Código]=Tabela3[[#This Row],[PAPEL]]),Tabela17683[Fechamento])</f>
        <v>0</v>
      </c>
    </row>
    <row r="16" spans="1:60" hidden="1" x14ac:dyDescent="0.2">
      <c r="A16" s="3" t="s">
        <v>892</v>
      </c>
      <c r="B16" s="58" t="s">
        <v>893</v>
      </c>
      <c r="C16" s="16" t="str">
        <f>LEFT(Tabela3[PAPEL],LEN(Tabela3[PAPEL])-(LEN(Tabela3[PAPEL])-4))</f>
        <v>CVCB</v>
      </c>
      <c r="D16" s="16">
        <v>4</v>
      </c>
      <c r="E16" s="5">
        <v>82728124.230000004</v>
      </c>
      <c r="F16" s="56">
        <v>129729000</v>
      </c>
      <c r="G16" s="81">
        <v>0.25</v>
      </c>
      <c r="H16" s="87"/>
      <c r="J16" s="18"/>
      <c r="K16" s="16"/>
      <c r="L16" s="87"/>
      <c r="M16" s="54">
        <v>2066845000</v>
      </c>
      <c r="N16" s="54">
        <v>1733400000</v>
      </c>
      <c r="O16" s="54">
        <v>1633696000</v>
      </c>
      <c r="P16" s="91">
        <v>316281000</v>
      </c>
      <c r="Q16" s="73">
        <v>111682000</v>
      </c>
      <c r="R16" s="73">
        <f>IF(Tabela3[[#This Row],[Ativo || Passivo]]&gt;0,Tabela3[[#This Row],[Ativo || Passivo]]-Tabela3[[#This Row],[Patrimônio Líquido]],0)</f>
        <v>1750564000</v>
      </c>
      <c r="S16" s="73">
        <f>Tabela3[[#This Row],[Cotação]]*Tabela3[[#This Row],[Total Ações]]</f>
        <v>1616423340</v>
      </c>
      <c r="T16" s="37">
        <f>IF(Tabela3[[#This Row],[Passivo Circulante]]&gt;0,Tabela3[[#This Row],[Ativo Circulante]]/Tabela3[[#This Row],[Passivo Circulante]],0)</f>
        <v>1.0610297142185572</v>
      </c>
      <c r="U16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6" s="18">
        <f>IF(Tabela3[[#This Row],[Lucro Líquido]]&gt;0,Tabela3[[#This Row],[Lucro Líquido]]/Tabela3[[#This Row],[Patrimônio Líquido]],0)</f>
        <v>0.35311005087248365</v>
      </c>
      <c r="W16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6" s="18">
        <f>IF(Tabela3[[#This Row],[Dívida]]&gt;0,Tabela3[[#This Row],[Dívida]]/Tabela3[[#This Row],[Patrimônio Líquido]],0)</f>
        <v>5.5348376917993809</v>
      </c>
      <c r="Y16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6" s="7">
        <f>Tabela3[[#This Row],[Capital Social]]*20%</f>
        <v>16545624.846000001</v>
      </c>
      <c r="AA16" s="47">
        <f>IF((Tabela3[Lucro Líquido]*5%)&gt;Tabela3[Teto R. Legal],Tabela3[Teto R. Legal],Tabela3[Lucro Líquido]*5%)</f>
        <v>5584100</v>
      </c>
      <c r="AB16" s="47">
        <f>IF(Tabela3[Lucro Líquido]&lt;0,0,Tabela3[Lucro Líquido]-Tabela3[Reserva Legal])</f>
        <v>106097900</v>
      </c>
      <c r="AC16" s="47">
        <f>Tabela3[[#This Row],[Lucro Distribuir]]*Tabela3[%Div]</f>
        <v>26524475</v>
      </c>
      <c r="AD16" s="56">
        <f>SUMPRODUCT(N(Tabela3[Nome]=Tabela3[[#This Row],[Nome]]),Tabela3[Ações])</f>
        <v>129729000</v>
      </c>
      <c r="AE16" s="85">
        <f>Tabela3[Capital Social]/Tabela3[Total Ações]</f>
        <v>0.63769954466618883</v>
      </c>
      <c r="AF16" s="85">
        <f>Tabela3[[#This Row],[Lucro Líquido]]/Tabela3[[#This Row],[Total Ações]]</f>
        <v>0.86088692582229109</v>
      </c>
      <c r="AG16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0.20446064488279414</v>
      </c>
      <c r="AH16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6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6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0.20446064488279414</v>
      </c>
      <c r="AK16" s="7">
        <f>Tabela3[Div Base]*Tabela3[Ações]</f>
        <v>26524475</v>
      </c>
      <c r="AL16" s="7">
        <f>SUMPRODUCT(N(Tabela3[Nome]=Tabela3[[#This Row],[Nome]]),Tabela3[Div Base]*Tabela3[Ações])</f>
        <v>26524475</v>
      </c>
      <c r="AM16" s="5">
        <f>Tabela3[Patrimônio Líquido]/Tabela3[Total Ações]</f>
        <v>2.4380130888236247</v>
      </c>
      <c r="AN16" s="52">
        <f>MAX(Tabela3[[#This Row],[Cotação 1]:[Cotação 5]])</f>
        <v>12.46</v>
      </c>
      <c r="AO16" s="53">
        <f>Tabela3[Cotação]/Tabela3[VPA]</f>
        <v>5.1107190757585821</v>
      </c>
      <c r="AP16" s="37">
        <f>IF(Tabela3[[#This Row],[Lucro/Ação]]&gt;0,Tabela3[[#This Row],[Cotação]]/(Tabela3[[#This Row],[Lucro/Ação]]/Tabela3[Ref]*4),0)</f>
        <v>14.473445497036229</v>
      </c>
      <c r="AQ16" s="85">
        <f>Tabela3[Lucro Distribuir]/Tabela3[Total Ações]</f>
        <v>0.81784257953117656</v>
      </c>
      <c r="AR16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0.20446064488279414</v>
      </c>
      <c r="AS16" s="10" t="str">
        <f>IF(AND(Tabela3[% A.A.]&gt;=6%,SUMPRODUCT(N(Tabela3[Nome]=Tabela3[[#This Row],[Nome]]),Tabela3[PL])&gt;0,Tabela3[Rentabilidade s/ PL]&gt;=Tabela3[Rentabilidade s/ PL Média]),"Sim","Não")</f>
        <v>Não</v>
      </c>
      <c r="AT16" s="22">
        <f>IF(Tabela3[Cotação]&gt;0,Tabela3[[#This Row],[Lucro]]/Tabela3[[#This Row],[Cotação]],0)</f>
        <v>1.6409361547575774E-2</v>
      </c>
      <c r="AU16" s="22">
        <f>((1+Tabela3[[#This Row],[% Yield]])^(1/(3*Tabela3[[#This Row],[Ref]])))^(12)-1</f>
        <v>1.6409361547575108E-2</v>
      </c>
      <c r="AV16" s="10">
        <f>IF(Tabela3[Cotação]&gt;0,($BH$1/Tabela3[[#This Row],[Cotação]]-MOD($BH$1/Tabela3[[#This Row],[Cotação]],100)),)</f>
        <v>0</v>
      </c>
      <c r="AW16" s="7">
        <f>Tabela3[[#This Row],[Ativos]]*Tabela3[Lucro]</f>
        <v>0</v>
      </c>
      <c r="AX16" s="7">
        <f>SUMPRODUCT(N(Tabela1[Código]=Tabela3[[#This Row],[PAPEL]]),Tabela1[Fechamento])</f>
        <v>0</v>
      </c>
      <c r="AY16" s="7">
        <f>SUMPRODUCT(N(Tabela17[Código]=Tabela3[[#This Row],[PAPEL]]),Tabela17[Fechamento])</f>
        <v>0</v>
      </c>
      <c r="AZ16" s="7">
        <f>SUMPRODUCT(N(Tabela176[Código]=Tabela3[[#This Row],[PAPEL]]),Tabela176[Fechamento])</f>
        <v>0</v>
      </c>
      <c r="BA16" s="7">
        <f>SUMPRODUCT(N(Tabela1768[Código]=Tabela3[[#This Row],[PAPEL]]),Tabela1768[Fechamento])</f>
        <v>12.46</v>
      </c>
      <c r="BB16" s="7">
        <f>SUMPRODUCT(N(Tabela17683[Código]=Tabela3[[#This Row],[PAPEL]]),Tabela17683[Fechamento])</f>
        <v>0</v>
      </c>
    </row>
    <row r="17" spans="1:54" hidden="1" x14ac:dyDescent="0.2">
      <c r="A17" s="3" t="s">
        <v>913</v>
      </c>
      <c r="B17" s="57" t="s">
        <v>914</v>
      </c>
      <c r="C17" s="16" t="str">
        <f>LEFT(Tabela3[PAPEL],LEN(Tabela3[PAPEL])-(LEN(Tabela3[PAPEL])-4))</f>
        <v>WHRL</v>
      </c>
      <c r="D17" s="16">
        <v>4</v>
      </c>
      <c r="E17" s="5">
        <v>1085793037.9300001</v>
      </c>
      <c r="F17" s="56">
        <v>1028700892</v>
      </c>
      <c r="G17" s="81">
        <v>0.25</v>
      </c>
      <c r="H17" s="87"/>
      <c r="J17" s="18"/>
      <c r="K17" s="16"/>
      <c r="L17" s="87"/>
      <c r="M17" s="54">
        <v>6582450000</v>
      </c>
      <c r="N17" s="54">
        <v>3796950000</v>
      </c>
      <c r="O17" s="54">
        <v>2757514000</v>
      </c>
      <c r="P17" s="91">
        <v>2351149000</v>
      </c>
      <c r="Q17" s="91">
        <v>812747000</v>
      </c>
      <c r="R17" s="91">
        <f>IF(Tabela3[[#This Row],[Ativo || Passivo]]&gt;0,Tabela3[[#This Row],[Ativo || Passivo]]-Tabela3[[#This Row],[Patrimônio Líquido]],0)</f>
        <v>4231301000</v>
      </c>
      <c r="S17" s="91">
        <f>Tabela3[[#This Row],[Cotação]]*Tabela3[[#This Row],[Total Ações]]</f>
        <v>5620419662.4400005</v>
      </c>
      <c r="T17" s="34">
        <f>IF(Tabela3[[#This Row],[Passivo Circulante]]&gt;0,Tabela3[[#This Row],[Ativo Circulante]]/Tabela3[[#This Row],[Passivo Circulante]],0)</f>
        <v>1.376946771621105</v>
      </c>
      <c r="U17" s="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7" s="18">
        <f>IF(Tabela3[[#This Row],[Lucro Líquido]]&gt;0,Tabela3[[#This Row],[Lucro Líquido]]/Tabela3[[#This Row],[Patrimônio Líquido]],0)</f>
        <v>0.34568077140155729</v>
      </c>
      <c r="W17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7" s="18">
        <f>IF(Tabela3[[#This Row],[Dívida]]&gt;0,Tabela3[[#This Row],[Dívida]]/Tabela3[[#This Row],[Patrimônio Líquido]],0)</f>
        <v>1.799673691458942</v>
      </c>
      <c r="Y17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7" s="7">
        <f>Tabela3[[#This Row],[Capital Social]]*20%</f>
        <v>217158607.58600003</v>
      </c>
      <c r="AA17" s="47">
        <f>IF((Tabela3[Lucro Líquido]*5%)&gt;Tabela3[Teto R. Legal],Tabela3[Teto R. Legal],Tabela3[Lucro Líquido]*5%)</f>
        <v>40637350</v>
      </c>
      <c r="AB17" s="47">
        <f>IF(Tabela3[Lucro Líquido]&lt;0,0,Tabela3[Lucro Líquido]-Tabela3[Reserva Legal])</f>
        <v>772109650</v>
      </c>
      <c r="AC17" s="47">
        <f>Tabela3[[#This Row],[Lucro Distribuir]]*Tabela3[%Div]</f>
        <v>193027412.5</v>
      </c>
      <c r="AD17" s="56">
        <f>SUMPRODUCT(N(Tabela3[Nome]=Tabela3[[#This Row],[Nome]]),Tabela3[Ações])</f>
        <v>1502786006</v>
      </c>
      <c r="AE17" s="85">
        <f>Tabela3[Capital Social]/Tabela3[Total Ações]</f>
        <v>0.72252006180179995</v>
      </c>
      <c r="AF17" s="85">
        <f>Tabela3[[#This Row],[Lucro Líquido]]/Tabela3[[#This Row],[Total Ações]]</f>
        <v>0.54082683546096322</v>
      </c>
      <c r="AG17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0.12444991831464143</v>
      </c>
      <c r="AH17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7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7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0.12444991831464143</v>
      </c>
      <c r="AK17" s="7">
        <f>Tabela3[Div Base]*Tabela3[Ações]</f>
        <v>128021741.97959878</v>
      </c>
      <c r="AL17" s="7">
        <f>SUMPRODUCT(N(Tabela3[Nome]=Tabela3[[#This Row],[Nome]]),Tabela3[Div Base]*Tabela3[Ações])</f>
        <v>192921581.15114099</v>
      </c>
      <c r="AM17" s="5">
        <f>Tabela3[Patrimônio Líquido]/Tabela3[Total Ações]</f>
        <v>1.5645268126086076</v>
      </c>
      <c r="AN17" s="52">
        <f>MAX(Tabela3[[#This Row],[Cotação 1]:[Cotação 5]])</f>
        <v>3.74</v>
      </c>
      <c r="AO17" s="53">
        <f>Tabela3[Cotação]/Tabela3[VPA]</f>
        <v>2.3904991399694366</v>
      </c>
      <c r="AP17" s="37">
        <f>IF(Tabela3[[#This Row],[Lucro/Ação]]&gt;0,Tabela3[[#This Row],[Cotação]]/(Tabela3[[#This Row],[Lucro/Ação]]/Tabela3[Ref]*4),0)</f>
        <v>6.9153373219956515</v>
      </c>
      <c r="AQ17" s="85">
        <f>Tabela3[Lucro Distribuir]/Tabela3[Total Ações]</f>
        <v>0.51378549368791504</v>
      </c>
      <c r="AR17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0.12444991831464143</v>
      </c>
      <c r="AS17" s="10" t="str">
        <f>IF(AND(Tabela3[% A.A.]&gt;=6%,SUMPRODUCT(N(Tabela3[Nome]=Tabela3[[#This Row],[Nome]]),Tabela3[PL])&gt;0,Tabela3[Rentabilidade s/ PL]&gt;=Tabela3[Rentabilidade s/ PL Média]),"Sim","Não")</f>
        <v>Não</v>
      </c>
      <c r="AT17" s="22">
        <f>IF(Tabela3[Cotação]&gt;0,Tabela3[[#This Row],[Lucro]]/Tabela3[[#This Row],[Cotação]],0)</f>
        <v>3.327537922851375E-2</v>
      </c>
      <c r="AU17" s="22">
        <f>((1+Tabela3[[#This Row],[% Yield]])^(1/(3*Tabela3[[#This Row],[Ref]])))^(12)-1</f>
        <v>3.3275379228514534E-2</v>
      </c>
      <c r="AV17" s="10">
        <f>IF(Tabela3[Cotação]&gt;0,($BC$1/Tabela3[[#This Row],[Cotação]]-MOD($BC$1/Tabela3[[#This Row],[Cotação]],100)),)</f>
        <v>0</v>
      </c>
      <c r="AW17" s="7">
        <f>Tabela3[[#This Row],[Ativos]]*Tabela3[Lucro]</f>
        <v>0</v>
      </c>
      <c r="AX17" s="7">
        <f>SUMPRODUCT(N(Tabela1[Código]=Tabela3[[#This Row],[PAPEL]]),Tabela1[Fechamento])</f>
        <v>0</v>
      </c>
      <c r="AY17" s="7">
        <f>SUMPRODUCT(N(Tabela17[Código]=Tabela3[[#This Row],[PAPEL]]),Tabela17[Fechamento])</f>
        <v>0</v>
      </c>
      <c r="AZ17" s="7">
        <f>SUMPRODUCT(N(Tabela176[Código]=Tabela3[[#This Row],[PAPEL]]),Tabela176[Fechamento])</f>
        <v>0</v>
      </c>
      <c r="BA17" s="7">
        <f>SUMPRODUCT(N(Tabela1768[Código]=Tabela3[[#This Row],[PAPEL]]),Tabela1768[Fechamento])</f>
        <v>3.74</v>
      </c>
      <c r="BB17" s="7">
        <f>SUMPRODUCT(N(Tabela17683[Código]=Tabela3[[#This Row],[PAPEL]]),Tabela17683[Fechamento])</f>
        <v>0</v>
      </c>
    </row>
    <row r="18" spans="1:54" hidden="1" x14ac:dyDescent="0.2">
      <c r="A18" s="3" t="s">
        <v>913</v>
      </c>
      <c r="B18" s="57" t="s">
        <v>915</v>
      </c>
      <c r="C18" s="16" t="str">
        <f>LEFT(Tabela3[PAPEL],LEN(Tabela3[PAPEL])-(LEN(Tabela3[PAPEL])-4))</f>
        <v>WHRL</v>
      </c>
      <c r="D18" s="16">
        <v>4</v>
      </c>
      <c r="E18" s="5">
        <v>1085793037.9300001</v>
      </c>
      <c r="F18" s="56">
        <v>474085114</v>
      </c>
      <c r="G18" s="81">
        <v>0.25</v>
      </c>
      <c r="H18" s="87"/>
      <c r="J18" s="18">
        <v>0.1</v>
      </c>
      <c r="K18" s="16"/>
      <c r="L18" s="87"/>
      <c r="M18" s="54">
        <v>6582450000</v>
      </c>
      <c r="N18" s="54">
        <v>3796950000</v>
      </c>
      <c r="O18" s="54">
        <v>2757514000</v>
      </c>
      <c r="P18" s="91">
        <v>2351149000</v>
      </c>
      <c r="Q18" s="91">
        <v>812747000</v>
      </c>
      <c r="R18" s="91">
        <f>IF(Tabela3[[#This Row],[Ativo || Passivo]]&gt;0,Tabela3[[#This Row],[Ativo || Passivo]]-Tabela3[[#This Row],[Patrimônio Líquido]],0)</f>
        <v>4231301000</v>
      </c>
      <c r="S18" s="91">
        <f>Tabela3[[#This Row],[Cotação]]*Tabela3[[#This Row],[Total Ações]]</f>
        <v>6011144024</v>
      </c>
      <c r="T18" s="34">
        <f>IF(Tabela3[[#This Row],[Passivo Circulante]]&gt;0,Tabela3[[#This Row],[Ativo Circulante]]/Tabela3[[#This Row],[Passivo Circulante]],0)</f>
        <v>1.376946771621105</v>
      </c>
      <c r="U18" s="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8" s="18">
        <f>IF(Tabela3[[#This Row],[Lucro Líquido]]&gt;0,Tabela3[[#This Row],[Lucro Líquido]]/Tabela3[[#This Row],[Patrimônio Líquido]],0)</f>
        <v>0.34568077140155729</v>
      </c>
      <c r="W18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8" s="18">
        <f>IF(Tabela3[[#This Row],[Dívida]]&gt;0,Tabela3[[#This Row],[Dívida]]/Tabela3[[#This Row],[Patrimônio Líquido]],0)</f>
        <v>1.799673691458942</v>
      </c>
      <c r="Y18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8" s="7">
        <f>Tabela3[[#This Row],[Capital Social]]*20%</f>
        <v>217158607.58600003</v>
      </c>
      <c r="AA18" s="47">
        <f>IF((Tabela3[Lucro Líquido]*5%)&gt;Tabela3[Teto R. Legal],Tabela3[Teto R. Legal],Tabela3[Lucro Líquido]*5%)</f>
        <v>40637350</v>
      </c>
      <c r="AB18" s="47">
        <f>IF(Tabela3[Lucro Líquido]&lt;0,0,Tabela3[Lucro Líquido]-Tabela3[Reserva Legal])</f>
        <v>772109650</v>
      </c>
      <c r="AC18" s="47">
        <f>Tabela3[[#This Row],[Lucro Distribuir]]*Tabela3[%Div]</f>
        <v>193027412.5</v>
      </c>
      <c r="AD18" s="56">
        <f>SUMPRODUCT(N(Tabela3[Nome]=Tabela3[[#This Row],[Nome]]),Tabela3[Ações])</f>
        <v>1502786006</v>
      </c>
      <c r="AE18" s="85">
        <f>Tabela3[Capital Social]/Tabela3[Total Ações]</f>
        <v>0.72252006180179995</v>
      </c>
      <c r="AF18" s="85">
        <f>Tabela3[[#This Row],[Lucro Líquido]]/Tabela3[[#This Row],[Total Ações]]</f>
        <v>0.54082683546096322</v>
      </c>
      <c r="AG18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0.13689491033363727</v>
      </c>
      <c r="AH18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8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8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0.13689491033363727</v>
      </c>
      <c r="AK18" s="7">
        <f>Tabela3[Div Base]*Tabela3[Ações]</f>
        <v>64899839.171542197</v>
      </c>
      <c r="AL18" s="7">
        <f>SUMPRODUCT(N(Tabela3[Nome]=Tabela3[[#This Row],[Nome]]),Tabela3[Div Base]*Tabela3[Ações])</f>
        <v>192921581.15114099</v>
      </c>
      <c r="AM18" s="5">
        <f>Tabela3[Patrimônio Líquido]/Tabela3[Total Ações]</f>
        <v>1.5645268126086076</v>
      </c>
      <c r="AN18" s="52">
        <f>MAX(Tabela3[[#This Row],[Cotação 1]:[Cotação 5]])</f>
        <v>4</v>
      </c>
      <c r="AO18" s="53">
        <f>Tabela3[Cotação]/Tabela3[VPA]</f>
        <v>2.5566835721598249</v>
      </c>
      <c r="AP18" s="37">
        <f>IF(Tabela3[[#This Row],[Lucro/Ação]]&gt;0,Tabela3[[#This Row],[Cotação]]/(Tabela3[[#This Row],[Lucro/Ação]]/Tabela3[Ref]*4),0)</f>
        <v>7.3960826973215523</v>
      </c>
      <c r="AQ18" s="85">
        <f>Tabela3[Lucro Distribuir]/Tabela3[Total Ações]</f>
        <v>0.51378549368791504</v>
      </c>
      <c r="AR18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0.13689491033363727</v>
      </c>
      <c r="AS18" s="10" t="str">
        <f>IF(AND(Tabela3[% A.A.]&gt;=6%,SUMPRODUCT(N(Tabela3[Nome]=Tabela3[[#This Row],[Nome]]),Tabela3[PL])&gt;0,Tabela3[Rentabilidade s/ PL]&gt;=Tabela3[Rentabilidade s/ PL Média]),"Sim","Não")</f>
        <v>Não</v>
      </c>
      <c r="AT18" s="22">
        <f>IF(Tabela3[Cotação]&gt;0,Tabela3[[#This Row],[Lucro]]/Tabela3[[#This Row],[Cotação]],0)</f>
        <v>3.4223727583409316E-2</v>
      </c>
      <c r="AU18" s="22">
        <f>((1+Tabela3[[#This Row],[% Yield]])^(1/(3*Tabela3[[#This Row],[Ref]])))^(12)-1</f>
        <v>3.4223727583409858E-2</v>
      </c>
      <c r="AV18" s="10">
        <f>IF(Tabela3[Cotação]&gt;0,($BC$1/Tabela3[[#This Row],[Cotação]]-MOD($BC$1/Tabela3[[#This Row],[Cotação]],100)),)</f>
        <v>0</v>
      </c>
      <c r="AW18" s="7">
        <f>Tabela3[[#This Row],[Ativos]]*Tabela3[Lucro]</f>
        <v>0</v>
      </c>
      <c r="AX18" s="7">
        <f>SUMPRODUCT(N(Tabela1[Código]=Tabela3[[#This Row],[PAPEL]]),Tabela1[Fechamento])</f>
        <v>0</v>
      </c>
      <c r="AY18" s="7">
        <f>SUMPRODUCT(N(Tabela17[Código]=Tabela3[[#This Row],[PAPEL]]),Tabela17[Fechamento])</f>
        <v>0</v>
      </c>
      <c r="AZ18" s="7">
        <f>SUMPRODUCT(N(Tabela176[Código]=Tabela3[[#This Row],[PAPEL]]),Tabela176[Fechamento])</f>
        <v>0</v>
      </c>
      <c r="BA18" s="7">
        <f>SUMPRODUCT(N(Tabela1768[Código]=Tabela3[[#This Row],[PAPEL]]),Tabela1768[Fechamento])</f>
        <v>4</v>
      </c>
      <c r="BB18" s="7">
        <f>SUMPRODUCT(N(Tabela17683[Código]=Tabela3[[#This Row],[PAPEL]]),Tabela17683[Fechamento])</f>
        <v>0</v>
      </c>
    </row>
    <row r="19" spans="1:54" hidden="1" x14ac:dyDescent="0.2">
      <c r="A19" s="3" t="s">
        <v>913</v>
      </c>
      <c r="B19" s="58" t="s">
        <v>918</v>
      </c>
      <c r="C19" s="16" t="str">
        <f>LEFT(Tabela3[PAPEL],LEN(Tabela3[PAPEL])-(LEN(Tabela3[PAPEL])-4))</f>
        <v>BMTO</v>
      </c>
      <c r="D19" s="16">
        <v>4</v>
      </c>
      <c r="E19" s="5">
        <v>577400000</v>
      </c>
      <c r="F19" s="56">
        <v>986060042</v>
      </c>
      <c r="G19" s="81">
        <v>0.25</v>
      </c>
      <c r="H19" s="87"/>
      <c r="J19" s="18"/>
      <c r="K19" s="16"/>
      <c r="L19" s="87"/>
      <c r="M19" s="54">
        <v>1067544000</v>
      </c>
      <c r="N19" s="54">
        <v>944000</v>
      </c>
      <c r="O19" s="54">
        <v>1139000</v>
      </c>
      <c r="P19" s="91">
        <v>1061800000</v>
      </c>
      <c r="Q19" s="73">
        <v>361449000</v>
      </c>
      <c r="R19" s="73">
        <f>IF(Tabela3[[#This Row],[Ativo || Passivo]]&gt;0,Tabela3[[#This Row],[Ativo || Passivo]]-Tabela3[[#This Row],[Patrimônio Líquido]],0)</f>
        <v>5744000</v>
      </c>
      <c r="S19" s="73">
        <f>Tabela3[[#This Row],[Cotação]]*Tabela3[[#This Row],[Total Ações]]</f>
        <v>2148333082.5</v>
      </c>
      <c r="T19" s="37">
        <f>IF(Tabela3[[#This Row],[Passivo Circulante]]&gt;0,Tabela3[[#This Row],[Ativo Circulante]]/Tabela3[[#This Row],[Passivo Circulante]],0)</f>
        <v>0.82879719051799827</v>
      </c>
      <c r="U19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9" s="18">
        <f>IF(Tabela3[[#This Row],[Lucro Líquido]]&gt;0,Tabela3[[#This Row],[Lucro Líquido]]/Tabela3[[#This Row],[Patrimônio Líquido]],0)</f>
        <v>0.34041156526652855</v>
      </c>
      <c r="W19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9" s="18">
        <f>IF(Tabela3[[#This Row],[Dívida]]&gt;0,Tabela3[[#This Row],[Dívida]]/Tabela3[[#This Row],[Patrimônio Líquido]],0)</f>
        <v>5.4096816726313807E-3</v>
      </c>
      <c r="Y19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9" s="7">
        <f>Tabela3[[#This Row],[Capital Social]]*20%</f>
        <v>115480000</v>
      </c>
      <c r="AA19" s="47">
        <f>IF((Tabela3[Lucro Líquido]*5%)&gt;Tabela3[Teto R. Legal],Tabela3[Teto R. Legal],Tabela3[Lucro Líquido]*5%)</f>
        <v>18072450</v>
      </c>
      <c r="AB19" s="47">
        <f>IF(Tabela3[Lucro Líquido]&lt;0,0,Tabela3[Lucro Líquido]-Tabela3[Reserva Legal])</f>
        <v>343376550</v>
      </c>
      <c r="AC19" s="47">
        <f>Tabela3[[#This Row],[Lucro Distribuir]]*Tabela3[%Div]</f>
        <v>85844137.5</v>
      </c>
      <c r="AD19" s="56">
        <f>SUMPRODUCT(N(Tabela3[Nome]=Tabela3[[#This Row],[Nome]]),Tabela3[Ações])</f>
        <v>2864444110</v>
      </c>
      <c r="AE19" s="85">
        <f>Tabela3[Capital Social]/Tabela3[Total Ações]</f>
        <v>0.2015748877711564</v>
      </c>
      <c r="AF19" s="85">
        <f>Tabela3[[#This Row],[Lucro Líquido]]/Tabela3[[#This Row],[Total Ações]]</f>
        <v>0.12618469277796451</v>
      </c>
      <c r="AG19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2.9036419199485707E-2</v>
      </c>
      <c r="AH19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9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9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2.9036419199485707E-2</v>
      </c>
      <c r="AK19" s="7">
        <f>Tabela3[Div Base]*Tabela3[Ações]</f>
        <v>28631652.73537448</v>
      </c>
      <c r="AL19" s="7">
        <f>SUMPRODUCT(N(Tabela3[Nome]=Tabela3[[#This Row],[Nome]]),Tabela3[Div Base]*Tabela3[Ações])</f>
        <v>71613725.012087822</v>
      </c>
      <c r="AM19" s="5">
        <f>Tabela3[Patrimônio Líquido]/Tabela3[Total Ações]</f>
        <v>0.37068274304713178</v>
      </c>
      <c r="AN19" s="52">
        <f>MAX(Tabela3[[#This Row],[Cotação 1]:[Cotação 5]])</f>
        <v>0.75</v>
      </c>
      <c r="AO19" s="53">
        <f>Tabela3[Cotação]/Tabela3[VPA]</f>
        <v>2.0232935416274249</v>
      </c>
      <c r="AP19" s="37">
        <f>IF(Tabela3[[#This Row],[Lucro/Ação]]&gt;0,Tabela3[[#This Row],[Cotação]]/(Tabela3[[#This Row],[Lucro/Ação]]/Tabela3[Ref]*4),0)</f>
        <v>5.9436686295991965</v>
      </c>
      <c r="AQ19" s="85">
        <f>Tabela3[Lucro Distribuir]/Tabela3[Total Ações]</f>
        <v>0.11987545813906629</v>
      </c>
      <c r="AR19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2.9036419199485707E-2</v>
      </c>
      <c r="AS19" s="10" t="str">
        <f>IF(AND(Tabela3[% A.A.]&gt;=6%,SUMPRODUCT(N(Tabela3[Nome]=Tabela3[[#This Row],[Nome]]),Tabela3[PL])&gt;0,Tabela3[Rentabilidade s/ PL]&gt;=Tabela3[Rentabilidade s/ PL Média]),"Sim","Não")</f>
        <v>Não</v>
      </c>
      <c r="AT19" s="22">
        <f>IF(Tabela3[Cotação]&gt;0,Tabela3[[#This Row],[Lucro]]/Tabela3[[#This Row],[Cotação]],0)</f>
        <v>3.8715225599314278E-2</v>
      </c>
      <c r="AU19" s="22">
        <f>((1+Tabela3[[#This Row],[% Yield]])^(1/(3*Tabela3[[#This Row],[Ref]])))^(12)-1</f>
        <v>3.871522559931484E-2</v>
      </c>
      <c r="AV19" s="10">
        <f>IF(Tabela3[Cotação]&gt;0,($BH$1/Tabela3[[#This Row],[Cotação]]-MOD($BH$1/Tabela3[[#This Row],[Cotação]],100)),)</f>
        <v>600</v>
      </c>
      <c r="AW19" s="7">
        <f>Tabela3[[#This Row],[Ativos]]*Tabela3[Lucro]</f>
        <v>17.421851519691423</v>
      </c>
      <c r="AX19" s="7">
        <f>SUMPRODUCT(N(Tabela1[Código]=Tabela3[[#This Row],[PAPEL]]),Tabela1[Fechamento])</f>
        <v>0</v>
      </c>
      <c r="AY19" s="7">
        <f>SUMPRODUCT(N(Tabela17[Código]=Tabela3[[#This Row],[PAPEL]]),Tabela17[Fechamento])</f>
        <v>0</v>
      </c>
      <c r="AZ19" s="7">
        <f>SUMPRODUCT(N(Tabela176[Código]=Tabela3[[#This Row],[PAPEL]]),Tabela176[Fechamento])</f>
        <v>0</v>
      </c>
      <c r="BA19" s="7">
        <f>SUMPRODUCT(N(Tabela1768[Código]=Tabela3[[#This Row],[PAPEL]]),Tabela1768[Fechamento])</f>
        <v>0.75</v>
      </c>
      <c r="BB19" s="7">
        <f>SUMPRODUCT(N(Tabela17683[Código]=Tabela3[[#This Row],[PAPEL]]),Tabela17683[Fechamento])</f>
        <v>0</v>
      </c>
    </row>
    <row r="20" spans="1:54" hidden="1" x14ac:dyDescent="0.2">
      <c r="A20" s="3" t="s">
        <v>1476</v>
      </c>
      <c r="B20" s="57" t="s">
        <v>1469</v>
      </c>
      <c r="C20" s="16" t="str">
        <f>LEFT(Tabela3[PAPEL],LEN(Tabela3[PAPEL])-(LEN(Tabela3[PAPEL])-4))</f>
        <v>CCRO</v>
      </c>
      <c r="D20" s="16">
        <v>3</v>
      </c>
      <c r="E20" s="5">
        <v>2055495430.54</v>
      </c>
      <c r="F20" s="56">
        <v>1765587200</v>
      </c>
      <c r="G20" s="81">
        <v>0.25</v>
      </c>
      <c r="H20" s="87"/>
      <c r="J20" s="18"/>
      <c r="K20" s="16"/>
      <c r="L20" s="87"/>
      <c r="M20" s="54">
        <v>5045764000</v>
      </c>
      <c r="N20" s="54">
        <v>306010000</v>
      </c>
      <c r="O20" s="54">
        <v>1335678000</v>
      </c>
      <c r="P20" s="91">
        <v>3095932000</v>
      </c>
      <c r="Q20" s="73">
        <v>1044606000</v>
      </c>
      <c r="R20" s="73">
        <f>IF(Tabela3[[#This Row],[Ativo || Passivo]]&gt;0,Tabela3[[#This Row],[Ativo || Passivo]]-Tabela3[[#This Row],[Patrimônio Líquido]],0)</f>
        <v>1949832000</v>
      </c>
      <c r="S20" s="73">
        <f>Tabela3[[#This Row],[Cotação]]*Tabela3[[#This Row],[Total Ações]]</f>
        <v>27419569216</v>
      </c>
      <c r="T20" s="37">
        <f>IF(Tabela3[[#This Row],[Passivo Circulante]]&gt;0,Tabela3[[#This Row],[Ativo Circulante]]/Tabela3[[#This Row],[Passivo Circulante]],0)</f>
        <v>0.22910461952656255</v>
      </c>
      <c r="U20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0" s="18">
        <f>IF(Tabela3[[#This Row],[Lucro Líquido]]&gt;0,Tabela3[[#This Row],[Lucro Líquido]]/Tabela3[[#This Row],[Patrimônio Líquido]],0)</f>
        <v>0.3374124496274466</v>
      </c>
      <c r="W20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0" s="18">
        <f>IF(Tabela3[[#This Row],[Dívida]]&gt;0,Tabela3[[#This Row],[Dívida]]/Tabela3[[#This Row],[Patrimônio Líquido]],0)</f>
        <v>0.62980453059046515</v>
      </c>
      <c r="Y20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0" s="7">
        <f>Tabela3[[#This Row],[Capital Social]]*20%</f>
        <v>411099086.10800004</v>
      </c>
      <c r="AA20" s="47">
        <f>IF((Tabela3[Lucro Líquido]*5%)&gt;Tabela3[Teto R. Legal],Tabela3[Teto R. Legal],Tabela3[Lucro Líquido]*5%)</f>
        <v>52230300</v>
      </c>
      <c r="AB20" s="47">
        <f>IF(Tabela3[Lucro Líquido]&lt;0,0,Tabela3[Lucro Líquido]-Tabela3[Reserva Legal])</f>
        <v>992375700</v>
      </c>
      <c r="AC20" s="47">
        <f>Tabela3[[#This Row],[Lucro Distribuir]]*Tabela3[%Div]</f>
        <v>248093925</v>
      </c>
      <c r="AD20" s="56">
        <f>SUMPRODUCT(N(Tabela3[Nome]=Tabela3[[#This Row],[Nome]]),Tabela3[Ações])</f>
        <v>1765587200</v>
      </c>
      <c r="AE20" s="85">
        <f>Tabela3[Capital Social]/Tabela3[Total Ações]</f>
        <v>1.1641993273059523</v>
      </c>
      <c r="AF20" s="85">
        <f>Tabela3[[#This Row],[Lucro Líquido]]/Tabela3[[#This Row],[Total Ações]]</f>
        <v>0.59164792313854564</v>
      </c>
      <c r="AG20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0.14051638174540459</v>
      </c>
      <c r="AH20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0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0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0.14051638174540459</v>
      </c>
      <c r="AK20" s="7">
        <f>Tabela3[Div Base]*Tabela3[Ações]</f>
        <v>248093925</v>
      </c>
      <c r="AL20" s="121">
        <f>SUMPRODUCT(N(Tabela3[Nome]=Tabela3[[#This Row],[Nome]]),Tabela3[Div Base]*Tabela3[Ações])</f>
        <v>248093925</v>
      </c>
      <c r="AM20" s="5">
        <f>Tabela3[Patrimônio Líquido]/Tabela3[Total Ações]</f>
        <v>1.7534857525020571</v>
      </c>
      <c r="AN20" s="52">
        <f>MAX(Tabela3[[#This Row],[Cotação 1]:[Cotação 5]])</f>
        <v>15.53</v>
      </c>
      <c r="AO20" s="53">
        <f>Tabela3[Cotação]/Tabela3[VPA]</f>
        <v>8.8566445309522308</v>
      </c>
      <c r="AP20" s="37">
        <f>IF(Tabela3[[#This Row],[Lucro/Ação]]&gt;0,Tabela3[[#This Row],[Cotação]]/(Tabela3[[#This Row],[Lucro/Ação]]/Tabela3[Ref]*4),0)</f>
        <v>19.686539146817076</v>
      </c>
      <c r="AQ20" s="85">
        <f>Tabela3[Lucro Distribuir]/Tabela3[Total Ações]</f>
        <v>0.56206552698161838</v>
      </c>
      <c r="AR20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0.14051638174540459</v>
      </c>
      <c r="AS20" s="10" t="str">
        <f>IF(AND(Tabela3[% A.A.]&gt;=6%,SUMPRODUCT(N(Tabela3[Nome]=Tabela3[[#This Row],[Nome]]),Tabela3[PL])&gt;0,Tabela3[Rentabilidade s/ PL]&gt;=Tabela3[Rentabilidade s/ PL Média]),"Sim","Não")</f>
        <v>Não</v>
      </c>
      <c r="AT20" s="22">
        <f>IF(Tabela3[Cotação]&gt;0,Tabela3[[#This Row],[Lucro]]/Tabela3[[#This Row],[Cotação]],0)</f>
        <v>9.0480606403995235E-3</v>
      </c>
      <c r="AU20" s="22">
        <f>((1+Tabela3[[#This Row],[% Yield]])^(1/(3*Tabela3[[#This Row],[Ref]])))^(12)-1</f>
        <v>1.2082237167154286E-2</v>
      </c>
      <c r="AV20" s="10">
        <f>IF(Tabela3[Cotação]&gt;0,($BH$1/Tabela3[[#This Row],[Cotação]]-MOD($BH$1/Tabela3[[#This Row],[Cotação]],100)),)</f>
        <v>0</v>
      </c>
      <c r="AW20" s="7">
        <f>Tabela3[[#This Row],[Ativos]]*Tabela3[Lucro]</f>
        <v>0</v>
      </c>
      <c r="AX20" s="7">
        <f>SUMPRODUCT(N(Tabela1[Código]=Tabela3[[#This Row],[PAPEL]]),Tabela1[Fechamento])</f>
        <v>0</v>
      </c>
      <c r="AY20" s="7">
        <f>SUMPRODUCT(N(Tabela17[Código]=Tabela3[[#This Row],[PAPEL]]),Tabela17[Fechamento])</f>
        <v>0</v>
      </c>
      <c r="AZ20" s="7">
        <f>SUMPRODUCT(N(Tabela176[Código]=Tabela3[[#This Row],[PAPEL]]),Tabela176[Fechamento])</f>
        <v>0</v>
      </c>
      <c r="BA20" s="7">
        <f>SUMPRODUCT(N(Tabela1768[Código]=Tabela3[[#This Row],[PAPEL]]),Tabela1768[Fechamento])</f>
        <v>0</v>
      </c>
      <c r="BB20" s="7">
        <f>SUMPRODUCT(N(Tabela17683[Código]=Tabela3[[#This Row],[PAPEL]]),Tabela17683[Fechamento])</f>
        <v>15.53</v>
      </c>
    </row>
    <row r="21" spans="1:54" hidden="1" x14ac:dyDescent="0.2">
      <c r="A21" s="4" t="s">
        <v>340</v>
      </c>
      <c r="B21" s="57" t="s">
        <v>1436</v>
      </c>
      <c r="C21" s="16" t="str">
        <f>LEFT(Tabela3[PAPEL],LEN(Tabela3[PAPEL])-(LEN(Tabela3[PAPEL])-4))</f>
        <v>PTBL</v>
      </c>
      <c r="D21" s="16">
        <v>3</v>
      </c>
      <c r="E21" s="5">
        <v>46065164.310000002</v>
      </c>
      <c r="F21" s="56">
        <v>159008924</v>
      </c>
      <c r="G21" s="81">
        <v>0.25</v>
      </c>
      <c r="H21" s="18"/>
      <c r="J21" s="18"/>
      <c r="K21" s="16"/>
      <c r="L21" s="87"/>
      <c r="M21" s="54">
        <v>954974000</v>
      </c>
      <c r="N21" s="54">
        <v>437578000</v>
      </c>
      <c r="O21" s="54">
        <v>313530000</v>
      </c>
      <c r="P21" s="91">
        <v>170850000</v>
      </c>
      <c r="Q21" s="73">
        <v>51178000</v>
      </c>
      <c r="R21" s="73">
        <f>IF(Tabela3[[#This Row],[Ativo || Passivo]]&gt;0,Tabela3[[#This Row],[Ativo || Passivo]]-Tabela3[[#This Row],[Patrimônio Líquido]],0)</f>
        <v>784124000</v>
      </c>
      <c r="S21" s="73">
        <f>Tabela3[[#This Row],[Cotação]]*Tabela3[[#This Row],[Total Ações]]</f>
        <v>669427570.03999996</v>
      </c>
      <c r="T21" s="37">
        <f>IF(Tabela3[[#This Row],[Passivo Circulante]]&gt;0,Tabela3[[#This Row],[Ativo Circulante]]/Tabela3[[#This Row],[Passivo Circulante]],0)</f>
        <v>1.3956495391190635</v>
      </c>
      <c r="U21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1" s="18">
        <f>IF(Tabela3[[#This Row],[Lucro Líquido]]&gt;0,Tabela3[[#This Row],[Lucro Líquido]]/Tabela3[[#This Row],[Patrimônio Líquido]],0)</f>
        <v>0.29954931226221831</v>
      </c>
      <c r="W21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1" s="18">
        <f>IF(Tabela3[[#This Row],[Dívida]]&gt;0,Tabela3[[#This Row],[Dívida]]/Tabela3[[#This Row],[Patrimônio Líquido]],0)</f>
        <v>4.5895463857184664</v>
      </c>
      <c r="Y21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1" s="7">
        <f>Tabela3[[#This Row],[Capital Social]]*20%</f>
        <v>9213032.8620000016</v>
      </c>
      <c r="AA21" s="47">
        <f>IF((Tabela3[Lucro Líquido]*5%)&gt;Tabela3[Teto R. Legal],Tabela3[Teto R. Legal],Tabela3[Lucro Líquido]*5%)</f>
        <v>2558900</v>
      </c>
      <c r="AB21" s="47">
        <f>IF(Tabela3[Lucro Líquido]&lt;0,0,Tabela3[Lucro Líquido]-Tabela3[Reserva Legal])</f>
        <v>48619100</v>
      </c>
      <c r="AC21" s="47">
        <f>Tabela3[[#This Row],[Lucro Distribuir]]*Tabela3[%Div]</f>
        <v>12154775</v>
      </c>
      <c r="AD21" s="56">
        <f>SUMPRODUCT(N(Tabela3[Nome]=Tabela3[[#This Row],[Nome]]),Tabela3[Ações])</f>
        <v>159008924</v>
      </c>
      <c r="AE21" s="85">
        <f>Tabela3[Capital Social]/Tabela3[Total Ações]</f>
        <v>0.28970175478956139</v>
      </c>
      <c r="AF21" s="85">
        <f>Tabela3[[#This Row],[Lucro Líquido]]/Tabela3[[#This Row],[Total Ações]]</f>
        <v>0.32185614940706098</v>
      </c>
      <c r="AG21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7.6440835484176975E-2</v>
      </c>
      <c r="AH21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1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1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7.6440835484176975E-2</v>
      </c>
      <c r="AK21" s="7">
        <f>Tabela3[Div Base]*Tabela3[Ações]</f>
        <v>12154775</v>
      </c>
      <c r="AL21" s="121">
        <f>SUMPRODUCT(N(Tabela3[Nome]=Tabela3[[#This Row],[Nome]]),Tabela3[Div Base]*Tabela3[Ações])</f>
        <v>12154775</v>
      </c>
      <c r="AM21" s="5">
        <f>Tabela3[Patrimônio Líquido]/Tabela3[Total Ações]</f>
        <v>1.07446799652578</v>
      </c>
      <c r="AN21" s="52">
        <f>MAX(Tabela3[[#This Row],[Cotação 1]:[Cotação 5]])</f>
        <v>4.21</v>
      </c>
      <c r="AO21" s="53">
        <f>Tabela3[Cotação]/Tabela3[VPA]</f>
        <v>3.9182181448053846</v>
      </c>
      <c r="AP21" s="37">
        <f>IF(Tabela3[[#This Row],[Lucro/Ação]]&gt;0,Tabela3[[#This Row],[Cotação]]/(Tabela3[[#This Row],[Lucro/Ação]]/Tabela3[Ref]*4),0)</f>
        <v>9.8102832766032275</v>
      </c>
      <c r="AQ21" s="85">
        <f>Tabela3[Lucro Distribuir]/Tabela3[Total Ações]</f>
        <v>0.3057633419367079</v>
      </c>
      <c r="AR21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7.6440835484176975E-2</v>
      </c>
      <c r="AS21" s="10" t="str">
        <f>IF(AND(Tabela3[% A.A.]&gt;=6%,SUMPRODUCT(N(Tabela3[Nome]=Tabela3[[#This Row],[Nome]]),Tabela3[PL])&gt;0,Tabela3[Rentabilidade s/ PL]&gt;=Tabela3[Rentabilidade s/ PL Média]),"Sim","Não")</f>
        <v>Não</v>
      </c>
      <c r="AT21" s="22">
        <f>IF(Tabela3[Cotação]&gt;0,Tabela3[[#This Row],[Lucro]]/Tabela3[[#This Row],[Cotação]],0)</f>
        <v>1.8156968048498093E-2</v>
      </c>
      <c r="AU21" s="22">
        <f>((1+Tabela3[[#This Row],[% Yield]])^(1/(3*Tabela3[[#This Row],[Ref]])))^(12)-1</f>
        <v>2.4282258565601955E-2</v>
      </c>
      <c r="AV21" s="10">
        <f>IF(Tabela3[Cotação]&gt;0,($BD$1/Tabela3[[#This Row],[Cotação]]-MOD($BD$1/Tabela3[[#This Row],[Cotação]],100)),)</f>
        <v>0</v>
      </c>
      <c r="AW21" s="7">
        <f>Tabela3[[#This Row],[Ativos]]*Tabela3[Lucro]</f>
        <v>0</v>
      </c>
      <c r="AX21" s="7">
        <f>SUMPRODUCT(N(Tabela1[Código]=Tabela3[[#This Row],[PAPEL]]),Tabela1[Fechamento])</f>
        <v>0</v>
      </c>
      <c r="AY21" s="7">
        <f>SUMPRODUCT(N(Tabela17[Código]=Tabela3[[#This Row],[PAPEL]]),Tabela17[Fechamento])</f>
        <v>0</v>
      </c>
      <c r="AZ21" s="7">
        <f>SUMPRODUCT(N(Tabela176[Código]=Tabela3[[#This Row],[PAPEL]]),Tabela176[Fechamento])</f>
        <v>0</v>
      </c>
      <c r="BA21" s="7">
        <f>SUMPRODUCT(N(Tabela1768[Código]=Tabela3[[#This Row],[PAPEL]]),Tabela1768[Fechamento])</f>
        <v>0</v>
      </c>
      <c r="BB21" s="7">
        <f>SUMPRODUCT(N(Tabela17683[Código]=Tabela3[[#This Row],[PAPEL]]),Tabela17683[Fechamento])</f>
        <v>4.21</v>
      </c>
    </row>
    <row r="22" spans="1:54" hidden="1" x14ac:dyDescent="0.2">
      <c r="A22" s="3" t="s">
        <v>913</v>
      </c>
      <c r="B22" s="58" t="s">
        <v>925</v>
      </c>
      <c r="C22" s="16" t="str">
        <f>LEFT(Tabela3[PAPEL],LEN(Tabela3[PAPEL])-(LEN(Tabela3[PAPEL])-4))</f>
        <v>VVAR</v>
      </c>
      <c r="D22" s="16">
        <v>4</v>
      </c>
      <c r="E22" s="5"/>
      <c r="F22" s="56"/>
      <c r="G22" s="81">
        <v>0.25</v>
      </c>
      <c r="H22" s="87"/>
      <c r="J22" s="18"/>
      <c r="K22" s="16">
        <v>1</v>
      </c>
      <c r="L22" s="87">
        <v>2</v>
      </c>
      <c r="M22" s="54">
        <v>13300516000</v>
      </c>
      <c r="N22" s="54">
        <v>8853593000</v>
      </c>
      <c r="O22" s="54">
        <v>7717457000</v>
      </c>
      <c r="P22" s="91">
        <v>3950803000</v>
      </c>
      <c r="Q22" s="93">
        <v>1159542000</v>
      </c>
      <c r="R22" s="93">
        <f>IF(Tabela3[[#This Row],[Ativo || Passivo]]&gt;0,Tabela3[[#This Row],[Ativo || Passivo]]-Tabela3[[#This Row],[Patrimônio Líquido]],0)</f>
        <v>9349713000</v>
      </c>
      <c r="S22" s="93">
        <f>Tabela3[[#This Row],[Cotação]]*Tabela3[[#This Row],[Total Ações]]</f>
        <v>29932519029.360001</v>
      </c>
      <c r="T22" s="40">
        <f>IF(Tabela3[[#This Row],[Passivo Circulante]]&gt;0,Tabela3[[#This Row],[Ativo Circulante]]/Tabela3[[#This Row],[Passivo Circulante]],0)</f>
        <v>1.1472163693299491</v>
      </c>
      <c r="U22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2" s="19">
        <f>IF(Tabela3[[#This Row],[Lucro Líquido]]&gt;0,Tabela3[[#This Row],[Lucro Líquido]]/Tabela3[[#This Row],[Patrimônio Líquido]],0)</f>
        <v>0.29349527172071094</v>
      </c>
      <c r="W22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2" s="19">
        <f>IF(Tabela3[[#This Row],[Dívida]]&gt;0,Tabela3[[#This Row],[Dívida]]/Tabela3[[#This Row],[Patrimônio Líquido]],0)</f>
        <v>2.3665348538006072</v>
      </c>
      <c r="Y22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2" s="7">
        <f>Tabela3[[#This Row],[Capital Social]]*20%</f>
        <v>0</v>
      </c>
      <c r="AA22" s="47">
        <f>IF((Tabela3[Lucro Líquido]*5%)&gt;Tabela3[Teto R. Legal],Tabela3[Teto R. Legal],Tabela3[Lucro Líquido]*5%)</f>
        <v>0</v>
      </c>
      <c r="AB22" s="47">
        <f>IF(Tabela3[Lucro Líquido]&lt;0,0,Tabela3[Lucro Líquido]-Tabela3[Reserva Legal])</f>
        <v>1159542000</v>
      </c>
      <c r="AC22" s="47">
        <f>Tabela3[[#This Row],[Lucro Distribuir]]*Tabela3[%Div]</f>
        <v>289885500</v>
      </c>
      <c r="AD22" s="56">
        <f>SUMPRODUCT(N(Tabela3[Nome]=Tabela3[[#This Row],[Nome]]),Tabela3[Ações])</f>
        <v>1290751144</v>
      </c>
      <c r="AE22" s="85">
        <f>Tabela3[Capital Social]/Tabela3[Total Ações]</f>
        <v>0</v>
      </c>
      <c r="AF22" s="85">
        <f>Tabela3[[#This Row],[Lucro Líquido]]/Tabela3[[#This Row],[Total Ações]]</f>
        <v>0.89834667618934916</v>
      </c>
      <c r="AG22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22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2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2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22" s="7">
        <f>Tabela3[Div Base]*Tabela3[Ações]</f>
        <v>0</v>
      </c>
      <c r="AL22" s="7">
        <f>SUMPRODUCT(N(Tabela3[Nome]=Tabela3[[#This Row],[Nome]]),Tabela3[Div Base]*Tabela3[Ações])</f>
        <v>275391225</v>
      </c>
      <c r="AM22" s="5">
        <f>Tabela3[Patrimônio Líquido]/Tabela3[Total Ações]</f>
        <v>3.0608557027937833</v>
      </c>
      <c r="AN22" s="52">
        <f>MAX(Tabela3[[#This Row],[Cotação 1]:[Cotação 5]])</f>
        <v>23.19</v>
      </c>
      <c r="AO22" s="53">
        <f>Tabela3[Cotação]/Tabela3[VPA]</f>
        <v>7.576312721580905</v>
      </c>
      <c r="AP22" s="37">
        <f>IF(Tabela3[[#This Row],[Lucro/Ação]]&gt;0,Tabela3[[#This Row],[Cotação]]/(Tabela3[[#This Row],[Lucro/Ação]]/Tabela3[Ref]*4),0)</f>
        <v>25.814087828953156</v>
      </c>
      <c r="AQ22" s="85">
        <f>Tabela3[Lucro Distribuir]/Tabela3[Total Ações]</f>
        <v>0.89834667618934916</v>
      </c>
      <c r="AR22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0.64007200678491127</v>
      </c>
      <c r="AS22" s="10" t="str">
        <f>IF(AND(Tabela3[% A.A.]&gt;=6%,SUMPRODUCT(N(Tabela3[Nome]=Tabela3[[#This Row],[Nome]]),Tabela3[PL])&gt;0,Tabela3[Rentabilidade s/ PL]&gt;=Tabela3[Rentabilidade s/ PL Média]),"Sim","Não")</f>
        <v>Não</v>
      </c>
      <c r="AT22" s="22">
        <f>IF(Tabela3[Cotação]&gt;0,Tabela3[[#This Row],[Lucro]]/Tabela3[[#This Row],[Cotação]],0)</f>
        <v>2.7601207709569264E-2</v>
      </c>
      <c r="AU22" s="22">
        <f>((1+Tabela3[[#This Row],[% Yield]])^(1/(3*Tabela3[[#This Row],[Ref]])))^(12)-1</f>
        <v>2.7601207709568421E-2</v>
      </c>
      <c r="AV22" s="10">
        <f>IF(Tabela3[Cotação]&gt;0,($BC$1/Tabela3[[#This Row],[Cotação]]-MOD($BC$1/Tabela3[[#This Row],[Cotação]],100)),)</f>
        <v>0</v>
      </c>
      <c r="AW22" s="7">
        <f>Tabela3[[#This Row],[Ativos]]*Tabela3[Lucro]</f>
        <v>0</v>
      </c>
      <c r="AX22" s="7">
        <f>SUMPRODUCT(N(Tabela1[Código]=Tabela3[[#This Row],[PAPEL]]),Tabela1[Fechamento])</f>
        <v>0</v>
      </c>
      <c r="AY22" s="7">
        <f>SUMPRODUCT(N(Tabela17[Código]=Tabela3[[#This Row],[PAPEL]]),Tabela17[Fechamento])</f>
        <v>0</v>
      </c>
      <c r="AZ22" s="7">
        <f>SUMPRODUCT(N(Tabela176[Código]=Tabela3[[#This Row],[PAPEL]]),Tabela176[Fechamento])</f>
        <v>0</v>
      </c>
      <c r="BA22" s="7">
        <f>SUMPRODUCT(N(Tabela1768[Código]=Tabela3[[#This Row],[PAPEL]]),Tabela1768[Fechamento])</f>
        <v>23.19</v>
      </c>
      <c r="BB22" s="7">
        <f>SUMPRODUCT(N(Tabela17683[Código]=Tabela3[[#This Row],[PAPEL]]),Tabela17683[Fechamento])</f>
        <v>0</v>
      </c>
    </row>
    <row r="23" spans="1:54" hidden="1" x14ac:dyDescent="0.2">
      <c r="A23" s="3" t="s">
        <v>913</v>
      </c>
      <c r="B23" s="58" t="s">
        <v>926</v>
      </c>
      <c r="C23" s="16" t="str">
        <f>LEFT(Tabela3[PAPEL],LEN(Tabela3[PAPEL])-(LEN(Tabela3[PAPEL])-4))</f>
        <v>VVAR</v>
      </c>
      <c r="D23" s="16">
        <v>4</v>
      </c>
      <c r="E23" s="5">
        <v>2895452570.5900002</v>
      </c>
      <c r="F23" s="56">
        <v>659164518</v>
      </c>
      <c r="G23" s="81">
        <v>0.25</v>
      </c>
      <c r="H23" s="87"/>
      <c r="J23" s="18"/>
      <c r="K23" s="16"/>
      <c r="L23" s="87"/>
      <c r="M23" s="54">
        <v>13300516000</v>
      </c>
      <c r="N23" s="54">
        <v>8853593000</v>
      </c>
      <c r="O23" s="54">
        <v>7717457000</v>
      </c>
      <c r="P23" s="91">
        <v>3950803000</v>
      </c>
      <c r="Q23" s="73">
        <v>1159542000</v>
      </c>
      <c r="R23" s="73">
        <f>IF(Tabela3[[#This Row],[Ativo || Passivo]]&gt;0,Tabela3[[#This Row],[Ativo || Passivo]]-Tabela3[[#This Row],[Patrimônio Líquido]],0)</f>
        <v>9349713000</v>
      </c>
      <c r="S23" s="73">
        <f>Tabela3[[#This Row],[Cotação]]*Tabela3[[#This Row],[Total Ações]]</f>
        <v>8518957550.3999996</v>
      </c>
      <c r="T23" s="37">
        <f>IF(Tabela3[[#This Row],[Passivo Circulante]]&gt;0,Tabela3[[#This Row],[Ativo Circulante]]/Tabela3[[#This Row],[Passivo Circulante]],0)</f>
        <v>1.1472163693299491</v>
      </c>
      <c r="U23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3" s="18">
        <f>IF(Tabela3[[#This Row],[Lucro Líquido]]&gt;0,Tabela3[[#This Row],[Lucro Líquido]]/Tabela3[[#This Row],[Patrimônio Líquido]],0)</f>
        <v>0.29349527172071094</v>
      </c>
      <c r="W23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3" s="18">
        <f>IF(Tabela3[[#This Row],[Dívida]]&gt;0,Tabela3[[#This Row],[Dívida]]/Tabela3[[#This Row],[Patrimônio Líquido]],0)</f>
        <v>2.3665348538006072</v>
      </c>
      <c r="Y23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3" s="7">
        <f>Tabela3[[#This Row],[Capital Social]]*20%</f>
        <v>579090514.11800003</v>
      </c>
      <c r="AA23" s="47">
        <f>IF((Tabela3[Lucro Líquido]*5%)&gt;Tabela3[Teto R. Legal],Tabela3[Teto R. Legal],Tabela3[Lucro Líquido]*5%)</f>
        <v>57977100</v>
      </c>
      <c r="AB23" s="47">
        <f>IF(Tabela3[Lucro Líquido]&lt;0,0,Tabela3[Lucro Líquido]-Tabela3[Reserva Legal])</f>
        <v>1101564900</v>
      </c>
      <c r="AC23" s="47">
        <f>Tabela3[[#This Row],[Lucro Distribuir]]*Tabela3[%Div]</f>
        <v>275391225</v>
      </c>
      <c r="AD23" s="56">
        <f>SUMPRODUCT(N(Tabela3[Nome]=Tabela3[[#This Row],[Nome]]),Tabela3[Ações])</f>
        <v>1290751144</v>
      </c>
      <c r="AE23" s="85">
        <f>Tabela3[Capital Social]/Tabela3[Total Ações]</f>
        <v>2.2432306831951179</v>
      </c>
      <c r="AF23" s="85">
        <f>Tabela3[[#This Row],[Lucro Líquido]]/Tabela3[[#This Row],[Total Ações]]</f>
        <v>0.89834667618934916</v>
      </c>
      <c r="AG23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0.21335733559497042</v>
      </c>
      <c r="AH23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3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3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0.21335733559497042</v>
      </c>
      <c r="AK23" s="7">
        <f>Tabela3[Div Base]*Tabela3[Ações]</f>
        <v>140637585.27922291</v>
      </c>
      <c r="AL23" s="7">
        <f>SUMPRODUCT(N(Tabela3[Nome]=Tabela3[[#This Row],[Nome]]),Tabela3[Div Base]*Tabela3[Ações])</f>
        <v>275391225</v>
      </c>
      <c r="AM23" s="5">
        <f>Tabela3[Patrimônio Líquido]/Tabela3[Total Ações]</f>
        <v>3.0608557027937833</v>
      </c>
      <c r="AN23" s="52">
        <f>MAX(Tabela3[[#This Row],[Cotação 1]:[Cotação 5]])</f>
        <v>6.6</v>
      </c>
      <c r="AO23" s="53">
        <f>Tabela3[Cotação]/Tabela3[VPA]</f>
        <v>2.1562597655210851</v>
      </c>
      <c r="AP23" s="37">
        <f>IF(Tabela3[[#This Row],[Lucro/Ação]]&gt;0,Tabela3[[#This Row],[Cotação]]/(Tabela3[[#This Row],[Lucro/Ação]]/Tabela3[Ref]*4),0)</f>
        <v>7.3468296537770943</v>
      </c>
      <c r="AQ23" s="85">
        <f>Tabela3[Lucro Distribuir]/Tabela3[Total Ações]</f>
        <v>0.85342934237988166</v>
      </c>
      <c r="AR23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0.21335733559497042</v>
      </c>
      <c r="AS23" s="10" t="str">
        <f>IF(AND(Tabela3[% A.A.]&gt;=6%,SUMPRODUCT(N(Tabela3[Nome]=Tabela3[[#This Row],[Nome]]),Tabela3[PL])&gt;0,Tabela3[Rentabilidade s/ PL]&gt;=Tabela3[Rentabilidade s/ PL Média]),"Sim","Não")</f>
        <v>Não</v>
      </c>
      <c r="AT23" s="22">
        <f>IF(Tabela3[Cotação]&gt;0,Tabela3[[#This Row],[Lucro]]/Tabela3[[#This Row],[Cotação]],0)</f>
        <v>3.2326869029540975E-2</v>
      </c>
      <c r="AU23" s="22">
        <f>((1+Tabela3[[#This Row],[% Yield]])^(1/(3*Tabela3[[#This Row],[Ref]])))^(12)-1</f>
        <v>3.2326869029541516E-2</v>
      </c>
      <c r="AV23" s="10">
        <f>IF(Tabela3[Cotação]&gt;0,($BC$1/Tabela3[[#This Row],[Cotação]]-MOD($BC$1/Tabela3[[#This Row],[Cotação]],100)),)</f>
        <v>0</v>
      </c>
      <c r="AW23" s="7">
        <f>Tabela3[[#This Row],[Ativos]]*Tabela3[Lucro]</f>
        <v>0</v>
      </c>
      <c r="AX23" s="7">
        <f>SUMPRODUCT(N(Tabela1[Código]=Tabela3[[#This Row],[PAPEL]]),Tabela1[Fechamento])</f>
        <v>0</v>
      </c>
      <c r="AY23" s="7">
        <f>SUMPRODUCT(N(Tabela17[Código]=Tabela3[[#This Row],[PAPEL]]),Tabela17[Fechamento])</f>
        <v>0</v>
      </c>
      <c r="AZ23" s="7">
        <f>SUMPRODUCT(N(Tabela176[Código]=Tabela3[[#This Row],[PAPEL]]),Tabela176[Fechamento])</f>
        <v>0</v>
      </c>
      <c r="BA23" s="7">
        <f>SUMPRODUCT(N(Tabela1768[Código]=Tabela3[[#This Row],[PAPEL]]),Tabela1768[Fechamento])</f>
        <v>6.6</v>
      </c>
      <c r="BB23" s="7">
        <f>SUMPRODUCT(N(Tabela17683[Código]=Tabela3[[#This Row],[PAPEL]]),Tabela17683[Fechamento])</f>
        <v>0</v>
      </c>
    </row>
    <row r="24" spans="1:54" hidden="1" x14ac:dyDescent="0.2">
      <c r="A24" s="3" t="s">
        <v>913</v>
      </c>
      <c r="B24" s="58" t="s">
        <v>927</v>
      </c>
      <c r="C24" s="16" t="str">
        <f>LEFT(Tabela3[PAPEL],LEN(Tabela3[PAPEL])-(LEN(Tabela3[PAPEL])-4))</f>
        <v>VVAR</v>
      </c>
      <c r="D24" s="16">
        <v>4</v>
      </c>
      <c r="E24" s="5">
        <v>2895452570.5900002</v>
      </c>
      <c r="F24" s="56">
        <v>631586626</v>
      </c>
      <c r="G24" s="81">
        <v>0.25</v>
      </c>
      <c r="H24" s="87"/>
      <c r="J24" s="18"/>
      <c r="K24" s="16"/>
      <c r="L24" s="87"/>
      <c r="M24" s="54">
        <v>13300516000</v>
      </c>
      <c r="N24" s="54">
        <v>8853593000</v>
      </c>
      <c r="O24" s="54">
        <v>7717457000</v>
      </c>
      <c r="P24" s="91">
        <v>3950803000</v>
      </c>
      <c r="Q24" s="73">
        <v>1159542000</v>
      </c>
      <c r="R24" s="73">
        <f>IF(Tabela3[[#This Row],[Ativo || Passivo]]&gt;0,Tabela3[[#This Row],[Ativo || Passivo]]-Tabela3[[#This Row],[Patrimônio Líquido]],0)</f>
        <v>9349713000</v>
      </c>
      <c r="S24" s="73">
        <f>Tabela3[[#This Row],[Cotação]]*Tabela3[[#This Row],[Total Ações]]</f>
        <v>0</v>
      </c>
      <c r="T24" s="37">
        <f>IF(Tabela3[[#This Row],[Passivo Circulante]]&gt;0,Tabela3[[#This Row],[Ativo Circulante]]/Tabela3[[#This Row],[Passivo Circulante]],0)</f>
        <v>1.1472163693299491</v>
      </c>
      <c r="U24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4" s="18">
        <f>IF(Tabela3[[#This Row],[Lucro Líquido]]&gt;0,Tabela3[[#This Row],[Lucro Líquido]]/Tabela3[[#This Row],[Patrimônio Líquido]],0)</f>
        <v>0.29349527172071094</v>
      </c>
      <c r="W24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4" s="18">
        <f>IF(Tabela3[[#This Row],[Dívida]]&gt;0,Tabela3[[#This Row],[Dívida]]/Tabela3[[#This Row],[Patrimônio Líquido]],0)</f>
        <v>2.3665348538006072</v>
      </c>
      <c r="Y24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4" s="7">
        <f>Tabela3[[#This Row],[Capital Social]]*20%</f>
        <v>579090514.11800003</v>
      </c>
      <c r="AA24" s="47">
        <f>IF((Tabela3[Lucro Líquido]*5%)&gt;Tabela3[Teto R. Legal],Tabela3[Teto R. Legal],Tabela3[Lucro Líquido]*5%)</f>
        <v>57977100</v>
      </c>
      <c r="AB24" s="47">
        <f>IF(Tabela3[Lucro Líquido]&lt;0,0,Tabela3[Lucro Líquido]-Tabela3[Reserva Legal])</f>
        <v>1101564900</v>
      </c>
      <c r="AC24" s="47">
        <f>Tabela3[[#This Row],[Lucro Distribuir]]*Tabela3[%Div]</f>
        <v>275391225</v>
      </c>
      <c r="AD24" s="56">
        <f>SUMPRODUCT(N(Tabela3[Nome]=Tabela3[[#This Row],[Nome]]),Tabela3[Ações])</f>
        <v>1290751144</v>
      </c>
      <c r="AE24" s="85">
        <f>Tabela3[Capital Social]/Tabela3[Total Ações]</f>
        <v>2.2432306831951179</v>
      </c>
      <c r="AF24" s="85">
        <f>Tabela3[[#This Row],[Lucro Líquido]]/Tabela3[[#This Row],[Total Ações]]</f>
        <v>0.89834667618934916</v>
      </c>
      <c r="AG24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0.21335733559497042</v>
      </c>
      <c r="AH24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4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4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0.21335733559497042</v>
      </c>
      <c r="AK24" s="7">
        <f>Tabela3[Div Base]*Tabela3[Ações]</f>
        <v>134753639.72077706</v>
      </c>
      <c r="AL24" s="7">
        <f>SUMPRODUCT(N(Tabela3[Nome]=Tabela3[[#This Row],[Nome]]),Tabela3[Div Base]*Tabela3[Ações])</f>
        <v>275391225</v>
      </c>
      <c r="AM24" s="5">
        <f>Tabela3[Patrimônio Líquido]/Tabela3[Total Ações]</f>
        <v>3.0608557027937833</v>
      </c>
      <c r="AN24" s="52">
        <f>MAX(Tabela3[[#This Row],[Cotação 1]:[Cotação 5]])</f>
        <v>0</v>
      </c>
      <c r="AO24" s="53">
        <f>Tabela3[Cotação]/Tabela3[VPA]</f>
        <v>0</v>
      </c>
      <c r="AP24" s="37">
        <f>IF(Tabela3[[#This Row],[Lucro/Ação]]&gt;0,Tabela3[[#This Row],[Cotação]]/(Tabela3[[#This Row],[Lucro/Ação]]/Tabela3[Ref]*4),0)</f>
        <v>0</v>
      </c>
      <c r="AQ24" s="85">
        <f>Tabela3[Lucro Distribuir]/Tabela3[Total Ações]</f>
        <v>0.85342934237988166</v>
      </c>
      <c r="AR24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0.21335733559497042</v>
      </c>
      <c r="AS24" s="10" t="str">
        <f>IF(AND(Tabela3[% A.A.]&gt;=6%,SUMPRODUCT(N(Tabela3[Nome]=Tabela3[[#This Row],[Nome]]),Tabela3[PL])&gt;0,Tabela3[Rentabilidade s/ PL]&gt;=Tabela3[Rentabilidade s/ PL Média]),"Sim","Não")</f>
        <v>Não</v>
      </c>
      <c r="AT24" s="22">
        <f>IF(Tabela3[Cotação]&gt;0,Tabela3[[#This Row],[Lucro]]/Tabela3[[#This Row],[Cotação]],0)</f>
        <v>0</v>
      </c>
      <c r="AU24" s="22">
        <f>((1+Tabela3[[#This Row],[% Yield]])^(1/(3*Tabela3[[#This Row],[Ref]])))^(12)-1</f>
        <v>0</v>
      </c>
      <c r="AV24" s="10">
        <f>IF(Tabela3[Cotação]&gt;0,($BC$1/Tabela3[[#This Row],[Cotação]]-MOD($BC$1/Tabela3[[#This Row],[Cotação]],100)),)</f>
        <v>0</v>
      </c>
      <c r="AW24" s="7">
        <f>Tabela3[[#This Row],[Ativos]]*Tabela3[Lucro]</f>
        <v>0</v>
      </c>
      <c r="AX24" s="7">
        <f>SUMPRODUCT(N(Tabela1[Código]=Tabela3[[#This Row],[PAPEL]]),Tabela1[Fechamento])</f>
        <v>0</v>
      </c>
      <c r="AY24" s="7">
        <f>SUMPRODUCT(N(Tabela17[Código]=Tabela3[[#This Row],[PAPEL]]),Tabela17[Fechamento])</f>
        <v>0</v>
      </c>
      <c r="AZ24" s="7">
        <f>SUMPRODUCT(N(Tabela176[Código]=Tabela3[[#This Row],[PAPEL]]),Tabela176[Fechamento])</f>
        <v>0</v>
      </c>
      <c r="BA24" s="7">
        <f>SUMPRODUCT(N(Tabela1768[Código]=Tabela3[[#This Row],[PAPEL]]),Tabela1768[Fechamento])</f>
        <v>0</v>
      </c>
      <c r="BB24" s="7">
        <f>SUMPRODUCT(N(Tabela17683[Código]=Tabela3[[#This Row],[PAPEL]]),Tabela17683[Fechamento])</f>
        <v>0</v>
      </c>
    </row>
    <row r="25" spans="1:54" hidden="1" x14ac:dyDescent="0.2">
      <c r="A25" s="4" t="s">
        <v>528</v>
      </c>
      <c r="B25" s="57" t="s">
        <v>533</v>
      </c>
      <c r="C25" s="15" t="str">
        <f>LEFT(Tabela3[PAPEL],LEN(Tabela3[PAPEL])-(LEN(Tabela3[PAPEL])-4))</f>
        <v>CEGR</v>
      </c>
      <c r="D25" s="15">
        <v>3</v>
      </c>
      <c r="E25" s="6">
        <v>362342011.75999999</v>
      </c>
      <c r="F25" s="8">
        <v>51927546</v>
      </c>
      <c r="G25" s="86">
        <v>0.25</v>
      </c>
      <c r="H25" s="15"/>
      <c r="I25" s="19"/>
      <c r="J25" s="19"/>
      <c r="K25" s="88"/>
      <c r="L25" s="88"/>
      <c r="M25" s="55">
        <v>2188906000</v>
      </c>
      <c r="N25" s="55">
        <v>507421000</v>
      </c>
      <c r="O25" s="55">
        <v>653386000</v>
      </c>
      <c r="P25" s="92">
        <v>922580000</v>
      </c>
      <c r="Q25" s="93">
        <v>252179000</v>
      </c>
      <c r="R25" s="93">
        <f>IF(Tabela3[[#This Row],[Ativo || Passivo]]&gt;0,Tabela3[[#This Row],[Ativo || Passivo]]-Tabela3[[#This Row],[Patrimônio Líquido]],0)</f>
        <v>1266326000</v>
      </c>
      <c r="S25" s="93">
        <f>Tabela3[[#This Row],[Cotação]]*Tabela3[[#This Row],[Total Ações]]</f>
        <v>4413841410</v>
      </c>
      <c r="T25" s="40">
        <f>IF(Tabela3[[#This Row],[Passivo Circulante]]&gt;0,Tabela3[[#This Row],[Ativo Circulante]]/Tabela3[[#This Row],[Passivo Circulante]],0)</f>
        <v>0.77660219227225558</v>
      </c>
      <c r="U25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5" s="19">
        <f>IF(Tabela3[[#This Row],[Lucro Líquido]]&gt;0,Tabela3[[#This Row],[Lucro Líquido]]/Tabela3[[#This Row],[Patrimônio Líquido]],0)</f>
        <v>0.27334106527347224</v>
      </c>
      <c r="W25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5" s="19">
        <f>IF(Tabela3[[#This Row],[Dívida]]&gt;0,Tabela3[[#This Row],[Dívida]]/Tabela3[[#This Row],[Patrimônio Líquido]],0)</f>
        <v>1.3725920787357193</v>
      </c>
      <c r="Y25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5" s="13">
        <f>Tabela3[[#This Row],[Capital Social]]*20%</f>
        <v>72468402.351999998</v>
      </c>
      <c r="AA25" s="13">
        <f>IF((Tabela3[Lucro Líquido]*5%)&gt;Tabela3[Teto R. Legal],Tabela3[Teto R. Legal],Tabela3[Lucro Líquido]*5%)</f>
        <v>12608950</v>
      </c>
      <c r="AB25" s="13">
        <f>IF(Tabela3[Lucro Líquido]&lt;0,0,Tabela3[Lucro Líquido]-Tabela3[Reserva Legal])</f>
        <v>239570050</v>
      </c>
      <c r="AC25" s="13">
        <f>Tabela3[[#This Row],[Lucro Distribuir]]*Tabela3[%Div]</f>
        <v>59892512.5</v>
      </c>
      <c r="AD25" s="56">
        <f>SUMPRODUCT(N(Tabela3[Nome]=Tabela3[[#This Row],[Nome]]),Tabela3[Ações])</f>
        <v>51927546</v>
      </c>
      <c r="AE25" s="6">
        <f>Tabela3[Capital Social]/Tabela3[Total Ações]</f>
        <v>6.9778381547242763</v>
      </c>
      <c r="AF25" s="78">
        <f>Tabela3[[#This Row],[Lucro Líquido]]/Tabela3[[#This Row],[Total Ações]]</f>
        <v>4.8563627482030443</v>
      </c>
      <c r="AG25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1.153386152698223</v>
      </c>
      <c r="AH25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5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5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1.153386152698223</v>
      </c>
      <c r="AK25" s="13">
        <f>Tabela3[Div Base]*Tabela3[Ações]</f>
        <v>59892512.5</v>
      </c>
      <c r="AL25" s="13">
        <f>SUMPRODUCT(N(Tabela3[Nome]=Tabela3[[#This Row],[Nome]]),Tabela3[Div Base]*Tabela3[Ações])</f>
        <v>59892512.5</v>
      </c>
      <c r="AM25" s="6">
        <f>Tabela3[Patrimônio Líquido]/Tabela3[Total Ações]</f>
        <v>17.766678209673149</v>
      </c>
      <c r="AN25" s="48">
        <f>MAX(Tabela3[[#This Row],[Cotação 1]:[Cotação 5]])</f>
        <v>85</v>
      </c>
      <c r="AO25" s="44">
        <f>Tabela3[Cotação]/Tabela3[VPA]</f>
        <v>4.7842370417741549</v>
      </c>
      <c r="AP25" s="40">
        <f>IF(Tabela3[[#This Row],[Lucro/Ação]]&gt;0,Tabela3[[#This Row],[Cotação]]/(Tabela3[[#This Row],[Lucro/Ação]]/Tabela3[Ref]*4),0)</f>
        <v>13.127108353590108</v>
      </c>
      <c r="AQ25" s="78">
        <f>Tabela3[Lucro Distribuir]/Tabela3[Total Ações]</f>
        <v>4.6135446107928919</v>
      </c>
      <c r="AR25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1.153386152698223</v>
      </c>
      <c r="AS25" s="14" t="str">
        <f>IF(AND(Tabela3[% A.A.]&gt;=6%,SUMPRODUCT(N(Tabela3[Nome]=Tabela3[[#This Row],[Nome]]),Tabela3[PL])&gt;0,Tabela3[Rentabilidade s/ PL]&gt;=Tabela3[Rentabilidade s/ PL Média]),"Sim","Não")</f>
        <v>Não</v>
      </c>
      <c r="AT25" s="42">
        <f>IF(Tabela3[Cotação]&gt;0,Tabela3[[#This Row],[Lucro]]/Tabela3[[#This Row],[Cotação]],0)</f>
        <v>1.3569248855273211E-2</v>
      </c>
      <c r="AU25" s="42">
        <f>((1+Tabela3[[#This Row],[% Yield]])^(1/(3*Tabela3[[#This Row],[Ref]])))^(12)-1</f>
        <v>1.8133125679044015E-2</v>
      </c>
      <c r="AV25" s="14">
        <f>IF(Tabela3[Cotação]&gt;0,($BH$1/Tabela3[[#This Row],[Cotação]]-MOD($BH$1/Tabela3[[#This Row],[Cotação]],100)),)</f>
        <v>0</v>
      </c>
      <c r="AW25" s="17">
        <f>Tabela3[[#This Row],[Ativos]]*Tabela3[Lucro]</f>
        <v>0</v>
      </c>
      <c r="AX25" s="17">
        <f>SUMPRODUCT(N(Tabela1[Código]=Tabela3[[#This Row],[PAPEL]]),Tabela1[Fechamento])</f>
        <v>0</v>
      </c>
      <c r="AY25" s="17">
        <f>SUMPRODUCT(N(Tabela17[Código]=Tabela3[[#This Row],[PAPEL]]),Tabela17[Fechamento])</f>
        <v>85</v>
      </c>
      <c r="AZ25" s="7">
        <f>SUMPRODUCT(N(Tabela176[Código]=Tabela3[[#This Row],[PAPEL]]),Tabela176[Fechamento])</f>
        <v>0</v>
      </c>
      <c r="BA25" s="7">
        <f>SUMPRODUCT(N(Tabela1768[Código]=Tabela3[[#This Row],[PAPEL]]),Tabela1768[Fechamento])</f>
        <v>0</v>
      </c>
      <c r="BB25" s="7">
        <f>SUMPRODUCT(N(Tabela17683[Código]=Tabela3[[#This Row],[PAPEL]]),Tabela17683[Fechamento])</f>
        <v>0</v>
      </c>
    </row>
    <row r="26" spans="1:54" hidden="1" x14ac:dyDescent="0.2">
      <c r="A26" s="3" t="s">
        <v>1096</v>
      </c>
      <c r="B26" s="58" t="s">
        <v>933</v>
      </c>
      <c r="C26" s="16" t="str">
        <f>LEFT(Tabela3[PAPEL],LEN(Tabela3[PAPEL])-(LEN(Tabela3[PAPEL])-4))</f>
        <v>HGTX</v>
      </c>
      <c r="D26" s="16">
        <v>3</v>
      </c>
      <c r="E26" s="5">
        <v>239435255.55000001</v>
      </c>
      <c r="F26" s="56">
        <v>164611187</v>
      </c>
      <c r="G26" s="81">
        <v>0.25</v>
      </c>
      <c r="H26" s="87"/>
      <c r="J26" s="18"/>
      <c r="K26" s="16"/>
      <c r="L26" s="87"/>
      <c r="M26" s="54">
        <v>1287165000</v>
      </c>
      <c r="N26" s="54">
        <v>919891000</v>
      </c>
      <c r="O26" s="54">
        <v>325842000</v>
      </c>
      <c r="P26" s="91">
        <v>867402000</v>
      </c>
      <c r="Q26" s="73">
        <v>216477000</v>
      </c>
      <c r="R26" s="73">
        <f>IF(Tabela3[[#This Row],[Ativo || Passivo]]&gt;0,Tabela3[[#This Row],[Ativo || Passivo]]-Tabela3[[#This Row],[Patrimônio Líquido]],0)</f>
        <v>419763000</v>
      </c>
      <c r="S26" s="73">
        <f>Tabela3[[#This Row],[Cotação]]*Tabela3[[#This Row],[Total Ações]]</f>
        <v>3930915145.5599999</v>
      </c>
      <c r="T26" s="37">
        <f>IF(Tabela3[[#This Row],[Passivo Circulante]]&gt;0,Tabela3[[#This Row],[Ativo Circulante]]/Tabela3[[#This Row],[Passivo Circulante]],0)</f>
        <v>2.8231197942561117</v>
      </c>
      <c r="U26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6" s="18">
        <f>IF(Tabela3[[#This Row],[Lucro Líquido]]&gt;0,Tabela3[[#This Row],[Lucro Líquido]]/Tabela3[[#This Row],[Patrimônio Líquido]],0)</f>
        <v>0.2495694038058478</v>
      </c>
      <c r="W26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6" s="18">
        <f>IF(Tabela3[[#This Row],[Dívida]]&gt;0,Tabela3[[#This Row],[Dívida]]/Tabela3[[#This Row],[Patrimônio Líquido]],0)</f>
        <v>0.48393132595958965</v>
      </c>
      <c r="Y26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6" s="7">
        <f>Tabela3[[#This Row],[Capital Social]]*20%</f>
        <v>47887051.110000007</v>
      </c>
      <c r="AA26" s="47">
        <f>IF((Tabela3[Lucro Líquido]*5%)&gt;Tabela3[Teto R. Legal],Tabela3[Teto R. Legal],Tabela3[Lucro Líquido]*5%)</f>
        <v>10823850</v>
      </c>
      <c r="AB26" s="47">
        <f>IF(Tabela3[Lucro Líquido]&lt;0,0,Tabela3[Lucro Líquido]-Tabela3[Reserva Legal])</f>
        <v>205653150</v>
      </c>
      <c r="AC26" s="47">
        <f>Tabela3[[#This Row],[Lucro Distribuir]]*Tabela3[%Div]</f>
        <v>51413287.5</v>
      </c>
      <c r="AD26" s="56">
        <f>SUMPRODUCT(N(Tabela3[Nome]=Tabela3[[#This Row],[Nome]]),Tabela3[Ações])</f>
        <v>164611187</v>
      </c>
      <c r="AE26" s="85">
        <f>Tabela3[Capital Social]/Tabela3[Total Ações]</f>
        <v>1.454550325003124</v>
      </c>
      <c r="AF26" s="85">
        <f>Tabela3[[#This Row],[Lucro Líquido]]/Tabela3[[#This Row],[Total Ações]]</f>
        <v>1.3150807302057788</v>
      </c>
      <c r="AG26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0.31233167342387247</v>
      </c>
      <c r="AH26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6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6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0.31233167342387247</v>
      </c>
      <c r="AK26" s="7">
        <f>Tabela3[Div Base]*Tabela3[Ações]</f>
        <v>51413287.5</v>
      </c>
      <c r="AL26" s="7">
        <f>SUMPRODUCT(N(Tabela3[Nome]=Tabela3[[#This Row],[Nome]]),Tabela3[Div Base]*Tabela3[Ações])</f>
        <v>51413287.5</v>
      </c>
      <c r="AM26" s="5">
        <f>Tabela3[Patrimônio Líquido]/Tabela3[Total Ações]</f>
        <v>5.2693988531897284</v>
      </c>
      <c r="AN26" s="52">
        <f>MAX(Tabela3[[#This Row],[Cotação 1]:[Cotação 5]])</f>
        <v>23.88</v>
      </c>
      <c r="AO26" s="53">
        <f>Tabela3[Cotação]/Tabela3[VPA]</f>
        <v>4.5318262415350672</v>
      </c>
      <c r="AP26" s="37">
        <f>IF(Tabela3[[#This Row],[Lucro/Ação]]&gt;0,Tabela3[[#This Row],[Cotação]]/(Tabela3[[#This Row],[Lucro/Ação]]/Tabela3[Ref]*4),0)</f>
        <v>13.618935772252941</v>
      </c>
      <c r="AQ26" s="85">
        <f>Tabela3[Lucro Distribuir]/Tabela3[Total Ações]</f>
        <v>1.2493266936954899</v>
      </c>
      <c r="AR26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0.31233167342387247</v>
      </c>
      <c r="AS26" s="10" t="str">
        <f>IF(AND(Tabela3[% A.A.]&gt;=6%,SUMPRODUCT(N(Tabela3[Nome]=Tabela3[[#This Row],[Nome]]),Tabela3[PL])&gt;0,Tabela3[Rentabilidade s/ PL]&gt;=Tabela3[Rentabilidade s/ PL Média]),"Sim","Não")</f>
        <v>Não</v>
      </c>
      <c r="AT26" s="22">
        <f>IF(Tabela3[Cotação]&gt;0,Tabela3[[#This Row],[Lucro]]/Tabela3[[#This Row],[Cotação]],0)</f>
        <v>1.3079215805019785E-2</v>
      </c>
      <c r="AU26" s="22">
        <f>((1+Tabela3[[#This Row],[% Yield]])^(1/(3*Tabela3[[#This Row],[Ref]])))^(12)-1</f>
        <v>1.7476859156740243E-2</v>
      </c>
      <c r="AV26" s="10">
        <f>IF(Tabela3[Cotação]&gt;0,($BD$1/Tabela3[[#This Row],[Cotação]]-MOD($BD$1/Tabela3[[#This Row],[Cotação]],100)),)</f>
        <v>0</v>
      </c>
      <c r="AW26" s="7">
        <f>Tabela3[[#This Row],[Ativos]]*Tabela3[Lucro]</f>
        <v>0</v>
      </c>
      <c r="AX26" s="7">
        <f>SUMPRODUCT(N(Tabela1[Código]=Tabela3[[#This Row],[PAPEL]]),Tabela1[Fechamento])</f>
        <v>0</v>
      </c>
      <c r="AY26" s="7">
        <f>SUMPRODUCT(N(Tabela17[Código]=Tabela3[[#This Row],[PAPEL]]),Tabela17[Fechamento])</f>
        <v>0</v>
      </c>
      <c r="AZ26" s="7">
        <f>SUMPRODUCT(N(Tabela176[Código]=Tabela3[[#This Row],[PAPEL]]),Tabela176[Fechamento])</f>
        <v>0</v>
      </c>
      <c r="BA26" s="7">
        <f>SUMPRODUCT(N(Tabela1768[Código]=Tabela3[[#This Row],[PAPEL]]),Tabela1768[Fechamento])</f>
        <v>23.88</v>
      </c>
      <c r="BB26" s="7">
        <f>SUMPRODUCT(N(Tabela17683[Código]=Tabela3[[#This Row],[PAPEL]]),Tabela17683[Fechamento])</f>
        <v>0</v>
      </c>
    </row>
    <row r="27" spans="1:54" hidden="1" x14ac:dyDescent="0.2">
      <c r="A27" s="4" t="s">
        <v>26</v>
      </c>
      <c r="B27" s="57" t="s">
        <v>233</v>
      </c>
      <c r="C27" s="14" t="str">
        <f>LEFT(Tabela3[PAPEL],LEN(Tabela3[PAPEL])-(LEN(Tabela3[PAPEL])-4))</f>
        <v>PSSA</v>
      </c>
      <c r="D27" s="15">
        <v>4</v>
      </c>
      <c r="E27" s="6">
        <v>2782000000</v>
      </c>
      <c r="F27" s="38">
        <v>323293030</v>
      </c>
      <c r="G27" s="86">
        <v>0.25</v>
      </c>
      <c r="H27" s="15"/>
      <c r="I27" s="19"/>
      <c r="J27" s="19"/>
      <c r="K27" s="88"/>
      <c r="L27" s="88"/>
      <c r="M27" s="55">
        <v>6557961000</v>
      </c>
      <c r="N27" s="55">
        <v>1093295000</v>
      </c>
      <c r="O27" s="55">
        <v>355712000</v>
      </c>
      <c r="P27" s="6">
        <v>5889163000</v>
      </c>
      <c r="Q27" s="6">
        <v>1405207000</v>
      </c>
      <c r="R27" s="6">
        <f>IF(Tabela3[[#This Row],[Ativo || Passivo]]&gt;0,Tabela3[[#This Row],[Ativo || Passivo]]-Tabela3[[#This Row],[Patrimônio Líquido]],0)</f>
        <v>668798000</v>
      </c>
      <c r="S27" s="6">
        <f>Tabela3[[#This Row],[Cotação]]*Tabela3[[#This Row],[Total Ações]]</f>
        <v>9595337130.3999996</v>
      </c>
      <c r="T27" s="134">
        <f>IF(Tabela3[[#This Row],[Passivo Circulante]]&gt;0,Tabela3[[#This Row],[Ativo Circulante]]/Tabela3[[#This Row],[Passivo Circulante]],0)</f>
        <v>3.0735398299748109</v>
      </c>
      <c r="U27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7" s="19">
        <f>IF(Tabela3[[#This Row],[Lucro Líquido]]&gt;0,Tabela3[[#This Row],[Lucro Líquido]]/Tabela3[[#This Row],[Patrimônio Líquido]],0)</f>
        <v>0.23860895003245791</v>
      </c>
      <c r="W27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7" s="19">
        <f>IF(Tabela3[[#This Row],[Dívida]]&gt;0,Tabela3[[#This Row],[Dívida]]/Tabela3[[#This Row],[Patrimônio Líquido]],0)</f>
        <v>0.11356418560668129</v>
      </c>
      <c r="Y27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7" s="6">
        <f>Tabela3[[#This Row],[Capital Social]]*20%</f>
        <v>556400000</v>
      </c>
      <c r="AA27" s="6">
        <f>IF((Tabela3[Lucro Líquido]*5%)&gt;Tabela3[Teto R. Legal],Tabela3[Teto R. Legal],Tabela3[Lucro Líquido]*5%)</f>
        <v>70260350</v>
      </c>
      <c r="AB27" s="6">
        <f>IF(Tabela3[Lucro Líquido]&lt;0,0,Tabela3[Lucro Líquido]-Tabela3[Reserva Legal])</f>
        <v>1334946650</v>
      </c>
      <c r="AC27" s="6">
        <f>Tabela3[[#This Row],[Lucro Distribuir]]*Tabela3[%Div]</f>
        <v>333736662.5</v>
      </c>
      <c r="AD27" s="56">
        <f>SUMPRODUCT(N(Tabela3[Nome]=Tabela3[[#This Row],[Nome]]),Tabela3[Ações])</f>
        <v>323293030</v>
      </c>
      <c r="AE27" s="6">
        <f>Tabela3[Capital Social]/Tabela3[Total Ações]</f>
        <v>8.6051963446288955</v>
      </c>
      <c r="AF27" s="78">
        <f>Tabela3[[#This Row],[Lucro Líquido]]/Tabela3[[#This Row],[Total Ações]]</f>
        <v>4.3465428252505163</v>
      </c>
      <c r="AG27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1.0323039209969977</v>
      </c>
      <c r="AH27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7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7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1.0323039209969977</v>
      </c>
      <c r="AK27" s="6">
        <f>Tabela3[Div Base]*Tabela3[Ações]</f>
        <v>333736662.5</v>
      </c>
      <c r="AL27" s="6">
        <f>SUMPRODUCT(N(Tabela3[Nome]=Tabela3[[#This Row],[Nome]]),Tabela3[Div Base]*Tabela3[Ações])</f>
        <v>333736662.5</v>
      </c>
      <c r="AM27" s="6">
        <f>Tabela3[Patrimônio Líquido]/Tabela3[Total Ações]</f>
        <v>18.216176822618166</v>
      </c>
      <c r="AN27" s="48">
        <f>MAX(Tabela3[[#This Row],[Cotação 1]:[Cotação 5]])</f>
        <v>29.68</v>
      </c>
      <c r="AO27" s="44">
        <f>Tabela3[Cotação]/Tabela3[VPA]</f>
        <v>1.6293210309172967</v>
      </c>
      <c r="AP27" s="40">
        <f>IF(Tabela3[[#This Row],[Lucro/Ação]]&gt;0,Tabela3[[#This Row],[Cotação]]/(Tabela3[[#This Row],[Lucro/Ação]]/Tabela3[Ref]*4),0)</f>
        <v>6.8284154081213657</v>
      </c>
      <c r="AQ27" s="78">
        <f>Tabela3[Lucro Distribuir]/Tabela3[Total Ações]</f>
        <v>4.129215683987991</v>
      </c>
      <c r="AR27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1.0323039209969977</v>
      </c>
      <c r="AS27" s="15" t="str">
        <f>IF(AND(Tabela3[% A.A.]&gt;=6%,SUMPRODUCT(N(Tabela3[Nome]=Tabela3[[#This Row],[Nome]]),Tabela3[PL])&gt;0,Tabela3[Rentabilidade s/ PL]&gt;=Tabela3[Rentabilidade s/ PL Média]),"Sim","Não")</f>
        <v>Não</v>
      </c>
      <c r="AT27" s="42">
        <f>IF(Tabela3[Cotação]&gt;0,Tabela3[[#This Row],[Lucro]]/Tabela3[[#This Row],[Cotação]],0)</f>
        <v>3.478112941364548E-2</v>
      </c>
      <c r="AU27" s="19">
        <f>((1+Tabela3[[#This Row],[% Yield]])^(1/(3*Tabela3[[#This Row],[Ref]])))^(12)-1</f>
        <v>3.4781129413644862E-2</v>
      </c>
      <c r="AV27" s="14">
        <f>IF(Tabela3[Cotação]&gt;0,($BD$1/Tabela3[[#This Row],[Cotação]]-MOD($BD$1/Tabela3[[#This Row],[Cotação]],100)),)</f>
        <v>0</v>
      </c>
      <c r="AW27" s="17">
        <f>Tabela3[[#This Row],[Ativos]]*Tabela3[Lucro]</f>
        <v>0</v>
      </c>
      <c r="AX27" s="5">
        <f>SUMPRODUCT(N(Tabela1[Código]=Tabela3[[#This Row],[PAPEL]]),Tabela1[Fechamento])</f>
        <v>29.68</v>
      </c>
      <c r="AY27" s="5">
        <f>SUMPRODUCT(N(Tabela17[Código]=Tabela3[[#This Row],[PAPEL]]),Tabela17[Fechamento])</f>
        <v>0</v>
      </c>
      <c r="AZ27" s="7">
        <f>SUMPRODUCT(N(Tabela176[Código]=Tabela3[[#This Row],[PAPEL]]),Tabela176[Fechamento])</f>
        <v>0</v>
      </c>
      <c r="BA27" s="7">
        <f>SUMPRODUCT(N(Tabela1768[Código]=Tabela3[[#This Row],[PAPEL]]),Tabela1768[Fechamento])</f>
        <v>0</v>
      </c>
      <c r="BB27" s="7">
        <f>SUMPRODUCT(N(Tabela17683[Código]=Tabela3[[#This Row],[PAPEL]]),Tabela17683[Fechamento])</f>
        <v>0</v>
      </c>
    </row>
    <row r="28" spans="1:54" x14ac:dyDescent="0.2">
      <c r="A28" s="24" t="s">
        <v>12</v>
      </c>
      <c r="B28" s="57" t="s">
        <v>30</v>
      </c>
      <c r="C28" s="82" t="str">
        <f>LEFT(Tabela3[PAPEL],LEN(Tabela3[PAPEL])-(LEN(Tabela3[PAPEL])-4))</f>
        <v>CMIG</v>
      </c>
      <c r="D28" s="15">
        <v>3</v>
      </c>
      <c r="E28" s="6">
        <v>6294208270</v>
      </c>
      <c r="F28" s="8">
        <v>838076946</v>
      </c>
      <c r="G28" s="86">
        <v>0.5</v>
      </c>
      <c r="H28" s="19">
        <v>0.03</v>
      </c>
      <c r="I28" s="19">
        <v>0.1</v>
      </c>
      <c r="J28" s="19"/>
      <c r="K28" s="88"/>
      <c r="L28" s="88"/>
      <c r="M28" s="13">
        <v>14835981000</v>
      </c>
      <c r="N28" s="13">
        <v>1941871000</v>
      </c>
      <c r="O28" s="13">
        <v>1243252000</v>
      </c>
      <c r="P28" s="90">
        <v>13197926000</v>
      </c>
      <c r="Q28" s="90">
        <v>2271426000</v>
      </c>
      <c r="R28" s="90">
        <f>IF(Tabela3[[#This Row],[Ativo || Passivo]]&gt;0,Tabela3[[#This Row],[Ativo || Passivo]]-Tabela3[[#This Row],[Patrimônio Líquido]],0)</f>
        <v>1638055000</v>
      </c>
      <c r="S28" s="130">
        <f>Tabela3[[#This Row],[Cotação]]*Tabela3[[#This Row],[Total Ações]]</f>
        <v>15962112172.719999</v>
      </c>
      <c r="T28" s="133">
        <f>IF(Tabela3[[#This Row],[Passivo Circulante]]&gt;0,Tabela3[[#This Row],[Ativo Circulante]]/Tabela3[[#This Row],[Passivo Circulante]],0)</f>
        <v>1.5619287159803483</v>
      </c>
      <c r="U28" s="133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8" s="49">
        <f>IF(Tabela3[[#This Row],[Lucro Líquido]]&gt;0,Tabela3[[#This Row],[Lucro Líquido]]/Tabela3[[#This Row],[Patrimônio Líquido]],0)</f>
        <v>0.17210476858257881</v>
      </c>
      <c r="W28" s="4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8" s="49">
        <f>IF(Tabela3[[#This Row],[Dívida]]&gt;0,Tabela3[[#This Row],[Dívida]]/Tabela3[[#This Row],[Patrimônio Líquido]],0)</f>
        <v>0.12411457679032296</v>
      </c>
      <c r="Y28" s="4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8" s="28">
        <f>Tabela3[[#This Row],[Capital Social]]*20%</f>
        <v>1258841654</v>
      </c>
      <c r="AA28" s="28">
        <f>IF((Tabela3[Lucro Líquido]*5%)&gt;Tabela3[Teto R. Legal],Tabela3[Teto R. Legal],Tabela3[Lucro Líquido]*5%)</f>
        <v>113571300</v>
      </c>
      <c r="AB28" s="90">
        <f>IF(Tabela3[Lucro Líquido]&lt;0,0,Tabela3[Lucro Líquido]-Tabela3[Reserva Legal])</f>
        <v>2157854700</v>
      </c>
      <c r="AC28" s="90">
        <f>Tabela3[[#This Row],[Lucro Distribuir]]*Tabela3[%Div]</f>
        <v>1078927350</v>
      </c>
      <c r="AD28" s="56">
        <f>SUMPRODUCT(N(Tabela3[Nome]=Tabela3[[#This Row],[Nome]]),Tabela3[Ações])</f>
        <v>1258841654</v>
      </c>
      <c r="AE28" s="28">
        <f>Tabela3[Capital Social]/Tabela3[Total Ações]</f>
        <v>5</v>
      </c>
      <c r="AF28" s="79">
        <f>Tabela3[[#This Row],[Lucro Líquido]]/Tabela3[[#This Row],[Total Ações]]</f>
        <v>1.8043778522759304</v>
      </c>
      <c r="AG28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0.85707947983106703</v>
      </c>
      <c r="AH28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0.31452548359986188</v>
      </c>
      <c r="AI28" s="79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0.5</v>
      </c>
      <c r="AJ28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0.85707947983106703</v>
      </c>
      <c r="AK28" s="28">
        <f>Tabela3[Div Base]*Tabela3[Ações]</f>
        <v>718298552.93608928</v>
      </c>
      <c r="AL28" s="28">
        <f>SUMPRODUCT(N(Tabela3[Nome]=Tabela3[[#This Row],[Nome]]),Tabela3[Div Base]*Tabela3[Ações])</f>
        <v>1078927350</v>
      </c>
      <c r="AM28" s="28">
        <f>Tabela3[Patrimônio Líquido]/Tabela3[Total Ações]</f>
        <v>10.484182786662062</v>
      </c>
      <c r="AN28" s="29">
        <f>MAX(Tabela3[[#This Row],[Cotação 1]:[Cotação 5]])</f>
        <v>12.68</v>
      </c>
      <c r="AO28" s="30">
        <f>Tabela3[Cotação]/Tabela3[VPA]</f>
        <v>1.2094409510039683</v>
      </c>
      <c r="AP28" s="35">
        <f>IF(Tabela3[[#This Row],[Lucro/Ação]]&gt;0,Tabela3[[#This Row],[Cotação]]/(Tabela3[[#This Row],[Lucro/Ação]]/Tabela3[Ref]*4),0)</f>
        <v>5.2705147028958903</v>
      </c>
      <c r="AQ28" s="78">
        <f>Tabela3[Lucro Distribuir]/Tabela3[Total Ações]</f>
        <v>1.7141589596621341</v>
      </c>
      <c r="AR28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0.85707947983106703</v>
      </c>
      <c r="AS28" s="25" t="str">
        <f>IF(AND(Tabela3[% A.A.]&gt;=6%,SUMPRODUCT(N(Tabela3[Nome]=Tabela3[[#This Row],[Nome]]),Tabela3[PL])&gt;0,Tabela3[Rentabilidade s/ PL]&gt;=Tabela3[Rentabilidade s/ PL Média]),"Sim","Não")</f>
        <v>Sim</v>
      </c>
      <c r="AT28" s="27">
        <f>IF(Tabela3[Cotação]&gt;0,Tabela3[[#This Row],[Lucro]]/Tabela3[[#This Row],[Cotação]],0)</f>
        <v>6.7593018914122005E-2</v>
      </c>
      <c r="AU28" s="49">
        <f>((1+Tabela3[[#This Row],[% Yield]])^(1/(3*Tabela3[[#This Row],[Ref]])))^(12)-1</f>
        <v>9.1124481971035509E-2</v>
      </c>
      <c r="AV28" s="10">
        <f>IF(Tabela3[Cotação]&gt;0,($BH$1/Tabela3[[#This Row],[Cotação]]-MOD($BH$1/Tabela3[[#This Row],[Cotação]],100)),)</f>
        <v>0</v>
      </c>
      <c r="AW28" s="7">
        <f>Tabela3[[#This Row],[Ativos]]*Tabela3[Lucro]</f>
        <v>0</v>
      </c>
      <c r="AX28" s="5">
        <f>SUMPRODUCT(N(Tabela1[Código]=Tabela3[[#This Row],[PAPEL]]),Tabela1[Fechamento])</f>
        <v>12.68</v>
      </c>
      <c r="AY28" s="5">
        <f>SUMPRODUCT(N(Tabela17[Código]=Tabela3[[#This Row],[PAPEL]]),Tabela17[Fechamento])</f>
        <v>0</v>
      </c>
      <c r="AZ28" s="7">
        <f>SUMPRODUCT(N(Tabela176[Código]=Tabela3[[#This Row],[PAPEL]]),Tabela176[Fechamento])</f>
        <v>0</v>
      </c>
      <c r="BA28" s="7">
        <f>SUMPRODUCT(N(Tabela1768[Código]=Tabela3[[#This Row],[PAPEL]]),Tabela1768[Fechamento])</f>
        <v>0</v>
      </c>
      <c r="BB28" s="7">
        <f>SUMPRODUCT(N(Tabela17683[Código]=Tabela3[[#This Row],[PAPEL]]),Tabela17683[Fechamento])</f>
        <v>0</v>
      </c>
    </row>
    <row r="29" spans="1:54" x14ac:dyDescent="0.2">
      <c r="A29" s="24" t="s">
        <v>12</v>
      </c>
      <c r="B29" s="57" t="s">
        <v>31</v>
      </c>
      <c r="C29" s="15" t="str">
        <f>LEFT(Tabela3[PAPEL],LEN(Tabela3[PAPEL])-(LEN(Tabela3[PAPEL])-4))</f>
        <v>CMIG</v>
      </c>
      <c r="D29" s="15">
        <v>3</v>
      </c>
      <c r="E29" s="6">
        <v>6294208270</v>
      </c>
      <c r="F29" s="8">
        <v>420764708</v>
      </c>
      <c r="G29" s="81">
        <v>0.5</v>
      </c>
      <c r="H29" s="15"/>
      <c r="I29" s="19">
        <v>0.1</v>
      </c>
      <c r="J29" s="19"/>
      <c r="K29" s="88"/>
      <c r="L29" s="88"/>
      <c r="M29" s="13">
        <v>14835981000</v>
      </c>
      <c r="N29" s="13">
        <v>1941871000</v>
      </c>
      <c r="O29" s="13">
        <v>1243252000</v>
      </c>
      <c r="P29" s="90">
        <v>13197926000</v>
      </c>
      <c r="Q29" s="90">
        <v>2271426000</v>
      </c>
      <c r="R29" s="90">
        <f>IF(Tabela3[[#This Row],[Ativo || Passivo]]&gt;0,Tabela3[[#This Row],[Ativo || Passivo]]-Tabela3[[#This Row],[Patrimônio Líquido]],0)</f>
        <v>1638055000</v>
      </c>
      <c r="S29" s="130">
        <f>Tabela3[[#This Row],[Cotação]]*Tabela3[[#This Row],[Total Ações]]</f>
        <v>16176115253.9</v>
      </c>
      <c r="T29" s="133">
        <f>IF(Tabela3[[#This Row],[Passivo Circulante]]&gt;0,Tabela3[[#This Row],[Ativo Circulante]]/Tabela3[[#This Row],[Passivo Circulante]],0)</f>
        <v>1.5619287159803483</v>
      </c>
      <c r="U29" s="133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9" s="49">
        <f>IF(Tabela3[[#This Row],[Lucro Líquido]]&gt;0,Tabela3[[#This Row],[Lucro Líquido]]/Tabela3[[#This Row],[Patrimônio Líquido]],0)</f>
        <v>0.17210476858257881</v>
      </c>
      <c r="W29" s="4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9" s="49">
        <f>IF(Tabela3[[#This Row],[Dívida]]&gt;0,Tabela3[[#This Row],[Dívida]]/Tabela3[[#This Row],[Patrimônio Líquido]],0)</f>
        <v>0.12411457679032296</v>
      </c>
      <c r="Y29" s="4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9" s="13">
        <f>Tabela3[[#This Row],[Capital Social]]*20%</f>
        <v>1258841654</v>
      </c>
      <c r="AA29" s="13">
        <f>IF((Tabela3[Lucro Líquido]*5%)&gt;Tabela3[Teto R. Legal],Tabela3[Teto R. Legal],Tabela3[Lucro Líquido]*5%)</f>
        <v>113571300</v>
      </c>
      <c r="AB29" s="89">
        <f>IF(Tabela3[Lucro Líquido]&lt;0,0,Tabela3[Lucro Líquido]-Tabela3[Reserva Legal])</f>
        <v>2157854700</v>
      </c>
      <c r="AC29" s="89">
        <f>Tabela3[[#This Row],[Lucro Distribuir]]*Tabela3[%Div]</f>
        <v>1078927350</v>
      </c>
      <c r="AD29" s="56">
        <f>SUMPRODUCT(N(Tabela3[Nome]=Tabela3[[#This Row],[Nome]]),Tabela3[Ações])</f>
        <v>1258841654</v>
      </c>
      <c r="AE29" s="6">
        <f>Tabela3[Capital Social]/Tabela3[Total Ações]</f>
        <v>5</v>
      </c>
      <c r="AF29" s="78">
        <f>Tabela3[[#This Row],[Lucro Líquido]]/Tabela3[[#This Row],[Total Ações]]</f>
        <v>1.8043778522759304</v>
      </c>
      <c r="AG29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0.85707947983106703</v>
      </c>
      <c r="AH29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1.9377356935207946</v>
      </c>
      <c r="AI29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0.5</v>
      </c>
      <c r="AJ29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0.85707947983106703</v>
      </c>
      <c r="AK29" s="13">
        <f>Tabela3[Div Base]*Tabela3[Ações]</f>
        <v>360628797.06391078</v>
      </c>
      <c r="AL29" s="13">
        <f>SUMPRODUCT(N(Tabela3[Nome]=Tabela3[[#This Row],[Nome]]),Tabela3[Div Base]*Tabela3[Ações])</f>
        <v>1078927350</v>
      </c>
      <c r="AM29" s="6">
        <f>Tabela3[Patrimônio Líquido]/Tabela3[Total Ações]</f>
        <v>10.484182786662062</v>
      </c>
      <c r="AN29" s="48">
        <f>MAX(Tabela3[[#This Row],[Cotação 1]:[Cotação 5]])</f>
        <v>12.85</v>
      </c>
      <c r="AO29" s="44">
        <f>Tabela3[Cotação]/Tabela3[VPA]</f>
        <v>1.225655853343927</v>
      </c>
      <c r="AP29" s="40">
        <f>IF(Tabela3[[#This Row],[Lucro/Ação]]&gt;0,Tabela3[[#This Row],[Cotação]]/(Tabela3[[#This Row],[Lucro/Ação]]/Tabela3[Ref]*4),0)</f>
        <v>5.3411761776192579</v>
      </c>
      <c r="AQ29" s="78">
        <f>Tabela3[Lucro Distribuir]/Tabela3[Total Ações]</f>
        <v>1.7141589596621341</v>
      </c>
      <c r="AR29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0.85707947983106703</v>
      </c>
      <c r="AS29" s="14" t="str">
        <f>IF(AND(Tabela3[% A.A.]&gt;=6%,SUMPRODUCT(N(Tabela3[Nome]=Tabela3[[#This Row],[Nome]]),Tabela3[PL])&gt;0,Tabela3[Rentabilidade s/ PL]&gt;=Tabela3[Rentabilidade s/ PL Média]),"Sim","Não")</f>
        <v>Sim</v>
      </c>
      <c r="AT29" s="42">
        <f>IF(Tabela3[Cotação]&gt;0,Tabela3[[#This Row],[Lucro]]/Tabela3[[#This Row],[Cotação]],0)</f>
        <v>6.6698792204752305E-2</v>
      </c>
      <c r="AU29" s="19">
        <f>((1+Tabela3[[#This Row],[% Yield]])^(1/(3*Tabela3[[#This Row],[Ref]])))^(12)-1</f>
        <v>8.990606958448244E-2</v>
      </c>
      <c r="AV29" s="14">
        <f>IF(Tabela3[Cotação]&gt;0,($BH$1/Tabela3[[#This Row],[Cotação]]-MOD($BH$1/Tabela3[[#This Row],[Cotação]],100)),)</f>
        <v>0</v>
      </c>
      <c r="AW29" s="17">
        <f>Tabela3[[#This Row],[Ativos]]*Tabela3[Lucro]</f>
        <v>0</v>
      </c>
      <c r="AX29" s="47">
        <f>SUMPRODUCT(N(Tabela1[Código]=Tabela3[[#This Row],[PAPEL]]),Tabela1[Fechamento])</f>
        <v>12.85</v>
      </c>
      <c r="AY29" s="47">
        <f>SUMPRODUCT(N(Tabela17[Código]=Tabela3[[#This Row],[PAPEL]]),Tabela17[Fechamento])</f>
        <v>0</v>
      </c>
      <c r="AZ29" s="7">
        <f>SUMPRODUCT(N(Tabela176[Código]=Tabela3[[#This Row],[PAPEL]]),Tabela176[Fechamento])</f>
        <v>0</v>
      </c>
      <c r="BA29" s="7">
        <f>SUMPRODUCT(N(Tabela1768[Código]=Tabela3[[#This Row],[PAPEL]]),Tabela1768[Fechamento])</f>
        <v>0</v>
      </c>
      <c r="BB29" s="7">
        <f>SUMPRODUCT(N(Tabela17683[Código]=Tabela3[[#This Row],[PAPEL]]),Tabela17683[Fechamento])</f>
        <v>0</v>
      </c>
    </row>
    <row r="30" spans="1:54" x14ac:dyDescent="0.2">
      <c r="A30" s="3" t="s">
        <v>1552</v>
      </c>
      <c r="B30" s="57" t="s">
        <v>1546</v>
      </c>
      <c r="C30" s="16" t="str">
        <f>LEFT(Tabela3[PAPEL],LEN(Tabela3[PAPEL])-(LEN(Tabela3[PAPEL])-4))</f>
        <v>BALM</v>
      </c>
      <c r="D30" s="16">
        <v>3</v>
      </c>
      <c r="E30" s="5">
        <v>15000000</v>
      </c>
      <c r="F30" s="56">
        <v>490000</v>
      </c>
      <c r="G30" s="81">
        <v>0.25</v>
      </c>
      <c r="H30" s="87"/>
      <c r="J30" s="18"/>
      <c r="K30" s="16"/>
      <c r="L30" s="87"/>
      <c r="M30" s="47">
        <v>109025000</v>
      </c>
      <c r="N30" s="47">
        <v>67948000</v>
      </c>
      <c r="O30" s="47">
        <v>30740000</v>
      </c>
      <c r="P30" s="91">
        <v>65926000</v>
      </c>
      <c r="Q30" s="73">
        <v>10280000</v>
      </c>
      <c r="R30" s="73">
        <f>IF(Tabela3[[#This Row],[Ativo || Passivo]]&gt;0,Tabela3[[#This Row],[Ativo || Passivo]]-Tabela3[[#This Row],[Patrimônio Líquido]],0)</f>
        <v>43099000</v>
      </c>
      <c r="S30" s="7">
        <f>Tabela3[[#This Row],[Cotação]]*Tabela3[[#This Row],[Total Ações]]</f>
        <v>39200000</v>
      </c>
      <c r="T30" s="37">
        <f>IF(Tabela3[[#This Row],[Passivo Circulante]]&gt;0,Tabela3[[#This Row],[Ativo Circulante]]/Tabela3[[#This Row],[Passivo Circulante]],0)</f>
        <v>2.2104098893949251</v>
      </c>
      <c r="U30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0" s="18">
        <f>IF(Tabela3[[#This Row],[Lucro Líquido]]&gt;0,Tabela3[[#This Row],[Lucro Líquido]]/Tabela3[[#This Row],[Patrimônio Líquido]],0)</f>
        <v>0.15593240906470893</v>
      </c>
      <c r="W30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0" s="18">
        <f>IF(Tabela3[[#This Row],[Dívida]]&gt;0,Tabela3[[#This Row],[Dívida]]/Tabela3[[#This Row],[Patrimônio Líquido]],0)</f>
        <v>0.65374814185602037</v>
      </c>
      <c r="Y30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0" s="7">
        <f>Tabela3[[#This Row],[Capital Social]]*20%</f>
        <v>3000000</v>
      </c>
      <c r="AA30" s="47">
        <f>IF((Tabela3[Lucro Líquido]*5%)&gt;Tabela3[Teto R. Legal],Tabela3[Teto R. Legal],Tabela3[Lucro Líquido]*5%)</f>
        <v>514000</v>
      </c>
      <c r="AB30" s="47">
        <f>IF(Tabela3[Lucro Líquido]&lt;0,0,Tabela3[Lucro Líquido]-Tabela3[Reserva Legal])</f>
        <v>9766000</v>
      </c>
      <c r="AC30" s="47">
        <f>Tabela3[[#This Row],[Lucro Distribuir]]*Tabela3[%Div]</f>
        <v>2441500</v>
      </c>
      <c r="AD30" s="56">
        <f>SUMPRODUCT(N(Tabela3[Nome]=Tabela3[[#This Row],[Nome]]),Tabela3[Ações])</f>
        <v>980000</v>
      </c>
      <c r="AE30" s="85">
        <f>Tabela3[Capital Social]/Tabela3[Total Ações]</f>
        <v>15.306122448979592</v>
      </c>
      <c r="AF30" s="85">
        <f>Tabela3[[#This Row],[Lucro Líquido]]/Tabela3[[#This Row],[Total Ações]]</f>
        <v>10.489795918367347</v>
      </c>
      <c r="AG30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2.4913265306122447</v>
      </c>
      <c r="AH30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0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0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2.4913265306122447</v>
      </c>
      <c r="AK30" s="7">
        <f>Tabela3[Div Base]*Tabela3[Ações]</f>
        <v>1220750</v>
      </c>
      <c r="AL30" s="121">
        <f>SUMPRODUCT(N(Tabela3[Nome]=Tabela3[[#This Row],[Nome]]),Tabela3[Div Base]*Tabela3[Ações])</f>
        <v>2685650</v>
      </c>
      <c r="AM30" s="5">
        <f>Tabela3[Patrimônio Líquido]/Tabela3[Total Ações]</f>
        <v>67.271428571428572</v>
      </c>
      <c r="AN30" s="52">
        <f>MAX(Tabela3[[#This Row],[Cotação 1]:[Cotação 5]])</f>
        <v>40</v>
      </c>
      <c r="AO30" s="53">
        <f>Tabela3[Cotação]/Tabela3[VPA]</f>
        <v>0.59460607347632188</v>
      </c>
      <c r="AP30" s="37">
        <f>IF(Tabela3[[#This Row],[Lucro/Ação]]&gt;0,Tabela3[[#This Row],[Cotação]]/(Tabela3[[#This Row],[Lucro/Ação]]/Tabela3[Ref]*4),0)</f>
        <v>2.8599221789883265</v>
      </c>
      <c r="AQ30" s="85">
        <f>Tabela3[Lucro Distribuir]/Tabela3[Total Ações]</f>
        <v>9.965306122448979</v>
      </c>
      <c r="AR30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2.4913265306122447</v>
      </c>
      <c r="AS30" s="10" t="str">
        <f>IF(AND(Tabela3[% A.A.]&gt;=6%,SUMPRODUCT(N(Tabela3[Nome]=Tabela3[[#This Row],[Nome]]),Tabela3[PL])&gt;0,Tabela3[Rentabilidade s/ PL]&gt;=Tabela3[Rentabilidade s/ PL Média]),"Sim","Não")</f>
        <v>Sim</v>
      </c>
      <c r="AT30" s="22">
        <f>IF(Tabela3[Cotação]&gt;0,Tabela3[[#This Row],[Lucro]]/Tabela3[[#This Row],[Cotação]],0)</f>
        <v>6.228316326530612E-2</v>
      </c>
      <c r="AU30" s="22">
        <f>((1+Tabela3[[#This Row],[% Yield]])^(1/(3*Tabela3[[#This Row],[Ref]])))^(12)-1</f>
        <v>8.3894628893714795E-2</v>
      </c>
      <c r="AV30" s="10">
        <f>IF(Tabela3[Cotação]&gt;0,($BH$1/Tabela3[[#This Row],[Cotação]]-MOD($BH$1/Tabela3[[#This Row],[Cotação]],100)),)</f>
        <v>0</v>
      </c>
      <c r="AW30" s="7">
        <f>Tabela3[[#This Row],[Ativos]]*Tabela3[Lucro]</f>
        <v>0</v>
      </c>
      <c r="AX30" s="7">
        <f>SUMPRODUCT(N(Tabela1[Código]=Tabela3[[#This Row],[PAPEL]]),Tabela1[Fechamento])</f>
        <v>0</v>
      </c>
      <c r="AY30" s="7">
        <f>SUMPRODUCT(N(Tabela17[Código]=Tabela3[[#This Row],[PAPEL]]),Tabela17[Fechamento])</f>
        <v>0</v>
      </c>
      <c r="AZ30" s="7">
        <f>SUMPRODUCT(N(Tabela176[Código]=Tabela3[[#This Row],[PAPEL]]),Tabela176[Fechamento])</f>
        <v>0</v>
      </c>
      <c r="BA30" s="7">
        <f>SUMPRODUCT(N(Tabela1768[Código]=Tabela3[[#This Row],[PAPEL]]),Tabela1768[Fechamento])</f>
        <v>0</v>
      </c>
      <c r="BB30" s="7">
        <f>SUMPRODUCT(N(Tabela17683[Código]=Tabela3[[#This Row],[PAPEL]]),Tabela17683[Fechamento])</f>
        <v>40</v>
      </c>
    </row>
    <row r="31" spans="1:54" hidden="1" x14ac:dyDescent="0.2">
      <c r="A31" s="3" t="s">
        <v>913</v>
      </c>
      <c r="B31" s="58" t="s">
        <v>919</v>
      </c>
      <c r="C31" s="16" t="str">
        <f>LEFT(Tabela3[PAPEL],LEN(Tabela3[PAPEL])-(LEN(Tabela3[PAPEL])-4))</f>
        <v>BMTO</v>
      </c>
      <c r="D31" s="16">
        <v>3</v>
      </c>
      <c r="E31" s="5">
        <v>577400000</v>
      </c>
      <c r="F31" s="56">
        <v>1878384068</v>
      </c>
      <c r="G31" s="81">
        <v>0.25</v>
      </c>
      <c r="H31" s="87"/>
      <c r="J31" s="18">
        <v>0.1</v>
      </c>
      <c r="K31" s="16"/>
      <c r="L31" s="87"/>
      <c r="M31" s="54">
        <v>1067544000</v>
      </c>
      <c r="N31" s="54">
        <v>944000</v>
      </c>
      <c r="O31" s="54">
        <v>1139000</v>
      </c>
      <c r="P31" s="91">
        <v>1187464000</v>
      </c>
      <c r="Q31" s="73">
        <v>258949000</v>
      </c>
      <c r="R31" s="73">
        <f>IF(Tabela3[[#This Row],[Ativo || Passivo]]&gt;0,Tabela3[[#This Row],[Ativo || Passivo]]-Tabela3[[#This Row],[Patrimônio Líquido]],0)</f>
        <v>-119920000</v>
      </c>
      <c r="S31" s="73">
        <f>Tabela3[[#This Row],[Cotação]]*Tabela3[[#This Row],[Total Ações]]</f>
        <v>2320199729.1000004</v>
      </c>
      <c r="T31" s="37">
        <f>IF(Tabela3[[#This Row],[Passivo Circulante]]&gt;0,Tabela3[[#This Row],[Ativo Circulante]]/Tabela3[[#This Row],[Passivo Circulante]],0)</f>
        <v>0.82879719051799827</v>
      </c>
      <c r="U31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1" s="18">
        <f>IF(Tabela3[[#This Row],[Lucro Líquido]]&gt;0,Tabela3[[#This Row],[Lucro Líquido]]/Tabela3[[#This Row],[Patrimônio Líquido]],0)</f>
        <v>0.21806892672114692</v>
      </c>
      <c r="W31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1" s="18">
        <f>IF(Tabela3[[#This Row],[Dívida]]&gt;0,Tabela3[[#This Row],[Dívida]]/Tabela3[[#This Row],[Patrimônio Líquido]],0)</f>
        <v>0</v>
      </c>
      <c r="Y31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1" s="7">
        <f>Tabela3[[#This Row],[Capital Social]]*20%</f>
        <v>115480000</v>
      </c>
      <c r="AA31" s="47">
        <f>IF((Tabela3[Lucro Líquido]*5%)&gt;Tabela3[Teto R. Legal],Tabela3[Teto R. Legal],Tabela3[Lucro Líquido]*5%)</f>
        <v>12947450</v>
      </c>
      <c r="AB31" s="47">
        <f>IF(Tabela3[Lucro Líquido]&lt;0,0,Tabela3[Lucro Líquido]-Tabela3[Reserva Legal])</f>
        <v>246001550</v>
      </c>
      <c r="AC31" s="47">
        <f>Tabela3[[#This Row],[Lucro Distribuir]]*Tabela3[%Div]</f>
        <v>61500387.5</v>
      </c>
      <c r="AD31" s="56">
        <f>SUMPRODUCT(N(Tabela3[Nome]=Tabela3[[#This Row],[Nome]]),Tabela3[Ações])</f>
        <v>2864444110</v>
      </c>
      <c r="AE31" s="85">
        <f>Tabela3[Capital Social]/Tabela3[Total Ações]</f>
        <v>0.2015748877711564</v>
      </c>
      <c r="AF31" s="85">
        <f>Tabela3[[#This Row],[Lucro Líquido]]/Tabela3[[#This Row],[Total Ações]]</f>
        <v>9.040113545800689E-2</v>
      </c>
      <c r="AG31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2.2882472764197942E-2</v>
      </c>
      <c r="AH31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1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1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2.2882472764197942E-2</v>
      </c>
      <c r="AK31" s="7">
        <f>Tabela3[Div Base]*Tabela3[Ações]</f>
        <v>42982072.276713334</v>
      </c>
      <c r="AL31" s="7">
        <f>SUMPRODUCT(N(Tabela3[Nome]=Tabela3[[#This Row],[Nome]]),Tabela3[Div Base]*Tabela3[Ações])</f>
        <v>71613725.012087822</v>
      </c>
      <c r="AM31" s="5">
        <f>Tabela3[Patrimônio Líquido]/Tabela3[Total Ações]</f>
        <v>0.41455303521352349</v>
      </c>
      <c r="AN31" s="52">
        <f>MAX(Tabela3[[#This Row],[Cotação 1]:[Cotação 5]])</f>
        <v>0.81</v>
      </c>
      <c r="AO31" s="53">
        <f>Tabela3[Cotação]/Tabela3[VPA]</f>
        <v>1.9539116378264942</v>
      </c>
      <c r="AP31" s="37">
        <f>IF(Tabela3[[#This Row],[Lucro/Ação]]&gt;0,Tabela3[[#This Row],[Cotação]]/(Tabela3[[#This Row],[Lucro/Ação]]/Tabela3[Ref]*4),0)</f>
        <v>6.7200483370277553</v>
      </c>
      <c r="AQ31" s="85">
        <f>Tabela3[Lucro Distribuir]/Tabela3[Total Ações]</f>
        <v>8.5881078685106554E-2</v>
      </c>
      <c r="AR31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2.2882472764197942E-2</v>
      </c>
      <c r="AS31" s="10" t="str">
        <f>IF(AND(Tabela3[% A.A.]&gt;=6%,SUMPRODUCT(N(Tabela3[Nome]=Tabela3[[#This Row],[Nome]]),Tabela3[PL])&gt;0,Tabela3[Rentabilidade s/ PL]&gt;=Tabela3[Rentabilidade s/ PL Média]),"Sim","Não")</f>
        <v>Não</v>
      </c>
      <c r="AT31" s="22">
        <f>IF(Tabela3[Cotação]&gt;0,Tabela3[[#This Row],[Lucro]]/Tabela3[[#This Row],[Cotação]],0)</f>
        <v>2.8249966375553014E-2</v>
      </c>
      <c r="AU31" s="22">
        <f>((1+Tabela3[[#This Row],[% Yield]])^(1/(3*Tabela3[[#This Row],[Ref]])))^(12)-1</f>
        <v>3.7842868202496271E-2</v>
      </c>
      <c r="AV31" s="10">
        <f>IF(Tabela3[Cotação]&gt;0,($BH$1/Tabela3[[#This Row],[Cotação]]-MOD($BH$1/Tabela3[[#This Row],[Cotação]],100)),)</f>
        <v>600</v>
      </c>
      <c r="AW31" s="7">
        <f>Tabela3[[#This Row],[Ativos]]*Tabela3[Lucro]</f>
        <v>13.729483658518765</v>
      </c>
      <c r="AX31" s="7">
        <f>SUMPRODUCT(N(Tabela1[Código]=Tabela3[[#This Row],[PAPEL]]),Tabela1[Fechamento])</f>
        <v>0</v>
      </c>
      <c r="AY31" s="7">
        <f>SUMPRODUCT(N(Tabela17[Código]=Tabela3[[#This Row],[PAPEL]]),Tabela17[Fechamento])</f>
        <v>0</v>
      </c>
      <c r="AZ31" s="7">
        <f>SUMPRODUCT(N(Tabela176[Código]=Tabela3[[#This Row],[PAPEL]]),Tabela176[Fechamento])</f>
        <v>0</v>
      </c>
      <c r="BA31" s="7">
        <f>SUMPRODUCT(N(Tabela1768[Código]=Tabela3[[#This Row],[PAPEL]]),Tabela1768[Fechamento])</f>
        <v>0.81</v>
      </c>
      <c r="BB31" s="7">
        <f>SUMPRODUCT(N(Tabela17683[Código]=Tabela3[[#This Row],[PAPEL]]),Tabela17683[Fechamento])</f>
        <v>0</v>
      </c>
    </row>
    <row r="32" spans="1:54" hidden="1" x14ac:dyDescent="0.2">
      <c r="A32" s="4" t="s">
        <v>12</v>
      </c>
      <c r="B32" s="60" t="s">
        <v>177</v>
      </c>
      <c r="C32" s="14" t="str">
        <f>LEFT(Tabela3[PAPEL],LEN(Tabela3[PAPEL])-(LEN(Tabela3[PAPEL])-4))</f>
        <v>TBLE</v>
      </c>
      <c r="D32" s="15">
        <v>3</v>
      </c>
      <c r="E32" s="6">
        <v>2445766091.9000001</v>
      </c>
      <c r="F32" s="8">
        <v>652742192</v>
      </c>
      <c r="G32" s="86">
        <v>0.3</v>
      </c>
      <c r="H32" s="15"/>
      <c r="I32" s="19"/>
      <c r="J32" s="19"/>
      <c r="K32" s="88"/>
      <c r="L32" s="88"/>
      <c r="M32" s="55">
        <v>8789866000</v>
      </c>
      <c r="N32" s="55">
        <v>1018991000</v>
      </c>
      <c r="O32" s="55">
        <v>1276776000</v>
      </c>
      <c r="P32" s="89">
        <v>5308688000</v>
      </c>
      <c r="Q32" s="89">
        <v>1150434000</v>
      </c>
      <c r="R32" s="89">
        <f>IF(Tabela3[[#This Row],[Ativo || Passivo]]&gt;0,Tabela3[[#This Row],[Ativo || Passivo]]-Tabela3[[#This Row],[Patrimônio Líquido]],0)</f>
        <v>3481178000</v>
      </c>
      <c r="S32" s="89">
        <f>Tabela3[[#This Row],[Cotação]]*Tabela3[[#This Row],[Total Ações]]</f>
        <v>22121432886.880001</v>
      </c>
      <c r="T32" s="134">
        <f>IF(Tabela3[[#This Row],[Passivo Circulante]]&gt;0,Tabela3[[#This Row],[Ativo Circulante]]/Tabela3[[#This Row],[Passivo Circulante]],0)</f>
        <v>0.7980969253808029</v>
      </c>
      <c r="U32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2" s="19">
        <f>IF(Tabela3[[#This Row],[Lucro Líquido]]&gt;0,Tabela3[[#This Row],[Lucro Líquido]]/Tabela3[[#This Row],[Patrimônio Líquido]],0)</f>
        <v>0.21670778165904644</v>
      </c>
      <c r="W32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2" s="19">
        <f>IF(Tabela3[[#This Row],[Dívida]]&gt;0,Tabela3[[#This Row],[Dívida]]/Tabela3[[#This Row],[Patrimônio Líquido]],0)</f>
        <v>0.65575110083696764</v>
      </c>
      <c r="Y32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2" s="6">
        <f>Tabela3[[#This Row],[Capital Social]]*20%</f>
        <v>489153218.38000005</v>
      </c>
      <c r="AA32" s="6">
        <f>IF((Tabela3[Lucro Líquido]*5%)&gt;Tabela3[Teto R. Legal],Tabela3[Teto R. Legal],Tabela3[Lucro Líquido]*5%)</f>
        <v>57521700</v>
      </c>
      <c r="AB32" s="89">
        <f>IF(Tabela3[Lucro Líquido]&lt;0,0,Tabela3[Lucro Líquido]-Tabela3[Reserva Legal])</f>
        <v>1092912300</v>
      </c>
      <c r="AC32" s="89">
        <f>Tabela3[[#This Row],[Lucro Distribuir]]*Tabela3[%Div]</f>
        <v>327873690</v>
      </c>
      <c r="AD32" s="56">
        <f>SUMPRODUCT(N(Tabela3[Nome]=Tabela3[[#This Row],[Nome]]),Tabela3[Ações])</f>
        <v>652742192</v>
      </c>
      <c r="AE32" s="6">
        <f>Tabela3[Capital Social]/Tabela3[Total Ações]</f>
        <v>3.7469097629589112</v>
      </c>
      <c r="AF32" s="78">
        <f>Tabela3[[#This Row],[Lucro Líquido]]/Tabela3[[#This Row],[Total Ações]]</f>
        <v>1.7624630583095509</v>
      </c>
      <c r="AG32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0.50230197161822199</v>
      </c>
      <c r="AH32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2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2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0.50230197161822199</v>
      </c>
      <c r="AK32" s="6">
        <f>Tabela3[Div Base]*Tabela3[Ações]</f>
        <v>327873690</v>
      </c>
      <c r="AL32" s="6">
        <f>SUMPRODUCT(N(Tabela3[Nome]=Tabela3[[#This Row],[Nome]]),Tabela3[Div Base]*Tabela3[Ações])</f>
        <v>327873690</v>
      </c>
      <c r="AM32" s="6">
        <f>Tabela3[Patrimônio Líquido]/Tabela3[Total Ações]</f>
        <v>8.1329015728770297</v>
      </c>
      <c r="AN32" s="48">
        <f>MAX(Tabela3[[#This Row],[Cotação 1]:[Cotação 5]])</f>
        <v>33.89</v>
      </c>
      <c r="AO32" s="44">
        <f>Tabela3[Cotação]/Tabela3[VPA]</f>
        <v>4.1670244864418473</v>
      </c>
      <c r="AP32" s="40">
        <f>IF(Tabela3[[#This Row],[Lucro/Ação]]&gt;0,Tabela3[[#This Row],[Cotação]]/(Tabela3[[#This Row],[Lucro/Ação]]/Tabela3[Ref]*4),0)</f>
        <v>14.4215788695049</v>
      </c>
      <c r="AQ32" s="78">
        <f>Tabela3[Lucro Distribuir]/Tabela3[Total Ações]</f>
        <v>1.6743399053940733</v>
      </c>
      <c r="AR32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0.50230197161822199</v>
      </c>
      <c r="AS32" s="15" t="str">
        <f>IF(AND(Tabela3[% A.A.]&gt;=6%,SUMPRODUCT(N(Tabela3[Nome]=Tabela3[[#This Row],[Nome]]),Tabela3[PL])&gt;0,Tabela3[Rentabilidade s/ PL]&gt;=Tabela3[Rentabilidade s/ PL Média]),"Sim","Não")</f>
        <v>Não</v>
      </c>
      <c r="AT32" s="42">
        <f>IF(Tabela3[Cotação]&gt;0,Tabela3[[#This Row],[Lucro]]/Tabela3[[#This Row],[Cotação]],0)</f>
        <v>1.4821539439900324E-2</v>
      </c>
      <c r="AU32" s="19">
        <f>((1+Tabela3[[#This Row],[% Yield]])^(1/(3*Tabela3[[#This Row],[Ref]])))^(12)-1</f>
        <v>1.9810710123556952E-2</v>
      </c>
      <c r="AV32" s="14">
        <f>IF(Tabela3[Cotação]&gt;0,($BD$1/Tabela3[[#This Row],[Cotação]]-MOD($BD$1/Tabela3[[#This Row],[Cotação]],100)),)</f>
        <v>0</v>
      </c>
      <c r="AW32" s="17">
        <f>Tabela3[[#This Row],[Ativos]]*Tabela3[Lucro]</f>
        <v>0</v>
      </c>
      <c r="AX32" s="5">
        <f>SUMPRODUCT(N(Tabela1[Código]=Tabela3[[#This Row],[PAPEL]]),Tabela1[Fechamento])</f>
        <v>33.89</v>
      </c>
      <c r="AY32" s="5">
        <f>SUMPRODUCT(N(Tabela17[Código]=Tabela3[[#This Row],[PAPEL]]),Tabela17[Fechamento])</f>
        <v>0</v>
      </c>
      <c r="AZ32" s="7">
        <f>SUMPRODUCT(N(Tabela176[Código]=Tabela3[[#This Row],[PAPEL]]),Tabela176[Fechamento])</f>
        <v>0</v>
      </c>
      <c r="BA32" s="7">
        <f>SUMPRODUCT(N(Tabela1768[Código]=Tabela3[[#This Row],[PAPEL]]),Tabela1768[Fechamento])</f>
        <v>0</v>
      </c>
      <c r="BB32" s="7">
        <f>SUMPRODUCT(N(Tabela17683[Código]=Tabela3[[#This Row],[PAPEL]]),Tabela17683[Fechamento])</f>
        <v>0</v>
      </c>
    </row>
    <row r="33" spans="1:54" hidden="1" x14ac:dyDescent="0.2">
      <c r="A33" s="3" t="s">
        <v>1147</v>
      </c>
      <c r="B33" s="58" t="s">
        <v>1152</v>
      </c>
      <c r="C33" s="16" t="str">
        <f>LEFT(Tabela3[PAPEL],LEN(Tabela3[PAPEL])-(LEN(Tabela3[PAPEL])-4))</f>
        <v>GRND</v>
      </c>
      <c r="D33" s="16">
        <v>4</v>
      </c>
      <c r="E33" s="5">
        <v>1231301604.46</v>
      </c>
      <c r="F33" s="56">
        <v>300720000</v>
      </c>
      <c r="G33" s="81">
        <v>0.25</v>
      </c>
      <c r="H33" s="87"/>
      <c r="J33" s="18"/>
      <c r="K33" s="16"/>
      <c r="L33" s="87"/>
      <c r="M33" s="54">
        <v>2285211000</v>
      </c>
      <c r="N33" s="54">
        <v>1572896000</v>
      </c>
      <c r="O33" s="54">
        <v>208161000</v>
      </c>
      <c r="P33" s="5">
        <v>2060734000</v>
      </c>
      <c r="Q33" s="73">
        <v>433540000</v>
      </c>
      <c r="R33" s="73">
        <f>IF(Tabela3[[#This Row],[Ativo || Passivo]]&gt;0,Tabela3[[#This Row],[Ativo || Passivo]]-Tabela3[[#This Row],[Patrimônio Líquido]],0)</f>
        <v>224477000</v>
      </c>
      <c r="S33" s="73">
        <f>Tabela3[[#This Row],[Cotação]]*Tabela3[[#This Row],[Total Ações]]</f>
        <v>0</v>
      </c>
      <c r="T33" s="37">
        <f>IF(Tabela3[[#This Row],[Passivo Circulante]]&gt;0,Tabela3[[#This Row],[Ativo Circulante]]/Tabela3[[#This Row],[Passivo Circulante]],0)</f>
        <v>7.5561512483126041</v>
      </c>
      <c r="U33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3" s="18">
        <f>IF(Tabela3[[#This Row],[Lucro Líquido]]&gt;0,Tabela3[[#This Row],[Lucro Líquido]]/Tabela3[[#This Row],[Patrimônio Líquido]],0)</f>
        <v>0.21038134955797302</v>
      </c>
      <c r="W33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3" s="18">
        <f>IF(Tabela3[[#This Row],[Dívida]]&gt;0,Tabela3[[#This Row],[Dívida]]/Tabela3[[#This Row],[Patrimônio Líquido]],0)</f>
        <v>0.10893060433806595</v>
      </c>
      <c r="Y33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3" s="7">
        <f>Tabela3[[#This Row],[Capital Social]]*20%</f>
        <v>246260320.89200002</v>
      </c>
      <c r="AA33" s="47">
        <f>IF((Tabela3[Lucro Líquido]*5%)&gt;Tabela3[Teto R. Legal],Tabela3[Teto R. Legal],Tabela3[Lucro Líquido]*5%)</f>
        <v>21677000</v>
      </c>
      <c r="AB33" s="47">
        <f>IF(Tabela3[Lucro Líquido]&lt;0,0,Tabela3[Lucro Líquido]-Tabela3[Reserva Legal])</f>
        <v>411863000</v>
      </c>
      <c r="AC33" s="47">
        <f>Tabela3[[#This Row],[Lucro Distribuir]]*Tabela3[%Div]</f>
        <v>102965750</v>
      </c>
      <c r="AD33" s="56">
        <f>SUMPRODUCT(N(Tabela3[Nome]=Tabela3[[#This Row],[Nome]]),Tabela3[Ações])</f>
        <v>300720000</v>
      </c>
      <c r="AE33" s="85">
        <f>Tabela3[Capital Social]/Tabela3[Total Ações]</f>
        <v>4.094511853085927</v>
      </c>
      <c r="AF33" s="85">
        <f>Tabela3[[#This Row],[Lucro Líquido]]/Tabela3[[#This Row],[Total Ações]]</f>
        <v>1.4416733173716414</v>
      </c>
      <c r="AG33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0.34239741287576481</v>
      </c>
      <c r="AH33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3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3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0.34239741287576481</v>
      </c>
      <c r="AK33" s="7">
        <f>Tabela3[Div Base]*Tabela3[Ações]</f>
        <v>102965749.99999999</v>
      </c>
      <c r="AL33" s="7">
        <f>SUMPRODUCT(N(Tabela3[Nome]=Tabela3[[#This Row],[Nome]]),Tabela3[Div Base]*Tabela3[Ações])</f>
        <v>102965749.99999999</v>
      </c>
      <c r="AM33" s="5">
        <f>Tabela3[Patrimônio Líquido]/Tabela3[Total Ações]</f>
        <v>6.8526669326948655</v>
      </c>
      <c r="AN33" s="52">
        <f>MAX(Tabela3[[#This Row],[Cotação 1]:[Cotação 5]])</f>
        <v>0</v>
      </c>
      <c r="AO33" s="53">
        <f>Tabela3[Cotação]/Tabela3[VPA]</f>
        <v>0</v>
      </c>
      <c r="AP33" s="37">
        <f>IF(Tabela3[[#This Row],[Lucro/Ação]]&gt;0,Tabela3[[#This Row],[Cotação]]/(Tabela3[[#This Row],[Lucro/Ação]]/Tabela3[Ref]*4),0)</f>
        <v>0</v>
      </c>
      <c r="AQ33" s="85">
        <f>Tabela3[Lucro Distribuir]/Tabela3[Total Ações]</f>
        <v>1.3695896515030592</v>
      </c>
      <c r="AR33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0.34239741287576481</v>
      </c>
      <c r="AS33" s="10" t="str">
        <f>IF(AND(Tabela3[% A.A.]&gt;=6%,SUMPRODUCT(N(Tabela3[Nome]=Tabela3[[#This Row],[Nome]]),Tabela3[PL])&gt;0,Tabela3[Rentabilidade s/ PL]&gt;=Tabela3[Rentabilidade s/ PL Média]),"Sim","Não")</f>
        <v>Não</v>
      </c>
      <c r="AT33" s="22">
        <f>IF(Tabela3[Cotação]&gt;0,Tabela3[[#This Row],[Lucro]]/Tabela3[[#This Row],[Cotação]],0)</f>
        <v>0</v>
      </c>
      <c r="AU33" s="22">
        <f>((1+Tabela3[[#This Row],[% Yield]])^(1/(3*Tabela3[[#This Row],[Ref]])))^(12)-1</f>
        <v>0</v>
      </c>
      <c r="AV33" s="10">
        <f>IF(Tabela3[Cotação]&gt;0,($BD$1/Tabela3[[#This Row],[Cotação]]-MOD($BD$1/Tabela3[[#This Row],[Cotação]],100)),)</f>
        <v>0</v>
      </c>
      <c r="AW33" s="7">
        <f>Tabela3[[#This Row],[Ativos]]*Tabela3[Lucro]</f>
        <v>0</v>
      </c>
      <c r="AX33" s="7">
        <f>SUMPRODUCT(N(Tabela1[Código]=Tabela3[[#This Row],[PAPEL]]),Tabela1[Fechamento])</f>
        <v>0</v>
      </c>
      <c r="AY33" s="7">
        <f>SUMPRODUCT(N(Tabela17[Código]=Tabela3[[#This Row],[PAPEL]]),Tabela17[Fechamento])</f>
        <v>0</v>
      </c>
      <c r="AZ33" s="7">
        <f>SUMPRODUCT(N(Tabela176[Código]=Tabela3[[#This Row],[PAPEL]]),Tabela176[Fechamento])</f>
        <v>0</v>
      </c>
      <c r="BA33" s="7">
        <f>SUMPRODUCT(N(Tabela1768[Código]=Tabela3[[#This Row],[PAPEL]]),Tabela1768[Fechamento])</f>
        <v>0</v>
      </c>
      <c r="BB33" s="7">
        <f>SUMPRODUCT(N(Tabela17683[Código]=Tabela3[[#This Row],[PAPEL]]),Tabela17683[Fechamento])</f>
        <v>0</v>
      </c>
    </row>
    <row r="34" spans="1:54" hidden="1" x14ac:dyDescent="0.2">
      <c r="A34" s="4" t="s">
        <v>583</v>
      </c>
      <c r="B34" s="57" t="s">
        <v>592</v>
      </c>
      <c r="C34" s="15" t="str">
        <f>LEFT(Tabela3[PAPEL],LEN(Tabela3[PAPEL])-(LEN(Tabela3[PAPEL])-4))</f>
        <v>TOTS</v>
      </c>
      <c r="D34" s="15">
        <v>4</v>
      </c>
      <c r="E34" s="6">
        <v>526592102.22000003</v>
      </c>
      <c r="F34" s="8">
        <v>163467071</v>
      </c>
      <c r="G34" s="86">
        <v>0.25</v>
      </c>
      <c r="H34" s="15"/>
      <c r="I34" s="19"/>
      <c r="J34" s="19"/>
      <c r="K34" s="88"/>
      <c r="L34" s="88"/>
      <c r="M34" s="55">
        <v>1724141000</v>
      </c>
      <c r="N34" s="55">
        <v>855578000</v>
      </c>
      <c r="O34" s="55">
        <v>277528000</v>
      </c>
      <c r="P34" s="92">
        <v>1067621000</v>
      </c>
      <c r="Q34" s="93">
        <v>222512000</v>
      </c>
      <c r="R34" s="93">
        <f>IF(Tabela3[[#This Row],[Ativo || Passivo]]&gt;0,Tabela3[[#This Row],[Ativo || Passivo]]-Tabela3[[#This Row],[Patrimônio Líquido]],0)</f>
        <v>656520000</v>
      </c>
      <c r="S34" s="93">
        <f>Tabela3[[#This Row],[Cotação]]*Tabela3[[#This Row],[Total Ações]]</f>
        <v>5324122502.4700003</v>
      </c>
      <c r="T34" s="40">
        <f>IF(Tabela3[[#This Row],[Passivo Circulante]]&gt;0,Tabela3[[#This Row],[Ativo Circulante]]/Tabela3[[#This Row],[Passivo Circulante]],0)</f>
        <v>3.082852901328875</v>
      </c>
      <c r="U34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4" s="19">
        <f>IF(Tabela3[[#This Row],[Lucro Líquido]]&gt;0,Tabela3[[#This Row],[Lucro Líquido]]/Tabela3[[#This Row],[Patrimônio Líquido]],0)</f>
        <v>0.20841853054595216</v>
      </c>
      <c r="W34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4" s="19">
        <f>IF(Tabela3[[#This Row],[Dívida]]&gt;0,Tabela3[[#This Row],[Dívida]]/Tabela3[[#This Row],[Patrimônio Líquido]],0)</f>
        <v>0.61493732326359263</v>
      </c>
      <c r="Y34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4" s="13">
        <f>Tabela3[[#This Row],[Capital Social]]*20%</f>
        <v>105318420.44400001</v>
      </c>
      <c r="AA34" s="13">
        <f>IF((Tabela3[Lucro Líquido]*5%)&gt;Tabela3[Teto R. Legal],Tabela3[Teto R. Legal],Tabela3[Lucro Líquido]*5%)</f>
        <v>11125600</v>
      </c>
      <c r="AB34" s="13">
        <f>IF(Tabela3[Lucro Líquido]&lt;0,0,Tabela3[Lucro Líquido]-Tabela3[Reserva Legal])</f>
        <v>211386400</v>
      </c>
      <c r="AC34" s="13">
        <f>Tabela3[[#This Row],[Lucro Distribuir]]*Tabela3[%Div]</f>
        <v>52846600</v>
      </c>
      <c r="AD34" s="56">
        <f>SUMPRODUCT(N(Tabela3[Nome]=Tabela3[[#This Row],[Nome]]),Tabela3[Ações])</f>
        <v>163467071</v>
      </c>
      <c r="AE34" s="6">
        <f>Tabela3[Capital Social]/Tabela3[Total Ações]</f>
        <v>3.2213955936116334</v>
      </c>
      <c r="AF34" s="78">
        <f>Tabela3[[#This Row],[Lucro Líquido]]/Tabela3[[#This Row],[Total Ações]]</f>
        <v>1.3612038108886162</v>
      </c>
      <c r="AG34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0.32328590508604638</v>
      </c>
      <c r="AH34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4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4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0.32328590508604638</v>
      </c>
      <c r="AK34" s="13">
        <f>Tabela3[Div Base]*Tabela3[Ações]</f>
        <v>52846600.000000007</v>
      </c>
      <c r="AL34" s="13">
        <f>SUMPRODUCT(N(Tabela3[Nome]=Tabela3[[#This Row],[Nome]]),Tabela3[Div Base]*Tabela3[Ações])</f>
        <v>52846600.000000007</v>
      </c>
      <c r="AM34" s="6">
        <f>Tabela3[Patrimônio Líquido]/Tabela3[Total Ações]</f>
        <v>6.5311074179582018</v>
      </c>
      <c r="AN34" s="48">
        <f>MAX(Tabela3[[#This Row],[Cotação 1]:[Cotação 5]])</f>
        <v>32.57</v>
      </c>
      <c r="AO34" s="44">
        <f>Tabela3[Cotação]/Tabela3[VPA]</f>
        <v>4.9869031261749255</v>
      </c>
      <c r="AP34" s="40">
        <f>IF(Tabela3[[#This Row],[Lucro/Ação]]&gt;0,Tabela3[[#This Row],[Cotação]]/(Tabela3[[#This Row],[Lucro/Ação]]/Tabela3[Ref]*4),0)</f>
        <v>23.927349996719279</v>
      </c>
      <c r="AQ34" s="78">
        <f>Tabela3[Lucro Distribuir]/Tabela3[Total Ações]</f>
        <v>1.2931436203441855</v>
      </c>
      <c r="AR34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0.32328590508604638</v>
      </c>
      <c r="AS34" s="14" t="str">
        <f>IF(AND(Tabela3[% A.A.]&gt;=6%,SUMPRODUCT(N(Tabela3[Nome]=Tabela3[[#This Row],[Nome]]),Tabela3[PL])&gt;0,Tabela3[Rentabilidade s/ PL]&gt;=Tabela3[Rentabilidade s/ PL Média]),"Sim","Não")</f>
        <v>Não</v>
      </c>
      <c r="AT34" s="42">
        <f>IF(Tabela3[Cotação]&gt;0,Tabela3[[#This Row],[Lucro]]/Tabela3[[#This Row],[Cotação]],0)</f>
        <v>9.925879800001423E-3</v>
      </c>
      <c r="AU34" s="42">
        <f>((1+Tabela3[[#This Row],[% Yield]])^(1/(3*Tabela3[[#This Row],[Ref]])))^(12)-1</f>
        <v>9.9258798000003701E-3</v>
      </c>
      <c r="AV34" s="14">
        <f>IF(Tabela3[Cotação]&gt;0,($BD$1/Tabela3[[#This Row],[Cotação]]-MOD($BD$1/Tabela3[[#This Row],[Cotação]],100)),)</f>
        <v>0</v>
      </c>
      <c r="AW34" s="17">
        <f>Tabela3[[#This Row],[Ativos]]*Tabela3[Lucro]</f>
        <v>0</v>
      </c>
      <c r="AX34" s="17">
        <f>SUMPRODUCT(N(Tabela1[Código]=Tabela3[[#This Row],[PAPEL]]),Tabela1[Fechamento])</f>
        <v>0</v>
      </c>
      <c r="AY34" s="17">
        <f>SUMPRODUCT(N(Tabela17[Código]=Tabela3[[#This Row],[PAPEL]]),Tabela17[Fechamento])</f>
        <v>0</v>
      </c>
      <c r="AZ34" s="17">
        <f>SUMPRODUCT(N(Tabela176[Código]=Tabela3[[#This Row],[PAPEL]]),Tabela176[Fechamento])</f>
        <v>32.57</v>
      </c>
      <c r="BA34" s="17">
        <f>SUMPRODUCT(N(Tabela1768[Código]=Tabela3[[#This Row],[PAPEL]]),Tabela1768[Fechamento])</f>
        <v>0</v>
      </c>
      <c r="BB34" s="7">
        <f>SUMPRODUCT(N(Tabela17683[Código]=Tabela3[[#This Row],[PAPEL]]),Tabela17683[Fechamento])</f>
        <v>0</v>
      </c>
    </row>
    <row r="35" spans="1:54" hidden="1" x14ac:dyDescent="0.2">
      <c r="A35" s="4" t="s">
        <v>12</v>
      </c>
      <c r="B35" s="57" t="s">
        <v>467</v>
      </c>
      <c r="C35" s="15" t="str">
        <f>LEFT(Tabela3[PAPEL],LEN(Tabela3[PAPEL])-(LEN(Tabela3[PAPEL])-4))</f>
        <v>CBEE</v>
      </c>
      <c r="D35" s="15">
        <v>4</v>
      </c>
      <c r="E35" s="6">
        <v>1298230386.6500001</v>
      </c>
      <c r="F35" s="8">
        <v>3922515918</v>
      </c>
      <c r="G35" s="81">
        <v>0.25</v>
      </c>
      <c r="H35" s="15"/>
      <c r="I35" s="19"/>
      <c r="J35" s="19"/>
      <c r="K35" s="88"/>
      <c r="L35" s="88"/>
      <c r="M35" s="55">
        <v>5712410000</v>
      </c>
      <c r="N35" s="55">
        <v>1191490000</v>
      </c>
      <c r="O35" s="55">
        <v>954637000</v>
      </c>
      <c r="P35" s="92">
        <v>2480825000</v>
      </c>
      <c r="Q35" s="93">
        <v>515059000</v>
      </c>
      <c r="R35" s="93">
        <f>IF(Tabela3[[#This Row],[Ativo || Passivo]]&gt;0,Tabela3[[#This Row],[Ativo || Passivo]]-Tabela3[[#This Row],[Patrimônio Líquido]],0)</f>
        <v>3231585000</v>
      </c>
      <c r="S35" s="93">
        <f>Tabela3[[#This Row],[Cotação]]*Tabela3[[#This Row],[Total Ações]]</f>
        <v>4510893305.6999998</v>
      </c>
      <c r="T35" s="40">
        <f>IF(Tabela3[[#This Row],[Passivo Circulante]]&gt;0,Tabela3[[#This Row],[Ativo Circulante]]/Tabela3[[#This Row],[Passivo Circulante]],0)</f>
        <v>1.2481079195547626</v>
      </c>
      <c r="U35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5" s="19">
        <f>IF(Tabela3[[#This Row],[Lucro Líquido]]&gt;0,Tabela3[[#This Row],[Lucro Líquido]]/Tabela3[[#This Row],[Patrimônio Líquido]],0)</f>
        <v>0.20761601483377506</v>
      </c>
      <c r="W35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5" s="19">
        <f>IF(Tabela3[[#This Row],[Dívida]]&gt;0,Tabela3[[#This Row],[Dívida]]/Tabela3[[#This Row],[Patrimônio Líquido]],0)</f>
        <v>1.3026251347837916</v>
      </c>
      <c r="Y35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5" s="13">
        <f>Tabela3[[#This Row],[Capital Social]]*20%</f>
        <v>259646077.33000004</v>
      </c>
      <c r="AA35" s="13">
        <f>IF((Tabela3[Lucro Líquido]*5%)&gt;Tabela3[Teto R. Legal],Tabela3[Teto R. Legal],Tabela3[Lucro Líquido]*5%)</f>
        <v>25752950</v>
      </c>
      <c r="AB35" s="13">
        <f>IF(Tabela3[Lucro Líquido]&lt;0,0,Tabela3[Lucro Líquido]-Tabela3[Reserva Legal])</f>
        <v>489306050</v>
      </c>
      <c r="AC35" s="13">
        <f>Tabela3[[#This Row],[Lucro Distribuir]]*Tabela3[%Div]</f>
        <v>122326512.5</v>
      </c>
      <c r="AD35" s="56">
        <f>SUMPRODUCT(N(Tabela3[Nome]=Tabela3[[#This Row],[Nome]]),Tabela3[Ações])</f>
        <v>3922515918</v>
      </c>
      <c r="AE35" s="6">
        <f>Tabela3[Capital Social]/Tabela3[Total Ações]</f>
        <v>0.33096880007358587</v>
      </c>
      <c r="AF35" s="78">
        <f>Tabela3[[#This Row],[Lucro Líquido]]/Tabela3[[#This Row],[Total Ações]]</f>
        <v>0.13130832628019434</v>
      </c>
      <c r="AG35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3.1185727491546154E-2</v>
      </c>
      <c r="AH35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5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5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3.1185727491546154E-2</v>
      </c>
      <c r="AK35" s="13">
        <f>Tabela3[Div Base]*Tabela3[Ações]</f>
        <v>122326512.5</v>
      </c>
      <c r="AL35" s="13">
        <f>SUMPRODUCT(N(Tabela3[Nome]=Tabela3[[#This Row],[Nome]]),Tabela3[Div Base]*Tabela3[Ações])</f>
        <v>122326512.5</v>
      </c>
      <c r="AM35" s="6">
        <f>Tabela3[Patrimônio Líquido]/Tabela3[Total Ações]</f>
        <v>0.63245759911789345</v>
      </c>
      <c r="AN35" s="48">
        <f>MAX(Tabela3[[#This Row],[Cotação 1]:[Cotação 5]])</f>
        <v>1.1499999999999999</v>
      </c>
      <c r="AO35" s="44">
        <f>Tabela3[Cotação]/Tabela3[VPA]</f>
        <v>1.8183037117491156</v>
      </c>
      <c r="AP35" s="40">
        <f>IF(Tabela3[[#This Row],[Lucro/Ação]]&gt;0,Tabela3[[#This Row],[Cotação]]/(Tabela3[[#This Row],[Lucro/Ação]]/Tabela3[Ref]*4),0)</f>
        <v>8.758012782419101</v>
      </c>
      <c r="AQ35" s="78">
        <f>Tabela3[Lucro Distribuir]/Tabela3[Total Ações]</f>
        <v>0.12474290996618462</v>
      </c>
      <c r="AR35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3.1185727491546154E-2</v>
      </c>
      <c r="AS35" s="14" t="str">
        <f>IF(AND(Tabela3[% A.A.]&gt;=6%,SUMPRODUCT(N(Tabela3[Nome]=Tabela3[[#This Row],[Nome]]),Tabela3[PL])&gt;0,Tabela3[Rentabilidade s/ PL]&gt;=Tabela3[Rentabilidade s/ PL Média]),"Sim","Não")</f>
        <v>Não</v>
      </c>
      <c r="AT35" s="42">
        <f>IF(Tabela3[Cotação]&gt;0,Tabela3[[#This Row],[Lucro]]/Tabela3[[#This Row],[Cotação]],0)</f>
        <v>2.7118023905692311E-2</v>
      </c>
      <c r="AU35" s="42">
        <f>((1+Tabela3[[#This Row],[% Yield]])^(1/(3*Tabela3[[#This Row],[Ref]])))^(12)-1</f>
        <v>2.7118023905692068E-2</v>
      </c>
      <c r="AV35" s="14">
        <f>IF(Tabela3[Cotação]&gt;0,($BH$1/Tabela3[[#This Row],[Cotação]]-MOD($BH$1/Tabela3[[#This Row],[Cotação]],100)),)</f>
        <v>400</v>
      </c>
      <c r="AW35" s="17">
        <f>Tabela3[[#This Row],[Ativos]]*Tabela3[Lucro]</f>
        <v>12.474290996618462</v>
      </c>
      <c r="AX35" s="17">
        <f>SUMPRODUCT(N(Tabela1[Código]=Tabela3[[#This Row],[PAPEL]]),Tabela1[Fechamento])</f>
        <v>0</v>
      </c>
      <c r="AY35" s="17">
        <f>SUMPRODUCT(N(Tabela17[Código]=Tabela3[[#This Row],[PAPEL]]),Tabela17[Fechamento])</f>
        <v>1.1499999999999999</v>
      </c>
      <c r="AZ35" s="7">
        <f>SUMPRODUCT(N(Tabela176[Código]=Tabela3[[#This Row],[PAPEL]]),Tabela176[Fechamento])</f>
        <v>0</v>
      </c>
      <c r="BA35" s="7">
        <f>SUMPRODUCT(N(Tabela1768[Código]=Tabela3[[#This Row],[PAPEL]]),Tabela1768[Fechamento])</f>
        <v>0</v>
      </c>
      <c r="BB35" s="7">
        <f>SUMPRODUCT(N(Tabela17683[Código]=Tabela3[[#This Row],[PAPEL]]),Tabela17683[Fechamento])</f>
        <v>0</v>
      </c>
    </row>
    <row r="36" spans="1:54" hidden="1" x14ac:dyDescent="0.2">
      <c r="A36" s="3" t="s">
        <v>1330</v>
      </c>
      <c r="B36" s="58" t="s">
        <v>1343</v>
      </c>
      <c r="C36" s="16" t="str">
        <f>LEFT(Tabela3[PAPEL],LEN(Tabela3[PAPEL])-(LEN(Tabela3[PAPEL])-4))</f>
        <v>EZTC</v>
      </c>
      <c r="D36" s="16">
        <v>3</v>
      </c>
      <c r="E36" s="5">
        <v>1050000000</v>
      </c>
      <c r="F36" s="56">
        <v>146724120</v>
      </c>
      <c r="G36" s="81">
        <v>0.25</v>
      </c>
      <c r="H36" s="87"/>
      <c r="J36" s="18"/>
      <c r="K36" s="16"/>
      <c r="L36" s="87"/>
      <c r="M36" s="54"/>
      <c r="N36" s="54"/>
      <c r="O36" s="54"/>
      <c r="P36" s="91">
        <v>2081158000</v>
      </c>
      <c r="Q36" s="73">
        <v>426497000</v>
      </c>
      <c r="R36" s="73">
        <f>IF(Tabela3[[#This Row],[Ativo || Passivo]]&gt;0,Tabela3[[#This Row],[Ativo || Passivo]]-Tabela3[[#This Row],[Patrimônio Líquido]],0)</f>
        <v>0</v>
      </c>
      <c r="S36" s="73">
        <f>Tabela3[[#This Row],[Cotação]]*Tabela3[[#This Row],[Total Ações]]</f>
        <v>3671037482.4000001</v>
      </c>
      <c r="T36" s="37">
        <f>IF(Tabela3[[#This Row],[Passivo Circulante]]&gt;0,Tabela3[[#This Row],[Ativo Circulante]]/Tabela3[[#This Row],[Passivo Circulante]],0)</f>
        <v>0</v>
      </c>
      <c r="U36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6" s="18">
        <f>IF(Tabela3[[#This Row],[Lucro Líquido]]&gt;0,Tabela3[[#This Row],[Lucro Líquido]]/Tabela3[[#This Row],[Patrimônio Líquido]],0)</f>
        <v>0.20493254236343419</v>
      </c>
      <c r="W36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6" s="18">
        <f>IF(Tabela3[[#This Row],[Dívida]]&gt;0,Tabela3[[#This Row],[Dívida]]/Tabela3[[#This Row],[Patrimônio Líquido]],0)</f>
        <v>0</v>
      </c>
      <c r="Y36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6" s="7">
        <f>Tabela3[[#This Row],[Capital Social]]*20%</f>
        <v>210000000</v>
      </c>
      <c r="AA36" s="47">
        <f>IF((Tabela3[Lucro Líquido]*5%)&gt;Tabela3[Teto R. Legal],Tabela3[Teto R. Legal],Tabela3[Lucro Líquido]*5%)</f>
        <v>21324850</v>
      </c>
      <c r="AB36" s="47">
        <f>IF(Tabela3[Lucro Líquido]&lt;0,0,Tabela3[Lucro Líquido]-Tabela3[Reserva Legal])</f>
        <v>405172150</v>
      </c>
      <c r="AC36" s="47">
        <f>Tabela3[[#This Row],[Lucro Distribuir]]*Tabela3[%Div]</f>
        <v>101293037.5</v>
      </c>
      <c r="AD36" s="56">
        <f>SUMPRODUCT(N(Tabela3[Nome]=Tabela3[[#This Row],[Nome]]),Tabela3[Ações])</f>
        <v>146724120</v>
      </c>
      <c r="AE36" s="85">
        <f>Tabela3[Capital Social]/Tabela3[Total Ações]</f>
        <v>7.156287596068049</v>
      </c>
      <c r="AF36" s="85">
        <f>Tabela3[[#This Row],[Lucro Líquido]]/Tabela3[[#This Row],[Total Ações]]</f>
        <v>2.9067954198668904</v>
      </c>
      <c r="AG36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0.69036391221838644</v>
      </c>
      <c r="AH36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6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6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0.69036391221838644</v>
      </c>
      <c r="AK36" s="7">
        <f>Tabela3[Div Base]*Tabela3[Ações]</f>
        <v>101293037.5</v>
      </c>
      <c r="AL36" s="121">
        <f>SUMPRODUCT(N(Tabela3[Nome]=Tabela3[[#This Row],[Nome]]),Tabela3[Div Base]*Tabela3[Ações])</f>
        <v>101293037.5</v>
      </c>
      <c r="AM36" s="5">
        <f>Tabela3[Patrimônio Líquido]/Tabela3[Total Ações]</f>
        <v>14.184157315102656</v>
      </c>
      <c r="AN36" s="52">
        <f>MAX(Tabela3[[#This Row],[Cotação 1]:[Cotação 5]])</f>
        <v>25.02</v>
      </c>
      <c r="AO36" s="53">
        <f>Tabela3[Cotação]/Tabela3[VPA]</f>
        <v>1.7639398269617204</v>
      </c>
      <c r="AP36" s="37">
        <f>IF(Tabela3[[#This Row],[Lucro/Ação]]&gt;0,Tabela3[[#This Row],[Cotação]]/(Tabela3[[#This Row],[Lucro/Ação]]/Tabela3[Ref]*4),0)</f>
        <v>6.4555626693739931</v>
      </c>
      <c r="AQ36" s="85">
        <f>Tabela3[Lucro Distribuir]/Tabela3[Total Ações]</f>
        <v>2.7614556488735458</v>
      </c>
      <c r="AR36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0.69036391221838644</v>
      </c>
      <c r="AS36" s="10" t="str">
        <f>IF(AND(Tabela3[% A.A.]&gt;=6%,SUMPRODUCT(N(Tabela3[Nome]=Tabela3[[#This Row],[Nome]]),Tabela3[PL])&gt;0,Tabela3[Rentabilidade s/ PL]&gt;=Tabela3[Rentabilidade s/ PL Média]),"Sim","Não")</f>
        <v>Não</v>
      </c>
      <c r="AT36" s="22">
        <f>IF(Tabela3[Cotação]&gt;0,Tabela3[[#This Row],[Lucro]]/Tabela3[[#This Row],[Cotação]],0)</f>
        <v>2.7592482502733273E-2</v>
      </c>
      <c r="AU36" s="22">
        <f>((1+Tabela3[[#This Row],[% Yield]])^(1/(3*Tabela3[[#This Row],[Ref]])))^(12)-1</f>
        <v>3.6958138819984221E-2</v>
      </c>
      <c r="AV36" s="10">
        <f>IF(Tabela3[Cotação]&gt;0,($BD$1/Tabela3[[#This Row],[Cotação]]-MOD($BD$1/Tabela3[[#This Row],[Cotação]],100)),)</f>
        <v>0</v>
      </c>
      <c r="AW36" s="7">
        <f>Tabela3[[#This Row],[Ativos]]*Tabela3[Lucro]</f>
        <v>0</v>
      </c>
      <c r="AX36" s="7">
        <f>SUMPRODUCT(N(Tabela1[Código]=Tabela3[[#This Row],[PAPEL]]),Tabela1[Fechamento])</f>
        <v>0</v>
      </c>
      <c r="AY36" s="7">
        <f>SUMPRODUCT(N(Tabela17[Código]=Tabela3[[#This Row],[PAPEL]]),Tabela17[Fechamento])</f>
        <v>0</v>
      </c>
      <c r="AZ36" s="7">
        <f>SUMPRODUCT(N(Tabela176[Código]=Tabela3[[#This Row],[PAPEL]]),Tabela176[Fechamento])</f>
        <v>0</v>
      </c>
      <c r="BA36" s="7">
        <f>SUMPRODUCT(N(Tabela1768[Código]=Tabela3[[#This Row],[PAPEL]]),Tabela1768[Fechamento])</f>
        <v>25.02</v>
      </c>
      <c r="BB36" s="7">
        <f>SUMPRODUCT(N(Tabela17683[Código]=Tabela3[[#This Row],[PAPEL]]),Tabela17683[Fechamento])</f>
        <v>0</v>
      </c>
    </row>
    <row r="37" spans="1:54" hidden="1" x14ac:dyDescent="0.2">
      <c r="A37" s="4" t="s">
        <v>12</v>
      </c>
      <c r="B37" s="57" t="s">
        <v>458</v>
      </c>
      <c r="C37" s="15" t="str">
        <f>LEFT(Tabela3[PAPEL],LEN(Tabela3[PAPEL])-(LEN(Tabela3[PAPEL])-4))</f>
        <v>AFLT</v>
      </c>
      <c r="D37" s="15">
        <v>3</v>
      </c>
      <c r="E37" s="6">
        <v>63084700</v>
      </c>
      <c r="F37" s="8">
        <v>63084700</v>
      </c>
      <c r="G37" s="81">
        <v>0.25</v>
      </c>
      <c r="H37" s="15"/>
      <c r="I37" s="19"/>
      <c r="J37" s="19"/>
      <c r="K37" s="88"/>
      <c r="L37" s="88"/>
      <c r="M37" s="55">
        <v>78194000</v>
      </c>
      <c r="N37" s="55">
        <v>61063000</v>
      </c>
      <c r="O37" s="55">
        <v>2186000</v>
      </c>
      <c r="P37" s="92">
        <v>72786000</v>
      </c>
      <c r="Q37" s="93">
        <v>14725000</v>
      </c>
      <c r="R37" s="93">
        <f>IF(Tabela3[[#This Row],[Ativo || Passivo]]&gt;0,Tabela3[[#This Row],[Ativo || Passivo]]-Tabela3[[#This Row],[Patrimônio Líquido]],0)</f>
        <v>5408000</v>
      </c>
      <c r="S37" s="93">
        <f>Tabela3[[#This Row],[Cotação]]*Tabela3[[#This Row],[Total Ações]]</f>
        <v>220796450</v>
      </c>
      <c r="T37" s="40">
        <f>IF(Tabela3[[#This Row],[Passivo Circulante]]&gt;0,Tabela3[[#This Row],[Ativo Circulante]]/Tabela3[[#This Row],[Passivo Circulante]],0)</f>
        <v>27.93366880146386</v>
      </c>
      <c r="U37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7" s="19">
        <f>IF(Tabela3[[#This Row],[Lucro Líquido]]&gt;0,Tabela3[[#This Row],[Lucro Líquido]]/Tabela3[[#This Row],[Patrimônio Líquido]],0)</f>
        <v>0.20230538839886791</v>
      </c>
      <c r="W37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7" s="19">
        <f>IF(Tabela3[[#This Row],[Dívida]]&gt;0,Tabela3[[#This Row],[Dívida]]/Tabela3[[#This Row],[Patrimônio Líquido]],0)</f>
        <v>7.430000274778116E-2</v>
      </c>
      <c r="Y37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7" s="13">
        <f>Tabela3[[#This Row],[Capital Social]]*20%</f>
        <v>12616940</v>
      </c>
      <c r="AA37" s="13">
        <f>IF((Tabela3[Lucro Líquido]*5%)&gt;Tabela3[Teto R. Legal],Tabela3[Teto R. Legal],Tabela3[Lucro Líquido]*5%)</f>
        <v>736250</v>
      </c>
      <c r="AB37" s="13">
        <f>IF(Tabela3[Lucro Líquido]&lt;0,0,Tabela3[Lucro Líquido]-Tabela3[Reserva Legal])</f>
        <v>13988750</v>
      </c>
      <c r="AC37" s="13">
        <f>Tabela3[[#This Row],[Lucro Distribuir]]*Tabela3[%Div]</f>
        <v>3497187.5</v>
      </c>
      <c r="AD37" s="56">
        <f>SUMPRODUCT(N(Tabela3[Nome]=Tabela3[[#This Row],[Nome]]),Tabela3[Ações])</f>
        <v>63084700</v>
      </c>
      <c r="AE37" s="6">
        <f>Tabela3[Capital Social]/Tabela3[Total Ações]</f>
        <v>1</v>
      </c>
      <c r="AF37" s="78">
        <f>Tabela3[[#This Row],[Lucro Líquido]]/Tabela3[[#This Row],[Total Ações]]</f>
        <v>0.23341634342399981</v>
      </c>
      <c r="AG37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5.5436381563199952E-2</v>
      </c>
      <c r="AH37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7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7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5.5436381563199952E-2</v>
      </c>
      <c r="AK37" s="13">
        <f>Tabela3[Div Base]*Tabela3[Ações]</f>
        <v>3497187.5</v>
      </c>
      <c r="AL37" s="13">
        <f>SUMPRODUCT(N(Tabela3[Nome]=Tabela3[[#This Row],[Nome]]),Tabela3[Div Base]*Tabela3[Ações])</f>
        <v>3497187.5</v>
      </c>
      <c r="AM37" s="6">
        <f>Tabela3[Patrimônio Líquido]/Tabela3[Total Ações]</f>
        <v>1.1537821373486756</v>
      </c>
      <c r="AN37" s="48">
        <f>MAX(Tabela3[[#This Row],[Cotação 1]:[Cotação 5]])</f>
        <v>3.5</v>
      </c>
      <c r="AO37" s="44">
        <f>Tabela3[Cotação]/Tabela3[VPA]</f>
        <v>3.0335016349297943</v>
      </c>
      <c r="AP37" s="40">
        <f>IF(Tabela3[[#This Row],[Lucro/Ação]]&gt;0,Tabela3[[#This Row],[Cotação]]/(Tabela3[[#This Row],[Lucro/Ação]]/Tabela3[Ref]*4),0)</f>
        <v>11.245999151103566</v>
      </c>
      <c r="AQ37" s="78">
        <f>Tabela3[Lucro Distribuir]/Tabela3[Total Ações]</f>
        <v>0.22174552625279981</v>
      </c>
      <c r="AR37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5.5436381563199952E-2</v>
      </c>
      <c r="AS37" s="14" t="str">
        <f>IF(AND(Tabela3[% A.A.]&gt;=6%,SUMPRODUCT(N(Tabela3[Nome]=Tabela3[[#This Row],[Nome]]),Tabela3[PL])&gt;0,Tabela3[Rentabilidade s/ PL]&gt;=Tabela3[Rentabilidade s/ PL Média]),"Sim","Não")</f>
        <v>Não</v>
      </c>
      <c r="AT37" s="42">
        <f>IF(Tabela3[Cotação]&gt;0,Tabela3[[#This Row],[Lucro]]/Tabela3[[#This Row],[Cotação]],0)</f>
        <v>1.5838966160914271E-2</v>
      </c>
      <c r="AU37" s="42">
        <f>((1+Tabela3[[#This Row],[% Yield]])^(1/(3*Tabela3[[#This Row],[Ref]])))^(12)-1</f>
        <v>2.11741761285551E-2</v>
      </c>
      <c r="AV37" s="14">
        <f>IF(Tabela3[Cotação]&gt;0,($BH$1/Tabela3[[#This Row],[Cotação]]-MOD($BH$1/Tabela3[[#This Row],[Cotação]],100)),)</f>
        <v>100</v>
      </c>
      <c r="AW37" s="17">
        <f>Tabela3[[#This Row],[Ativos]]*Tabela3[Lucro]</f>
        <v>5.5436381563199948</v>
      </c>
      <c r="AX37" s="17">
        <f>SUMPRODUCT(N(Tabela1[Código]=Tabela3[[#This Row],[PAPEL]]),Tabela1[Fechamento])</f>
        <v>0</v>
      </c>
      <c r="AY37" s="17">
        <f>SUMPRODUCT(N(Tabela17[Código]=Tabela3[[#This Row],[PAPEL]]),Tabela17[Fechamento])</f>
        <v>3.5</v>
      </c>
      <c r="AZ37" s="7">
        <f>SUMPRODUCT(N(Tabela176[Código]=Tabela3[[#This Row],[PAPEL]]),Tabela176[Fechamento])</f>
        <v>0</v>
      </c>
      <c r="BA37" s="7">
        <f>SUMPRODUCT(N(Tabela1768[Código]=Tabela3[[#This Row],[PAPEL]]),Tabela1768[Fechamento])</f>
        <v>0</v>
      </c>
      <c r="BB37" s="7">
        <f>SUMPRODUCT(N(Tabela17683[Código]=Tabela3[[#This Row],[PAPEL]]),Tabela17683[Fechamento])</f>
        <v>0</v>
      </c>
    </row>
    <row r="38" spans="1:54" hidden="1" x14ac:dyDescent="0.2">
      <c r="A38" s="4" t="s">
        <v>757</v>
      </c>
      <c r="B38" s="57" t="s">
        <v>763</v>
      </c>
      <c r="C38" s="15" t="str">
        <f>LEFT(Tabela3[PAPEL],LEN(Tabela3[PAPEL])-(LEN(Tabela3[PAPEL])-4))</f>
        <v>ODPV</v>
      </c>
      <c r="D38" s="15">
        <v>3</v>
      </c>
      <c r="E38" s="6">
        <v>506557472.69999999</v>
      </c>
      <c r="F38" s="8">
        <v>531294792</v>
      </c>
      <c r="G38" s="86">
        <v>0.5</v>
      </c>
      <c r="H38" s="15"/>
      <c r="I38" s="19"/>
      <c r="J38" s="19"/>
      <c r="K38" s="88"/>
      <c r="L38" s="88"/>
      <c r="M38" s="55"/>
      <c r="N38" s="55"/>
      <c r="O38" s="55"/>
      <c r="P38" s="92">
        <v>696873000</v>
      </c>
      <c r="Q38" s="93">
        <v>140959000</v>
      </c>
      <c r="R38" s="93">
        <f>IF(Tabela3[[#This Row],[Ativo || Passivo]]&gt;0,Tabela3[[#This Row],[Ativo || Passivo]]-Tabela3[[#This Row],[Patrimônio Líquido]],0)</f>
        <v>0</v>
      </c>
      <c r="S38" s="93">
        <f>Tabela3[[#This Row],[Cotação]]*Tabela3[[#This Row],[Total Ações]]</f>
        <v>4707271857.1199999</v>
      </c>
      <c r="T38" s="40">
        <f>IF(Tabela3[[#This Row],[Passivo Circulante]]&gt;0,Tabela3[[#This Row],[Ativo Circulante]]/Tabela3[[#This Row],[Passivo Circulante]],0)</f>
        <v>0</v>
      </c>
      <c r="U38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8" s="19">
        <f>IF(Tabela3[[#This Row],[Lucro Líquido]]&gt;0,Tabela3[[#This Row],[Lucro Líquido]]/Tabela3[[#This Row],[Patrimônio Líquido]],0)</f>
        <v>0.20227358500042331</v>
      </c>
      <c r="W38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8" s="19">
        <f>IF(Tabela3[[#This Row],[Dívida]]&gt;0,Tabela3[[#This Row],[Dívida]]/Tabela3[[#This Row],[Patrimônio Líquido]],0)</f>
        <v>0</v>
      </c>
      <c r="Y38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8" s="13">
        <f>Tabela3[[#This Row],[Capital Social]]*20%</f>
        <v>101311494.54000001</v>
      </c>
      <c r="AA38" s="13">
        <f>IF((Tabela3[Lucro Líquido]*5%)&gt;Tabela3[Teto R. Legal],Tabela3[Teto R. Legal],Tabela3[Lucro Líquido]*5%)</f>
        <v>7047950</v>
      </c>
      <c r="AB38" s="13">
        <f>IF(Tabela3[Lucro Líquido]&lt;0,0,Tabela3[Lucro Líquido]-Tabela3[Reserva Legal])</f>
        <v>133911050</v>
      </c>
      <c r="AC38" s="13">
        <f>Tabela3[[#This Row],[Lucro Distribuir]]*Tabela3[%Div]</f>
        <v>66955525</v>
      </c>
      <c r="AD38" s="56">
        <f>SUMPRODUCT(N(Tabela3[Nome]=Tabela3[[#This Row],[Nome]]),Tabela3[Ações])</f>
        <v>531294792</v>
      </c>
      <c r="AE38" s="6">
        <f>Tabela3[Capital Social]/Tabela3[Total Ações]</f>
        <v>0.95343955997219709</v>
      </c>
      <c r="AF38" s="78">
        <f>Tabela3[[#This Row],[Lucro Líquido]]/Tabela3[[#This Row],[Total Ações]]</f>
        <v>0.26531221860725485</v>
      </c>
      <c r="AG38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0.12602330383844607</v>
      </c>
      <c r="AH38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8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8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0.12602330383844607</v>
      </c>
      <c r="AK38" s="13">
        <f>Tabela3[Div Base]*Tabela3[Ações]</f>
        <v>66955525.000000007</v>
      </c>
      <c r="AL38" s="13">
        <f>SUMPRODUCT(N(Tabela3[Nome]=Tabela3[[#This Row],[Nome]]),Tabela3[Div Base]*Tabela3[Ações])</f>
        <v>66955525.000000007</v>
      </c>
      <c r="AM38" s="6">
        <f>Tabela3[Patrimônio Líquido]/Tabela3[Total Ações]</f>
        <v>1.3116503502259063</v>
      </c>
      <c r="AN38" s="48">
        <f>MAX(Tabela3[[#This Row],[Cotação 1]:[Cotação 5]])</f>
        <v>8.86</v>
      </c>
      <c r="AO38" s="44">
        <f>Tabela3[Cotação]/Tabela3[VPA]</f>
        <v>6.7548489568687549</v>
      </c>
      <c r="AP38" s="40">
        <f>IF(Tabela3[[#This Row],[Lucro/Ação]]&gt;0,Tabela3[[#This Row],[Cotação]]/(Tabela3[[#This Row],[Lucro/Ação]]/Tabela3[Ref]*4),0)</f>
        <v>25.045962959725877</v>
      </c>
      <c r="AQ38" s="78">
        <f>Tabela3[Lucro Distribuir]/Tabela3[Total Ações]</f>
        <v>0.25204660767689213</v>
      </c>
      <c r="AR38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0.12602330383844607</v>
      </c>
      <c r="AS38" s="14" t="str">
        <f>IF(AND(Tabela3[% A.A.]&gt;=6%,SUMPRODUCT(N(Tabela3[Nome]=Tabela3[[#This Row],[Nome]]),Tabela3[PL])&gt;0,Tabela3[Rentabilidade s/ PL]&gt;=Tabela3[Rentabilidade s/ PL Média]),"Sim","Não")</f>
        <v>Não</v>
      </c>
      <c r="AT38" s="42">
        <f>IF(Tabela3[Cotação]&gt;0,Tabela3[[#This Row],[Lucro]]/Tabela3[[#This Row],[Cotação]],0)</f>
        <v>1.4223849191698203E-2</v>
      </c>
      <c r="AU38" s="42">
        <f>((1+Tabela3[[#This Row],[% Yield]])^(1/(3*Tabela3[[#This Row],[Ref]])))^(12)-1</f>
        <v>1.9009950511106544E-2</v>
      </c>
      <c r="AV38" s="14">
        <f>IF(Tabela3[Cotação]&gt;0,($BD$1/Tabela3[[#This Row],[Cotação]]-MOD($BD$1/Tabela3[[#This Row],[Cotação]],100)),)</f>
        <v>0</v>
      </c>
      <c r="AW38" s="17">
        <f>Tabela3[[#This Row],[Ativos]]*Tabela3[Lucro]</f>
        <v>0</v>
      </c>
      <c r="AX38" s="17">
        <f>SUMPRODUCT(N(Tabela1[Código]=Tabela3[[#This Row],[PAPEL]]),Tabela1[Fechamento])</f>
        <v>0</v>
      </c>
      <c r="AY38" s="17">
        <f>SUMPRODUCT(N(Tabela17[Código]=Tabela3[[#This Row],[PAPEL]]),Tabela17[Fechamento])</f>
        <v>0</v>
      </c>
      <c r="AZ38" s="17">
        <f>SUMPRODUCT(N(Tabela176[Código]=Tabela3[[#This Row],[PAPEL]]),Tabela176[Fechamento])</f>
        <v>8.86</v>
      </c>
      <c r="BA38" s="17">
        <f>SUMPRODUCT(N(Tabela1768[Código]=Tabela3[[#This Row],[PAPEL]]),Tabela1768[Fechamento])</f>
        <v>0</v>
      </c>
      <c r="BB38" s="7">
        <f>SUMPRODUCT(N(Tabela17683[Código]=Tabela3[[#This Row],[PAPEL]]),Tabela17683[Fechamento])</f>
        <v>0</v>
      </c>
    </row>
    <row r="39" spans="1:54" hidden="1" x14ac:dyDescent="0.2">
      <c r="A39" s="3" t="s">
        <v>823</v>
      </c>
      <c r="B39" s="58" t="s">
        <v>824</v>
      </c>
      <c r="C39" s="16" t="str">
        <f>LEFT(Tabela3[PAPEL],LEN(Tabela3[PAPEL])-(LEN(Tabela3[PAPEL])-4))</f>
        <v>LAME</v>
      </c>
      <c r="D39" s="16">
        <v>3</v>
      </c>
      <c r="E39" s="5">
        <v>548848132.39999998</v>
      </c>
      <c r="F39" s="56">
        <v>367025080</v>
      </c>
      <c r="G39" s="81">
        <v>0.25</v>
      </c>
      <c r="H39" s="87"/>
      <c r="J39" s="18"/>
      <c r="K39" s="16"/>
      <c r="L39" s="87"/>
      <c r="M39" s="54"/>
      <c r="N39" s="54"/>
      <c r="O39" s="54"/>
      <c r="P39" s="91">
        <v>985348000</v>
      </c>
      <c r="Q39" s="73">
        <v>189658000</v>
      </c>
      <c r="R39" s="73">
        <f>IF(Tabela3[[#This Row],[Ativo || Passivo]]&gt;0,Tabela3[[#This Row],[Ativo || Passivo]]-Tabela3[[#This Row],[Patrimônio Líquido]],0)</f>
        <v>0</v>
      </c>
      <c r="S39" s="73">
        <f>Tabela3[[#This Row],[Cotação]]*Tabela3[[#This Row],[Total Ações]]</f>
        <v>12044023816.559999</v>
      </c>
      <c r="T39" s="37">
        <f>IF(Tabela3[[#This Row],[Passivo Circulante]]&gt;0,Tabela3[[#This Row],[Ativo Circulante]]/Tabela3[[#This Row],[Passivo Circulante]],0)</f>
        <v>0</v>
      </c>
      <c r="U39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9" s="18">
        <f>IF(Tabela3[[#This Row],[Lucro Líquido]]&gt;0,Tabela3[[#This Row],[Lucro Líquido]]/Tabela3[[#This Row],[Patrimônio Líquido]],0)</f>
        <v>0.19247819044642095</v>
      </c>
      <c r="W39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9" s="18">
        <f>IF(Tabela3[[#This Row],[Dívida]]&gt;0,Tabela3[[#This Row],[Dívida]]/Tabela3[[#This Row],[Patrimônio Líquido]],0)</f>
        <v>0</v>
      </c>
      <c r="Y39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9" s="7">
        <f>Tabela3[[#This Row],[Capital Social]]*20%</f>
        <v>109769626.48</v>
      </c>
      <c r="AA39" s="47">
        <f>IF((Tabela3[Lucro Líquido]*5%)&gt;Tabela3[Teto R. Legal],Tabela3[Teto R. Legal],Tabela3[Lucro Líquido]*5%)</f>
        <v>9482900</v>
      </c>
      <c r="AB39" s="47">
        <f>IF(Tabela3[Lucro Líquido]&lt;0,0,Tabela3[Lucro Líquido]-Tabela3[Reserva Legal])</f>
        <v>180175100</v>
      </c>
      <c r="AC39" s="47">
        <f>Tabela3[[#This Row],[Lucro Distribuir]]*Tabela3[%Div]</f>
        <v>45043775</v>
      </c>
      <c r="AD39" s="56">
        <f>SUMPRODUCT(N(Tabela3[Nome]=Tabela3[[#This Row],[Nome]]),Tabela3[Ações])</f>
        <v>993731338</v>
      </c>
      <c r="AE39" s="85">
        <f>Tabela3[Capital Social]/Tabela3[Total Ações]</f>
        <v>0.55231037948810258</v>
      </c>
      <c r="AF39" s="85">
        <f>Tabela3[[#This Row],[Lucro Líquido]]/Tabela3[[#This Row],[Total Ações]]</f>
        <v>0.19085440173569326</v>
      </c>
      <c r="AG39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4.5327920412227156E-2</v>
      </c>
      <c r="AH39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9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9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4.5327920412227156E-2</v>
      </c>
      <c r="AK39" s="7">
        <f>Tabela3[Div Base]*Tabela3[Ações]</f>
        <v>16636483.615531305</v>
      </c>
      <c r="AL39" s="7">
        <f>SUMPRODUCT(N(Tabela3[Nome]=Tabela3[[#This Row],[Nome]]),Tabela3[Div Base]*Tabela3[Ações])</f>
        <v>45043775</v>
      </c>
      <c r="AM39" s="5">
        <f>Tabela3[Patrimônio Líquido]/Tabela3[Total Ações]</f>
        <v>0.9915637781768335</v>
      </c>
      <c r="AN39" s="52">
        <f>MAX(Tabela3[[#This Row],[Cotação 1]:[Cotação 5]])</f>
        <v>12.12</v>
      </c>
      <c r="AO39" s="53">
        <f>Tabela3[Cotação]/Tabela3[VPA]</f>
        <v>12.223116925756178</v>
      </c>
      <c r="AP39" s="37">
        <f>IF(Tabela3[[#This Row],[Lucro/Ação]]&gt;0,Tabela3[[#This Row],[Cotação]]/(Tabela3[[#This Row],[Lucro/Ação]]/Tabela3[Ref]*4),0)</f>
        <v>47.627929549083085</v>
      </c>
      <c r="AQ39" s="85">
        <f>Tabela3[Lucro Distribuir]/Tabela3[Total Ações]</f>
        <v>0.18131168164890862</v>
      </c>
      <c r="AR39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4.5327920412227156E-2</v>
      </c>
      <c r="AS39" s="10" t="str">
        <f>IF(AND(Tabela3[% A.A.]&gt;=6%,SUMPRODUCT(N(Tabela3[Nome]=Tabela3[[#This Row],[Nome]]),Tabela3[PL])&gt;0,Tabela3[Rentabilidade s/ PL]&gt;=Tabela3[Rentabilidade s/ PL Média]),"Sim","Não")</f>
        <v>Não</v>
      </c>
      <c r="AT39" s="22">
        <f>IF(Tabela3[Cotação]&gt;0,Tabela3[[#This Row],[Lucro]]/Tabela3[[#This Row],[Cotação]],0)</f>
        <v>3.7399274267514156E-3</v>
      </c>
      <c r="AU39" s="22">
        <f>((1+Tabela3[[#This Row],[% Yield]])^(1/(3*Tabela3[[#This Row],[Ref]])))^(12)-1</f>
        <v>4.989675558038309E-3</v>
      </c>
      <c r="AV39" s="10">
        <f>IF(Tabela3[Cotação]&gt;0,($BD$1/Tabela3[[#This Row],[Cotação]]-MOD($BD$1/Tabela3[[#This Row],[Cotação]],100)),)</f>
        <v>0</v>
      </c>
      <c r="AW39" s="7">
        <f>Tabela3[[#This Row],[Ativos]]*Tabela3[Lucro]</f>
        <v>0</v>
      </c>
      <c r="AX39" s="7">
        <f>SUMPRODUCT(N(Tabela1[Código]=Tabela3[[#This Row],[PAPEL]]),Tabela1[Fechamento])</f>
        <v>0</v>
      </c>
      <c r="AY39" s="7">
        <f>SUMPRODUCT(N(Tabela17[Código]=Tabela3[[#This Row],[PAPEL]]),Tabela17[Fechamento])</f>
        <v>0</v>
      </c>
      <c r="AZ39" s="7">
        <f>SUMPRODUCT(N(Tabela176[Código]=Tabela3[[#This Row],[PAPEL]]),Tabela176[Fechamento])</f>
        <v>12.12</v>
      </c>
      <c r="BA39" s="7">
        <f>SUMPRODUCT(N(Tabela1768[Código]=Tabela3[[#This Row],[PAPEL]]),Tabela1768[Fechamento])</f>
        <v>0</v>
      </c>
      <c r="BB39" s="7">
        <f>SUMPRODUCT(N(Tabela17683[Código]=Tabela3[[#This Row],[PAPEL]]),Tabela17683[Fechamento])</f>
        <v>0</v>
      </c>
    </row>
    <row r="40" spans="1:54" hidden="1" x14ac:dyDescent="0.2">
      <c r="A40" s="3" t="s">
        <v>823</v>
      </c>
      <c r="B40" s="58" t="s">
        <v>825</v>
      </c>
      <c r="C40" s="16" t="str">
        <f>LEFT(Tabela3[PAPEL],LEN(Tabela3[PAPEL])-(LEN(Tabela3[PAPEL])-4))</f>
        <v>LAME</v>
      </c>
      <c r="D40" s="16">
        <v>3</v>
      </c>
      <c r="E40" s="5">
        <v>548848132.39999998</v>
      </c>
      <c r="F40" s="56">
        <v>626706258</v>
      </c>
      <c r="G40" s="81">
        <v>0.25</v>
      </c>
      <c r="H40" s="87"/>
      <c r="J40" s="18"/>
      <c r="K40" s="16"/>
      <c r="L40" s="87"/>
      <c r="M40" s="54"/>
      <c r="N40" s="54"/>
      <c r="O40" s="54"/>
      <c r="P40" s="91">
        <v>985348000</v>
      </c>
      <c r="Q40" s="73">
        <v>189658000</v>
      </c>
      <c r="R40" s="73">
        <f>IF(Tabela3[[#This Row],[Ativo || Passivo]]&gt;0,Tabela3[[#This Row],[Ativo || Passivo]]-Tabela3[[#This Row],[Patrimônio Líquido]],0)</f>
        <v>0</v>
      </c>
      <c r="S40" s="73">
        <f>Tabela3[[#This Row],[Cotação]]*Tabela3[[#This Row],[Total Ações]]</f>
        <v>13852614851.719999</v>
      </c>
      <c r="T40" s="37">
        <f>IF(Tabela3[[#This Row],[Passivo Circulante]]&gt;0,Tabela3[[#This Row],[Ativo Circulante]]/Tabela3[[#This Row],[Passivo Circulante]],0)</f>
        <v>0</v>
      </c>
      <c r="U40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0" s="18">
        <f>IF(Tabela3[[#This Row],[Lucro Líquido]]&gt;0,Tabela3[[#This Row],[Lucro Líquido]]/Tabela3[[#This Row],[Patrimônio Líquido]],0)</f>
        <v>0.19247819044642095</v>
      </c>
      <c r="W40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0" s="18">
        <f>IF(Tabela3[[#This Row],[Dívida]]&gt;0,Tabela3[[#This Row],[Dívida]]/Tabela3[[#This Row],[Patrimônio Líquido]],0)</f>
        <v>0</v>
      </c>
      <c r="Y40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0" s="7">
        <f>Tabela3[[#This Row],[Capital Social]]*20%</f>
        <v>109769626.48</v>
      </c>
      <c r="AA40" s="47">
        <f>IF((Tabela3[Lucro Líquido]*5%)&gt;Tabela3[Teto R. Legal],Tabela3[Teto R. Legal],Tabela3[Lucro Líquido]*5%)</f>
        <v>9482900</v>
      </c>
      <c r="AB40" s="47">
        <f>IF(Tabela3[Lucro Líquido]&lt;0,0,Tabela3[Lucro Líquido]-Tabela3[Reserva Legal])</f>
        <v>180175100</v>
      </c>
      <c r="AC40" s="47">
        <f>Tabela3[[#This Row],[Lucro Distribuir]]*Tabela3[%Div]</f>
        <v>45043775</v>
      </c>
      <c r="AD40" s="56">
        <f>SUMPRODUCT(N(Tabela3[Nome]=Tabela3[[#This Row],[Nome]]),Tabela3[Ações])</f>
        <v>993731338</v>
      </c>
      <c r="AE40" s="85">
        <f>Tabela3[Capital Social]/Tabela3[Total Ações]</f>
        <v>0.55231037948810258</v>
      </c>
      <c r="AF40" s="85">
        <f>Tabela3[[#This Row],[Lucro Líquido]]/Tabela3[[#This Row],[Total Ações]]</f>
        <v>0.19085440173569326</v>
      </c>
      <c r="AG40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4.5327920412227156E-2</v>
      </c>
      <c r="AH40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0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0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4.5327920412227156E-2</v>
      </c>
      <c r="AK40" s="7">
        <f>Tabela3[Div Base]*Tabela3[Ações]</f>
        <v>28407291.384468697</v>
      </c>
      <c r="AL40" s="7">
        <f>SUMPRODUCT(N(Tabela3[Nome]=Tabela3[[#This Row],[Nome]]),Tabela3[Div Base]*Tabela3[Ações])</f>
        <v>45043775</v>
      </c>
      <c r="AM40" s="5">
        <f>Tabela3[Patrimônio Líquido]/Tabela3[Total Ações]</f>
        <v>0.9915637781768335</v>
      </c>
      <c r="AN40" s="52">
        <f>MAX(Tabela3[[#This Row],[Cotação 1]:[Cotação 5]])</f>
        <v>13.94</v>
      </c>
      <c r="AO40" s="53">
        <f>Tabela3[Cotação]/Tabela3[VPA]</f>
        <v>14.058601480613955</v>
      </c>
      <c r="AP40" s="37">
        <f>IF(Tabela3[[#This Row],[Lucro/Ação]]&gt;0,Tabela3[[#This Row],[Cotação]]/(Tabela3[[#This Row],[Lucro/Ação]]/Tabela3[Ref]*4),0)</f>
        <v>54.779978375760578</v>
      </c>
      <c r="AQ40" s="85">
        <f>Tabela3[Lucro Distribuir]/Tabela3[Total Ações]</f>
        <v>0.18131168164890862</v>
      </c>
      <c r="AR40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4.5327920412227156E-2</v>
      </c>
      <c r="AS40" s="10" t="str">
        <f>IF(AND(Tabela3[% A.A.]&gt;=6%,SUMPRODUCT(N(Tabela3[Nome]=Tabela3[[#This Row],[Nome]]),Tabela3[PL])&gt;0,Tabela3[Rentabilidade s/ PL]&gt;=Tabela3[Rentabilidade s/ PL Média]),"Sim","Não")</f>
        <v>Não</v>
      </c>
      <c r="AT40" s="22">
        <f>IF(Tabela3[Cotação]&gt;0,Tabela3[[#This Row],[Lucro]]/Tabela3[[#This Row],[Cotação]],0)</f>
        <v>3.2516442189546024E-3</v>
      </c>
      <c r="AU40" s="22">
        <f>((1+Tabela3[[#This Row],[% Yield]])^(1/(3*Tabela3[[#This Row],[Ref]])))^(12)-1</f>
        <v>4.3378735275849678E-3</v>
      </c>
      <c r="AV40" s="10">
        <f>IF(Tabela3[Cotação]&gt;0,($BD$1/Tabela3[[#This Row],[Cotação]]-MOD($BD$1/Tabela3[[#This Row],[Cotação]],100)),)</f>
        <v>0</v>
      </c>
      <c r="AW40" s="7">
        <f>Tabela3[[#This Row],[Ativos]]*Tabela3[Lucro]</f>
        <v>0</v>
      </c>
      <c r="AX40" s="7">
        <f>SUMPRODUCT(N(Tabela1[Código]=Tabela3[[#This Row],[PAPEL]]),Tabela1[Fechamento])</f>
        <v>0</v>
      </c>
      <c r="AY40" s="7">
        <f>SUMPRODUCT(N(Tabela17[Código]=Tabela3[[#This Row],[PAPEL]]),Tabela17[Fechamento])</f>
        <v>0</v>
      </c>
      <c r="AZ40" s="7">
        <f>SUMPRODUCT(N(Tabela176[Código]=Tabela3[[#This Row],[PAPEL]]),Tabela176[Fechamento])</f>
        <v>13.94</v>
      </c>
      <c r="BA40" s="7">
        <f>SUMPRODUCT(N(Tabela1768[Código]=Tabela3[[#This Row],[PAPEL]]),Tabela1768[Fechamento])</f>
        <v>0</v>
      </c>
      <c r="BB40" s="7">
        <f>SUMPRODUCT(N(Tabela17683[Código]=Tabela3[[#This Row],[PAPEL]]),Tabela17683[Fechamento])</f>
        <v>0</v>
      </c>
    </row>
    <row r="41" spans="1:54" hidden="1" x14ac:dyDescent="0.2">
      <c r="A41" s="3" t="s">
        <v>314</v>
      </c>
      <c r="B41" s="58" t="s">
        <v>1284</v>
      </c>
      <c r="C41" s="16" t="str">
        <f>LEFT(Tabela3[PAPEL],LEN(Tabela3[PAPEL])-(LEN(Tabela3[PAPEL])-4))</f>
        <v>RENT</v>
      </c>
      <c r="D41" s="16">
        <v>3</v>
      </c>
      <c r="E41" s="5">
        <v>976708000</v>
      </c>
      <c r="F41" s="56">
        <v>211793400</v>
      </c>
      <c r="G41" s="81">
        <v>0.25</v>
      </c>
      <c r="H41" s="87"/>
      <c r="J41" s="18"/>
      <c r="K41" s="16"/>
      <c r="L41" s="87"/>
      <c r="M41" s="54"/>
      <c r="N41" s="54"/>
      <c r="O41" s="54"/>
      <c r="P41" s="91">
        <v>1554129000</v>
      </c>
      <c r="Q41" s="73">
        <v>294349000</v>
      </c>
      <c r="R41" s="73">
        <f>IF(Tabela3[[#This Row],[Ativo || Passivo]]&gt;0,Tabela3[[#This Row],[Ativo || Passivo]]-Tabela3[[#This Row],[Patrimônio Líquido]],0)</f>
        <v>0</v>
      </c>
      <c r="S41" s="73">
        <f>Tabela3[[#This Row],[Cotação]]*Tabela3[[#This Row],[Total Ações]]</f>
        <v>6728676318</v>
      </c>
      <c r="T41" s="37">
        <f>IF(Tabela3[[#This Row],[Passivo Circulante]]&gt;0,Tabela3[[#This Row],[Ativo Circulante]]/Tabela3[[#This Row],[Passivo Circulante]],0)</f>
        <v>0</v>
      </c>
      <c r="U41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1" s="18">
        <f>IF(Tabela3[[#This Row],[Lucro Líquido]]&gt;0,Tabela3[[#This Row],[Lucro Líquido]]/Tabela3[[#This Row],[Patrimônio Líquido]],0)</f>
        <v>0.18939804868193053</v>
      </c>
      <c r="W41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1" s="18">
        <f>IF(Tabela3[[#This Row],[Dívida]]&gt;0,Tabela3[[#This Row],[Dívida]]/Tabela3[[#This Row],[Patrimônio Líquido]],0)</f>
        <v>0</v>
      </c>
      <c r="Y41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1" s="7">
        <f>Tabela3[[#This Row],[Capital Social]]*20%</f>
        <v>195341600</v>
      </c>
      <c r="AA41" s="47">
        <f>IF((Tabela3[Lucro Líquido]*5%)&gt;Tabela3[Teto R. Legal],Tabela3[Teto R. Legal],Tabela3[Lucro Líquido]*5%)</f>
        <v>14717450</v>
      </c>
      <c r="AB41" s="47">
        <f>IF(Tabela3[Lucro Líquido]&lt;0,0,Tabela3[Lucro Líquido]-Tabela3[Reserva Legal])</f>
        <v>279631550</v>
      </c>
      <c r="AC41" s="47">
        <f>Tabela3[[#This Row],[Lucro Distribuir]]*Tabela3[%Div]</f>
        <v>69907887.5</v>
      </c>
      <c r="AD41" s="56">
        <f>SUMPRODUCT(N(Tabela3[Nome]=Tabela3[[#This Row],[Nome]]),Tabela3[Ações])</f>
        <v>211793400</v>
      </c>
      <c r="AE41" s="85">
        <f>Tabela3[Capital Social]/Tabela3[Total Ações]</f>
        <v>4.6116073494263752</v>
      </c>
      <c r="AF41" s="85">
        <f>Tabela3[[#This Row],[Lucro Líquido]]/Tabela3[[#This Row],[Total Ações]]</f>
        <v>1.3897930719276428</v>
      </c>
      <c r="AG41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0.33007585458281513</v>
      </c>
      <c r="AH41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1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1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0.33007585458281513</v>
      </c>
      <c r="AK41" s="7">
        <f>Tabela3[Div Base]*Tabela3[Ações]</f>
        <v>69907887.5</v>
      </c>
      <c r="AL41" s="121">
        <f>SUMPRODUCT(N(Tabela3[Nome]=Tabela3[[#This Row],[Nome]]),Tabela3[Div Base]*Tabela3[Ações])</f>
        <v>69907887.5</v>
      </c>
      <c r="AM41" s="5">
        <f>Tabela3[Patrimônio Líquido]/Tabela3[Total Ações]</f>
        <v>7.3379482080178136</v>
      </c>
      <c r="AN41" s="52">
        <f>MAX(Tabela3[[#This Row],[Cotação 1]:[Cotação 5]])</f>
        <v>31.77</v>
      </c>
      <c r="AO41" s="53">
        <f>Tabela3[Cotação]/Tabela3[VPA]</f>
        <v>4.3295481378958893</v>
      </c>
      <c r="AP41" s="37">
        <f>IF(Tabela3[[#This Row],[Lucro/Ação]]&gt;0,Tabela3[[#This Row],[Cotação]]/(Tabela3[[#This Row],[Lucro/Ação]]/Tabela3[Ref]*4),0)</f>
        <v>17.144638638147232</v>
      </c>
      <c r="AQ41" s="85">
        <f>Tabela3[Lucro Distribuir]/Tabela3[Total Ações]</f>
        <v>1.3203034183312605</v>
      </c>
      <c r="AR41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0.33007585458281513</v>
      </c>
      <c r="AS41" s="10" t="str">
        <f>IF(AND(Tabela3[% A.A.]&gt;=6%,SUMPRODUCT(N(Tabela3[Nome]=Tabela3[[#This Row],[Nome]]),Tabela3[PL])&gt;0,Tabela3[Rentabilidade s/ PL]&gt;=Tabela3[Rentabilidade s/ PL Média]),"Sim","Não")</f>
        <v>Não</v>
      </c>
      <c r="AT41" s="22">
        <f>IF(Tabela3[Cotação]&gt;0,Tabela3[[#This Row],[Lucro]]/Tabela3[[#This Row],[Cotação]],0)</f>
        <v>1.0389545312647628E-2</v>
      </c>
      <c r="AU41" s="22">
        <f>((1+Tabela3[[#This Row],[% Yield]])^(1/(3*Tabela3[[#This Row],[Ref]])))^(12)-1</f>
        <v>1.3876659196426999E-2</v>
      </c>
      <c r="AV41" s="10">
        <f>IF(Tabela3[Cotação]&gt;0,($BD$1/Tabela3[[#This Row],[Cotação]]-MOD($BD$1/Tabela3[[#This Row],[Cotação]],100)),)</f>
        <v>0</v>
      </c>
      <c r="AW41" s="7">
        <f>Tabela3[[#This Row],[Ativos]]*Tabela3[Lucro]</f>
        <v>0</v>
      </c>
      <c r="AX41" s="7">
        <f>SUMPRODUCT(N(Tabela1[Código]=Tabela3[[#This Row],[PAPEL]]),Tabela1[Fechamento])</f>
        <v>0</v>
      </c>
      <c r="AY41" s="7">
        <f>SUMPRODUCT(N(Tabela17[Código]=Tabela3[[#This Row],[PAPEL]]),Tabela17[Fechamento])</f>
        <v>0</v>
      </c>
      <c r="AZ41" s="7">
        <f>SUMPRODUCT(N(Tabela176[Código]=Tabela3[[#This Row],[PAPEL]]),Tabela176[Fechamento])</f>
        <v>0</v>
      </c>
      <c r="BA41" s="7">
        <f>SUMPRODUCT(N(Tabela1768[Código]=Tabela3[[#This Row],[PAPEL]]),Tabela1768[Fechamento])</f>
        <v>31.77</v>
      </c>
      <c r="BB41" s="7">
        <f>SUMPRODUCT(N(Tabela17683[Código]=Tabela3[[#This Row],[PAPEL]]),Tabela17683[Fechamento])</f>
        <v>0</v>
      </c>
    </row>
    <row r="42" spans="1:54" hidden="1" x14ac:dyDescent="0.2">
      <c r="A42" s="3" t="s">
        <v>1476</v>
      </c>
      <c r="B42" s="57" t="s">
        <v>1468</v>
      </c>
      <c r="C42" s="16" t="str">
        <f>LEFT(Tabela3[PAPEL],LEN(Tabela3[PAPEL])-(LEN(Tabela3[PAPEL])-4))</f>
        <v>ARTR</v>
      </c>
      <c r="D42" s="16">
        <v>3</v>
      </c>
      <c r="E42" s="5">
        <v>772416395.83000004</v>
      </c>
      <c r="F42" s="56">
        <v>344444440</v>
      </c>
      <c r="G42" s="81">
        <v>0.25</v>
      </c>
      <c r="H42" s="87"/>
      <c r="J42" s="18"/>
      <c r="K42" s="16"/>
      <c r="L42" s="87"/>
      <c r="M42" s="54"/>
      <c r="N42" s="54"/>
      <c r="O42" s="54"/>
      <c r="P42" s="91">
        <v>1843360000</v>
      </c>
      <c r="Q42" s="73">
        <v>328722000</v>
      </c>
      <c r="R42" s="73">
        <f>IF(Tabela3[[#This Row],[Ativo || Passivo]]&gt;0,Tabela3[[#This Row],[Ativo || Passivo]]-Tabela3[[#This Row],[Patrimônio Líquido]],0)</f>
        <v>0</v>
      </c>
      <c r="S42" s="73">
        <f>Tabela3[[#This Row],[Cotação]]*Tabela3[[#This Row],[Total Ações]]</f>
        <v>5538666595.1999998</v>
      </c>
      <c r="T42" s="37">
        <f>IF(Tabela3[[#This Row],[Passivo Circulante]]&gt;0,Tabela3[[#This Row],[Ativo Circulante]]/Tabela3[[#This Row],[Passivo Circulante]],0)</f>
        <v>0</v>
      </c>
      <c r="U42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2" s="18">
        <f>IF(Tabela3[[#This Row],[Lucro Líquido]]&gt;0,Tabela3[[#This Row],[Lucro Líquido]]/Tabela3[[#This Row],[Patrimônio Líquido]],0)</f>
        <v>0.17832761913028383</v>
      </c>
      <c r="W42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2" s="18">
        <f>IF(Tabela3[[#This Row],[Dívida]]&gt;0,Tabela3[[#This Row],[Dívida]]/Tabela3[[#This Row],[Patrimônio Líquido]],0)</f>
        <v>0</v>
      </c>
      <c r="Y42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2" s="7">
        <f>Tabela3[[#This Row],[Capital Social]]*20%</f>
        <v>154483279.16600001</v>
      </c>
      <c r="AA42" s="47">
        <f>IF((Tabela3[Lucro Líquido]*5%)&gt;Tabela3[Teto R. Legal],Tabela3[Teto R. Legal],Tabela3[Lucro Líquido]*5%)</f>
        <v>16436100</v>
      </c>
      <c r="AB42" s="47">
        <f>IF(Tabela3[Lucro Líquido]&lt;0,0,Tabela3[Lucro Líquido]-Tabela3[Reserva Legal])</f>
        <v>312285900</v>
      </c>
      <c r="AC42" s="47">
        <f>Tabela3[[#This Row],[Lucro Distribuir]]*Tabela3[%Div]</f>
        <v>78071475</v>
      </c>
      <c r="AD42" s="56">
        <f>SUMPRODUCT(N(Tabela3[Nome]=Tabela3[[#This Row],[Nome]]),Tabela3[Ações])</f>
        <v>344444440</v>
      </c>
      <c r="AE42" s="85">
        <f>Tabela3[Capital Social]/Tabela3[Total Ações]</f>
        <v>2.2424992426354744</v>
      </c>
      <c r="AF42" s="85">
        <f>Tabela3[[#This Row],[Lucro Líquido]]/Tabela3[[#This Row],[Total Ações]]</f>
        <v>0.95435420586263486</v>
      </c>
      <c r="AG42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0.2266591238923758</v>
      </c>
      <c r="AH42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2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2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0.2266591238923758</v>
      </c>
      <c r="AK42" s="7">
        <f>Tabela3[Div Base]*Tabela3[Ações]</f>
        <v>78071475</v>
      </c>
      <c r="AL42" s="121">
        <f>SUMPRODUCT(N(Tabela3[Nome]=Tabela3[[#This Row],[Nome]]),Tabela3[Div Base]*Tabela3[Ações])</f>
        <v>78071475</v>
      </c>
      <c r="AM42" s="5">
        <f>Tabela3[Patrimônio Líquido]/Tabela3[Total Ações]</f>
        <v>5.3516903916347145</v>
      </c>
      <c r="AN42" s="52">
        <f>MAX(Tabela3[[#This Row],[Cotação 1]:[Cotação 5]])</f>
        <v>16.079999999999998</v>
      </c>
      <c r="AO42" s="53">
        <f>Tabela3[Cotação]/Tabela3[VPA]</f>
        <v>3.0046581216908255</v>
      </c>
      <c r="AP42" s="37">
        <f>IF(Tabela3[[#This Row],[Lucro/Ação]]&gt;0,Tabela3[[#This Row],[Cotação]]/(Tabela3[[#This Row],[Lucro/Ação]]/Tabela3[Ref]*4),0)</f>
        <v>12.636817573511964</v>
      </c>
      <c r="AQ42" s="85">
        <f>Tabela3[Lucro Distribuir]/Tabela3[Total Ações]</f>
        <v>0.90663649556950321</v>
      </c>
      <c r="AR42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0.2266591238923758</v>
      </c>
      <c r="AS42" s="10" t="str">
        <f>IF(AND(Tabela3[% A.A.]&gt;=6%,SUMPRODUCT(N(Tabela3[Nome]=Tabela3[[#This Row],[Nome]]),Tabela3[PL])&gt;0,Tabela3[Rentabilidade s/ PL]&gt;=Tabela3[Rentabilidade s/ PL Média]),"Sim","Não")</f>
        <v>Não</v>
      </c>
      <c r="AT42" s="22">
        <f>IF(Tabela3[Cotação]&gt;0,Tabela3[[#This Row],[Lucro]]/Tabela3[[#This Row],[Cotação]],0)</f>
        <v>1.409571665997362E-2</v>
      </c>
      <c r="AU42" s="22">
        <f>((1+Tabela3[[#This Row],[% Yield]])^(1/(3*Tabela3[[#This Row],[Ref]])))^(12)-1</f>
        <v>1.8838304543468132E-2</v>
      </c>
      <c r="AV42" s="10">
        <f>IF(Tabela3[Cotação]&gt;0,($BH$1/Tabela3[[#This Row],[Cotação]]-MOD($BH$1/Tabela3[[#This Row],[Cotação]],100)),)</f>
        <v>0</v>
      </c>
      <c r="AW42" s="7">
        <f>Tabela3[[#This Row],[Ativos]]*Tabela3[Lucro]</f>
        <v>0</v>
      </c>
      <c r="AX42" s="7">
        <f>SUMPRODUCT(N(Tabela1[Código]=Tabela3[[#This Row],[PAPEL]]),Tabela1[Fechamento])</f>
        <v>0</v>
      </c>
      <c r="AY42" s="7">
        <f>SUMPRODUCT(N(Tabela17[Código]=Tabela3[[#This Row],[PAPEL]]),Tabela17[Fechamento])</f>
        <v>0</v>
      </c>
      <c r="AZ42" s="7">
        <f>SUMPRODUCT(N(Tabela176[Código]=Tabela3[[#This Row],[PAPEL]]),Tabela176[Fechamento])</f>
        <v>0</v>
      </c>
      <c r="BA42" s="7">
        <f>SUMPRODUCT(N(Tabela1768[Código]=Tabela3[[#This Row],[PAPEL]]),Tabela1768[Fechamento])</f>
        <v>0</v>
      </c>
      <c r="BB42" s="7">
        <f>SUMPRODUCT(N(Tabela17683[Código]=Tabela3[[#This Row],[PAPEL]]),Tabela17683[Fechamento])</f>
        <v>16.079999999999998</v>
      </c>
    </row>
    <row r="43" spans="1:54" hidden="1" x14ac:dyDescent="0.2">
      <c r="A43" s="4" t="s">
        <v>373</v>
      </c>
      <c r="B43" s="57" t="s">
        <v>372</v>
      </c>
      <c r="C43" s="82" t="str">
        <f>LEFT(Tabela3[PAPEL],LEN(Tabela3[PAPEL])-(LEN(Tabela3[PAPEL])-4))</f>
        <v>BRIN</v>
      </c>
      <c r="D43" s="15">
        <v>3</v>
      </c>
      <c r="E43" s="6">
        <v>348895784.44999999</v>
      </c>
      <c r="F43" s="8">
        <v>98042555</v>
      </c>
      <c r="G43" s="81">
        <v>0.25</v>
      </c>
      <c r="H43" s="15"/>
      <c r="I43" s="19"/>
      <c r="J43" s="19"/>
      <c r="K43" s="88"/>
      <c r="L43" s="88"/>
      <c r="M43" s="55"/>
      <c r="N43" s="55"/>
      <c r="O43" s="55"/>
      <c r="P43" s="6">
        <v>496428000</v>
      </c>
      <c r="Q43" s="6">
        <v>88119000</v>
      </c>
      <c r="R43" s="6">
        <f>IF(Tabela3[[#This Row],[Ativo || Passivo]]&gt;0,Tabela3[[#This Row],[Ativo || Passivo]]-Tabela3[[#This Row],[Patrimônio Líquido]],0)</f>
        <v>0</v>
      </c>
      <c r="S43" s="6">
        <f>Tabela3[[#This Row],[Cotação]]*Tabela3[[#This Row],[Total Ações]]</f>
        <v>1678488541.6000001</v>
      </c>
      <c r="T43" s="134">
        <f>IF(Tabela3[[#This Row],[Passivo Circulante]]&gt;0,Tabela3[[#This Row],[Ativo Circulante]]/Tabela3[[#This Row],[Passivo Circulante]],0)</f>
        <v>0</v>
      </c>
      <c r="U43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3" s="19">
        <f>IF(Tabela3[[#This Row],[Lucro Líquido]]&gt;0,Tabela3[[#This Row],[Lucro Líquido]]/Tabela3[[#This Row],[Patrimônio Líquido]],0)</f>
        <v>0.17750610360414804</v>
      </c>
      <c r="W43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3" s="19">
        <f>IF(Tabela3[[#This Row],[Dívida]]&gt;0,Tabela3[[#This Row],[Dívida]]/Tabela3[[#This Row],[Patrimônio Líquido]],0)</f>
        <v>0</v>
      </c>
      <c r="Y43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3" s="6">
        <f>Tabela3[[#This Row],[Capital Social]]*20%</f>
        <v>69779156.890000001</v>
      </c>
      <c r="AA43" s="6">
        <f>IF((Tabela3[Lucro Líquido]*5%)&gt;Tabela3[Teto R. Legal],Tabela3[Teto R. Legal],Tabela3[Lucro Líquido]*5%)</f>
        <v>4405950</v>
      </c>
      <c r="AB43" s="6">
        <f>IF(Tabela3[Lucro Líquido]&lt;0,0,Tabela3[Lucro Líquido]-Tabela3[Reserva Legal])</f>
        <v>83713050</v>
      </c>
      <c r="AC43" s="6">
        <f>Tabela3[[#This Row],[Lucro Distribuir]]*Tabela3[%Div]</f>
        <v>20928262.5</v>
      </c>
      <c r="AD43" s="56">
        <f>SUMPRODUCT(N(Tabela3[Nome]=Tabela3[[#This Row],[Nome]]),Tabela3[Ações])</f>
        <v>98042555</v>
      </c>
      <c r="AE43" s="6">
        <f>Tabela3[Capital Social]/Tabela3[Total Ações]</f>
        <v>3.5586157913775298</v>
      </c>
      <c r="AF43" s="78">
        <f>Tabela3[[#This Row],[Lucro Líquido]]/Tabela3[[#This Row],[Total Ações]]</f>
        <v>0.89878318654588307</v>
      </c>
      <c r="AG43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0.21346100680464722</v>
      </c>
      <c r="AH43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3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3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0.21346100680464722</v>
      </c>
      <c r="AK43" s="6">
        <f>Tabela3[Div Base]*Tabela3[Ações]</f>
        <v>20928262.5</v>
      </c>
      <c r="AL43" s="6">
        <f>SUMPRODUCT(N(Tabela3[Nome]=Tabela3[[#This Row],[Nome]]),Tabela3[Div Base]*Tabela3[Ações])</f>
        <v>20928262.5</v>
      </c>
      <c r="AM43" s="6">
        <f>Tabela3[Patrimônio Líquido]/Tabela3[Total Ações]</f>
        <v>5.063393135766403</v>
      </c>
      <c r="AN43" s="48">
        <f>MAX(Tabela3[[#This Row],[Cotação 1]:[Cotação 5]])</f>
        <v>17.12</v>
      </c>
      <c r="AO43" s="44">
        <f>Tabela3[Cotação]/Tabela3[VPA]</f>
        <v>3.3811318894180022</v>
      </c>
      <c r="AP43" s="40">
        <f>IF(Tabela3[[#This Row],[Lucro/Ação]]&gt;0,Tabela3[[#This Row],[Cotação]]/(Tabela3[[#This Row],[Lucro/Ação]]/Tabela3[Ref]*4),0)</f>
        <v>14.285981527252918</v>
      </c>
      <c r="AQ43" s="78">
        <f>Tabela3[Lucro Distribuir]/Tabela3[Total Ações]</f>
        <v>0.85384402721858887</v>
      </c>
      <c r="AR43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0.21346100680464722</v>
      </c>
      <c r="AS43" s="15" t="str">
        <f>IF(AND(Tabela3[% A.A.]&gt;=6%,SUMPRODUCT(N(Tabela3[Nome]=Tabela3[[#This Row],[Nome]]),Tabela3[PL])&gt;0,Tabela3[Rentabilidade s/ PL]&gt;=Tabela3[Rentabilidade s/ PL Média]),"Sim","Não")</f>
        <v>Não</v>
      </c>
      <c r="AT43" s="42">
        <f>IF(Tabela3[Cotação]&gt;0,Tabela3[[#This Row],[Lucro]]/Tabela3[[#This Row],[Cotação]],0)</f>
        <v>1.2468516752607897E-2</v>
      </c>
      <c r="AU43" s="19">
        <f>((1+Tabela3[[#This Row],[% Yield]])^(1/(3*Tabela3[[#This Row],[Ref]])))^(12)-1</f>
        <v>1.665914130938706E-2</v>
      </c>
      <c r="AV43" s="14">
        <f>IF(Tabela3[Cotação]&gt;0,($BH$1/Tabela3[[#This Row],[Cotação]]-MOD($BH$1/Tabela3[[#This Row],[Cotação]],100)),)</f>
        <v>0</v>
      </c>
      <c r="AW43" s="17">
        <f>Tabela3[[#This Row],[Ativos]]*Tabela3[Lucro]</f>
        <v>0</v>
      </c>
      <c r="AX43" s="13">
        <f>SUMPRODUCT(N(Tabela1[Código]=Tabela3[[#This Row],[PAPEL]]),Tabela1[Fechamento])</f>
        <v>0</v>
      </c>
      <c r="AY43" s="55">
        <f>SUMPRODUCT(N(Tabela17[Código]=Tabela3[[#This Row],[PAPEL]]),Tabela17[Fechamento])</f>
        <v>17.12</v>
      </c>
      <c r="AZ43" s="7">
        <f>SUMPRODUCT(N(Tabela176[Código]=Tabela3[[#This Row],[PAPEL]]),Tabela176[Fechamento])</f>
        <v>0</v>
      </c>
      <c r="BA43" s="7">
        <f>SUMPRODUCT(N(Tabela1768[Código]=Tabela3[[#This Row],[PAPEL]]),Tabela1768[Fechamento])</f>
        <v>0</v>
      </c>
      <c r="BB43" s="7">
        <f>SUMPRODUCT(N(Tabela17683[Código]=Tabela3[[#This Row],[PAPEL]]),Tabela17683[Fechamento])</f>
        <v>0</v>
      </c>
    </row>
    <row r="44" spans="1:54" hidden="1" x14ac:dyDescent="0.2">
      <c r="A44" s="3" t="s">
        <v>1477</v>
      </c>
      <c r="B44" s="57" t="s">
        <v>1482</v>
      </c>
      <c r="C44" s="16" t="str">
        <f>LEFT(Tabela3[PAPEL],LEN(Tabela3[PAPEL])-(LEN(Tabela3[PAPEL])-4))</f>
        <v>STBP</v>
      </c>
      <c r="D44" s="16">
        <v>4</v>
      </c>
      <c r="E44" s="5">
        <v>1071077315.22</v>
      </c>
      <c r="F44" s="56">
        <v>454629482</v>
      </c>
      <c r="G44" s="81">
        <v>0.25</v>
      </c>
      <c r="H44" s="87"/>
      <c r="J44" s="18"/>
      <c r="K44" s="16"/>
      <c r="L44" s="87"/>
      <c r="M44" s="54"/>
      <c r="N44" s="54"/>
      <c r="O44" s="54"/>
      <c r="P44" s="91">
        <v>1447969000</v>
      </c>
      <c r="Q44" s="73">
        <v>255060000</v>
      </c>
      <c r="R44" s="73">
        <f>IF(Tabela3[[#This Row],[Ativo || Passivo]]&gt;0,Tabela3[[#This Row],[Ativo || Passivo]]-Tabela3[[#This Row],[Patrimônio Líquido]],0)</f>
        <v>0</v>
      </c>
      <c r="S44" s="73">
        <f>Tabela3[[#This Row],[Cotação]]*Tabela3[[#This Row],[Total Ações]]</f>
        <v>0</v>
      </c>
      <c r="T44" s="37">
        <f>IF(Tabela3[[#This Row],[Passivo Circulante]]&gt;0,Tabela3[[#This Row],[Ativo Circulante]]/Tabela3[[#This Row],[Passivo Circulante]],0)</f>
        <v>0</v>
      </c>
      <c r="U44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4" s="18">
        <f>IF(Tabela3[[#This Row],[Lucro Líquido]]&gt;0,Tabela3[[#This Row],[Lucro Líquido]]/Tabela3[[#This Row],[Patrimônio Líquido]],0)</f>
        <v>0.17615018001075991</v>
      </c>
      <c r="W44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4" s="18">
        <f>IF(Tabela3[[#This Row],[Dívida]]&gt;0,Tabela3[[#This Row],[Dívida]]/Tabela3[[#This Row],[Patrimônio Líquido]],0)</f>
        <v>0</v>
      </c>
      <c r="Y44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4" s="7">
        <f>Tabela3[[#This Row],[Capital Social]]*20%</f>
        <v>214215463.04400003</v>
      </c>
      <c r="AA44" s="47">
        <f>IF((Tabela3[Lucro Líquido]*5%)&gt;Tabela3[Teto R. Legal],Tabela3[Teto R. Legal],Tabela3[Lucro Líquido]*5%)</f>
        <v>12753000</v>
      </c>
      <c r="AB44" s="47">
        <f>IF(Tabela3[Lucro Líquido]&lt;0,0,Tabela3[Lucro Líquido]-Tabela3[Reserva Legal])</f>
        <v>242307000</v>
      </c>
      <c r="AC44" s="47">
        <f>Tabela3[[#This Row],[Lucro Distribuir]]*Tabela3[%Div]</f>
        <v>60576750</v>
      </c>
      <c r="AD44" s="56">
        <f>SUMPRODUCT(N(Tabela3[Nome]=Tabela3[[#This Row],[Nome]]),Tabela3[Ações])</f>
        <v>666086554</v>
      </c>
      <c r="AE44" s="85">
        <f>Tabela3[Capital Social]/Tabela3[Total Ações]</f>
        <v>1.6080152178240787</v>
      </c>
      <c r="AF44" s="85">
        <f>Tabela3[[#This Row],[Lucro Líquido]]/Tabela3[[#This Row],[Total Ações]]</f>
        <v>0.38292320790489942</v>
      </c>
      <c r="AG44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9.0944261877413612E-2</v>
      </c>
      <c r="AH44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4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4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9.0944261877413612E-2</v>
      </c>
      <c r="AK44" s="7">
        <f>Tabela3[Div Base]*Tabela3[Ações]</f>
        <v>41345942.668200895</v>
      </c>
      <c r="AL44" s="121">
        <f>SUMPRODUCT(N(Tabela3[Nome]=Tabela3[[#This Row],[Nome]]),Tabela3[Div Base]*Tabela3[Ações])</f>
        <v>60576750</v>
      </c>
      <c r="AM44" s="5">
        <f>Tabela3[Patrimônio Líquido]/Tabela3[Total Ações]</f>
        <v>2.1738451126278102</v>
      </c>
      <c r="AN44" s="52">
        <f>MAX(Tabela3[[#This Row],[Cotação 1]:[Cotação 5]])</f>
        <v>0</v>
      </c>
      <c r="AO44" s="53">
        <f>Tabela3[Cotação]/Tabela3[VPA]</f>
        <v>0</v>
      </c>
      <c r="AP44" s="37">
        <f>IF(Tabela3[[#This Row],[Lucro/Ação]]&gt;0,Tabela3[[#This Row],[Cotação]]/(Tabela3[[#This Row],[Lucro/Ação]]/Tabela3[Ref]*4),0)</f>
        <v>0</v>
      </c>
      <c r="AQ44" s="85">
        <f>Tabela3[Lucro Distribuir]/Tabela3[Total Ações]</f>
        <v>0.36377704750965445</v>
      </c>
      <c r="AR44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9.0944261877413612E-2</v>
      </c>
      <c r="AS44" s="10" t="str">
        <f>IF(AND(Tabela3[% A.A.]&gt;=6%,SUMPRODUCT(N(Tabela3[Nome]=Tabela3[[#This Row],[Nome]]),Tabela3[PL])&gt;0,Tabela3[Rentabilidade s/ PL]&gt;=Tabela3[Rentabilidade s/ PL Média]),"Sim","Não")</f>
        <v>Não</v>
      </c>
      <c r="AT44" s="22">
        <f>IF(Tabela3[Cotação]&gt;0,Tabela3[[#This Row],[Lucro]]/Tabela3[[#This Row],[Cotação]],0)</f>
        <v>0</v>
      </c>
      <c r="AU44" s="22">
        <f>((1+Tabela3[[#This Row],[% Yield]])^(1/(3*Tabela3[[#This Row],[Ref]])))^(12)-1</f>
        <v>0</v>
      </c>
      <c r="AV44" s="10">
        <f>IF(Tabela3[Cotação]&gt;0,($BD$1/Tabela3[[#This Row],[Cotação]]-MOD($BD$1/Tabela3[[#This Row],[Cotação]],100)),)</f>
        <v>0</v>
      </c>
      <c r="AW44" s="7">
        <f>Tabela3[[#This Row],[Ativos]]*Tabela3[Lucro]</f>
        <v>0</v>
      </c>
      <c r="AX44" s="7">
        <f>SUMPRODUCT(N(Tabela1[Código]=Tabela3[[#This Row],[PAPEL]]),Tabela1[Fechamento])</f>
        <v>0</v>
      </c>
      <c r="AY44" s="7">
        <f>SUMPRODUCT(N(Tabela17[Código]=Tabela3[[#This Row],[PAPEL]]),Tabela17[Fechamento])</f>
        <v>0</v>
      </c>
      <c r="AZ44" s="7">
        <f>SUMPRODUCT(N(Tabela176[Código]=Tabela3[[#This Row],[PAPEL]]),Tabela176[Fechamento])</f>
        <v>0</v>
      </c>
      <c r="BA44" s="7">
        <f>SUMPRODUCT(N(Tabela1768[Código]=Tabela3[[#This Row],[PAPEL]]),Tabela1768[Fechamento])</f>
        <v>0</v>
      </c>
      <c r="BB44" s="7">
        <f>SUMPRODUCT(N(Tabela17683[Código]=Tabela3[[#This Row],[PAPEL]]),Tabela17683[Fechamento])</f>
        <v>0</v>
      </c>
    </row>
    <row r="45" spans="1:54" hidden="1" x14ac:dyDescent="0.2">
      <c r="A45" s="3" t="s">
        <v>1477</v>
      </c>
      <c r="B45" s="57" t="s">
        <v>1483</v>
      </c>
      <c r="C45" s="16" t="str">
        <f>LEFT(Tabela3[PAPEL],LEN(Tabela3[PAPEL])-(LEN(Tabela3[PAPEL])-4))</f>
        <v>STBP</v>
      </c>
      <c r="D45" s="16">
        <v>4</v>
      </c>
      <c r="E45" s="5">
        <v>1071077315.22</v>
      </c>
      <c r="F45" s="56">
        <v>211457072</v>
      </c>
      <c r="G45" s="81">
        <v>0.25</v>
      </c>
      <c r="H45" s="87"/>
      <c r="J45" s="18"/>
      <c r="K45" s="16"/>
      <c r="L45" s="87"/>
      <c r="M45" s="54"/>
      <c r="N45" s="54"/>
      <c r="O45" s="54"/>
      <c r="P45" s="91">
        <v>1447969000</v>
      </c>
      <c r="Q45" s="73">
        <v>255060000</v>
      </c>
      <c r="R45" s="73">
        <f>IF(Tabela3[[#This Row],[Ativo || Passivo]]&gt;0,Tabela3[[#This Row],[Ativo || Passivo]]-Tabela3[[#This Row],[Patrimônio Líquido]],0)</f>
        <v>0</v>
      </c>
      <c r="S45" s="73">
        <f>Tabela3[[#This Row],[Cotação]]*Tabela3[[#This Row],[Total Ações]]</f>
        <v>0</v>
      </c>
      <c r="T45" s="37">
        <f>IF(Tabela3[[#This Row],[Passivo Circulante]]&gt;0,Tabela3[[#This Row],[Ativo Circulante]]/Tabela3[[#This Row],[Passivo Circulante]],0)</f>
        <v>0</v>
      </c>
      <c r="U45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5" s="18">
        <f>IF(Tabela3[[#This Row],[Lucro Líquido]]&gt;0,Tabela3[[#This Row],[Lucro Líquido]]/Tabela3[[#This Row],[Patrimônio Líquido]],0)</f>
        <v>0.17615018001075991</v>
      </c>
      <c r="W45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5" s="18">
        <f>IF(Tabela3[[#This Row],[Dívida]]&gt;0,Tabela3[[#This Row],[Dívida]]/Tabela3[[#This Row],[Patrimônio Líquido]],0)</f>
        <v>0</v>
      </c>
      <c r="Y45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5" s="7">
        <f>Tabela3[[#This Row],[Capital Social]]*20%</f>
        <v>214215463.04400003</v>
      </c>
      <c r="AA45" s="47">
        <f>IF((Tabela3[Lucro Líquido]*5%)&gt;Tabela3[Teto R. Legal],Tabela3[Teto R. Legal],Tabela3[Lucro Líquido]*5%)</f>
        <v>12753000</v>
      </c>
      <c r="AB45" s="47">
        <f>IF(Tabela3[Lucro Líquido]&lt;0,0,Tabela3[Lucro Líquido]-Tabela3[Reserva Legal])</f>
        <v>242307000</v>
      </c>
      <c r="AC45" s="47">
        <f>Tabela3[[#This Row],[Lucro Distribuir]]*Tabela3[%Div]</f>
        <v>60576750</v>
      </c>
      <c r="AD45" s="56">
        <f>SUMPRODUCT(N(Tabela3[Nome]=Tabela3[[#This Row],[Nome]]),Tabela3[Ações])</f>
        <v>666086554</v>
      </c>
      <c r="AE45" s="85">
        <f>Tabela3[Capital Social]/Tabela3[Total Ações]</f>
        <v>1.6080152178240787</v>
      </c>
      <c r="AF45" s="85">
        <f>Tabela3[[#This Row],[Lucro Líquido]]/Tabela3[[#This Row],[Total Ações]]</f>
        <v>0.38292320790489942</v>
      </c>
      <c r="AG45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9.0944261877413612E-2</v>
      </c>
      <c r="AH45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5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5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9.0944261877413612E-2</v>
      </c>
      <c r="AK45" s="7">
        <f>Tabela3[Div Base]*Tabela3[Ações]</f>
        <v>19230807.331799105</v>
      </c>
      <c r="AL45" s="121">
        <f>SUMPRODUCT(N(Tabela3[Nome]=Tabela3[[#This Row],[Nome]]),Tabela3[Div Base]*Tabela3[Ações])</f>
        <v>60576750</v>
      </c>
      <c r="AM45" s="5">
        <f>Tabela3[Patrimônio Líquido]/Tabela3[Total Ações]</f>
        <v>2.1738451126278102</v>
      </c>
      <c r="AN45" s="52">
        <f>MAX(Tabela3[[#This Row],[Cotação 1]:[Cotação 5]])</f>
        <v>0</v>
      </c>
      <c r="AO45" s="53">
        <f>Tabela3[Cotação]/Tabela3[VPA]</f>
        <v>0</v>
      </c>
      <c r="AP45" s="37">
        <f>IF(Tabela3[[#This Row],[Lucro/Ação]]&gt;0,Tabela3[[#This Row],[Cotação]]/(Tabela3[[#This Row],[Lucro/Ação]]/Tabela3[Ref]*4),0)</f>
        <v>0</v>
      </c>
      <c r="AQ45" s="85">
        <f>Tabela3[Lucro Distribuir]/Tabela3[Total Ações]</f>
        <v>0.36377704750965445</v>
      </c>
      <c r="AR45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9.0944261877413612E-2</v>
      </c>
      <c r="AS45" s="10" t="str">
        <f>IF(AND(Tabela3[% A.A.]&gt;=6%,SUMPRODUCT(N(Tabela3[Nome]=Tabela3[[#This Row],[Nome]]),Tabela3[PL])&gt;0,Tabela3[Rentabilidade s/ PL]&gt;=Tabela3[Rentabilidade s/ PL Média]),"Sim","Não")</f>
        <v>Não</v>
      </c>
      <c r="AT45" s="22">
        <f>IF(Tabela3[Cotação]&gt;0,Tabela3[[#This Row],[Lucro]]/Tabela3[[#This Row],[Cotação]],0)</f>
        <v>0</v>
      </c>
      <c r="AU45" s="22">
        <f>((1+Tabela3[[#This Row],[% Yield]])^(1/(3*Tabela3[[#This Row],[Ref]])))^(12)-1</f>
        <v>0</v>
      </c>
      <c r="AV45" s="10">
        <f>IF(Tabela3[Cotação]&gt;0,($BD$1/Tabela3[[#This Row],[Cotação]]-MOD($BD$1/Tabela3[[#This Row],[Cotação]],100)),)</f>
        <v>0</v>
      </c>
      <c r="AW45" s="7">
        <f>Tabela3[[#This Row],[Ativos]]*Tabela3[Lucro]</f>
        <v>0</v>
      </c>
      <c r="AX45" s="7">
        <f>SUMPRODUCT(N(Tabela1[Código]=Tabela3[[#This Row],[PAPEL]]),Tabela1[Fechamento])</f>
        <v>0</v>
      </c>
      <c r="AY45" s="7">
        <f>SUMPRODUCT(N(Tabela17[Código]=Tabela3[[#This Row],[PAPEL]]),Tabela17[Fechamento])</f>
        <v>0</v>
      </c>
      <c r="AZ45" s="7">
        <f>SUMPRODUCT(N(Tabela176[Código]=Tabela3[[#This Row],[PAPEL]]),Tabela176[Fechamento])</f>
        <v>0</v>
      </c>
      <c r="BA45" s="7">
        <f>SUMPRODUCT(N(Tabela1768[Código]=Tabela3[[#This Row],[PAPEL]]),Tabela1768[Fechamento])</f>
        <v>0</v>
      </c>
      <c r="BB45" s="7">
        <f>SUMPRODUCT(N(Tabela17683[Código]=Tabela3[[#This Row],[PAPEL]]),Tabela17683[Fechamento])</f>
        <v>0</v>
      </c>
    </row>
    <row r="46" spans="1:54" hidden="1" x14ac:dyDescent="0.2">
      <c r="A46" s="3" t="s">
        <v>346</v>
      </c>
      <c r="B46" s="58" t="s">
        <v>353</v>
      </c>
      <c r="C46" s="83" t="str">
        <f>LEFT(Tabela3[PAPEL],LEN(Tabela3[PAPEL])-(LEN(Tabela3[PAPEL])-4))</f>
        <v>CCPR</v>
      </c>
      <c r="D46" s="16">
        <v>3</v>
      </c>
      <c r="E46" s="5">
        <v>330695395.88999999</v>
      </c>
      <c r="F46" s="56">
        <v>83000000</v>
      </c>
      <c r="G46" s="86">
        <v>0.25</v>
      </c>
      <c r="H46" s="16"/>
      <c r="J46" s="18"/>
      <c r="K46" s="87"/>
      <c r="L46" s="87"/>
      <c r="M46" s="54"/>
      <c r="N46" s="54"/>
      <c r="O46" s="54"/>
      <c r="P46" s="5">
        <v>709804000</v>
      </c>
      <c r="Q46" s="5">
        <v>124200000</v>
      </c>
      <c r="R46" s="5">
        <f>IF(Tabela3[[#This Row],[Ativo || Passivo]]&gt;0,Tabela3[[#This Row],[Ativo || Passivo]]-Tabela3[[#This Row],[Patrimônio Líquido]],0)</f>
        <v>0</v>
      </c>
      <c r="S46" s="5">
        <f>Tabela3[[#This Row],[Cotação]]*Tabela3[[#This Row],[Total Ações]]</f>
        <v>1577830000.0000002</v>
      </c>
      <c r="T46" s="132">
        <f>IF(Tabela3[[#This Row],[Passivo Circulante]]&gt;0,Tabela3[[#This Row],[Ativo Circulante]]/Tabela3[[#This Row],[Passivo Circulante]],0)</f>
        <v>0</v>
      </c>
      <c r="U46" s="132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6" s="18">
        <f>IF(Tabela3[[#This Row],[Lucro Líquido]]&gt;0,Tabela3[[#This Row],[Lucro Líquido]]/Tabela3[[#This Row],[Patrimônio Líquido]],0)</f>
        <v>0.17497788121791369</v>
      </c>
      <c r="W46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6" s="18">
        <f>IF(Tabela3[[#This Row],[Dívida]]&gt;0,Tabela3[[#This Row],[Dívida]]/Tabela3[[#This Row],[Patrimônio Líquido]],0)</f>
        <v>0</v>
      </c>
      <c r="Y46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6" s="5">
        <f>Tabela3[[#This Row],[Capital Social]]*20%</f>
        <v>66139079.178000003</v>
      </c>
      <c r="AA46" s="5">
        <f>IF((Tabela3[Lucro Líquido]*5%)&gt;Tabela3[Teto R. Legal],Tabela3[Teto R. Legal],Tabela3[Lucro Líquido]*5%)</f>
        <v>6210000</v>
      </c>
      <c r="AB46" s="5">
        <f>IF(Tabela3[Lucro Líquido]&lt;0,0,Tabela3[Lucro Líquido]-Tabela3[Reserva Legal])</f>
        <v>117990000</v>
      </c>
      <c r="AC46" s="5">
        <f>Tabela3[[#This Row],[Lucro Distribuir]]*Tabela3[%Div]</f>
        <v>29497500</v>
      </c>
      <c r="AD46" s="56">
        <f>SUMPRODUCT(N(Tabela3[Nome]=Tabela3[[#This Row],[Nome]]),Tabela3[Ações])</f>
        <v>83000000</v>
      </c>
      <c r="AE46" s="5">
        <f>Tabela3[Capital Social]/Tabela3[Total Ações]</f>
        <v>3.9842818781927711</v>
      </c>
      <c r="AF46" s="77">
        <f>Tabela3[[#This Row],[Lucro Líquido]]/Tabela3[[#This Row],[Total Ações]]</f>
        <v>1.4963855421686747</v>
      </c>
      <c r="AG46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0.35539156626506024</v>
      </c>
      <c r="AH46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6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6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0.35539156626506024</v>
      </c>
      <c r="AK46" s="5">
        <f>Tabela3[Div Base]*Tabela3[Ações]</f>
        <v>29497500</v>
      </c>
      <c r="AL46" s="5">
        <f>SUMPRODUCT(N(Tabela3[Nome]=Tabela3[[#This Row],[Nome]]),Tabela3[Div Base]*Tabela3[Ações])</f>
        <v>29497500</v>
      </c>
      <c r="AM46" s="5">
        <f>Tabela3[Patrimônio Líquido]/Tabela3[Total Ações]</f>
        <v>8.5518554216867475</v>
      </c>
      <c r="AN46" s="52">
        <f>MAX(Tabela3[[#This Row],[Cotação 1]:[Cotação 5]])</f>
        <v>19.010000000000002</v>
      </c>
      <c r="AO46" s="53">
        <f>Tabela3[Cotação]/Tabela3[VPA]</f>
        <v>2.2229094228829367</v>
      </c>
      <c r="AP46" s="37">
        <f>IF(Tabela3[[#This Row],[Lucro/Ação]]&gt;0,Tabela3[[#This Row],[Cotação]]/(Tabela3[[#This Row],[Lucro/Ação]]/Tabela3[Ref]*4),0)</f>
        <v>9.5279589371980684</v>
      </c>
      <c r="AQ46" s="77">
        <f>Tabela3[Lucro Distribuir]/Tabela3[Total Ações]</f>
        <v>1.421566265060241</v>
      </c>
      <c r="AR46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0.35539156626506024</v>
      </c>
      <c r="AS46" s="16" t="str">
        <f>IF(AND(Tabela3[% A.A.]&gt;=6%,SUMPRODUCT(N(Tabela3[Nome]=Tabela3[[#This Row],[Nome]]),Tabela3[PL])&gt;0,Tabela3[Rentabilidade s/ PL]&gt;=Tabela3[Rentabilidade s/ PL Média]),"Sim","Não")</f>
        <v>Não</v>
      </c>
      <c r="AT46" s="22">
        <f>IF(Tabela3[Cotação]&gt;0,Tabela3[[#This Row],[Lucro]]/Tabela3[[#This Row],[Cotação]],0)</f>
        <v>1.8694979814048406E-2</v>
      </c>
      <c r="AU46" s="18">
        <f>((1+Tabela3[[#This Row],[% Yield]])^(1/(3*Tabela3[[#This Row],[Ref]])))^(12)-1</f>
        <v>2.5003986748264317E-2</v>
      </c>
      <c r="AV46" s="10">
        <f>IF(Tabela3[Cotação]&gt;0,($BH$1/Tabela3[[#This Row],[Cotação]]-MOD($BH$1/Tabela3[[#This Row],[Cotação]],100)),)</f>
        <v>0</v>
      </c>
      <c r="AW46" s="7">
        <f>Tabela3[[#This Row],[Ativos]]*Tabela3[Lucro]</f>
        <v>0</v>
      </c>
      <c r="AX46" s="47">
        <f>SUMPRODUCT(N(Tabela1[Código]=Tabela3[[#This Row],[PAPEL]]),Tabela1[Fechamento])</f>
        <v>0</v>
      </c>
      <c r="AY46" s="54">
        <f>SUMPRODUCT(N(Tabela17[Código]=Tabela3[[#This Row],[PAPEL]]),Tabela17[Fechamento])</f>
        <v>19.010000000000002</v>
      </c>
      <c r="AZ46" s="7">
        <f>SUMPRODUCT(N(Tabela176[Código]=Tabela3[[#This Row],[PAPEL]]),Tabela176[Fechamento])</f>
        <v>0</v>
      </c>
      <c r="BA46" s="7">
        <f>SUMPRODUCT(N(Tabela1768[Código]=Tabela3[[#This Row],[PAPEL]]),Tabela1768[Fechamento])</f>
        <v>0</v>
      </c>
      <c r="BB46" s="7">
        <f>SUMPRODUCT(N(Tabela17683[Código]=Tabela3[[#This Row],[PAPEL]]),Tabela17683[Fechamento])</f>
        <v>0</v>
      </c>
    </row>
    <row r="47" spans="1:54" hidden="1" x14ac:dyDescent="0.2">
      <c r="A47" s="4" t="s">
        <v>12</v>
      </c>
      <c r="B47" s="57" t="s">
        <v>95</v>
      </c>
      <c r="C47" s="14" t="str">
        <f>LEFT(Tabela3[PAPEL],LEN(Tabela3[PAPEL])-(LEN(Tabela3[PAPEL])-4))</f>
        <v>CSRN</v>
      </c>
      <c r="D47" s="15">
        <v>3</v>
      </c>
      <c r="E47" s="6">
        <v>179787268.58000001</v>
      </c>
      <c r="F47" s="8">
        <v>129746219</v>
      </c>
      <c r="G47" s="81">
        <v>0.25</v>
      </c>
      <c r="H47" s="15"/>
      <c r="I47" s="19"/>
      <c r="J47" s="19"/>
      <c r="K47" s="88"/>
      <c r="L47" s="88"/>
      <c r="M47" s="55">
        <v>1674792000</v>
      </c>
      <c r="N47" s="55">
        <v>447172000</v>
      </c>
      <c r="O47" s="55">
        <v>502260000</v>
      </c>
      <c r="P47" s="89">
        <v>884793000</v>
      </c>
      <c r="Q47" s="89">
        <v>154604000</v>
      </c>
      <c r="R47" s="89">
        <f>IF(Tabela3[[#This Row],[Ativo || Passivo]]&gt;0,Tabela3[[#This Row],[Ativo || Passivo]]-Tabela3[[#This Row],[Patrimônio Líquido]],0)</f>
        <v>789999000</v>
      </c>
      <c r="S47" s="89">
        <f>Tabela3[[#This Row],[Cotação]]*Tabela3[[#This Row],[Total Ações]]</f>
        <v>1596703266</v>
      </c>
      <c r="T47" s="134">
        <f>IF(Tabela3[[#This Row],[Passivo Circulante]]&gt;0,Tabela3[[#This Row],[Ativo Circulante]]/Tabela3[[#This Row],[Passivo Circulante]],0)</f>
        <v>0.8903197547087166</v>
      </c>
      <c r="U47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7" s="19">
        <f>IF(Tabela3[[#This Row],[Lucro Líquido]]&gt;0,Tabela3[[#This Row],[Lucro Líquido]]/Tabela3[[#This Row],[Patrimônio Líquido]],0)</f>
        <v>0.17473465545048389</v>
      </c>
      <c r="W47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7" s="19">
        <f>IF(Tabela3[[#This Row],[Dívida]]&gt;0,Tabela3[[#This Row],[Dívida]]/Tabela3[[#This Row],[Patrimônio Líquido]],0)</f>
        <v>0.89286307644838958</v>
      </c>
      <c r="Y47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7" s="6">
        <f>Tabela3[[#This Row],[Capital Social]]*20%</f>
        <v>35957453.716000006</v>
      </c>
      <c r="AA47" s="6">
        <f>IF((Tabela3[Lucro Líquido]*5%)&gt;Tabela3[Teto R. Legal],Tabela3[Teto R. Legal],Tabela3[Lucro Líquido]*5%)</f>
        <v>7730200</v>
      </c>
      <c r="AB47" s="89">
        <f>IF(Tabela3[Lucro Líquido]&lt;0,0,Tabela3[Lucro Líquido]-Tabela3[Reserva Legal])</f>
        <v>146873800</v>
      </c>
      <c r="AC47" s="89">
        <f>Tabela3[[#This Row],[Lucro Distribuir]]*Tabela3[%Div]</f>
        <v>36718450</v>
      </c>
      <c r="AD47" s="56">
        <f>SUMPRODUCT(N(Tabela3[Nome]=Tabela3[[#This Row],[Nome]]),Tabela3[Ações])</f>
        <v>168074028</v>
      </c>
      <c r="AE47" s="6">
        <f>Tabela3[Capital Social]/Tabela3[Total Ações]</f>
        <v>1.0696909612947458</v>
      </c>
      <c r="AF47" s="78">
        <f>Tabela3[[#This Row],[Lucro Líquido]]/Tabela3[[#This Row],[Total Ações]]</f>
        <v>0.91985657653186015</v>
      </c>
      <c r="AG47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0.21166863088996732</v>
      </c>
      <c r="AH47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7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7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0.21166863088996732</v>
      </c>
      <c r="AK47" s="6">
        <f>Tabela3[Div Base]*Tabela3[Ações]</f>
        <v>27463204.538879864</v>
      </c>
      <c r="AL47" s="6">
        <f>SUMPRODUCT(N(Tabela3[Nome]=Tabela3[[#This Row],[Nome]]),Tabela3[Div Base]*Tabela3[Ações])</f>
        <v>36387278.892751291</v>
      </c>
      <c r="AM47" s="6">
        <f>Tabela3[Patrimônio Líquido]/Tabela3[Total Ações]</f>
        <v>5.2643053214622784</v>
      </c>
      <c r="AN47" s="48">
        <f>MAX(Tabela3[[#This Row],[Cotação 1]:[Cotação 5]])</f>
        <v>9.5</v>
      </c>
      <c r="AO47" s="44">
        <f>Tabela3[Cotação]/Tabela3[VPA]</f>
        <v>1.8046065757753509</v>
      </c>
      <c r="AP47" s="40">
        <f>IF(Tabela3[[#This Row],[Lucro/Ação]]&gt;0,Tabela3[[#This Row],[Cotação]]/(Tabela3[[#This Row],[Lucro/Ação]]/Tabela3[Ref]*4),0)</f>
        <v>7.745772745207109</v>
      </c>
      <c r="AQ47" s="78">
        <f>Tabela3[Lucro Distribuir]/Tabela3[Total Ações]</f>
        <v>0.87386374770526709</v>
      </c>
      <c r="AR47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0.21166863088996732</v>
      </c>
      <c r="AS47" s="15" t="str">
        <f>IF(AND(Tabela3[% A.A.]&gt;=6%,SUMPRODUCT(N(Tabela3[Nome]=Tabela3[[#This Row],[Nome]]),Tabela3[PL])&gt;0,Tabela3[Rentabilidade s/ PL]&gt;=Tabela3[Rentabilidade s/ PL Média]),"Sim","Não")</f>
        <v>Não</v>
      </c>
      <c r="AT47" s="42">
        <f>IF(Tabela3[Cotação]&gt;0,Tabela3[[#This Row],[Lucro]]/Tabela3[[#This Row],[Cotação]],0)</f>
        <v>2.22809085147334E-2</v>
      </c>
      <c r="AU47" s="19">
        <f>((1+Tabela3[[#This Row],[% Yield]])^(1/(3*Tabela3[[#This Row],[Ref]])))^(12)-1</f>
        <v>2.9817656555644501E-2</v>
      </c>
      <c r="AV47" s="14">
        <f>IF(Tabela3[Cotação]&gt;0,($BH$1/Tabela3[[#This Row],[Cotação]]-MOD($BH$1/Tabela3[[#This Row],[Cotação]],100)),)</f>
        <v>0</v>
      </c>
      <c r="AW47" s="17">
        <f>Tabela3[[#This Row],[Ativos]]*Tabela3[Lucro]</f>
        <v>0</v>
      </c>
      <c r="AX47" s="5">
        <f>SUMPRODUCT(N(Tabela1[Código]=Tabela3[[#This Row],[PAPEL]]),Tabela1[Fechamento])</f>
        <v>9.5</v>
      </c>
      <c r="AY47" s="5">
        <f>SUMPRODUCT(N(Tabela17[Código]=Tabela3[[#This Row],[PAPEL]]),Tabela17[Fechamento])</f>
        <v>0</v>
      </c>
      <c r="AZ47" s="7">
        <f>SUMPRODUCT(N(Tabela176[Código]=Tabela3[[#This Row],[PAPEL]]),Tabela176[Fechamento])</f>
        <v>0</v>
      </c>
      <c r="BA47" s="7">
        <f>SUMPRODUCT(N(Tabela1768[Código]=Tabela3[[#This Row],[PAPEL]]),Tabela1768[Fechamento])</f>
        <v>0</v>
      </c>
      <c r="BB47" s="7">
        <f>SUMPRODUCT(N(Tabela17683[Código]=Tabela3[[#This Row],[PAPEL]]),Tabela17683[Fechamento])</f>
        <v>0</v>
      </c>
    </row>
    <row r="48" spans="1:54" hidden="1" x14ac:dyDescent="0.2">
      <c r="A48" s="4" t="s">
        <v>12</v>
      </c>
      <c r="B48" s="57" t="s">
        <v>96</v>
      </c>
      <c r="C48" s="14" t="str">
        <f>LEFT(Tabela3[PAPEL],LEN(Tabela3[PAPEL])-(LEN(Tabela3[PAPEL])-4))</f>
        <v>CSRN</v>
      </c>
      <c r="D48" s="15">
        <v>3</v>
      </c>
      <c r="E48" s="6">
        <v>179787268.58000001</v>
      </c>
      <c r="F48" s="8">
        <v>20606128</v>
      </c>
      <c r="G48" s="86">
        <v>0.25</v>
      </c>
      <c r="H48" s="15"/>
      <c r="I48" s="19"/>
      <c r="J48" s="19">
        <v>0.1</v>
      </c>
      <c r="K48" s="88"/>
      <c r="L48" s="88"/>
      <c r="M48" s="55">
        <v>1674792000</v>
      </c>
      <c r="N48" s="55">
        <v>447172000</v>
      </c>
      <c r="O48" s="55">
        <v>502260000</v>
      </c>
      <c r="P48" s="89">
        <v>884793000</v>
      </c>
      <c r="Q48" s="89">
        <v>154604000</v>
      </c>
      <c r="R48" s="89">
        <f>IF(Tabela3[[#This Row],[Ativo || Passivo]]&gt;0,Tabela3[[#This Row],[Ativo || Passivo]]-Tabela3[[#This Row],[Patrimônio Líquido]],0)</f>
        <v>789999000</v>
      </c>
      <c r="S48" s="89">
        <f>Tabela3[[#This Row],[Cotação]]*Tabela3[[#This Row],[Total Ações]]</f>
        <v>1700909163.3599999</v>
      </c>
      <c r="T48" s="134">
        <f>IF(Tabela3[[#This Row],[Passivo Circulante]]&gt;0,Tabela3[[#This Row],[Ativo Circulante]]/Tabela3[[#This Row],[Passivo Circulante]],0)</f>
        <v>0.8903197547087166</v>
      </c>
      <c r="U48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8" s="19">
        <f>IF(Tabela3[[#This Row],[Lucro Líquido]]&gt;0,Tabela3[[#This Row],[Lucro Líquido]]/Tabela3[[#This Row],[Patrimônio Líquido]],0)</f>
        <v>0.17473465545048389</v>
      </c>
      <c r="W48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8" s="19">
        <f>IF(Tabela3[[#This Row],[Dívida]]&gt;0,Tabela3[[#This Row],[Dívida]]/Tabela3[[#This Row],[Patrimônio Líquido]],0)</f>
        <v>0.89286307644838958</v>
      </c>
      <c r="Y48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8" s="6">
        <f>Tabela3[[#This Row],[Capital Social]]*20%</f>
        <v>35957453.716000006</v>
      </c>
      <c r="AA48" s="6">
        <f>IF((Tabela3[Lucro Líquido]*5%)&gt;Tabela3[Teto R. Legal],Tabela3[Teto R. Legal],Tabela3[Lucro Líquido]*5%)</f>
        <v>7730200</v>
      </c>
      <c r="AB48" s="89">
        <f>IF(Tabela3[Lucro Líquido]&lt;0,0,Tabela3[Lucro Líquido]-Tabela3[Reserva Legal])</f>
        <v>146873800</v>
      </c>
      <c r="AC48" s="89">
        <f>Tabela3[[#This Row],[Lucro Distribuir]]*Tabela3[%Div]</f>
        <v>36718450</v>
      </c>
      <c r="AD48" s="56">
        <f>SUMPRODUCT(N(Tabela3[Nome]=Tabela3[[#This Row],[Nome]]),Tabela3[Ações])</f>
        <v>168074028</v>
      </c>
      <c r="AE48" s="6">
        <f>Tabela3[Capital Social]/Tabela3[Total Ações]</f>
        <v>1.0696909612947458</v>
      </c>
      <c r="AF48" s="78">
        <f>Tabela3[[#This Row],[Lucro Líquido]]/Tabela3[[#This Row],[Total Ações]]</f>
        <v>0.91985657653186015</v>
      </c>
      <c r="AG48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0.2328354942979243</v>
      </c>
      <c r="AH48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8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8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0.2328354942979243</v>
      </c>
      <c r="AK48" s="6">
        <f>Tabela3[Div Base]*Tabela3[Ações]</f>
        <v>4797837.9984462978</v>
      </c>
      <c r="AL48" s="6">
        <f>SUMPRODUCT(N(Tabela3[Nome]=Tabela3[[#This Row],[Nome]]),Tabela3[Div Base]*Tabela3[Ações])</f>
        <v>36387278.892751291</v>
      </c>
      <c r="AM48" s="6">
        <f>Tabela3[Patrimônio Líquido]/Tabela3[Total Ações]</f>
        <v>5.2643053214622784</v>
      </c>
      <c r="AN48" s="48">
        <f>MAX(Tabela3[[#This Row],[Cotação 1]:[Cotação 5]])</f>
        <v>10.119999999999999</v>
      </c>
      <c r="AO48" s="44">
        <f>Tabela3[Cotação]/Tabela3[VPA]</f>
        <v>1.9223808996680578</v>
      </c>
      <c r="AP48" s="40">
        <f>IF(Tabela3[[#This Row],[Lucro/Ação]]&gt;0,Tabela3[[#This Row],[Cotação]]/(Tabela3[[#This Row],[Lucro/Ação]]/Tabela3[Ref]*4),0)</f>
        <v>8.25128633489431</v>
      </c>
      <c r="AQ48" s="78">
        <f>Tabela3[Lucro Distribuir]/Tabela3[Total Ações]</f>
        <v>0.87386374770526709</v>
      </c>
      <c r="AR48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0.2328354942979243</v>
      </c>
      <c r="AS48" s="15" t="str">
        <f>IF(AND(Tabela3[% A.A.]&gt;=6%,SUMPRODUCT(N(Tabela3[Nome]=Tabela3[[#This Row],[Nome]]),Tabela3[PL])&gt;0,Tabela3[Rentabilidade s/ PL]&gt;=Tabela3[Rentabilidade s/ PL Média]),"Sim","Não")</f>
        <v>Não</v>
      </c>
      <c r="AT48" s="42">
        <f>IF(Tabela3[Cotação]&gt;0,Tabela3[[#This Row],[Lucro]]/Tabela3[[#This Row],[Cotação]],0)</f>
        <v>2.3007459910862088E-2</v>
      </c>
      <c r="AU48" s="19">
        <f>((1+Tabela3[[#This Row],[% Yield]])^(1/(3*Tabela3[[#This Row],[Ref]])))^(12)-1</f>
        <v>3.0793649310691951E-2</v>
      </c>
      <c r="AV48" s="14">
        <f>IF(Tabela3[Cotação]&gt;0,($BH$1/Tabela3[[#This Row],[Cotação]]-MOD($BH$1/Tabela3[[#This Row],[Cotação]],100)),)</f>
        <v>0</v>
      </c>
      <c r="AW48" s="17">
        <f>Tabela3[[#This Row],[Ativos]]*Tabela3[Lucro]</f>
        <v>0</v>
      </c>
      <c r="AX48" s="5">
        <f>SUMPRODUCT(N(Tabela1[Código]=Tabela3[[#This Row],[PAPEL]]),Tabela1[Fechamento])</f>
        <v>10.119999999999999</v>
      </c>
      <c r="AY48" s="5">
        <f>SUMPRODUCT(N(Tabela17[Código]=Tabela3[[#This Row],[PAPEL]]),Tabela17[Fechamento])</f>
        <v>0</v>
      </c>
      <c r="AZ48" s="7">
        <f>SUMPRODUCT(N(Tabela176[Código]=Tabela3[[#This Row],[PAPEL]]),Tabela176[Fechamento])</f>
        <v>0</v>
      </c>
      <c r="BA48" s="7">
        <f>SUMPRODUCT(N(Tabela1768[Código]=Tabela3[[#This Row],[PAPEL]]),Tabela1768[Fechamento])</f>
        <v>0</v>
      </c>
      <c r="BB48" s="7">
        <f>SUMPRODUCT(N(Tabela17683[Código]=Tabela3[[#This Row],[PAPEL]]),Tabela17683[Fechamento])</f>
        <v>0</v>
      </c>
    </row>
    <row r="49" spans="1:54" hidden="1" x14ac:dyDescent="0.2">
      <c r="A49" s="4" t="s">
        <v>12</v>
      </c>
      <c r="B49" s="57" t="s">
        <v>68</v>
      </c>
      <c r="C49" s="14" t="str">
        <f>LEFT(Tabela3[PAPEL],LEN(Tabela3[PAPEL])-(LEN(Tabela3[PAPEL])-4))</f>
        <v>CSRN</v>
      </c>
      <c r="D49" s="15">
        <v>3</v>
      </c>
      <c r="E49" s="6">
        <v>179787268.58000001</v>
      </c>
      <c r="F49" s="8">
        <v>17721681</v>
      </c>
      <c r="G49" s="81">
        <v>0.25</v>
      </c>
      <c r="H49" s="15"/>
      <c r="I49" s="19"/>
      <c r="J49" s="19">
        <v>0.1</v>
      </c>
      <c r="K49" s="88"/>
      <c r="L49" s="88"/>
      <c r="M49" s="55">
        <v>1674792000</v>
      </c>
      <c r="N49" s="55">
        <v>447172000</v>
      </c>
      <c r="O49" s="55">
        <v>502260000</v>
      </c>
      <c r="P49" s="89">
        <v>884793000</v>
      </c>
      <c r="Q49" s="89">
        <v>154604000</v>
      </c>
      <c r="R49" s="89">
        <f>IF(Tabela3[[#This Row],[Ativo || Passivo]]&gt;0,Tabela3[[#This Row],[Ativo || Passivo]]-Tabela3[[#This Row],[Patrimônio Líquido]],0)</f>
        <v>789999000</v>
      </c>
      <c r="S49" s="89">
        <f>Tabela3[[#This Row],[Cotação]]*Tabela3[[#This Row],[Total Ações]]</f>
        <v>1512666252</v>
      </c>
      <c r="T49" s="134">
        <f>IF(Tabela3[[#This Row],[Passivo Circulante]]&gt;0,Tabela3[[#This Row],[Ativo Circulante]]/Tabela3[[#This Row],[Passivo Circulante]],0)</f>
        <v>0.8903197547087166</v>
      </c>
      <c r="U49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9" s="19">
        <f>IF(Tabela3[[#This Row],[Lucro Líquido]]&gt;0,Tabela3[[#This Row],[Lucro Líquido]]/Tabela3[[#This Row],[Patrimônio Líquido]],0)</f>
        <v>0.17473465545048389</v>
      </c>
      <c r="W49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9" s="19">
        <f>IF(Tabela3[[#This Row],[Dívida]]&gt;0,Tabela3[[#This Row],[Dívida]]/Tabela3[[#This Row],[Patrimônio Líquido]],0)</f>
        <v>0.89286307644838958</v>
      </c>
      <c r="Y49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9" s="6">
        <f>Tabela3[[#This Row],[Capital Social]]*20%</f>
        <v>35957453.716000006</v>
      </c>
      <c r="AA49" s="6">
        <f>IF((Tabela3[Lucro Líquido]*5%)&gt;Tabela3[Teto R. Legal],Tabela3[Teto R. Legal],Tabela3[Lucro Líquido]*5%)</f>
        <v>7730200</v>
      </c>
      <c r="AB49" s="89">
        <f>IF(Tabela3[Lucro Líquido]&lt;0,0,Tabela3[Lucro Líquido]-Tabela3[Reserva Legal])</f>
        <v>146873800</v>
      </c>
      <c r="AC49" s="89">
        <f>Tabela3[[#This Row],[Lucro Distribuir]]*Tabela3[%Div]</f>
        <v>36718450</v>
      </c>
      <c r="AD49" s="56">
        <f>SUMPRODUCT(N(Tabela3[Nome]=Tabela3[[#This Row],[Nome]]),Tabela3[Ações])</f>
        <v>168074028</v>
      </c>
      <c r="AE49" s="6">
        <f>Tabela3[Capital Social]/Tabela3[Total Ações]</f>
        <v>1.0696909612947458</v>
      </c>
      <c r="AF49" s="78">
        <f>Tabela3[[#This Row],[Lucro Líquido]]/Tabela3[[#This Row],[Total Ações]]</f>
        <v>0.91985657653186015</v>
      </c>
      <c r="AG49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0.2328354942979243</v>
      </c>
      <c r="AH49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9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9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0.2328354942979243</v>
      </c>
      <c r="AK49" s="6">
        <f>Tabela3[Div Base]*Tabela3[Ações]</f>
        <v>4126236.3554251334</v>
      </c>
      <c r="AL49" s="6">
        <f>SUMPRODUCT(N(Tabela3[Nome]=Tabela3[[#This Row],[Nome]]),Tabela3[Div Base]*Tabela3[Ações])</f>
        <v>36387278.892751291</v>
      </c>
      <c r="AM49" s="6">
        <f>Tabela3[Patrimônio Líquido]/Tabela3[Total Ações]</f>
        <v>5.2643053214622784</v>
      </c>
      <c r="AN49" s="48">
        <f>MAX(Tabela3[[#This Row],[Cotação 1]:[Cotação 5]])</f>
        <v>9</v>
      </c>
      <c r="AO49" s="44">
        <f>Tabela3[Cotação]/Tabela3[VPA]</f>
        <v>1.7096272823134904</v>
      </c>
      <c r="AP49" s="40">
        <f>IF(Tabela3[[#This Row],[Lucro/Ação]]&gt;0,Tabela3[[#This Row],[Cotação]]/(Tabela3[[#This Row],[Lucro/Ação]]/Tabela3[Ref]*4),0)</f>
        <v>7.3381004954593667</v>
      </c>
      <c r="AQ49" s="78">
        <f>Tabela3[Lucro Distribuir]/Tabela3[Total Ações]</f>
        <v>0.87386374770526709</v>
      </c>
      <c r="AR49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0.2328354942979243</v>
      </c>
      <c r="AS49" s="14" t="str">
        <f>IF(AND(Tabela3[% A.A.]&gt;=6%,SUMPRODUCT(N(Tabela3[Nome]=Tabela3[[#This Row],[Nome]]),Tabela3[PL])&gt;0,Tabela3[Rentabilidade s/ PL]&gt;=Tabela3[Rentabilidade s/ PL Média]),"Sim","Não")</f>
        <v>Não</v>
      </c>
      <c r="AT49" s="42">
        <f>IF(Tabela3[Cotação]&gt;0,Tabela3[[#This Row],[Lucro]]/Tabela3[[#This Row],[Cotação]],0)</f>
        <v>2.5870610477547143E-2</v>
      </c>
      <c r="AU49" s="19">
        <f>((1+Tabela3[[#This Row],[% Yield]])^(1/(3*Tabela3[[#This Row],[Ref]])))^(12)-1</f>
        <v>3.4642032113114229E-2</v>
      </c>
      <c r="AV49" s="14">
        <f>IF(Tabela3[Cotação]&gt;0,($BH$1/Tabela3[[#This Row],[Cotação]]-MOD($BH$1/Tabela3[[#This Row],[Cotação]],100)),)</f>
        <v>0</v>
      </c>
      <c r="AW49" s="17">
        <f>Tabela3[[#This Row],[Ativos]]*Tabela3[Lucro]</f>
        <v>0</v>
      </c>
      <c r="AX49" s="5">
        <f>SUMPRODUCT(N(Tabela1[Código]=Tabela3[[#This Row],[PAPEL]]),Tabela1[Fechamento])</f>
        <v>9</v>
      </c>
      <c r="AY49" s="5">
        <f>SUMPRODUCT(N(Tabela17[Código]=Tabela3[[#This Row],[PAPEL]]),Tabela17[Fechamento])</f>
        <v>0</v>
      </c>
      <c r="AZ49" s="7">
        <f>SUMPRODUCT(N(Tabela176[Código]=Tabela3[[#This Row],[PAPEL]]),Tabela176[Fechamento])</f>
        <v>0</v>
      </c>
      <c r="BA49" s="7">
        <f>SUMPRODUCT(N(Tabela1768[Código]=Tabela3[[#This Row],[PAPEL]]),Tabela1768[Fechamento])</f>
        <v>0</v>
      </c>
      <c r="BB49" s="7">
        <f>SUMPRODUCT(N(Tabela17683[Código]=Tabela3[[#This Row],[PAPEL]]),Tabela17683[Fechamento])</f>
        <v>0</v>
      </c>
    </row>
    <row r="50" spans="1:54" hidden="1" x14ac:dyDescent="0.2">
      <c r="A50" s="4" t="s">
        <v>14</v>
      </c>
      <c r="B50" s="57" t="s">
        <v>203</v>
      </c>
      <c r="C50" s="14" t="str">
        <f>LEFT(Tabela3[PAPEL],LEN(Tabela3[PAPEL])-(LEN(Tabela3[PAPEL])-4))</f>
        <v>BGIP</v>
      </c>
      <c r="D50" s="15">
        <v>3</v>
      </c>
      <c r="E50" s="6">
        <v>160000000</v>
      </c>
      <c r="F50" s="8">
        <v>5270721</v>
      </c>
      <c r="G50" s="81">
        <v>0.25</v>
      </c>
      <c r="H50" s="15"/>
      <c r="I50" s="19"/>
      <c r="J50" s="19"/>
      <c r="K50" s="88"/>
      <c r="L50" s="88"/>
      <c r="M50" s="55">
        <v>3480082000</v>
      </c>
      <c r="N50" s="55">
        <v>2153671000</v>
      </c>
      <c r="O50" s="55">
        <v>2115923000</v>
      </c>
      <c r="P50" s="6">
        <v>273287000</v>
      </c>
      <c r="Q50" s="6">
        <v>47071000</v>
      </c>
      <c r="R50" s="6">
        <f>IF(Tabela3[[#This Row],[Ativo || Passivo]]&gt;0,Tabela3[[#This Row],[Ativo || Passivo]]-Tabela3[[#This Row],[Patrimônio Líquido]],0)</f>
        <v>3206795000</v>
      </c>
      <c r="S50" s="6">
        <f>Tabela3[[#This Row],[Cotação]]*Tabela3[[#This Row],[Total Ações]]</f>
        <v>455917366.5</v>
      </c>
      <c r="T50" s="134">
        <f>IF(Tabela3[[#This Row],[Passivo Circulante]]&gt;0,Tabela3[[#This Row],[Ativo Circulante]]/Tabela3[[#This Row],[Passivo Circulante]],0)</f>
        <v>1.0178399686567043</v>
      </c>
      <c r="U50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50" s="19">
        <f>IF(Tabela3[[#This Row],[Lucro Líquido]]&gt;0,Tabela3[[#This Row],[Lucro Líquido]]/Tabela3[[#This Row],[Patrimônio Líquido]],0)</f>
        <v>0.17224017241947109</v>
      </c>
      <c r="W50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50" s="19">
        <f>IF(Tabela3[[#This Row],[Dívida]]&gt;0,Tabela3[[#This Row],[Dívida]]/Tabela3[[#This Row],[Patrimônio Líquido]],0)</f>
        <v>11.734165913490214</v>
      </c>
      <c r="Y50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50" s="6">
        <f>Tabela3[[#This Row],[Capital Social]]*20%</f>
        <v>32000000</v>
      </c>
      <c r="AA50" s="6">
        <f>IF((Tabela3[Lucro Líquido]*5%)&gt;Tabela3[Teto R. Legal],Tabela3[Teto R. Legal],Tabela3[Lucro Líquido]*5%)</f>
        <v>2353550</v>
      </c>
      <c r="AB50" s="6">
        <f>IF(Tabela3[Lucro Líquido]&lt;0,0,Tabela3[Lucro Líquido]-Tabela3[Reserva Legal])</f>
        <v>44717450</v>
      </c>
      <c r="AC50" s="6">
        <f>Tabela3[[#This Row],[Lucro Distribuir]]*Tabela3[%Div]</f>
        <v>11179362.5</v>
      </c>
      <c r="AD50" s="21">
        <f>SUMPRODUCT(N(Tabela3[Nome]=Tabela3[[#This Row],[Nome]]),Tabela3[Ações])</f>
        <v>10541442</v>
      </c>
      <c r="AE50" s="6">
        <f>Tabela3[Capital Social]/Tabela3[Total Ações]</f>
        <v>15.178189094053735</v>
      </c>
      <c r="AF50" s="78">
        <f>Tabela3[[#This Row],[Lucro Líquido]]/Tabela3[[#This Row],[Total Ações]]</f>
        <v>4.4653283677887714</v>
      </c>
      <c r="AG50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1.0275188178221877</v>
      </c>
      <c r="AH50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50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50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1.0275188178221877</v>
      </c>
      <c r="AK50" s="6">
        <f>Tabela3[Div Base]*Tabela3[Ações]</f>
        <v>5415765.0109905787</v>
      </c>
      <c r="AL50" s="6">
        <f>SUMPRODUCT(N(Tabela3[Nome]=Tabela3[[#This Row],[Nome]]),Tabela3[Div Base]*Tabela3[Ações])</f>
        <v>11373106.531241151</v>
      </c>
      <c r="AM50" s="6">
        <f>Tabela3[Patrimônio Líquido]/Tabela3[Total Ações]</f>
        <v>25.925011018416644</v>
      </c>
      <c r="AN50" s="48">
        <f>MAX(Tabela3[[#This Row],[Cotação 1]:[Cotação 5]])</f>
        <v>43.25</v>
      </c>
      <c r="AO50" s="44">
        <f>Tabela3[Cotação]/Tabela3[VPA]</f>
        <v>1.6682731578889594</v>
      </c>
      <c r="AP50" s="40">
        <f>IF(Tabela3[[#This Row],[Lucro/Ação]]&gt;0,Tabela3[[#This Row],[Cotação]]/(Tabela3[[#This Row],[Lucro/Ação]]/Tabela3[Ref]*4),0)</f>
        <v>7.2643033900915635</v>
      </c>
      <c r="AQ50" s="78">
        <f>Tabela3[Lucro Distribuir]/Tabela3[Total Ações]</f>
        <v>4.242061949399333</v>
      </c>
      <c r="AR50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1.0275188178221877</v>
      </c>
      <c r="AS50" s="15" t="str">
        <f>IF(AND(Tabela3[% A.A.]&gt;=6%,SUMPRODUCT(N(Tabela3[Nome]=Tabela3[[#This Row],[Nome]]),Tabela3[PL])&gt;0,Tabela3[Rentabilidade s/ PL]&gt;=Tabela3[Rentabilidade s/ PL Média]),"Sim","Não")</f>
        <v>Não</v>
      </c>
      <c r="AT50" s="42">
        <f>IF(Tabela3[Cotação]&gt;0,Tabela3[[#This Row],[Lucro]]/Tabela3[[#This Row],[Cotação]],0)</f>
        <v>2.3757660527680639E-2</v>
      </c>
      <c r="AU50" s="19">
        <f>((1+Tabela3[[#This Row],[% Yield]])^(1/(3*Tabela3[[#This Row],[Ref]])))^(12)-1</f>
        <v>3.1801653078037395E-2</v>
      </c>
      <c r="AV50" s="14">
        <f>IF(Tabela3[Cotação]&gt;0,($BH$1/Tabela3[[#This Row],[Cotação]]-MOD($BH$1/Tabela3[[#This Row],[Cotação]],100)),)</f>
        <v>0</v>
      </c>
      <c r="AW50" s="17">
        <f>Tabela3[[#This Row],[Ativos]]*Tabela3[Lucro]</f>
        <v>0</v>
      </c>
      <c r="AX50" s="5">
        <f>SUMPRODUCT(N(Tabela1[Código]=Tabela3[[#This Row],[PAPEL]]),Tabela1[Fechamento])</f>
        <v>43.25</v>
      </c>
      <c r="AY50" s="5">
        <f>SUMPRODUCT(N(Tabela17[Código]=Tabela3[[#This Row],[PAPEL]]),Tabela17[Fechamento])</f>
        <v>0</v>
      </c>
      <c r="AZ50" s="7">
        <f>SUMPRODUCT(N(Tabela176[Código]=Tabela3[[#This Row],[PAPEL]]),Tabela176[Fechamento])</f>
        <v>0</v>
      </c>
      <c r="BA50" s="7">
        <f>SUMPRODUCT(N(Tabela1768[Código]=Tabela3[[#This Row],[PAPEL]]),Tabela1768[Fechamento])</f>
        <v>0</v>
      </c>
      <c r="BB50" s="7">
        <f>SUMPRODUCT(N(Tabela17683[Código]=Tabela3[[#This Row],[PAPEL]]),Tabela17683[Fechamento])</f>
        <v>0</v>
      </c>
    </row>
    <row r="51" spans="1:54" hidden="1" x14ac:dyDescent="0.2">
      <c r="A51" s="4" t="s">
        <v>14</v>
      </c>
      <c r="B51" s="57" t="s">
        <v>204</v>
      </c>
      <c r="C51" s="14" t="str">
        <f>LEFT(Tabela3[PAPEL],LEN(Tabela3[PAPEL])-(LEN(Tabela3[PAPEL])-4))</f>
        <v>BGIP</v>
      </c>
      <c r="D51" s="15">
        <v>3</v>
      </c>
      <c r="E51" s="6">
        <v>160000000</v>
      </c>
      <c r="F51" s="8">
        <v>5270721</v>
      </c>
      <c r="G51" s="86">
        <v>0.25</v>
      </c>
      <c r="H51" s="15"/>
      <c r="I51" s="19"/>
      <c r="J51" s="19">
        <v>0.1</v>
      </c>
      <c r="K51" s="88"/>
      <c r="L51" s="88"/>
      <c r="M51" s="55">
        <v>3480082000</v>
      </c>
      <c r="N51" s="55">
        <v>2153671000</v>
      </c>
      <c r="O51" s="55">
        <v>2115923000</v>
      </c>
      <c r="P51" s="6">
        <v>273287000</v>
      </c>
      <c r="Q51" s="6">
        <v>47071000</v>
      </c>
      <c r="R51" s="6">
        <f>IF(Tabela3[[#This Row],[Ativo || Passivo]]&gt;0,Tabela3[[#This Row],[Ativo || Passivo]]-Tabela3[[#This Row],[Patrimônio Líquido]],0)</f>
        <v>3206795000</v>
      </c>
      <c r="S51" s="6">
        <f>Tabela3[[#This Row],[Cotação]]*Tabela3[[#This Row],[Total Ações]]</f>
        <v>437469843</v>
      </c>
      <c r="T51" s="134">
        <f>IF(Tabela3[[#This Row],[Passivo Circulante]]&gt;0,Tabela3[[#This Row],[Ativo Circulante]]/Tabela3[[#This Row],[Passivo Circulante]],0)</f>
        <v>1.0178399686567043</v>
      </c>
      <c r="U51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51" s="19">
        <f>IF(Tabela3[[#This Row],[Lucro Líquido]]&gt;0,Tabela3[[#This Row],[Lucro Líquido]]/Tabela3[[#This Row],[Patrimônio Líquido]],0)</f>
        <v>0.17224017241947109</v>
      </c>
      <c r="W51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51" s="19">
        <f>IF(Tabela3[[#This Row],[Dívida]]&gt;0,Tabela3[[#This Row],[Dívida]]/Tabela3[[#This Row],[Patrimônio Líquido]],0)</f>
        <v>11.734165913490214</v>
      </c>
      <c r="Y51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51" s="6">
        <f>Tabela3[[#This Row],[Capital Social]]*20%</f>
        <v>32000000</v>
      </c>
      <c r="AA51" s="6">
        <f>IF((Tabela3[Lucro Líquido]*5%)&gt;Tabela3[Teto R. Legal],Tabela3[Teto R. Legal],Tabela3[Lucro Líquido]*5%)</f>
        <v>2353550</v>
      </c>
      <c r="AB51" s="6">
        <f>IF(Tabela3[Lucro Líquido]&lt;0,0,Tabela3[Lucro Líquido]-Tabela3[Reserva Legal])</f>
        <v>44717450</v>
      </c>
      <c r="AC51" s="6">
        <f>Tabela3[[#This Row],[Lucro Distribuir]]*Tabela3[%Div]</f>
        <v>11179362.5</v>
      </c>
      <c r="AD51" s="21">
        <f>SUMPRODUCT(N(Tabela3[Nome]=Tabela3[[#This Row],[Nome]]),Tabela3[Ações])</f>
        <v>10541442</v>
      </c>
      <c r="AE51" s="6">
        <f>Tabela3[Capital Social]/Tabela3[Total Ações]</f>
        <v>15.178189094053735</v>
      </c>
      <c r="AF51" s="78">
        <f>Tabela3[[#This Row],[Lucro Líquido]]/Tabela3[[#This Row],[Total Ações]]</f>
        <v>4.4653283677887714</v>
      </c>
      <c r="AG51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1.1302707011527591</v>
      </c>
      <c r="AH51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51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51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1.1302707011527591</v>
      </c>
      <c r="AK51" s="6">
        <f>Tabela3[Div Base]*Tabela3[Ações]</f>
        <v>5957341.5202505719</v>
      </c>
      <c r="AL51" s="6">
        <f>SUMPRODUCT(N(Tabela3[Nome]=Tabela3[[#This Row],[Nome]]),Tabela3[Div Base]*Tabela3[Ações])</f>
        <v>11373106.531241151</v>
      </c>
      <c r="AM51" s="6">
        <f>Tabela3[Patrimônio Líquido]/Tabela3[Total Ações]</f>
        <v>25.925011018416644</v>
      </c>
      <c r="AN51" s="48">
        <f>MAX(Tabela3[[#This Row],[Cotação 1]:[Cotação 5]])</f>
        <v>41.5</v>
      </c>
      <c r="AO51" s="44">
        <f>Tabela3[Cotação]/Tabela3[VPA]</f>
        <v>1.6007707757778453</v>
      </c>
      <c r="AP51" s="40">
        <f>IF(Tabela3[[#This Row],[Lucro/Ação]]&gt;0,Tabela3[[#This Row],[Cotação]]/(Tabela3[[#This Row],[Lucro/Ação]]/Tabela3[Ref]*4),0)</f>
        <v>6.9703720390473967</v>
      </c>
      <c r="AQ51" s="78">
        <f>Tabela3[Lucro Distribuir]/Tabela3[Total Ações]</f>
        <v>4.242061949399333</v>
      </c>
      <c r="AR51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1.1302707011527591</v>
      </c>
      <c r="AS51" s="15" t="str">
        <f>IF(AND(Tabela3[% A.A.]&gt;=6%,SUMPRODUCT(N(Tabela3[Nome]=Tabela3[[#This Row],[Nome]]),Tabela3[PL])&gt;0,Tabela3[Rentabilidade s/ PL]&gt;=Tabela3[Rentabilidade s/ PL Média]),"Sim","Não")</f>
        <v>Não</v>
      </c>
      <c r="AT51" s="42">
        <f>IF(Tabela3[Cotação]&gt;0,Tabela3[[#This Row],[Lucro]]/Tabela3[[#This Row],[Cotação]],0)</f>
        <v>2.7235438581994193E-2</v>
      </c>
      <c r="AU51" s="19">
        <f>((1+Tabela3[[#This Row],[% Yield]])^(1/(3*Tabela3[[#This Row],[Ref]])))^(12)-1</f>
        <v>3.6477769200312649E-2</v>
      </c>
      <c r="AV51" s="14">
        <f>IF(Tabela3[Cotação]&gt;0,($BH$1/Tabela3[[#This Row],[Cotação]]-MOD($BH$1/Tabela3[[#This Row],[Cotação]],100)),)</f>
        <v>0</v>
      </c>
      <c r="AW51" s="17">
        <f>Tabela3[[#This Row],[Ativos]]*Tabela3[Lucro]</f>
        <v>0</v>
      </c>
      <c r="AX51" s="5">
        <f>SUMPRODUCT(N(Tabela1[Código]=Tabela3[[#This Row],[PAPEL]]),Tabela1[Fechamento])</f>
        <v>41.5</v>
      </c>
      <c r="AY51" s="5">
        <f>SUMPRODUCT(N(Tabela17[Código]=Tabela3[[#This Row],[PAPEL]]),Tabela17[Fechamento])</f>
        <v>0</v>
      </c>
      <c r="AZ51" s="7">
        <f>SUMPRODUCT(N(Tabela176[Código]=Tabela3[[#This Row],[PAPEL]]),Tabela176[Fechamento])</f>
        <v>0</v>
      </c>
      <c r="BA51" s="7">
        <f>SUMPRODUCT(N(Tabela1768[Código]=Tabela3[[#This Row],[PAPEL]]),Tabela1768[Fechamento])</f>
        <v>0</v>
      </c>
      <c r="BB51" s="7">
        <f>SUMPRODUCT(N(Tabela17683[Código]=Tabela3[[#This Row],[PAPEL]]),Tabela17683[Fechamento])</f>
        <v>0</v>
      </c>
    </row>
    <row r="52" spans="1:54" x14ac:dyDescent="0.2">
      <c r="A52" s="4" t="s">
        <v>335</v>
      </c>
      <c r="B52" s="57" t="s">
        <v>334</v>
      </c>
      <c r="C52" s="82" t="str">
        <f>LEFT(Tabela3[PAPEL],LEN(Tabela3[PAPEL])-(LEN(Tabela3[PAPEL])-4))</f>
        <v>PATI</v>
      </c>
      <c r="D52" s="15">
        <v>3</v>
      </c>
      <c r="E52" s="6">
        <v>140000000</v>
      </c>
      <c r="F52" s="8">
        <v>745893</v>
      </c>
      <c r="G52" s="81">
        <v>0.25</v>
      </c>
      <c r="H52" s="9">
        <v>0.06</v>
      </c>
      <c r="I52" s="19">
        <v>0.08</v>
      </c>
      <c r="J52" s="19"/>
      <c r="K52" s="88"/>
      <c r="L52" s="88"/>
      <c r="M52" s="13">
        <v>510692000</v>
      </c>
      <c r="N52" s="13">
        <v>218703000</v>
      </c>
      <c r="O52" s="13">
        <v>135960000</v>
      </c>
      <c r="P52" s="6">
        <v>241884000</v>
      </c>
      <c r="Q52" s="6">
        <v>56208000</v>
      </c>
      <c r="R52" s="6">
        <f>IF(Tabela3[[#This Row],[Ativo || Passivo]]&gt;0,Tabela3[[#This Row],[Ativo || Passivo]]-Tabela3[[#This Row],[Patrimônio Líquido]],0)</f>
        <v>268808000</v>
      </c>
      <c r="S52" s="13">
        <f>Tabela3[[#This Row],[Cotação]]*Tabela3[[#This Row],[Total Ações]]</f>
        <v>239032105.38</v>
      </c>
      <c r="T52" s="134">
        <f>IF(Tabela3[[#This Row],[Passivo Circulante]]&gt;0,Tabela3[[#This Row],[Ativo Circulante]]/Tabela3[[#This Row],[Passivo Circulante]],0)</f>
        <v>1.6085834068843778</v>
      </c>
      <c r="U52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52" s="19">
        <f>IF(Tabela3[[#This Row],[Lucro Líquido]]&gt;0,Tabela3[[#This Row],[Lucro Líquido]]/Tabela3[[#This Row],[Patrimônio Líquido]],0)</f>
        <v>0.2323758495807908</v>
      </c>
      <c r="W52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52" s="19">
        <f>IF(Tabela3[[#This Row],[Dívida]]&gt;0,Tabela3[[#This Row],[Dívida]]/Tabela3[[#This Row],[Patrimônio Líquido]],0)</f>
        <v>1.1113095533396173</v>
      </c>
      <c r="Y52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52" s="6">
        <f>Tabela3[[#This Row],[Capital Social]]*20%</f>
        <v>28000000</v>
      </c>
      <c r="AA52" s="6">
        <f>IF((Tabela3[Lucro Líquido]*5%)&gt;Tabela3[Teto R. Legal],Tabela3[Teto R. Legal],Tabela3[Lucro Líquido]*5%)</f>
        <v>2810400</v>
      </c>
      <c r="AB52" s="6">
        <f>IF(Tabela3[Lucro Líquido]&lt;0,0,Tabela3[Lucro Líquido]-Tabela3[Reserva Legal])</f>
        <v>53397600</v>
      </c>
      <c r="AC52" s="6">
        <f>Tabela3[[#This Row],[Lucro Distribuir]]*Tabela3[%Div]</f>
        <v>13349400</v>
      </c>
      <c r="AD52" s="21">
        <f>SUMPRODUCT(N(Tabela3[Nome]=Tabela3[[#This Row],[Nome]]),Tabela3[Ações])</f>
        <v>12587262</v>
      </c>
      <c r="AE52" s="5">
        <f>Tabela3[Capital Social]/Tabela3[Total Ações]</f>
        <v>11.12235528266592</v>
      </c>
      <c r="AF52" s="78">
        <f>Tabela3[[#This Row],[Lucro Líquido]]/Tabela3[[#This Row],[Total Ações]]</f>
        <v>4.4654667552006151</v>
      </c>
      <c r="AG52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1.0605483543601459</v>
      </c>
      <c r="AH52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1.1529941936538701</v>
      </c>
      <c r="AI52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0.88978842261327362</v>
      </c>
      <c r="AJ52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1.1529941936538701</v>
      </c>
      <c r="AK52" s="6">
        <f>Tabela3[Div Base]*Tabela3[Ações]</f>
        <v>860010.29808706616</v>
      </c>
      <c r="AL52" s="6">
        <f>SUMPRODUCT(N(Tabela3[Nome]=Tabela3[[#This Row],[Nome]]),Tabela3[Div Base]*Tabela3[Ações])</f>
        <v>13349400.000000002</v>
      </c>
      <c r="AM52" s="6">
        <f>Tabela3[Patrimônio Líquido]/Tabela3[Total Ações]</f>
        <v>19.216569894231167</v>
      </c>
      <c r="AN52" s="48">
        <f>MAX(Tabela3[[#This Row],[Cotação 1]:[Cotação 5]])</f>
        <v>18.989999999999998</v>
      </c>
      <c r="AO52" s="44">
        <f>Tabela3[Cotação]/Tabela3[VPA]</f>
        <v>0.98820965991963083</v>
      </c>
      <c r="AP52" s="40">
        <f>IF(Tabela3[[#This Row],[Lucro/Ação]]&gt;0,Tabela3[[#This Row],[Cotação]]/(Tabela3[[#This Row],[Lucro/Ação]]/Tabela3[Ref]*4),0)</f>
        <v>3.1894762139730992</v>
      </c>
      <c r="AQ52" s="78">
        <f>Tabela3[Lucro Distribuir]/Tabela3[Total Ações]</f>
        <v>4.2421934174405838</v>
      </c>
      <c r="AR52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1.1529941936538701</v>
      </c>
      <c r="AS52" s="15" t="str">
        <f>IF(AND(Tabela3[% A.A.]&gt;=6%,SUMPRODUCT(N(Tabela3[Nome]=Tabela3[[#This Row],[Nome]]),Tabela3[PL])&gt;0,Tabela3[Rentabilidade s/ PL]&gt;=Tabela3[Rentabilidade s/ PL Média]),"Sim","Não")</f>
        <v>Sim</v>
      </c>
      <c r="AT52" s="42">
        <f>IF(Tabela3[Cotação]&gt;0,Tabela3[[#This Row],[Lucro]]/Tabela3[[#This Row],[Cotação]],0)</f>
        <v>6.0715860645280159E-2</v>
      </c>
      <c r="AU52" s="19">
        <f>((1+Tabela3[[#This Row],[% Yield]])^(1/(3*Tabela3[[#This Row],[Ref]])))^(12)-1</f>
        <v>8.1762902215396505E-2</v>
      </c>
      <c r="AV52" s="14">
        <f>IF(Tabela3[Cotação]&gt;0,($BH$1/Tabela3[[#This Row],[Cotação]]-MOD($BH$1/Tabela3[[#This Row],[Cotação]],100)),)</f>
        <v>0</v>
      </c>
      <c r="AW52" s="17">
        <f>Tabela3[[#This Row],[Ativos]]*Tabela3[Lucro]</f>
        <v>0</v>
      </c>
      <c r="AX52" s="13">
        <f>SUMPRODUCT(N(Tabela1[Código]=Tabela3[[#This Row],[PAPEL]]),Tabela1[Fechamento])</f>
        <v>0</v>
      </c>
      <c r="AY52" s="55">
        <f>SUMPRODUCT(N(Tabela17[Código]=Tabela3[[#This Row],[PAPEL]]),Tabela17[Fechamento])</f>
        <v>18.989999999999998</v>
      </c>
      <c r="AZ52" s="7">
        <f>SUMPRODUCT(N(Tabela176[Código]=Tabela3[[#This Row],[PAPEL]]),Tabela176[Fechamento])</f>
        <v>0</v>
      </c>
      <c r="BA52" s="7">
        <f>SUMPRODUCT(N(Tabela1768[Código]=Tabela3[[#This Row],[PAPEL]]),Tabela1768[Fechamento])</f>
        <v>0</v>
      </c>
      <c r="BB52" s="7">
        <f>SUMPRODUCT(N(Tabela17683[Código]=Tabela3[[#This Row],[PAPEL]]),Tabela17683[Fechamento])</f>
        <v>0</v>
      </c>
    </row>
    <row r="53" spans="1:54" x14ac:dyDescent="0.2">
      <c r="A53" s="4" t="s">
        <v>12</v>
      </c>
      <c r="B53" s="60" t="s">
        <v>56</v>
      </c>
      <c r="C53" s="14" t="str">
        <f>LEFT(Tabela3[PAPEL],LEN(Tabela3[PAPEL])-(LEN(Tabela3[PAPEL])-4))</f>
        <v>TAEE</v>
      </c>
      <c r="D53" s="15">
        <v>3</v>
      </c>
      <c r="E53" s="6"/>
      <c r="F53" s="8"/>
      <c r="G53" s="81">
        <v>0.5</v>
      </c>
      <c r="H53" s="15"/>
      <c r="I53" s="19"/>
      <c r="J53" s="19"/>
      <c r="K53" s="88">
        <v>1</v>
      </c>
      <c r="L53" s="88">
        <v>2</v>
      </c>
      <c r="M53" s="55">
        <v>9101836000</v>
      </c>
      <c r="N53" s="55">
        <v>1859239000</v>
      </c>
      <c r="O53" s="55">
        <v>923506000</v>
      </c>
      <c r="P53" s="89">
        <v>4589097000</v>
      </c>
      <c r="Q53" s="89">
        <v>751496000</v>
      </c>
      <c r="R53" s="89">
        <f>IF(Tabela3[[#This Row],[Ativo || Passivo]]&gt;0,Tabela3[[#This Row],[Ativo || Passivo]]-Tabela3[[#This Row],[Patrimônio Líquido]],0)</f>
        <v>4512739000</v>
      </c>
      <c r="S53" s="89">
        <f>Tabela3[[#This Row],[Cotação]]*Tabela3[[#This Row],[Total Ações]]</f>
        <v>18065522683.080002</v>
      </c>
      <c r="T53" s="134">
        <f>IF(Tabela3[[#This Row],[Passivo Circulante]]&gt;0,Tabela3[[#This Row],[Ativo Circulante]]/Tabela3[[#This Row],[Passivo Circulante]],0)</f>
        <v>2.0132397623837854</v>
      </c>
      <c r="U53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53" s="19">
        <f>IF(Tabela3[[#This Row],[Lucro Líquido]]&gt;0,Tabela3[[#This Row],[Lucro Líquido]]/Tabela3[[#This Row],[Patrimônio Líquido]],0)</f>
        <v>0.16375683495031812</v>
      </c>
      <c r="W53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53" s="19">
        <f>IF(Tabela3[[#This Row],[Dívida]]&gt;0,Tabela3[[#This Row],[Dívida]]/Tabela3[[#This Row],[Patrimônio Líquido]],0)</f>
        <v>0.98336099672767863</v>
      </c>
      <c r="Y53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53" s="6">
        <f>Tabela3[[#This Row],[Capital Social]]*20%</f>
        <v>0</v>
      </c>
      <c r="AA53" s="6">
        <f>IF((Tabela3[Lucro Líquido]*5%)&gt;Tabela3[Teto R. Legal],Tabela3[Teto R. Legal],Tabela3[Lucro Líquido]*5%)</f>
        <v>0</v>
      </c>
      <c r="AB53" s="89">
        <f>IF(Tabela3[Lucro Líquido]&lt;0,0,Tabela3[Lucro Líquido]-Tabela3[Reserva Legal])</f>
        <v>751496000</v>
      </c>
      <c r="AC53" s="89">
        <f>Tabela3[[#This Row],[Lucro Distribuir]]*Tabela3[%Div]</f>
        <v>375748000</v>
      </c>
      <c r="AD53" s="56">
        <f>SUMPRODUCT(N(Tabela3[Nome]=Tabela3[[#This Row],[Nome]]),Tabela3[Ações])</f>
        <v>1033496721</v>
      </c>
      <c r="AE53" s="6">
        <f>Tabela3[Capital Social]/Tabela3[Total Ações]</f>
        <v>0</v>
      </c>
      <c r="AF53" s="78">
        <f>Tabela3[[#This Row],[Lucro Líquido]]/Tabela3[[#This Row],[Total Ações]]</f>
        <v>0.72713922040590584</v>
      </c>
      <c r="AG53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53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53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53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53" s="6">
        <f>Tabela3[Div Base]*Tabela3[Ações]</f>
        <v>0</v>
      </c>
      <c r="AL53" s="6">
        <f>SUMPRODUCT(N(Tabela3[Nome]=Tabela3[[#This Row],[Nome]]),Tabela3[Div Base]*Tabela3[Ações])</f>
        <v>356960600</v>
      </c>
      <c r="AM53" s="6">
        <f>Tabela3[Patrimônio Líquido]/Tabela3[Total Ações]</f>
        <v>4.4403595161478986</v>
      </c>
      <c r="AN53" s="48">
        <f>MAX(Tabela3[[#This Row],[Cotação 1]:[Cotação 5]])</f>
        <v>17.48</v>
      </c>
      <c r="AO53" s="44">
        <f>Tabela3[Cotação]/Tabela3[VPA]</f>
        <v>3.9366181806747607</v>
      </c>
      <c r="AP53" s="40">
        <f>IF(Tabela3[[#This Row],[Lucro/Ação]]&gt;0,Tabela3[[#This Row],[Cotação]]/(Tabela3[[#This Row],[Lucro/Ação]]/Tabela3[Ref]*4),0)</f>
        <v>18.029559721289271</v>
      </c>
      <c r="AQ53" s="78">
        <f>Tabela3[Lucro Distribuir]/Tabela3[Total Ações]</f>
        <v>0.72713922040590584</v>
      </c>
      <c r="AR53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1.0361733890784159</v>
      </c>
      <c r="AS53" s="15" t="str">
        <f>IF(AND(Tabela3[% A.A.]&gt;=6%,SUMPRODUCT(N(Tabela3[Nome]=Tabela3[[#This Row],[Nome]]),Tabela3[PL])&gt;0,Tabela3[Rentabilidade s/ PL]&gt;=Tabela3[Rentabilidade s/ PL Média]),"Sim","Não")</f>
        <v>Sim</v>
      </c>
      <c r="AT53" s="42">
        <f>IF(Tabela3[Cotação]&gt;0,Tabela3[[#This Row],[Lucro]]/Tabela3[[#This Row],[Cotação]],0)</f>
        <v>5.927765383743798E-2</v>
      </c>
      <c r="AU53" s="19">
        <f>((1+Tabela3[[#This Row],[% Yield]])^(1/(3*Tabela3[[#This Row],[Ref]])))^(12)-1</f>
        <v>7.9807685439107212E-2</v>
      </c>
      <c r="AV53" s="14">
        <f>IF(Tabela3[Cotação]&gt;0,($BD$1/Tabela3[[#This Row],[Cotação]]-MOD($BD$1/Tabela3[[#This Row],[Cotação]],100)),)</f>
        <v>0</v>
      </c>
      <c r="AW53" s="17">
        <f>Tabela3[[#This Row],[Ativos]]*Tabela3[Lucro]</f>
        <v>0</v>
      </c>
      <c r="AX53" s="5">
        <f>SUMPRODUCT(N(Tabela1[Código]=Tabela3[[#This Row],[PAPEL]]),Tabela1[Fechamento])</f>
        <v>17.48</v>
      </c>
      <c r="AY53" s="5">
        <f>SUMPRODUCT(N(Tabela17[Código]=Tabela3[[#This Row],[PAPEL]]),Tabela17[Fechamento])</f>
        <v>0</v>
      </c>
      <c r="AZ53" s="7">
        <f>SUMPRODUCT(N(Tabela176[Código]=Tabela3[[#This Row],[PAPEL]]),Tabela176[Fechamento])</f>
        <v>0</v>
      </c>
      <c r="BA53" s="7">
        <f>SUMPRODUCT(N(Tabela1768[Código]=Tabela3[[#This Row],[PAPEL]]),Tabela1768[Fechamento])</f>
        <v>0</v>
      </c>
      <c r="BB53" s="7">
        <f>SUMPRODUCT(N(Tabela17683[Código]=Tabela3[[#This Row],[PAPEL]]),Tabela17683[Fechamento])</f>
        <v>0</v>
      </c>
    </row>
    <row r="54" spans="1:54" hidden="1" x14ac:dyDescent="0.2">
      <c r="A54" s="4" t="s">
        <v>14</v>
      </c>
      <c r="B54" s="57" t="s">
        <v>231</v>
      </c>
      <c r="C54" s="15" t="str">
        <f>LEFT(Tabela3[PAPEL],LEN(Tabela3[PAPEL])-(LEN(Tabela3[PAPEL])-4))</f>
        <v>ITSA</v>
      </c>
      <c r="D54" s="16">
        <v>4</v>
      </c>
      <c r="E54" s="5">
        <v>22525000010</v>
      </c>
      <c r="F54" s="56">
        <f>2052918509+53308194+32340304</f>
        <v>2138567007</v>
      </c>
      <c r="G54" s="81">
        <v>0.25</v>
      </c>
      <c r="H54" s="16"/>
      <c r="J54" s="18"/>
      <c r="K54" s="87"/>
      <c r="L54" s="87"/>
      <c r="M54" s="54">
        <v>34432000000</v>
      </c>
      <c r="N54" s="54">
        <v>1091000000</v>
      </c>
      <c r="O54" s="54">
        <v>1012000000</v>
      </c>
      <c r="P54" s="6">
        <v>33131000000</v>
      </c>
      <c r="Q54" s="5">
        <v>5698000000</v>
      </c>
      <c r="R54" s="5">
        <f>IF(Tabela3[[#This Row],[Ativo || Passivo]]&gt;0,Tabela3[[#This Row],[Ativo || Passivo]]-Tabela3[[#This Row],[Patrimônio Líquido]],0)</f>
        <v>1301000000</v>
      </c>
      <c r="S54" s="5">
        <f>Tabela3[[#This Row],[Cotação]]*Tabela3[[#This Row],[Total Ações]]</f>
        <v>50714112092.930008</v>
      </c>
      <c r="T54" s="132">
        <f>IF(Tabela3[[#This Row],[Passivo Circulante]]&gt;0,Tabela3[[#This Row],[Ativo Circulante]]/Tabela3[[#This Row],[Passivo Circulante]],0)</f>
        <v>1.0780632411067195</v>
      </c>
      <c r="U54" s="132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54" s="18">
        <f>IF(Tabela3[[#This Row],[Lucro Líquido]]&gt;0,Tabela3[[#This Row],[Lucro Líquido]]/Tabela3[[#This Row],[Patrimônio Líquido]],0)</f>
        <v>0.17198394253116417</v>
      </c>
      <c r="W54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54" s="18">
        <f>IF(Tabela3[[#This Row],[Dívida]]&gt;0,Tabela3[[#This Row],[Dívida]]/Tabela3[[#This Row],[Patrimônio Líquido]],0)</f>
        <v>3.9268358938758262E-2</v>
      </c>
      <c r="Y54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54" s="5">
        <f>Tabela3[[#This Row],[Capital Social]]*20%</f>
        <v>4505000002</v>
      </c>
      <c r="AA54" s="5">
        <f>IF((Tabela3[Lucro Líquido]*5%)&gt;Tabela3[Teto R. Legal],Tabela3[Teto R. Legal],Tabela3[Lucro Líquido]*5%)</f>
        <v>284900000</v>
      </c>
      <c r="AB54" s="5">
        <f>IF(Tabela3[Lucro Líquido]&lt;0,0,Tabela3[Lucro Líquido]-Tabela3[Reserva Legal])</f>
        <v>5413100000</v>
      </c>
      <c r="AC54" s="5">
        <f>Tabela3[[#This Row],[Lucro Distribuir]]*Tabela3[%Div]</f>
        <v>1353275000</v>
      </c>
      <c r="AD54" s="21">
        <f>SUMPRODUCT(N(Tabela3[Nome]=Tabela3[[#This Row],[Nome]]),Tabela3[Ações])</f>
        <v>5554667261</v>
      </c>
      <c r="AE54" s="5">
        <f>Tabela3[Capital Social]/Tabela3[Total Ações]</f>
        <v>4.0551483917229003</v>
      </c>
      <c r="AF54" s="77">
        <f>Tabela3[[#This Row],[Lucro Líquido]]/Tabela3[[#This Row],[Total Ações]]</f>
        <v>1.0258040189025104</v>
      </c>
      <c r="AG54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0.24362845448934622</v>
      </c>
      <c r="AH54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54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0.61660121570021464</v>
      </c>
      <c r="AJ54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0.24362845448934622</v>
      </c>
      <c r="AK54" s="5">
        <f>Tabela3[Div Base]*Tabela3[Ações]</f>
        <v>521015774.73731685</v>
      </c>
      <c r="AL54" s="5">
        <f>SUMPRODUCT(N(Tabela3[Nome]=Tabela3[[#This Row],[Nome]]),Tabela3[Div Base]*Tabela3[Ações])</f>
        <v>1353275000</v>
      </c>
      <c r="AM54" s="5">
        <f>Tabela3[Patrimônio Líquido]/Tabela3[Total Ações]</f>
        <v>5.9645336873041552</v>
      </c>
      <c r="AN54" s="52">
        <f>MAX(Tabela3[[#This Row],[Cotação 1]:[Cotação 5]])</f>
        <v>9.1300000000000008</v>
      </c>
      <c r="AO54" s="53">
        <f>Tabela3[Cotação]/Tabela3[VPA]</f>
        <v>1.5307148016338172</v>
      </c>
      <c r="AP54" s="37">
        <f>IF(Tabela3[[#This Row],[Lucro/Ação]]&gt;0,Tabela3[[#This Row],[Cotação]]/(Tabela3[[#This Row],[Lucro/Ação]]/Tabela3[Ref]*4),0)</f>
        <v>8.9003355726447886</v>
      </c>
      <c r="AQ54" s="77">
        <f>Tabela3[Lucro Distribuir]/Tabela3[Total Ações]</f>
        <v>0.9745138179573849</v>
      </c>
      <c r="AR54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0.24362845448934622</v>
      </c>
      <c r="AS54" s="16" t="str">
        <f>IF(AND(Tabela3[% A.A.]&gt;=6%,SUMPRODUCT(N(Tabela3[Nome]=Tabela3[[#This Row],[Nome]]),Tabela3[PL])&gt;0,Tabela3[Rentabilidade s/ PL]&gt;=Tabela3[Rentabilidade s/ PL Média]),"Sim","Não")</f>
        <v>Não</v>
      </c>
      <c r="AT54" s="22">
        <f>IF(Tabela3[Cotação]&gt;0,Tabela3[[#This Row],[Lucro]]/Tabela3[[#This Row],[Cotação]],0)</f>
        <v>2.6684387129172642E-2</v>
      </c>
      <c r="AU54" s="18">
        <f>((1+Tabela3[[#This Row],[% Yield]])^(1/(3*Tabela3[[#This Row],[Ref]])))^(12)-1</f>
        <v>2.6684387129170428E-2</v>
      </c>
      <c r="AV54" s="10">
        <f>IF(Tabela3[Cotação]&gt;0,($BD$1/Tabela3[[#This Row],[Cotação]]-MOD($BD$1/Tabela3[[#This Row],[Cotação]],100)),)</f>
        <v>0</v>
      </c>
      <c r="AW54" s="7">
        <f>Tabela3[[#This Row],[Ativos]]*Tabela3[Lucro]</f>
        <v>0</v>
      </c>
      <c r="AX54" s="5">
        <f>SUMPRODUCT(N(Tabela1[Código]=Tabela3[[#This Row],[PAPEL]]),Tabela1[Fechamento])</f>
        <v>9.1300000000000008</v>
      </c>
      <c r="AY54" s="5">
        <f>SUMPRODUCT(N(Tabela17[Código]=Tabela3[[#This Row],[PAPEL]]),Tabela17[Fechamento])</f>
        <v>0</v>
      </c>
      <c r="AZ54" s="7">
        <f>SUMPRODUCT(N(Tabela176[Código]=Tabela3[[#This Row],[PAPEL]]),Tabela176[Fechamento])</f>
        <v>0</v>
      </c>
      <c r="BA54" s="7">
        <f>SUMPRODUCT(N(Tabela1768[Código]=Tabela3[[#This Row],[PAPEL]]),Tabela1768[Fechamento])</f>
        <v>0</v>
      </c>
      <c r="BB54" s="7">
        <f>SUMPRODUCT(N(Tabela17683[Código]=Tabela3[[#This Row],[PAPEL]]),Tabela17683[Fechamento])</f>
        <v>0</v>
      </c>
    </row>
    <row r="55" spans="1:54" hidden="1" x14ac:dyDescent="0.2">
      <c r="A55" s="4" t="s">
        <v>14</v>
      </c>
      <c r="B55" s="57" t="s">
        <v>16</v>
      </c>
      <c r="C55" s="15" t="str">
        <f>LEFT(Tabela3[PAPEL],LEN(Tabela3[PAPEL])-(LEN(Tabela3[PAPEL])-4))</f>
        <v>ITSA</v>
      </c>
      <c r="D55" s="15">
        <v>4</v>
      </c>
      <c r="E55" s="5">
        <v>22525000010</v>
      </c>
      <c r="F55" s="8">
        <f>3279287212+85153346+51659696</f>
        <v>3416100254</v>
      </c>
      <c r="G55" s="86">
        <v>0.25</v>
      </c>
      <c r="H55" s="15"/>
      <c r="I55" s="19">
        <v>2.5000000000000001E-3</v>
      </c>
      <c r="J55" s="19"/>
      <c r="K55" s="88"/>
      <c r="L55" s="88"/>
      <c r="M55" s="54">
        <v>34432000000</v>
      </c>
      <c r="N55" s="54">
        <v>1091000000</v>
      </c>
      <c r="O55" s="54">
        <v>1012000000</v>
      </c>
      <c r="P55" s="6">
        <v>33131000000</v>
      </c>
      <c r="Q55" s="5">
        <v>5698000000</v>
      </c>
      <c r="R55" s="5">
        <f>IF(Tabela3[[#This Row],[Ativo || Passivo]]&gt;0,Tabela3[[#This Row],[Ativo || Passivo]]-Tabela3[[#This Row],[Patrimônio Líquido]],0)</f>
        <v>1301000000</v>
      </c>
      <c r="S55" s="5">
        <f>Tabela3[[#This Row],[Cotação]]*Tabela3[[#This Row],[Total Ações]]</f>
        <v>46714751665.010002</v>
      </c>
      <c r="T55" s="132">
        <f>IF(Tabela3[[#This Row],[Passivo Circulante]]&gt;0,Tabela3[[#This Row],[Ativo Circulante]]/Tabela3[[#This Row],[Passivo Circulante]],0)</f>
        <v>1.0780632411067195</v>
      </c>
      <c r="U55" s="132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55" s="18">
        <f>IF(Tabela3[[#This Row],[Lucro Líquido]]&gt;0,Tabela3[[#This Row],[Lucro Líquido]]/Tabela3[[#This Row],[Patrimônio Líquido]],0)</f>
        <v>0.17198394253116417</v>
      </c>
      <c r="W55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55" s="18">
        <f>IF(Tabela3[[#This Row],[Dívida]]&gt;0,Tabela3[[#This Row],[Dívida]]/Tabela3[[#This Row],[Patrimônio Líquido]],0)</f>
        <v>3.9268358938758262E-2</v>
      </c>
      <c r="Y55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55" s="5">
        <f>Tabela3[[#This Row],[Capital Social]]*20%</f>
        <v>4505000002</v>
      </c>
      <c r="AA55" s="5">
        <f>IF((Tabela3[Lucro Líquido]*5%)&gt;Tabela3[Teto R. Legal],Tabela3[Teto R. Legal],Tabela3[Lucro Líquido]*5%)</f>
        <v>284900000</v>
      </c>
      <c r="AB55" s="5">
        <f>IF(Tabela3[Lucro Líquido]&lt;0,0,Tabela3[Lucro Líquido]-Tabela3[Reserva Legal])</f>
        <v>5413100000</v>
      </c>
      <c r="AC55" s="5">
        <f>Tabela3[[#This Row],[Lucro Distribuir]]*Tabela3[%Div]</f>
        <v>1353275000</v>
      </c>
      <c r="AD55" s="21">
        <f>SUMPRODUCT(N(Tabela3[Nome]=Tabela3[[#This Row],[Nome]]),Tabela3[Ações])</f>
        <v>5554667261</v>
      </c>
      <c r="AE55" s="5">
        <f>Tabela3[Capital Social]/Tabela3[Total Ações]</f>
        <v>4.0551483917229003</v>
      </c>
      <c r="AF55" s="78">
        <f>Tabela3[[#This Row],[Lucro Líquido]]/Tabela3[[#This Row],[Total Ações]]</f>
        <v>1.0258040189025104</v>
      </c>
      <c r="AG55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0.24362845448934622</v>
      </c>
      <c r="AH55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55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1.0137870979307252E-2</v>
      </c>
      <c r="AJ55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0.24362845448934622</v>
      </c>
      <c r="AK55" s="5">
        <f>Tabela3[Div Base]*Tabela3[Ações]</f>
        <v>832259225.26268303</v>
      </c>
      <c r="AL55" s="5">
        <f>SUMPRODUCT(N(Tabela3[Nome]=Tabela3[[#This Row],[Nome]]),Tabela3[Div Base]*Tabela3[Ações])</f>
        <v>1353275000</v>
      </c>
      <c r="AM55" s="6">
        <f>Tabela3[Patrimônio Líquido]/Tabela3[Total Ações]</f>
        <v>5.9645336873041552</v>
      </c>
      <c r="AN55" s="48">
        <f>MAX(Tabela3[[#This Row],[Cotação 1]:[Cotação 5]])</f>
        <v>8.41</v>
      </c>
      <c r="AO55" s="44">
        <f>Tabela3[Cotação]/Tabela3[VPA]</f>
        <v>1.4100012575838339</v>
      </c>
      <c r="AP55" s="40">
        <f>IF(Tabela3[[#This Row],[Lucro/Ação]]&gt;0,Tabela3[[#This Row],[Cotação]]/(Tabela3[[#This Row],[Lucro/Ação]]/Tabela3[Ref]*4),0)</f>
        <v>8.1984471156563714</v>
      </c>
      <c r="AQ55" s="78">
        <f>Tabela3[Lucro Distribuir]/Tabela3[Total Ações]</f>
        <v>0.9745138179573849</v>
      </c>
      <c r="AR55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0.24362845448934622</v>
      </c>
      <c r="AS55" s="15" t="str">
        <f>IF(AND(Tabela3[% A.A.]&gt;=6%,SUMPRODUCT(N(Tabela3[Nome]=Tabela3[[#This Row],[Nome]]),Tabela3[PL])&gt;0,Tabela3[Rentabilidade s/ PL]&gt;=Tabela3[Rentabilidade s/ PL Média]),"Sim","Não")</f>
        <v>Não</v>
      </c>
      <c r="AT55" s="42">
        <f>IF(Tabela3[Cotação]&gt;0,Tabela3[[#This Row],[Lucro]]/Tabela3[[#This Row],[Cotação]],0)</f>
        <v>2.8968900652716553E-2</v>
      </c>
      <c r="AU55" s="19">
        <f>((1+Tabela3[[#This Row],[% Yield]])^(1/(3*Tabela3[[#This Row],[Ref]])))^(12)-1</f>
        <v>2.8968900652716068E-2</v>
      </c>
      <c r="AV55" s="14">
        <f>IF(Tabela3[Cotação]&gt;0,($BD$1/Tabela3[[#This Row],[Cotação]]-MOD($BD$1/Tabela3[[#This Row],[Cotação]],100)),)</f>
        <v>0</v>
      </c>
      <c r="AW55" s="17">
        <f>Tabela3[[#This Row],[Ativos]]*Tabela3[Lucro]</f>
        <v>0</v>
      </c>
      <c r="AX55" s="5">
        <f>SUMPRODUCT(N(Tabela1[Código]=Tabela3[[#This Row],[PAPEL]]),Tabela1[Fechamento])</f>
        <v>8.41</v>
      </c>
      <c r="AY55" s="5">
        <f>SUMPRODUCT(N(Tabela17[Código]=Tabela3[[#This Row],[PAPEL]]),Tabela17[Fechamento])</f>
        <v>0</v>
      </c>
      <c r="AZ55" s="7">
        <f>SUMPRODUCT(N(Tabela176[Código]=Tabela3[[#This Row],[PAPEL]]),Tabela176[Fechamento])</f>
        <v>0</v>
      </c>
      <c r="BA55" s="7">
        <f>SUMPRODUCT(N(Tabela1768[Código]=Tabela3[[#This Row],[PAPEL]]),Tabela1768[Fechamento])</f>
        <v>0</v>
      </c>
      <c r="BB55" s="7">
        <f>SUMPRODUCT(N(Tabela17683[Código]=Tabela3[[#This Row],[PAPEL]]),Tabela17683[Fechamento])</f>
        <v>0</v>
      </c>
    </row>
    <row r="56" spans="1:54" hidden="1" x14ac:dyDescent="0.2">
      <c r="A56" s="4" t="s">
        <v>528</v>
      </c>
      <c r="B56" s="57" t="s">
        <v>529</v>
      </c>
      <c r="C56" s="15" t="str">
        <f>LEFT(Tabela3[PAPEL],LEN(Tabela3[PAPEL])-(LEN(Tabela3[PAPEL])-4))</f>
        <v>CGAS</v>
      </c>
      <c r="D56" s="15">
        <v>3</v>
      </c>
      <c r="E56" s="6">
        <v>764155232.40999997</v>
      </c>
      <c r="F56" s="8">
        <v>93910898</v>
      </c>
      <c r="G56" s="81">
        <v>0.25</v>
      </c>
      <c r="H56" s="15"/>
      <c r="I56" s="19"/>
      <c r="J56" s="19"/>
      <c r="K56" s="88"/>
      <c r="L56" s="88"/>
      <c r="M56" s="55">
        <v>6697844000</v>
      </c>
      <c r="N56" s="55">
        <v>1389544000</v>
      </c>
      <c r="O56" s="55">
        <v>1747246000</v>
      </c>
      <c r="P56" s="92">
        <v>2618526000</v>
      </c>
      <c r="Q56" s="92">
        <v>445319000</v>
      </c>
      <c r="R56" s="92">
        <f>IF(Tabela3[[#This Row],[Ativo || Passivo]]&gt;0,Tabela3[[#This Row],[Ativo || Passivo]]-Tabela3[[#This Row],[Patrimônio Líquido]],0)</f>
        <v>4079318000</v>
      </c>
      <c r="S56" s="92">
        <f>Tabela3[[#This Row],[Cotação]]*Tabela3[[#This Row],[Total Ações]]</f>
        <v>5511848662</v>
      </c>
      <c r="T56" s="36">
        <f>IF(Tabela3[[#This Row],[Passivo Circulante]]&gt;0,Tabela3[[#This Row],[Ativo Circulante]]/Tabela3[[#This Row],[Passivo Circulante]],0)</f>
        <v>0.79527668113133465</v>
      </c>
      <c r="U56" s="36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56" s="19">
        <f>IF(Tabela3[[#This Row],[Lucro Líquido]]&gt;0,Tabela3[[#This Row],[Lucro Líquido]]/Tabela3[[#This Row],[Patrimônio Líquido]],0)</f>
        <v>0.17006476162543355</v>
      </c>
      <c r="W56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56" s="19">
        <f>IF(Tabela3[[#This Row],[Dívida]]&gt;0,Tabela3[[#This Row],[Dívida]]/Tabela3[[#This Row],[Patrimônio Líquido]],0)</f>
        <v>1.5578680524844895</v>
      </c>
      <c r="Y56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56" s="13">
        <f>Tabela3[[#This Row],[Capital Social]]*20%</f>
        <v>152831046.48199999</v>
      </c>
      <c r="AA56" s="13">
        <f>IF((Tabela3[Lucro Líquido]*5%)&gt;Tabela3[Teto R. Legal],Tabela3[Teto R. Legal],Tabela3[Lucro Líquido]*5%)</f>
        <v>22265950</v>
      </c>
      <c r="AB56" s="13">
        <f>IF(Tabela3[Lucro Líquido]&lt;0,0,Tabela3[Lucro Líquido]-Tabela3[Reserva Legal])</f>
        <v>423053050</v>
      </c>
      <c r="AC56" s="13">
        <f>Tabela3[[#This Row],[Lucro Distribuir]]*Tabela3[%Div]</f>
        <v>105763262.5</v>
      </c>
      <c r="AD56" s="56">
        <f>SUMPRODUCT(N(Tabela3[Nome]=Tabela3[[#This Row],[Nome]]),Tabela3[Ações])</f>
        <v>119822797</v>
      </c>
      <c r="AE56" s="6">
        <f>Tabela3[Capital Social]/Tabela3[Total Ações]</f>
        <v>6.3773776905741899</v>
      </c>
      <c r="AF56" s="78">
        <f>Tabela3[[#This Row],[Lucro Líquido]]/Tabela3[[#This Row],[Total Ações]]</f>
        <v>3.7164797613596017</v>
      </c>
      <c r="AG56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0.88266394332290543</v>
      </c>
      <c r="AH56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56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0.95024398382069386</v>
      </c>
      <c r="AJ56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0.88266394332290543</v>
      </c>
      <c r="AK56" s="13">
        <f>Tabela3[Div Base]*Tabela3[Ações]</f>
        <v>82891763.549675152</v>
      </c>
      <c r="AL56" s="13">
        <f>SUMPRODUCT(N(Tabela3[Nome]=Tabela3[[#This Row],[Nome]]),Tabela3[Div Base]*Tabela3[Ações])</f>
        <v>105763262.5</v>
      </c>
      <c r="AM56" s="6">
        <f>Tabela3[Patrimônio Líquido]/Tabela3[Total Ações]</f>
        <v>21.853320616443298</v>
      </c>
      <c r="AN56" s="48">
        <f>MAX(Tabela3[[#This Row],[Cotação 1]:[Cotação 5]])</f>
        <v>46</v>
      </c>
      <c r="AO56" s="44">
        <f>Tabela3[Cotação]/Tabela3[VPA]</f>
        <v>2.1049432627363638</v>
      </c>
      <c r="AP56" s="40">
        <f>IF(Tabela3[[#This Row],[Lucro/Ação]]&gt;0,Tabela3[[#This Row],[Cotação]]/(Tabela3[[#This Row],[Lucro/Ação]]/Tabela3[Ref]*4),0)</f>
        <v>9.2829780370925121</v>
      </c>
      <c r="AQ56" s="78">
        <f>Tabela3[Lucro Distribuir]/Tabela3[Total Ações]</f>
        <v>3.5306557732916217</v>
      </c>
      <c r="AR56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0.88266394332290543</v>
      </c>
      <c r="AS56" s="14" t="str">
        <f>IF(AND(Tabela3[% A.A.]&gt;=6%,SUMPRODUCT(N(Tabela3[Nome]=Tabela3[[#This Row],[Nome]]),Tabela3[PL])&gt;0,Tabela3[Rentabilidade s/ PL]&gt;=Tabela3[Rentabilidade s/ PL Média]),"Sim","Não")</f>
        <v>Não</v>
      </c>
      <c r="AT56" s="42">
        <f>IF(Tabela3[Cotação]&gt;0,Tabela3[[#This Row],[Lucro]]/Tabela3[[#This Row],[Cotação]],0)</f>
        <v>1.9188346593976204E-2</v>
      </c>
      <c r="AU56" s="42">
        <f>((1+Tabela3[[#This Row],[% Yield]])^(1/(3*Tabela3[[#This Row],[Ref]])))^(12)-1</f>
        <v>2.5665936584997828E-2</v>
      </c>
      <c r="AV56" s="14">
        <f>IF(Tabela3[Cotação]&gt;0,($BH$1/Tabela3[[#This Row],[Cotação]]-MOD($BH$1/Tabela3[[#This Row],[Cotação]],100)),)</f>
        <v>0</v>
      </c>
      <c r="AW56" s="17">
        <f>Tabela3[[#This Row],[Ativos]]*Tabela3[Lucro]</f>
        <v>0</v>
      </c>
      <c r="AX56" s="17">
        <f>SUMPRODUCT(N(Tabela1[Código]=Tabela3[[#This Row],[PAPEL]]),Tabela1[Fechamento])</f>
        <v>0</v>
      </c>
      <c r="AY56" s="17">
        <f>SUMPRODUCT(N(Tabela17[Código]=Tabela3[[#This Row],[PAPEL]]),Tabela17[Fechamento])</f>
        <v>46</v>
      </c>
      <c r="AZ56" s="7">
        <f>SUMPRODUCT(N(Tabela176[Código]=Tabela3[[#This Row],[PAPEL]]),Tabela176[Fechamento])</f>
        <v>0</v>
      </c>
      <c r="BA56" s="7">
        <f>SUMPRODUCT(N(Tabela1768[Código]=Tabela3[[#This Row],[PAPEL]]),Tabela1768[Fechamento])</f>
        <v>0</v>
      </c>
      <c r="BB56" s="7">
        <f>SUMPRODUCT(N(Tabela17683[Código]=Tabela3[[#This Row],[PAPEL]]),Tabela17683[Fechamento])</f>
        <v>0</v>
      </c>
    </row>
    <row r="57" spans="1:54" hidden="1" x14ac:dyDescent="0.2">
      <c r="A57" s="4" t="s">
        <v>528</v>
      </c>
      <c r="B57" s="57" t="s">
        <v>530</v>
      </c>
      <c r="C57" s="15" t="str">
        <f>LEFT(Tabela3[PAPEL],LEN(Tabela3[PAPEL])-(LEN(Tabela3[PAPEL])-4))</f>
        <v>CGAS</v>
      </c>
      <c r="D57" s="15">
        <v>3</v>
      </c>
      <c r="E57" s="6">
        <v>764155232.40999997</v>
      </c>
      <c r="F57" s="8">
        <v>25911899</v>
      </c>
      <c r="G57" s="81">
        <v>0.25</v>
      </c>
      <c r="H57" s="15"/>
      <c r="I57" s="19">
        <v>0.1</v>
      </c>
      <c r="J57" s="19"/>
      <c r="K57" s="88"/>
      <c r="L57" s="88"/>
      <c r="M57" s="55">
        <v>6697844000</v>
      </c>
      <c r="N57" s="55">
        <v>1389544000</v>
      </c>
      <c r="O57" s="55">
        <v>1747246000</v>
      </c>
      <c r="P57" s="92">
        <v>2618526000</v>
      </c>
      <c r="Q57" s="92">
        <v>445319000</v>
      </c>
      <c r="R57" s="92">
        <f>IF(Tabela3[[#This Row],[Ativo || Passivo]]&gt;0,Tabela3[[#This Row],[Ativo || Passivo]]-Tabela3[[#This Row],[Patrimônio Líquido]],0)</f>
        <v>4079318000</v>
      </c>
      <c r="S57" s="92">
        <f>Tabela3[[#This Row],[Cotação]]*Tabela3[[#This Row],[Total Ações]]</f>
        <v>5894083384.4299994</v>
      </c>
      <c r="T57" s="36">
        <f>IF(Tabela3[[#This Row],[Passivo Circulante]]&gt;0,Tabela3[[#This Row],[Ativo Circulante]]/Tabela3[[#This Row],[Passivo Circulante]],0)</f>
        <v>0.79527668113133465</v>
      </c>
      <c r="U57" s="36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57" s="19">
        <f>IF(Tabela3[[#This Row],[Lucro Líquido]]&gt;0,Tabela3[[#This Row],[Lucro Líquido]]/Tabela3[[#This Row],[Patrimônio Líquido]],0)</f>
        <v>0.17006476162543355</v>
      </c>
      <c r="W57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57" s="19">
        <f>IF(Tabela3[[#This Row],[Dívida]]&gt;0,Tabela3[[#This Row],[Dívida]]/Tabela3[[#This Row],[Patrimônio Líquido]],0)</f>
        <v>1.5578680524844895</v>
      </c>
      <c r="Y57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57" s="13">
        <f>Tabela3[[#This Row],[Capital Social]]*20%</f>
        <v>152831046.48199999</v>
      </c>
      <c r="AA57" s="13">
        <f>IF((Tabela3[Lucro Líquido]*5%)&gt;Tabela3[Teto R. Legal],Tabela3[Teto R. Legal],Tabela3[Lucro Líquido]*5%)</f>
        <v>22265950</v>
      </c>
      <c r="AB57" s="13">
        <f>IF(Tabela3[Lucro Líquido]&lt;0,0,Tabela3[Lucro Líquido]-Tabela3[Reserva Legal])</f>
        <v>423053050</v>
      </c>
      <c r="AC57" s="13">
        <f>Tabela3[[#This Row],[Lucro Distribuir]]*Tabela3[%Div]</f>
        <v>105763262.5</v>
      </c>
      <c r="AD57" s="56">
        <f>SUMPRODUCT(N(Tabela3[Nome]=Tabela3[[#This Row],[Nome]]),Tabela3[Ações])</f>
        <v>119822797</v>
      </c>
      <c r="AE57" s="6">
        <f>Tabela3[Capital Social]/Tabela3[Total Ações]</f>
        <v>6.3773776905741899</v>
      </c>
      <c r="AF57" s="78">
        <f>Tabela3[[#This Row],[Lucro Líquido]]/Tabela3[[#This Row],[Total Ações]]</f>
        <v>3.7164797613596017</v>
      </c>
      <c r="AG57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0.88266394332290543</v>
      </c>
      <c r="AH57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57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0.63773776905741897</v>
      </c>
      <c r="AJ57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0.88266394332290543</v>
      </c>
      <c r="AK57" s="13">
        <f>Tabela3[Div Base]*Tabela3[Ações]</f>
        <v>22871498.950324848</v>
      </c>
      <c r="AL57" s="13">
        <f>SUMPRODUCT(N(Tabela3[Nome]=Tabela3[[#This Row],[Nome]]),Tabela3[Div Base]*Tabela3[Ações])</f>
        <v>105763262.5</v>
      </c>
      <c r="AM57" s="6">
        <f>Tabela3[Patrimônio Líquido]/Tabela3[Total Ações]</f>
        <v>21.853320616443298</v>
      </c>
      <c r="AN57" s="48">
        <f>MAX(Tabela3[[#This Row],[Cotação 1]:[Cotação 5]])</f>
        <v>49.19</v>
      </c>
      <c r="AO57" s="44">
        <f>Tabela3[Cotação]/Tabela3[VPA]</f>
        <v>2.2509165020435158</v>
      </c>
      <c r="AP57" s="40">
        <f>IF(Tabela3[[#This Row],[Lucro/Ação]]&gt;0,Tabela3[[#This Row],[Cotação]]/(Tabela3[[#This Row],[Lucro/Ação]]/Tabela3[Ref]*4),0)</f>
        <v>9.9267323835778392</v>
      </c>
      <c r="AQ57" s="78">
        <f>Tabela3[Lucro Distribuir]/Tabela3[Total Ações]</f>
        <v>3.5306557732916217</v>
      </c>
      <c r="AR57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0.88266394332290543</v>
      </c>
      <c r="AS57" s="14" t="str">
        <f>IF(AND(Tabela3[% A.A.]&gt;=6%,SUMPRODUCT(N(Tabela3[Nome]=Tabela3[[#This Row],[Nome]]),Tabela3[PL])&gt;0,Tabela3[Rentabilidade s/ PL]&gt;=Tabela3[Rentabilidade s/ PL Média]),"Sim","Não")</f>
        <v>Não</v>
      </c>
      <c r="AT57" s="42">
        <f>IF(Tabela3[Cotação]&gt;0,Tabela3[[#This Row],[Lucro]]/Tabela3[[#This Row],[Cotação]],0)</f>
        <v>1.7943971199896432E-2</v>
      </c>
      <c r="AU57" s="42">
        <f>((1+Tabela3[[#This Row],[% Yield]])^(1/(3*Tabela3[[#This Row],[Ref]])))^(12)-1</f>
        <v>2.3996564194456171E-2</v>
      </c>
      <c r="AV57" s="14">
        <f>IF(Tabela3[Cotação]&gt;0,($BH$1/Tabela3[[#This Row],[Cotação]]-MOD($BH$1/Tabela3[[#This Row],[Cotação]],100)),)</f>
        <v>0</v>
      </c>
      <c r="AW57" s="17">
        <f>Tabela3[[#This Row],[Ativos]]*Tabela3[Lucro]</f>
        <v>0</v>
      </c>
      <c r="AX57" s="17">
        <f>SUMPRODUCT(N(Tabela1[Código]=Tabela3[[#This Row],[PAPEL]]),Tabela1[Fechamento])</f>
        <v>0</v>
      </c>
      <c r="AY57" s="17">
        <f>SUMPRODUCT(N(Tabela17[Código]=Tabela3[[#This Row],[PAPEL]]),Tabela17[Fechamento])</f>
        <v>49.19</v>
      </c>
      <c r="AZ57" s="7">
        <f>SUMPRODUCT(N(Tabela176[Código]=Tabela3[[#This Row],[PAPEL]]),Tabela176[Fechamento])</f>
        <v>0</v>
      </c>
      <c r="BA57" s="7">
        <f>SUMPRODUCT(N(Tabela1768[Código]=Tabela3[[#This Row],[PAPEL]]),Tabela1768[Fechamento])</f>
        <v>0</v>
      </c>
      <c r="BB57" s="7">
        <f>SUMPRODUCT(N(Tabela17683[Código]=Tabela3[[#This Row],[PAPEL]]),Tabela17683[Fechamento])</f>
        <v>0</v>
      </c>
    </row>
    <row r="58" spans="1:54" x14ac:dyDescent="0.2">
      <c r="A58" s="3" t="s">
        <v>1330</v>
      </c>
      <c r="B58" s="57" t="s">
        <v>1345</v>
      </c>
      <c r="C58" s="16" t="str">
        <f>LEFT(Tabela3[PAPEL],LEN(Tabela3[PAPEL])-(LEN(Tabela3[PAPEL])-4))</f>
        <v>HBOR</v>
      </c>
      <c r="D58" s="16">
        <v>3</v>
      </c>
      <c r="E58" s="5">
        <v>806376305</v>
      </c>
      <c r="F58" s="56">
        <v>257699937</v>
      </c>
      <c r="G58" s="81">
        <v>0.5</v>
      </c>
      <c r="H58" s="87"/>
      <c r="J58" s="18"/>
      <c r="K58" s="16"/>
      <c r="L58" s="87"/>
      <c r="M58" s="47">
        <v>1551852000</v>
      </c>
      <c r="N58" s="47">
        <v>117228000</v>
      </c>
      <c r="O58" s="47">
        <v>74274000</v>
      </c>
      <c r="P58" s="91">
        <v>1247354000</v>
      </c>
      <c r="Q58" s="73">
        <v>211777000</v>
      </c>
      <c r="R58" s="73">
        <f>IF(Tabela3[[#This Row],[Ativo || Passivo]]&gt;0,Tabela3[[#This Row],[Ativo || Passivo]]-Tabela3[[#This Row],[Patrimônio Líquido]],0)</f>
        <v>304498000</v>
      </c>
      <c r="S58" s="7">
        <f>Tabela3[[#This Row],[Cotação]]*Tabela3[[#This Row],[Total Ações]]</f>
        <v>1783283564.04</v>
      </c>
      <c r="T58" s="37">
        <f>IF(Tabela3[[#This Row],[Passivo Circulante]]&gt;0,Tabela3[[#This Row],[Ativo Circulante]]/Tabela3[[#This Row],[Passivo Circulante]],0)</f>
        <v>1.578318119395751</v>
      </c>
      <c r="U58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58" s="18">
        <f>IF(Tabela3[[#This Row],[Lucro Líquido]]&gt;0,Tabela3[[#This Row],[Lucro Líquido]]/Tabela3[[#This Row],[Patrimônio Líquido]],0)</f>
        <v>0.1697809924047223</v>
      </c>
      <c r="W58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58" s="18">
        <f>IF(Tabela3[[#This Row],[Dívida]]&gt;0,Tabela3[[#This Row],[Dívida]]/Tabela3[[#This Row],[Patrimônio Líquido]],0)</f>
        <v>0.24411514293456388</v>
      </c>
      <c r="Y58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58" s="7">
        <f>Tabela3[[#This Row],[Capital Social]]*20%</f>
        <v>161275261</v>
      </c>
      <c r="AA58" s="47">
        <f>IF((Tabela3[Lucro Líquido]*5%)&gt;Tabela3[Teto R. Legal],Tabela3[Teto R. Legal],Tabela3[Lucro Líquido]*5%)</f>
        <v>10588850</v>
      </c>
      <c r="AB58" s="47">
        <f>IF(Tabela3[Lucro Líquido]&lt;0,0,Tabela3[Lucro Líquido]-Tabela3[Reserva Legal])</f>
        <v>201188150</v>
      </c>
      <c r="AC58" s="47">
        <f>Tabela3[[#This Row],[Lucro Distribuir]]*Tabela3[%Div]</f>
        <v>100594075</v>
      </c>
      <c r="AD58" s="56">
        <f>SUMPRODUCT(N(Tabela3[Nome]=Tabela3[[#This Row],[Nome]]),Tabela3[Ações])</f>
        <v>257699937</v>
      </c>
      <c r="AE58" s="85">
        <f>Tabela3[Capital Social]/Tabela3[Total Ações]</f>
        <v>3.1291288402604458</v>
      </c>
      <c r="AF58" s="85">
        <f>Tabela3[[#This Row],[Lucro Líquido]]/Tabela3[[#This Row],[Total Ações]]</f>
        <v>0.82179686369112304</v>
      </c>
      <c r="AG58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0.39035351025328346</v>
      </c>
      <c r="AH58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58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58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0.39035351025328346</v>
      </c>
      <c r="AK58" s="7">
        <f>Tabela3[Div Base]*Tabela3[Ações]</f>
        <v>100594075</v>
      </c>
      <c r="AL58" s="121">
        <f>SUMPRODUCT(N(Tabela3[Nome]=Tabela3[[#This Row],[Nome]]),Tabela3[Div Base]*Tabela3[Ações])</f>
        <v>100594075</v>
      </c>
      <c r="AM58" s="5">
        <f>Tabela3[Patrimônio Líquido]/Tabela3[Total Ações]</f>
        <v>4.8403349046996471</v>
      </c>
      <c r="AN58" s="52">
        <f>MAX(Tabela3[[#This Row],[Cotação 1]:[Cotação 5]])</f>
        <v>6.92</v>
      </c>
      <c r="AO58" s="53">
        <f>Tabela3[Cotação]/Tabela3[VPA]</f>
        <v>1.4296531410008706</v>
      </c>
      <c r="AP58" s="37">
        <f>IF(Tabela3[[#This Row],[Lucro/Ação]]&gt;0,Tabela3[[#This Row],[Cotação]]/(Tabela3[[#This Row],[Lucro/Ação]]/Tabela3[Ref]*4),0)</f>
        <v>6.3154293102178238</v>
      </c>
      <c r="AQ58" s="85">
        <f>Tabela3[Lucro Distribuir]/Tabela3[Total Ações]</f>
        <v>0.78070702050656693</v>
      </c>
      <c r="AR58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0.39035351025328346</v>
      </c>
      <c r="AS58" s="10" t="str">
        <f>IF(AND(Tabela3[% A.A.]&gt;=6%,SUMPRODUCT(N(Tabela3[Nome]=Tabela3[[#This Row],[Nome]]),Tabela3[PL])&gt;0,Tabela3[Rentabilidade s/ PL]&gt;=Tabela3[Rentabilidade s/ PL Média]),"Sim","Não")</f>
        <v>Sim</v>
      </c>
      <c r="AT58" s="22">
        <f>IF(Tabela3[Cotação]&gt;0,Tabela3[[#This Row],[Lucro]]/Tabela3[[#This Row],[Cotação]],0)</f>
        <v>5.6409466799607434E-2</v>
      </c>
      <c r="AU58" s="22">
        <f>((1+Tabela3[[#This Row],[% Yield]])^(1/(3*Tabela3[[#This Row],[Ref]])))^(12)-1</f>
        <v>7.5911077975720165E-2</v>
      </c>
      <c r="AV58" s="10">
        <f>IF(Tabela3[Cotação]&gt;0,($BH$1/Tabela3[[#This Row],[Cotação]]-MOD($BH$1/Tabela3[[#This Row],[Cotação]],100)),)</f>
        <v>0</v>
      </c>
      <c r="AW58" s="7">
        <f>Tabela3[[#This Row],[Ativos]]*Tabela3[Lucro]</f>
        <v>0</v>
      </c>
      <c r="AX58" s="7">
        <f>SUMPRODUCT(N(Tabela1[Código]=Tabela3[[#This Row],[PAPEL]]),Tabela1[Fechamento])</f>
        <v>0</v>
      </c>
      <c r="AY58" s="7">
        <f>SUMPRODUCT(N(Tabela17[Código]=Tabela3[[#This Row],[PAPEL]]),Tabela17[Fechamento])</f>
        <v>0</v>
      </c>
      <c r="AZ58" s="7">
        <f>SUMPRODUCT(N(Tabela176[Código]=Tabela3[[#This Row],[PAPEL]]),Tabela176[Fechamento])</f>
        <v>0</v>
      </c>
      <c r="BA58" s="7">
        <f>SUMPRODUCT(N(Tabela1768[Código]=Tabela3[[#This Row],[PAPEL]]),Tabela1768[Fechamento])</f>
        <v>6.92</v>
      </c>
      <c r="BB58" s="7">
        <f>SUMPRODUCT(N(Tabela17683[Código]=Tabela3[[#This Row],[PAPEL]]),Tabela17683[Fechamento])</f>
        <v>0</v>
      </c>
    </row>
    <row r="59" spans="1:54" hidden="1" x14ac:dyDescent="0.2">
      <c r="A59" s="4" t="s">
        <v>14</v>
      </c>
      <c r="B59" s="57" t="s">
        <v>199</v>
      </c>
      <c r="C59" s="14" t="str">
        <f>LEFT(Tabela3[PAPEL],LEN(Tabela3[PAPEL])-(LEN(Tabela3[PAPEL])-4))</f>
        <v>BBDC</v>
      </c>
      <c r="D59" s="15">
        <v>4</v>
      </c>
      <c r="E59" s="6">
        <v>38100000000</v>
      </c>
      <c r="F59" s="8">
        <v>2103637129</v>
      </c>
      <c r="G59" s="86">
        <v>0.25</v>
      </c>
      <c r="H59" s="15"/>
      <c r="I59" s="19"/>
      <c r="J59" s="19"/>
      <c r="K59" s="88"/>
      <c r="L59" s="88"/>
      <c r="M59" s="55">
        <v>882083756000</v>
      </c>
      <c r="N59" s="55">
        <v>520738924000</v>
      </c>
      <c r="O59" s="55">
        <v>584931445000</v>
      </c>
      <c r="P59" s="6">
        <v>70939802000</v>
      </c>
      <c r="Q59" s="6">
        <v>12011028000</v>
      </c>
      <c r="R59" s="6">
        <f>IF(Tabela3[[#This Row],[Ativo || Passivo]]&gt;0,Tabela3[[#This Row],[Ativo || Passivo]]-Tabela3[[#This Row],[Patrimônio Líquido]],0)</f>
        <v>811143954000</v>
      </c>
      <c r="S59" s="6">
        <f>Tabela3[[#This Row],[Cotação]]*Tabela3[[#This Row],[Total Ações]]</f>
        <v>119865237371.11</v>
      </c>
      <c r="T59" s="134">
        <f>IF(Tabela3[[#This Row],[Passivo Circulante]]&gt;0,Tabela3[[#This Row],[Ativo Circulante]]/Tabela3[[#This Row],[Passivo Circulante]],0)</f>
        <v>0.89025633422733841</v>
      </c>
      <c r="U59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59" s="19">
        <f>IF(Tabela3[[#This Row],[Lucro Líquido]]&gt;0,Tabela3[[#This Row],[Lucro Líquido]]/Tabela3[[#This Row],[Patrimônio Líquido]],0)</f>
        <v>0.16931296199558044</v>
      </c>
      <c r="W59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59" s="19">
        <f>IF(Tabela3[[#This Row],[Dívida]]&gt;0,Tabela3[[#This Row],[Dívida]]/Tabela3[[#This Row],[Patrimônio Líquido]],0)</f>
        <v>11.434257372187195</v>
      </c>
      <c r="Y59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59" s="6">
        <f>Tabela3[[#This Row],[Capital Social]]*20%</f>
        <v>7620000000</v>
      </c>
      <c r="AA59" s="6">
        <f>IF((Tabela3[Lucro Líquido]*5%)&gt;Tabela3[Teto R. Legal],Tabela3[Teto R. Legal],Tabela3[Lucro Líquido]*5%)</f>
        <v>600551400</v>
      </c>
      <c r="AB59" s="6">
        <f>IF(Tabela3[Lucro Líquido]&lt;0,0,Tabela3[Lucro Líquido]-Tabela3[Reserva Legal])</f>
        <v>11410476600</v>
      </c>
      <c r="AC59" s="6">
        <f>Tabela3[[#This Row],[Lucro Distribuir]]*Tabela3[%Div]</f>
        <v>2852619150</v>
      </c>
      <c r="AD59" s="21">
        <f>SUMPRODUCT(N(Tabela3[Nome]=Tabela3[[#This Row],[Nome]]),Tabela3[Ações])</f>
        <v>4207274039</v>
      </c>
      <c r="AE59" s="6">
        <f>Tabela3[Capital Social]/Tabela3[Total Ações]</f>
        <v>9.0557447997981484</v>
      </c>
      <c r="AF59" s="78">
        <f>Tabela3[[#This Row],[Lucro Líquido]]/Tabela3[[#This Row],[Total Ações]]</f>
        <v>2.8548242611871379</v>
      </c>
      <c r="AG59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0.65692495788338168</v>
      </c>
      <c r="AH59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59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59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0.65692495788338168</v>
      </c>
      <c r="AK59" s="6">
        <f>Tabela3[Div Base]*Tabela3[Ações]</f>
        <v>1381931732.3702428</v>
      </c>
      <c r="AL59" s="6">
        <f>SUMPRODUCT(N(Tabela3[Nome]=Tabela3[[#This Row],[Nome]]),Tabela3[Div Base]*Tabela3[Ações])</f>
        <v>2902056481.8066998</v>
      </c>
      <c r="AM59" s="6">
        <f>Tabela3[Patrimônio Líquido]/Tabela3[Total Ações]</f>
        <v>16.861226851974024</v>
      </c>
      <c r="AN59" s="48">
        <f>MAX(Tabela3[[#This Row],[Cotação 1]:[Cotação 5]])</f>
        <v>28.49</v>
      </c>
      <c r="AO59" s="44">
        <f>Tabela3[Cotação]/Tabela3[VPA]</f>
        <v>1.6896753866201937</v>
      </c>
      <c r="AP59" s="40">
        <f>IF(Tabela3[[#This Row],[Lucro/Ação]]&gt;0,Tabela3[[#This Row],[Cotação]]/(Tabela3[[#This Row],[Lucro/Ação]]/Tabela3[Ref]*4),0)</f>
        <v>9.9795985298768759</v>
      </c>
      <c r="AQ59" s="78">
        <f>Tabela3[Lucro Distribuir]/Tabela3[Total Ações]</f>
        <v>2.7120830481277807</v>
      </c>
      <c r="AR59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0.65692495788338168</v>
      </c>
      <c r="AS59" s="15" t="str">
        <f>IF(AND(Tabela3[% A.A.]&gt;=6%,SUMPRODUCT(N(Tabela3[Nome]=Tabela3[[#This Row],[Nome]]),Tabela3[PL])&gt;0,Tabela3[Rentabilidade s/ PL]&gt;=Tabela3[Rentabilidade s/ PL Média]),"Sim","Não")</f>
        <v>Não</v>
      </c>
      <c r="AT59" s="42">
        <f>IF(Tabela3[Cotação]&gt;0,Tabela3[[#This Row],[Lucro]]/Tabela3[[#This Row],[Cotação]],0)</f>
        <v>2.3058089079795778E-2</v>
      </c>
      <c r="AU59" s="19">
        <f>((1+Tabela3[[#This Row],[% Yield]])^(1/(3*Tabela3[[#This Row],[Ref]])))^(12)-1</f>
        <v>2.3058089079795341E-2</v>
      </c>
      <c r="AV59" s="14">
        <f>IF(Tabela3[Cotação]&gt;0,($BH$1/Tabela3[[#This Row],[Cotação]]-MOD($BH$1/Tabela3[[#This Row],[Cotação]],100)),)</f>
        <v>0</v>
      </c>
      <c r="AW59" s="17">
        <f>Tabela3[[#This Row],[Ativos]]*Tabela3[Lucro]</f>
        <v>0</v>
      </c>
      <c r="AX59" s="5">
        <f>SUMPRODUCT(N(Tabela1[Código]=Tabela3[[#This Row],[PAPEL]]),Tabela1[Fechamento])</f>
        <v>28.49</v>
      </c>
      <c r="AY59" s="5">
        <f>SUMPRODUCT(N(Tabela17[Código]=Tabela3[[#This Row],[PAPEL]]),Tabela17[Fechamento])</f>
        <v>0</v>
      </c>
      <c r="AZ59" s="7">
        <f>SUMPRODUCT(N(Tabela176[Código]=Tabela3[[#This Row],[PAPEL]]),Tabela176[Fechamento])</f>
        <v>0</v>
      </c>
      <c r="BA59" s="7">
        <f>SUMPRODUCT(N(Tabela1768[Código]=Tabela3[[#This Row],[PAPEL]]),Tabela1768[Fechamento])</f>
        <v>0</v>
      </c>
      <c r="BB59" s="7">
        <f>SUMPRODUCT(N(Tabela17683[Código]=Tabela3[[#This Row],[PAPEL]]),Tabela17683[Fechamento])</f>
        <v>0</v>
      </c>
    </row>
    <row r="60" spans="1:54" hidden="1" x14ac:dyDescent="0.2">
      <c r="A60" s="4" t="s">
        <v>14</v>
      </c>
      <c r="B60" s="57" t="s">
        <v>200</v>
      </c>
      <c r="C60" s="14" t="str">
        <f>LEFT(Tabela3[PAPEL],LEN(Tabela3[PAPEL])-(LEN(Tabela3[PAPEL])-4))</f>
        <v>BBDC</v>
      </c>
      <c r="D60" s="15">
        <v>4</v>
      </c>
      <c r="E60" s="6">
        <v>38100000000</v>
      </c>
      <c r="F60" s="8">
        <v>2103636910</v>
      </c>
      <c r="G60" s="81">
        <v>0.25</v>
      </c>
      <c r="H60" s="15"/>
      <c r="I60" s="19"/>
      <c r="J60" s="19">
        <v>0.1</v>
      </c>
      <c r="K60" s="88"/>
      <c r="L60" s="88"/>
      <c r="M60" s="55">
        <v>882083756000</v>
      </c>
      <c r="N60" s="55">
        <v>520738924000</v>
      </c>
      <c r="O60" s="55">
        <v>584931445000</v>
      </c>
      <c r="P60" s="6">
        <v>70939802000</v>
      </c>
      <c r="Q60" s="6">
        <v>12011028000</v>
      </c>
      <c r="R60" s="6">
        <f>IF(Tabela3[[#This Row],[Ativo || Passivo]]&gt;0,Tabela3[[#This Row],[Ativo || Passivo]]-Tabela3[[#This Row],[Patrimônio Líquido]],0)</f>
        <v>811143954000</v>
      </c>
      <c r="S60" s="6">
        <f>Tabela3[[#This Row],[Cotação]]*Tabela3[[#This Row],[Total Ações]]</f>
        <v>112797016985.59</v>
      </c>
      <c r="T60" s="134">
        <f>IF(Tabela3[[#This Row],[Passivo Circulante]]&gt;0,Tabela3[[#This Row],[Ativo Circulante]]/Tabela3[[#This Row],[Passivo Circulante]],0)</f>
        <v>0.89025633422733841</v>
      </c>
      <c r="U60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60" s="19">
        <f>IF(Tabela3[[#This Row],[Lucro Líquido]]&gt;0,Tabela3[[#This Row],[Lucro Líquido]]/Tabela3[[#This Row],[Patrimônio Líquido]],0)</f>
        <v>0.16931296199558044</v>
      </c>
      <c r="W60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60" s="19">
        <f>IF(Tabela3[[#This Row],[Dívida]]&gt;0,Tabela3[[#This Row],[Dívida]]/Tabela3[[#This Row],[Patrimônio Líquido]],0)</f>
        <v>11.434257372187195</v>
      </c>
      <c r="Y60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60" s="6">
        <f>Tabela3[[#This Row],[Capital Social]]*20%</f>
        <v>7620000000</v>
      </c>
      <c r="AA60" s="6">
        <f>IF((Tabela3[Lucro Líquido]*5%)&gt;Tabela3[Teto R. Legal],Tabela3[Teto R. Legal],Tabela3[Lucro Líquido]*5%)</f>
        <v>600551400</v>
      </c>
      <c r="AB60" s="6">
        <f>IF(Tabela3[Lucro Líquido]&lt;0,0,Tabela3[Lucro Líquido]-Tabela3[Reserva Legal])</f>
        <v>11410476600</v>
      </c>
      <c r="AC60" s="6">
        <f>Tabela3[[#This Row],[Lucro Distribuir]]*Tabela3[%Div]</f>
        <v>2852619150</v>
      </c>
      <c r="AD60" s="21">
        <f>SUMPRODUCT(N(Tabela3[Nome]=Tabela3[[#This Row],[Nome]]),Tabela3[Ações])</f>
        <v>4207274039</v>
      </c>
      <c r="AE60" s="6">
        <f>Tabela3[Capital Social]/Tabela3[Total Ações]</f>
        <v>9.0557447997981484</v>
      </c>
      <c r="AF60" s="78">
        <f>Tabela3[[#This Row],[Lucro Líquido]]/Tabela3[[#This Row],[Total Ações]]</f>
        <v>2.8548242611871379</v>
      </c>
      <c r="AG60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0.72261745466163019</v>
      </c>
      <c r="AH60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60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60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0.72261745466163019</v>
      </c>
      <c r="AK60" s="6">
        <f>Tabela3[Div Base]*Tabela3[Ações]</f>
        <v>1520124749.4364569</v>
      </c>
      <c r="AL60" s="6">
        <f>SUMPRODUCT(N(Tabela3[Nome]=Tabela3[[#This Row],[Nome]]),Tabela3[Div Base]*Tabela3[Ações])</f>
        <v>2902056481.8066998</v>
      </c>
      <c r="AM60" s="6">
        <f>Tabela3[Patrimônio Líquido]/Tabela3[Total Ações]</f>
        <v>16.861226851974024</v>
      </c>
      <c r="AN60" s="48">
        <f>MAX(Tabela3[[#This Row],[Cotação 1]:[Cotação 5]])</f>
        <v>26.81</v>
      </c>
      <c r="AO60" s="44">
        <f>Tabela3[Cotação]/Tabela3[VPA]</f>
        <v>1.5900385087850961</v>
      </c>
      <c r="AP60" s="40">
        <f>IF(Tabela3[[#This Row],[Lucro/Ação]]&gt;0,Tabela3[[#This Row],[Cotação]]/(Tabela3[[#This Row],[Lucro/Ação]]/Tabela3[Ref]*4),0)</f>
        <v>9.3911209752895406</v>
      </c>
      <c r="AQ60" s="78">
        <f>Tabela3[Lucro Distribuir]/Tabela3[Total Ações]</f>
        <v>2.7120830481277807</v>
      </c>
      <c r="AR60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0.72261745466163019</v>
      </c>
      <c r="AS60" s="15" t="str">
        <f>IF(AND(Tabela3[% A.A.]&gt;=6%,SUMPRODUCT(N(Tabela3[Nome]=Tabela3[[#This Row],[Nome]]),Tabela3[PL])&gt;0,Tabela3[Rentabilidade s/ PL]&gt;=Tabela3[Rentabilidade s/ PL Média]),"Sim","Não")</f>
        <v>Não</v>
      </c>
      <c r="AT60" s="42">
        <f>IF(Tabela3[Cotação]&gt;0,Tabela3[[#This Row],[Lucro]]/Tabela3[[#This Row],[Cotação]],0)</f>
        <v>2.6953280666230147E-2</v>
      </c>
      <c r="AU60" s="19">
        <f>((1+Tabela3[[#This Row],[% Yield]])^(1/(3*Tabela3[[#This Row],[Ref]])))^(12)-1</f>
        <v>2.6953280666230039E-2</v>
      </c>
      <c r="AV60" s="14">
        <f>IF(Tabela3[Cotação]&gt;0,($BH$1/Tabela3[[#This Row],[Cotação]]-MOD($BH$1/Tabela3[[#This Row],[Cotação]],100)),)</f>
        <v>0</v>
      </c>
      <c r="AW60" s="17">
        <f>Tabela3[[#This Row],[Ativos]]*Tabela3[Lucro]</f>
        <v>0</v>
      </c>
      <c r="AX60" s="5">
        <f>SUMPRODUCT(N(Tabela1[Código]=Tabela3[[#This Row],[PAPEL]]),Tabela1[Fechamento])</f>
        <v>26.81</v>
      </c>
      <c r="AY60" s="5">
        <f>SUMPRODUCT(N(Tabela17[Código]=Tabela3[[#This Row],[PAPEL]]),Tabela17[Fechamento])</f>
        <v>0</v>
      </c>
      <c r="AZ60" s="7">
        <f>SUMPRODUCT(N(Tabela176[Código]=Tabela3[[#This Row],[PAPEL]]),Tabela176[Fechamento])</f>
        <v>0</v>
      </c>
      <c r="BA60" s="7">
        <f>SUMPRODUCT(N(Tabela1768[Código]=Tabela3[[#This Row],[PAPEL]]),Tabela1768[Fechamento])</f>
        <v>0</v>
      </c>
      <c r="BB60" s="7">
        <f>SUMPRODUCT(N(Tabela17683[Código]=Tabela3[[#This Row],[PAPEL]]),Tabela17683[Fechamento])</f>
        <v>0</v>
      </c>
    </row>
    <row r="61" spans="1:54" x14ac:dyDescent="0.2">
      <c r="A61" s="4" t="s">
        <v>335</v>
      </c>
      <c r="B61" s="57" t="s">
        <v>422</v>
      </c>
      <c r="C61" s="82" t="str">
        <f>LEFT(Tabela3[PAPEL],LEN(Tabela3[PAPEL])-(LEN(Tabela3[PAPEL])-4))</f>
        <v>PATI</v>
      </c>
      <c r="D61" s="16">
        <v>3</v>
      </c>
      <c r="E61" s="5">
        <v>140000000</v>
      </c>
      <c r="F61" s="8">
        <v>11841369</v>
      </c>
      <c r="G61" s="86">
        <v>0.25</v>
      </c>
      <c r="J61" s="18"/>
      <c r="K61" s="87"/>
      <c r="L61" s="87"/>
      <c r="M61" s="13">
        <v>510692000</v>
      </c>
      <c r="N61" s="13">
        <v>218703000</v>
      </c>
      <c r="O61" s="13">
        <v>135960000</v>
      </c>
      <c r="P61" s="6">
        <v>241884000</v>
      </c>
      <c r="Q61" s="6">
        <v>56208000</v>
      </c>
      <c r="R61" s="6">
        <f>IF(Tabela3[[#This Row],[Ativo || Passivo]]&gt;0,Tabela3[[#This Row],[Ativo || Passivo]]-Tabela3[[#This Row],[Patrimônio Líquido]],0)</f>
        <v>268808000</v>
      </c>
      <c r="S61" s="13">
        <f>Tabela3[[#This Row],[Cotação]]*Tabela3[[#This Row],[Total Ações]]</f>
        <v>251745240</v>
      </c>
      <c r="T61" s="134">
        <f>IF(Tabela3[[#This Row],[Passivo Circulante]]&gt;0,Tabela3[[#This Row],[Ativo Circulante]]/Tabela3[[#This Row],[Passivo Circulante]],0)</f>
        <v>1.6085834068843778</v>
      </c>
      <c r="U61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61" s="19">
        <f>IF(Tabela3[[#This Row],[Lucro Líquido]]&gt;0,Tabela3[[#This Row],[Lucro Líquido]]/Tabela3[[#This Row],[Patrimônio Líquido]],0)</f>
        <v>0.2323758495807908</v>
      </c>
      <c r="W61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61" s="19">
        <f>IF(Tabela3[[#This Row],[Dívida]]&gt;0,Tabela3[[#This Row],[Dívida]]/Tabela3[[#This Row],[Patrimônio Líquido]],0)</f>
        <v>1.1113095533396173</v>
      </c>
      <c r="Y61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61" s="6">
        <f>Tabela3[[#This Row],[Capital Social]]*20%</f>
        <v>28000000</v>
      </c>
      <c r="AA61" s="6">
        <f>IF((Tabela3[Lucro Líquido]*5%)&gt;Tabela3[Teto R. Legal],Tabela3[Teto R. Legal],Tabela3[Lucro Líquido]*5%)</f>
        <v>2810400</v>
      </c>
      <c r="AB61" s="6">
        <f>IF(Tabela3[Lucro Líquido]&lt;0,0,Tabela3[Lucro Líquido]-Tabela3[Reserva Legal])</f>
        <v>53397600</v>
      </c>
      <c r="AC61" s="6">
        <f>Tabela3[[#This Row],[Lucro Distribuir]]*Tabela3[%Div]</f>
        <v>13349400</v>
      </c>
      <c r="AD61" s="21">
        <f>SUMPRODUCT(N(Tabela3[Nome]=Tabela3[[#This Row],[Nome]]),Tabela3[Ações])</f>
        <v>12587262</v>
      </c>
      <c r="AE61" s="5">
        <f>Tabela3[Capital Social]/Tabela3[Total Ações]</f>
        <v>11.12235528266592</v>
      </c>
      <c r="AF61" s="77">
        <f>Tabela3[[#This Row],[Lucro Líquido]]/Tabela3[[#This Row],[Total Ações]]</f>
        <v>4.4654667552006151</v>
      </c>
      <c r="AG61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1.0605483543601459</v>
      </c>
      <c r="AH61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1.0547251506065671</v>
      </c>
      <c r="AI61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1.0713045969677761</v>
      </c>
      <c r="AJ61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1.0547251506065671</v>
      </c>
      <c r="AK61" s="5">
        <f>Tabela3[Div Base]*Tabela3[Ações]</f>
        <v>12489389.701912936</v>
      </c>
      <c r="AL61" s="5">
        <f>SUMPRODUCT(N(Tabela3[Nome]=Tabela3[[#This Row],[Nome]]),Tabela3[Div Base]*Tabela3[Ações])</f>
        <v>13349400.000000002</v>
      </c>
      <c r="AM61" s="5">
        <f>Tabela3[Patrimônio Líquido]/Tabela3[Total Ações]</f>
        <v>19.216569894231167</v>
      </c>
      <c r="AN61" s="80">
        <f>MAX(Tabela3[[#This Row],[Cotação 1]:[Cotação 5]])</f>
        <v>20</v>
      </c>
      <c r="AO61" s="81">
        <f>Tabela3[Cotação]/Tabela3[VPA]</f>
        <v>1.0407684675298905</v>
      </c>
      <c r="AP61" s="34">
        <f>IF(Tabela3[[#This Row],[Lucro/Ação]]&gt;0,Tabela3[[#This Row],[Cotação]]/(Tabela3[[#This Row],[Lucro/Ação]]/Tabela3[Ref]*4),0)</f>
        <v>3.3591113364645597</v>
      </c>
      <c r="AQ61" s="77">
        <f>Tabela3[Lucro Distribuir]/Tabela3[Total Ações]</f>
        <v>4.2421934174405838</v>
      </c>
      <c r="AR61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1.0547251506065671</v>
      </c>
      <c r="AS61" s="10" t="str">
        <f>IF(AND(Tabela3[% A.A.]&gt;=6%,SUMPRODUCT(N(Tabela3[Nome]=Tabela3[[#This Row],[Nome]]),Tabela3[PL])&gt;0,Tabela3[Rentabilidade s/ PL]&gt;=Tabela3[Rentabilidade s/ PL Média]),"Sim","Não")</f>
        <v>Sim</v>
      </c>
      <c r="AT61" s="22">
        <f>IF(Tabela3[Cotação]&gt;0,Tabela3[[#This Row],[Lucro]]/Tabela3[[#This Row],[Cotação]],0)</f>
        <v>5.2736257530328359E-2</v>
      </c>
      <c r="AU61" s="18">
        <f>((1+Tabela3[[#This Row],[% Yield]])^(1/(3*Tabela3[[#This Row],[Ref]])))^(12)-1</f>
        <v>7.0925947191203154E-2</v>
      </c>
      <c r="AV61" s="10">
        <f>IF(Tabela3[Cotação]&gt;0,($BH$1/Tabela3[[#This Row],[Cotação]]-MOD($BH$1/Tabela3[[#This Row],[Cotação]],100)),)</f>
        <v>0</v>
      </c>
      <c r="AW61" s="47">
        <f>Tabela3[[#This Row],[Ativos]]*Tabela3[Lucro]</f>
        <v>0</v>
      </c>
      <c r="AX61" s="47">
        <f>SUMPRODUCT(N(Tabela1[Código]=Tabela3[[#This Row],[PAPEL]]),Tabela1[Fechamento])</f>
        <v>20</v>
      </c>
      <c r="AY61" s="47">
        <f>SUMPRODUCT(N(Tabela17[Código]=Tabela3[[#This Row],[PAPEL]]),Tabela17[Fechamento])</f>
        <v>0</v>
      </c>
      <c r="AZ61" s="7">
        <f>SUMPRODUCT(N(Tabela176[Código]=Tabela3[[#This Row],[PAPEL]]),Tabela176[Fechamento])</f>
        <v>0</v>
      </c>
      <c r="BA61" s="7">
        <f>SUMPRODUCT(N(Tabela1768[Código]=Tabela3[[#This Row],[PAPEL]]),Tabela1768[Fechamento])</f>
        <v>0</v>
      </c>
      <c r="BB61" s="7">
        <f>SUMPRODUCT(N(Tabela17683[Código]=Tabela3[[#This Row],[PAPEL]]),Tabela17683[Fechamento])</f>
        <v>0</v>
      </c>
    </row>
    <row r="62" spans="1:54" hidden="1" x14ac:dyDescent="0.2">
      <c r="A62" s="4" t="s">
        <v>12</v>
      </c>
      <c r="B62" s="60" t="s">
        <v>521</v>
      </c>
      <c r="C62" s="14" t="str">
        <f>LEFT(Tabela3[PAPEL],LEN(Tabela3[PAPEL])-(LEN(Tabela3[PAPEL])-4))</f>
        <v>TAEE</v>
      </c>
      <c r="D62" s="15">
        <v>3</v>
      </c>
      <c r="E62" s="6">
        <v>3067535193.2800002</v>
      </c>
      <c r="F62" s="8">
        <v>691553133</v>
      </c>
      <c r="G62" s="81">
        <v>0.5</v>
      </c>
      <c r="H62" s="15"/>
      <c r="I62" s="19"/>
      <c r="J62" s="19"/>
      <c r="K62" s="88"/>
      <c r="L62" s="88"/>
      <c r="M62" s="55">
        <v>9101836000</v>
      </c>
      <c r="N62" s="55">
        <v>1859239000</v>
      </c>
      <c r="O62" s="55">
        <v>923506000</v>
      </c>
      <c r="P62" s="89">
        <v>4589097000</v>
      </c>
      <c r="Q62" s="89">
        <v>751496000</v>
      </c>
      <c r="R62" s="89">
        <f>IF(Tabela3[[#This Row],[Ativo || Passivo]]&gt;0,Tabela3[[#This Row],[Ativo || Passivo]]-Tabela3[[#This Row],[Patrimônio Líquido]],0)</f>
        <v>4512739000</v>
      </c>
      <c r="S62" s="89">
        <f>Tabela3[[#This Row],[Cotação]]*Tabela3[[#This Row],[Total Ações]]</f>
        <v>0</v>
      </c>
      <c r="T62" s="134">
        <f>IF(Tabela3[[#This Row],[Passivo Circulante]]&gt;0,Tabela3[[#This Row],[Ativo Circulante]]/Tabela3[[#This Row],[Passivo Circulante]],0)</f>
        <v>2.0132397623837854</v>
      </c>
      <c r="U62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62" s="19">
        <f>IF(Tabela3[[#This Row],[Lucro Líquido]]&gt;0,Tabela3[[#This Row],[Lucro Líquido]]/Tabela3[[#This Row],[Patrimônio Líquido]],0)</f>
        <v>0.16375683495031812</v>
      </c>
      <c r="W62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62" s="19">
        <f>IF(Tabela3[[#This Row],[Dívida]]&gt;0,Tabela3[[#This Row],[Dívida]]/Tabela3[[#This Row],[Patrimônio Líquido]],0)</f>
        <v>0.98336099672767863</v>
      </c>
      <c r="Y62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62" s="6">
        <f>Tabela3[[#This Row],[Capital Social]]*20%</f>
        <v>613507038.65600002</v>
      </c>
      <c r="AA62" s="6">
        <f>IF((Tabela3[Lucro Líquido]*5%)&gt;Tabela3[Teto R. Legal],Tabela3[Teto R. Legal],Tabela3[Lucro Líquido]*5%)</f>
        <v>37574800</v>
      </c>
      <c r="AB62" s="89">
        <f>IF(Tabela3[Lucro Líquido]&lt;0,0,Tabela3[Lucro Líquido]-Tabela3[Reserva Legal])</f>
        <v>713921200</v>
      </c>
      <c r="AC62" s="89">
        <f>Tabela3[[#This Row],[Lucro Distribuir]]*Tabela3[%Div]</f>
        <v>356960600</v>
      </c>
      <c r="AD62" s="56">
        <f>SUMPRODUCT(N(Tabela3[Nome]=Tabela3[[#This Row],[Nome]]),Tabela3[Ações])</f>
        <v>1033496721</v>
      </c>
      <c r="AE62" s="6">
        <f>Tabela3[Capital Social]/Tabela3[Total Ações]</f>
        <v>2.968113135677767</v>
      </c>
      <c r="AF62" s="78">
        <f>Tabela3[[#This Row],[Lucro Líquido]]/Tabela3[[#This Row],[Total Ações]]</f>
        <v>0.72713922040590584</v>
      </c>
      <c r="AG62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0.34539112969280528</v>
      </c>
      <c r="AH62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62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62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0.34539112969280528</v>
      </c>
      <c r="AK62" s="6">
        <f>Tabela3[Div Base]*Tabela3[Ações]</f>
        <v>238856317.84946883</v>
      </c>
      <c r="AL62" s="6">
        <f>SUMPRODUCT(N(Tabela3[Nome]=Tabela3[[#This Row],[Nome]]),Tabela3[Div Base]*Tabela3[Ações])</f>
        <v>356960600</v>
      </c>
      <c r="AM62" s="6">
        <f>Tabela3[Patrimônio Líquido]/Tabela3[Total Ações]</f>
        <v>4.4403595161478986</v>
      </c>
      <c r="AN62" s="48">
        <f>MAX(Tabela3[[#This Row],[Cotação 1]:[Cotação 5]])</f>
        <v>0</v>
      </c>
      <c r="AO62" s="44">
        <f>Tabela3[Cotação]/Tabela3[VPA]</f>
        <v>0</v>
      </c>
      <c r="AP62" s="40">
        <f>IF(Tabela3[[#This Row],[Lucro/Ação]]&gt;0,Tabela3[[#This Row],[Cotação]]/(Tabela3[[#This Row],[Lucro/Ação]]/Tabela3[Ref]*4),0)</f>
        <v>0</v>
      </c>
      <c r="AQ62" s="78">
        <f>Tabela3[Lucro Distribuir]/Tabela3[Total Ações]</f>
        <v>0.69078225938561055</v>
      </c>
      <c r="AR62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0.34539112969280528</v>
      </c>
      <c r="AS62" s="15" t="str">
        <f>IF(AND(Tabela3[% A.A.]&gt;=6%,SUMPRODUCT(N(Tabela3[Nome]=Tabela3[[#This Row],[Nome]]),Tabela3[PL])&gt;0,Tabela3[Rentabilidade s/ PL]&gt;=Tabela3[Rentabilidade s/ PL Média]),"Sim","Não")</f>
        <v>Não</v>
      </c>
      <c r="AT62" s="42">
        <f>IF(Tabela3[Cotação]&gt;0,Tabela3[[#This Row],[Lucro]]/Tabela3[[#This Row],[Cotação]],0)</f>
        <v>0</v>
      </c>
      <c r="AU62" s="19">
        <f>((1+Tabela3[[#This Row],[% Yield]])^(1/(3*Tabela3[[#This Row],[Ref]])))^(12)-1</f>
        <v>0</v>
      </c>
      <c r="AV62" s="14">
        <f>IF(Tabela3[Cotação]&gt;0,($BD$1/Tabela3[[#This Row],[Cotação]]-MOD($BD$1/Tabela3[[#This Row],[Cotação]],100)),)</f>
        <v>0</v>
      </c>
      <c r="AW62" s="17">
        <f>Tabela3[[#This Row],[Ativos]]*Tabela3[Lucro]</f>
        <v>0</v>
      </c>
      <c r="AX62" s="5">
        <f>SUMPRODUCT(N(Tabela1[Código]=Tabela3[[#This Row],[PAPEL]]),Tabela1[Fechamento])</f>
        <v>0</v>
      </c>
      <c r="AY62" s="5">
        <f>SUMPRODUCT(N(Tabela17[Código]=Tabela3[[#This Row],[PAPEL]]),Tabela17[Fechamento])</f>
        <v>0</v>
      </c>
      <c r="AZ62" s="7">
        <f>SUMPRODUCT(N(Tabela176[Código]=Tabela3[[#This Row],[PAPEL]]),Tabela176[Fechamento])</f>
        <v>0</v>
      </c>
      <c r="BA62" s="7">
        <f>SUMPRODUCT(N(Tabela1768[Código]=Tabela3[[#This Row],[PAPEL]]),Tabela1768[Fechamento])</f>
        <v>0</v>
      </c>
      <c r="BB62" s="7">
        <f>SUMPRODUCT(N(Tabela17683[Código]=Tabela3[[#This Row],[PAPEL]]),Tabela17683[Fechamento])</f>
        <v>0</v>
      </c>
    </row>
    <row r="63" spans="1:54" hidden="1" x14ac:dyDescent="0.2">
      <c r="A63" s="4" t="s">
        <v>12</v>
      </c>
      <c r="B63" s="60" t="s">
        <v>522</v>
      </c>
      <c r="C63" s="14" t="str">
        <f>LEFT(Tabela3[PAPEL],LEN(Tabela3[PAPEL])-(LEN(Tabela3[PAPEL])-4))</f>
        <v>TAEE</v>
      </c>
      <c r="D63" s="15">
        <v>3</v>
      </c>
      <c r="E63" s="6">
        <v>3067535193.2800002</v>
      </c>
      <c r="F63" s="8">
        <v>341943588</v>
      </c>
      <c r="G63" s="81">
        <v>0.5</v>
      </c>
      <c r="H63" s="15"/>
      <c r="I63" s="19"/>
      <c r="J63" s="19"/>
      <c r="K63" s="88"/>
      <c r="L63" s="88"/>
      <c r="M63" s="55">
        <v>9101836000</v>
      </c>
      <c r="N63" s="55">
        <v>1859239000</v>
      </c>
      <c r="O63" s="55">
        <v>923506000</v>
      </c>
      <c r="P63" s="89">
        <v>4589097000</v>
      </c>
      <c r="Q63" s="89">
        <v>751496000</v>
      </c>
      <c r="R63" s="89">
        <f>IF(Tabela3[[#This Row],[Ativo || Passivo]]&gt;0,Tabela3[[#This Row],[Ativo || Passivo]]-Tabela3[[#This Row],[Patrimônio Líquido]],0)</f>
        <v>4512739000</v>
      </c>
      <c r="S63" s="89">
        <f>Tabela3[[#This Row],[Cotação]]*Tabela3[[#This Row],[Total Ações]]</f>
        <v>0</v>
      </c>
      <c r="T63" s="134">
        <f>IF(Tabela3[[#This Row],[Passivo Circulante]]&gt;0,Tabela3[[#This Row],[Ativo Circulante]]/Tabela3[[#This Row],[Passivo Circulante]],0)</f>
        <v>2.0132397623837854</v>
      </c>
      <c r="U63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63" s="19">
        <f>IF(Tabela3[[#This Row],[Lucro Líquido]]&gt;0,Tabela3[[#This Row],[Lucro Líquido]]/Tabela3[[#This Row],[Patrimônio Líquido]],0)</f>
        <v>0.16375683495031812</v>
      </c>
      <c r="W63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63" s="19">
        <f>IF(Tabela3[[#This Row],[Dívida]]&gt;0,Tabela3[[#This Row],[Dívida]]/Tabela3[[#This Row],[Patrimônio Líquido]],0)</f>
        <v>0.98336099672767863</v>
      </c>
      <c r="Y63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63" s="6">
        <f>Tabela3[[#This Row],[Capital Social]]*20%</f>
        <v>613507038.65600002</v>
      </c>
      <c r="AA63" s="6">
        <f>IF((Tabela3[Lucro Líquido]*5%)&gt;Tabela3[Teto R. Legal],Tabela3[Teto R. Legal],Tabela3[Lucro Líquido]*5%)</f>
        <v>37574800</v>
      </c>
      <c r="AB63" s="89">
        <f>IF(Tabela3[Lucro Líquido]&lt;0,0,Tabela3[Lucro Líquido]-Tabela3[Reserva Legal])</f>
        <v>713921200</v>
      </c>
      <c r="AC63" s="89">
        <f>Tabela3[[#This Row],[Lucro Distribuir]]*Tabela3[%Div]</f>
        <v>356960600</v>
      </c>
      <c r="AD63" s="56">
        <f>SUMPRODUCT(N(Tabela3[Nome]=Tabela3[[#This Row],[Nome]]),Tabela3[Ações])</f>
        <v>1033496721</v>
      </c>
      <c r="AE63" s="6">
        <f>Tabela3[Capital Social]/Tabela3[Total Ações]</f>
        <v>2.968113135677767</v>
      </c>
      <c r="AF63" s="78">
        <f>Tabela3[[#This Row],[Lucro Líquido]]/Tabela3[[#This Row],[Total Ações]]</f>
        <v>0.72713922040590584</v>
      </c>
      <c r="AG63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0.34539112969280528</v>
      </c>
      <c r="AH63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63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63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0.34539112969280528</v>
      </c>
      <c r="AK63" s="6">
        <f>Tabela3[Div Base]*Tabela3[Ações]</f>
        <v>118104282.15053117</v>
      </c>
      <c r="AL63" s="6">
        <f>SUMPRODUCT(N(Tabela3[Nome]=Tabela3[[#This Row],[Nome]]),Tabela3[Div Base]*Tabela3[Ações])</f>
        <v>356960600</v>
      </c>
      <c r="AM63" s="6">
        <f>Tabela3[Patrimônio Líquido]/Tabela3[Total Ações]</f>
        <v>4.4403595161478986</v>
      </c>
      <c r="AN63" s="48">
        <f>MAX(Tabela3[[#This Row],[Cotação 1]:[Cotação 5]])</f>
        <v>0</v>
      </c>
      <c r="AO63" s="44">
        <f>Tabela3[Cotação]/Tabela3[VPA]</f>
        <v>0</v>
      </c>
      <c r="AP63" s="40">
        <f>IF(Tabela3[[#This Row],[Lucro/Ação]]&gt;0,Tabela3[[#This Row],[Cotação]]/(Tabela3[[#This Row],[Lucro/Ação]]/Tabela3[Ref]*4),0)</f>
        <v>0</v>
      </c>
      <c r="AQ63" s="78">
        <f>Tabela3[Lucro Distribuir]/Tabela3[Total Ações]</f>
        <v>0.69078225938561055</v>
      </c>
      <c r="AR63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0.34539112969280528</v>
      </c>
      <c r="AS63" s="15" t="str">
        <f>IF(AND(Tabela3[% A.A.]&gt;=6%,SUMPRODUCT(N(Tabela3[Nome]=Tabela3[[#This Row],[Nome]]),Tabela3[PL])&gt;0,Tabela3[Rentabilidade s/ PL]&gt;=Tabela3[Rentabilidade s/ PL Média]),"Sim","Não")</f>
        <v>Não</v>
      </c>
      <c r="AT63" s="42">
        <f>IF(Tabela3[Cotação]&gt;0,Tabela3[[#This Row],[Lucro]]/Tabela3[[#This Row],[Cotação]],0)</f>
        <v>0</v>
      </c>
      <c r="AU63" s="19">
        <f>((1+Tabela3[[#This Row],[% Yield]])^(1/(3*Tabela3[[#This Row],[Ref]])))^(12)-1</f>
        <v>0</v>
      </c>
      <c r="AV63" s="14">
        <f>IF(Tabela3[Cotação]&gt;0,($BD$1/Tabela3[[#This Row],[Cotação]]-MOD($BD$1/Tabela3[[#This Row],[Cotação]],100)),)</f>
        <v>0</v>
      </c>
      <c r="AW63" s="17">
        <f>Tabela3[[#This Row],[Ativos]]*Tabela3[Lucro]</f>
        <v>0</v>
      </c>
      <c r="AX63" s="5">
        <f>SUMPRODUCT(N(Tabela1[Código]=Tabela3[[#This Row],[PAPEL]]),Tabela1[Fechamento])</f>
        <v>0</v>
      </c>
      <c r="AY63" s="5">
        <f>SUMPRODUCT(N(Tabela17[Código]=Tabela3[[#This Row],[PAPEL]]),Tabela17[Fechamento])</f>
        <v>0</v>
      </c>
      <c r="AZ63" s="7">
        <f>SUMPRODUCT(N(Tabela176[Código]=Tabela3[[#This Row],[PAPEL]]),Tabela176[Fechamento])</f>
        <v>0</v>
      </c>
      <c r="BA63" s="7">
        <f>SUMPRODUCT(N(Tabela1768[Código]=Tabela3[[#This Row],[PAPEL]]),Tabela1768[Fechamento])</f>
        <v>0</v>
      </c>
      <c r="BB63" s="7">
        <f>SUMPRODUCT(N(Tabela17683[Código]=Tabela3[[#This Row],[PAPEL]]),Tabela17683[Fechamento])</f>
        <v>0</v>
      </c>
    </row>
    <row r="64" spans="1:54" hidden="1" x14ac:dyDescent="0.2">
      <c r="A64" s="3" t="s">
        <v>1431</v>
      </c>
      <c r="B64" s="57" t="s">
        <v>1427</v>
      </c>
      <c r="C64" s="16" t="str">
        <f>LEFT(Tabela3[PAPEL],LEN(Tabela3[PAPEL])-(LEN(Tabela3[PAPEL])-4))</f>
        <v>LPSB</v>
      </c>
      <c r="D64" s="16">
        <v>3</v>
      </c>
      <c r="E64" s="5">
        <v>264226567.44999999</v>
      </c>
      <c r="F64" s="56">
        <v>114381716</v>
      </c>
      <c r="G64" s="81">
        <v>0.25</v>
      </c>
      <c r="H64" s="87"/>
      <c r="J64" s="18"/>
      <c r="K64" s="16"/>
      <c r="L64" s="87"/>
      <c r="M64" s="54"/>
      <c r="N64" s="54"/>
      <c r="O64" s="54"/>
      <c r="P64" s="91">
        <v>586658000</v>
      </c>
      <c r="Q64" s="73">
        <v>95641000</v>
      </c>
      <c r="R64" s="73">
        <f>IF(Tabela3[[#This Row],[Ativo || Passivo]]&gt;0,Tabela3[[#This Row],[Ativo || Passivo]]-Tabela3[[#This Row],[Patrimônio Líquido]],0)</f>
        <v>0</v>
      </c>
      <c r="S64" s="73">
        <f>Tabela3[[#This Row],[Cotação]]*Tabela3[[#This Row],[Total Ações]]</f>
        <v>1507551016.8799999</v>
      </c>
      <c r="T64" s="37">
        <f>IF(Tabela3[[#This Row],[Passivo Circulante]]&gt;0,Tabela3[[#This Row],[Ativo Circulante]]/Tabela3[[#This Row],[Passivo Circulante]],0)</f>
        <v>0</v>
      </c>
      <c r="U64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64" s="18">
        <f>IF(Tabela3[[#This Row],[Lucro Líquido]]&gt;0,Tabela3[[#This Row],[Lucro Líquido]]/Tabela3[[#This Row],[Patrimônio Líquido]],0)</f>
        <v>0.16302684016922978</v>
      </c>
      <c r="W64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64" s="18">
        <f>IF(Tabela3[[#This Row],[Dívida]]&gt;0,Tabela3[[#This Row],[Dívida]]/Tabela3[[#This Row],[Patrimônio Líquido]],0)</f>
        <v>0</v>
      </c>
      <c r="Y64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64" s="7">
        <f>Tabela3[[#This Row],[Capital Social]]*20%</f>
        <v>52845313.490000002</v>
      </c>
      <c r="AA64" s="47">
        <f>IF((Tabela3[Lucro Líquido]*5%)&gt;Tabela3[Teto R. Legal],Tabela3[Teto R. Legal],Tabela3[Lucro Líquido]*5%)</f>
        <v>4782050</v>
      </c>
      <c r="AB64" s="47">
        <f>IF(Tabela3[Lucro Líquido]&lt;0,0,Tabela3[Lucro Líquido]-Tabela3[Reserva Legal])</f>
        <v>90858950</v>
      </c>
      <c r="AC64" s="47">
        <f>Tabela3[[#This Row],[Lucro Distribuir]]*Tabela3[%Div]</f>
        <v>22714737.5</v>
      </c>
      <c r="AD64" s="56">
        <f>SUMPRODUCT(N(Tabela3[Nome]=Tabela3[[#This Row],[Nome]]),Tabela3[Ações])</f>
        <v>114381716</v>
      </c>
      <c r="AE64" s="85">
        <f>Tabela3[Capital Social]/Tabela3[Total Ações]</f>
        <v>2.3100419952608506</v>
      </c>
      <c r="AF64" s="85">
        <f>Tabela3[[#This Row],[Lucro Líquido]]/Tabela3[[#This Row],[Total Ações]]</f>
        <v>0.83615636611012201</v>
      </c>
      <c r="AG64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0.19858713695115399</v>
      </c>
      <c r="AH64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64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64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0.19858713695115399</v>
      </c>
      <c r="AK64" s="7">
        <f>Tabela3[Div Base]*Tabela3[Ações]</f>
        <v>22714737.5</v>
      </c>
      <c r="AL64" s="121">
        <f>SUMPRODUCT(N(Tabela3[Nome]=Tabela3[[#This Row],[Nome]]),Tabela3[Div Base]*Tabela3[Ações])</f>
        <v>22714737.5</v>
      </c>
      <c r="AM64" s="5">
        <f>Tabela3[Patrimônio Líquido]/Tabela3[Total Ações]</f>
        <v>5.1289491058168775</v>
      </c>
      <c r="AN64" s="52">
        <f>MAX(Tabela3[[#This Row],[Cotação 1]:[Cotação 5]])</f>
        <v>13.18</v>
      </c>
      <c r="AO64" s="53">
        <f>Tabela3[Cotação]/Tabela3[VPA]</f>
        <v>2.5697271951972014</v>
      </c>
      <c r="AP64" s="37">
        <f>IF(Tabela3[[#This Row],[Lucro/Ação]]&gt;0,Tabela3[[#This Row],[Cotação]]/(Tabela3[[#This Row],[Lucro/Ação]]/Tabela3[Ref]*4),0)</f>
        <v>11.821951492142491</v>
      </c>
      <c r="AQ64" s="85">
        <f>Tabela3[Lucro Distribuir]/Tabela3[Total Ações]</f>
        <v>0.79434854780461595</v>
      </c>
      <c r="AR64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0.19858713695115399</v>
      </c>
      <c r="AS64" s="10" t="str">
        <f>IF(AND(Tabela3[% A.A.]&gt;=6%,SUMPRODUCT(N(Tabela3[Nome]=Tabela3[[#This Row],[Nome]]),Tabela3[PL])&gt;0,Tabela3[Rentabilidade s/ PL]&gt;=Tabela3[Rentabilidade s/ PL Média]),"Sim","Não")</f>
        <v>Não</v>
      </c>
      <c r="AT64" s="22">
        <f>IF(Tabela3[Cotação]&gt;0,Tabela3[[#This Row],[Lucro]]/Tabela3[[#This Row],[Cotação]],0)</f>
        <v>1.5067309328615629E-2</v>
      </c>
      <c r="AU64" s="22">
        <f>((1+Tabela3[[#This Row],[% Yield]])^(1/(3*Tabela3[[#This Row],[Ref]])))^(12)-1</f>
        <v>2.0140027638783531E-2</v>
      </c>
      <c r="AV64" s="10">
        <f>IF(Tabela3[Cotação]&gt;0,($BD$1/Tabela3[[#This Row],[Cotação]]-MOD($BD$1/Tabela3[[#This Row],[Cotação]],100)),)</f>
        <v>0</v>
      </c>
      <c r="AW64" s="7">
        <f>Tabela3[[#This Row],[Ativos]]*Tabela3[Lucro]</f>
        <v>0</v>
      </c>
      <c r="AX64" s="7">
        <f>SUMPRODUCT(N(Tabela1[Código]=Tabela3[[#This Row],[PAPEL]]),Tabela1[Fechamento])</f>
        <v>0</v>
      </c>
      <c r="AY64" s="7">
        <f>SUMPRODUCT(N(Tabela17[Código]=Tabela3[[#This Row],[PAPEL]]),Tabela17[Fechamento])</f>
        <v>0</v>
      </c>
      <c r="AZ64" s="7">
        <f>SUMPRODUCT(N(Tabela176[Código]=Tabela3[[#This Row],[PAPEL]]),Tabela176[Fechamento])</f>
        <v>0</v>
      </c>
      <c r="BA64" s="7">
        <f>SUMPRODUCT(N(Tabela1768[Código]=Tabela3[[#This Row],[PAPEL]]),Tabela1768[Fechamento])</f>
        <v>0</v>
      </c>
      <c r="BB64" s="7">
        <f>SUMPRODUCT(N(Tabela17683[Código]=Tabela3[[#This Row],[PAPEL]]),Tabela17683[Fechamento])</f>
        <v>13.18</v>
      </c>
    </row>
    <row r="65" spans="1:54" hidden="1" x14ac:dyDescent="0.2">
      <c r="A65" s="4" t="s">
        <v>379</v>
      </c>
      <c r="B65" s="57" t="s">
        <v>381</v>
      </c>
      <c r="C65" s="82" t="str">
        <f>LEFT(Tabela3[PAPEL],LEN(Tabela3[PAPEL])-(LEN(Tabela3[PAPEL])-4))</f>
        <v>CTIP</v>
      </c>
      <c r="D65" s="15">
        <v>3</v>
      </c>
      <c r="E65" s="6">
        <v>588599499.64999998</v>
      </c>
      <c r="F65" s="38">
        <v>260498279</v>
      </c>
      <c r="G65" s="86">
        <v>0.25</v>
      </c>
      <c r="H65" s="15"/>
      <c r="I65" s="19"/>
      <c r="J65" s="19"/>
      <c r="K65" s="88"/>
      <c r="L65" s="88"/>
      <c r="M65" s="55"/>
      <c r="N65" s="55"/>
      <c r="O65" s="55"/>
      <c r="P65" s="6">
        <v>1632971000</v>
      </c>
      <c r="Q65" s="6">
        <v>264743000</v>
      </c>
      <c r="R65" s="6">
        <f>IF(Tabela3[[#This Row],[Ativo || Passivo]]&gt;0,Tabela3[[#This Row],[Ativo || Passivo]]-Tabela3[[#This Row],[Patrimônio Líquido]],0)</f>
        <v>0</v>
      </c>
      <c r="S65" s="6">
        <f>Tabela3[[#This Row],[Cotação]]*Tabela3[[#This Row],[Total Ações]]</f>
        <v>6429097525.7200003</v>
      </c>
      <c r="T65" s="134">
        <f>IF(Tabela3[[#This Row],[Passivo Circulante]]&gt;0,Tabela3[[#This Row],[Ativo Circulante]]/Tabela3[[#This Row],[Passivo Circulante]],0)</f>
        <v>0</v>
      </c>
      <c r="U65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65" s="19">
        <f>IF(Tabela3[[#This Row],[Lucro Líquido]]&gt;0,Tabela3[[#This Row],[Lucro Líquido]]/Tabela3[[#This Row],[Patrimônio Líquido]],0)</f>
        <v>0.16212351597180844</v>
      </c>
      <c r="W65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65" s="19">
        <f>IF(Tabela3[[#This Row],[Dívida]]&gt;0,Tabela3[[#This Row],[Dívida]]/Tabela3[[#This Row],[Patrimônio Líquido]],0)</f>
        <v>0</v>
      </c>
      <c r="Y65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65" s="6">
        <f>Tabela3[[#This Row],[Capital Social]]*20%</f>
        <v>117719899.93000001</v>
      </c>
      <c r="AA65" s="6">
        <f>IF((Tabela3[Lucro Líquido]*5%)&gt;Tabela3[Teto R. Legal],Tabela3[Teto R. Legal],Tabela3[Lucro Líquido]*5%)</f>
        <v>13237150</v>
      </c>
      <c r="AB65" s="6">
        <f>IF(Tabela3[Lucro Líquido]&lt;0,0,Tabela3[Lucro Líquido]-Tabela3[Reserva Legal])</f>
        <v>251505850</v>
      </c>
      <c r="AC65" s="6">
        <f>Tabela3[[#This Row],[Lucro Distribuir]]*Tabela3[%Div]</f>
        <v>62876462.5</v>
      </c>
      <c r="AD65" s="56">
        <f>SUMPRODUCT(N(Tabela3[Nome]=Tabela3[[#This Row],[Nome]]),Tabela3[Ações])</f>
        <v>260498279</v>
      </c>
      <c r="AE65" s="6">
        <f>Tabela3[Capital Social]/Tabela3[Total Ações]</f>
        <v>2.2595139665010993</v>
      </c>
      <c r="AF65" s="78">
        <f>Tabela3[[#This Row],[Lucro Líquido]]/Tabela3[[#This Row],[Total Ações]]</f>
        <v>1.0162946220462363</v>
      </c>
      <c r="AG65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0.2413699727359811</v>
      </c>
      <c r="AH65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65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65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0.2413699727359811</v>
      </c>
      <c r="AK65" s="6">
        <f>Tabela3[Div Base]*Tabela3[Ações]</f>
        <v>62876462.5</v>
      </c>
      <c r="AL65" s="6">
        <f>SUMPRODUCT(N(Tabela3[Nome]=Tabela3[[#This Row],[Nome]]),Tabela3[Div Base]*Tabela3[Ações])</f>
        <v>62876462.5</v>
      </c>
      <c r="AM65" s="6">
        <f>Tabela3[Patrimônio Líquido]/Tabela3[Total Ações]</f>
        <v>6.2686441010998006</v>
      </c>
      <c r="AN65" s="48">
        <f>MAX(Tabela3[[#This Row],[Cotação 1]:[Cotação 5]])</f>
        <v>24.68</v>
      </c>
      <c r="AO65" s="44">
        <f>Tabela3[Cotação]/Tabela3[VPA]</f>
        <v>3.9370555421498605</v>
      </c>
      <c r="AP65" s="40">
        <f>IF(Tabela3[[#This Row],[Lucro/Ação]]&gt;0,Tabela3[[#This Row],[Cotação]]/(Tabela3[[#This Row],[Lucro/Ação]]/Tabela3[Ref]*4),0)</f>
        <v>18.213222424351162</v>
      </c>
      <c r="AQ65" s="78">
        <f>Tabela3[Lucro Distribuir]/Tabela3[Total Ações]</f>
        <v>0.96547989094392439</v>
      </c>
      <c r="AR65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0.2413699727359811</v>
      </c>
      <c r="AS65" s="15" t="str">
        <f>IF(AND(Tabela3[% A.A.]&gt;=6%,SUMPRODUCT(N(Tabela3[Nome]=Tabela3[[#This Row],[Nome]]),Tabela3[PL])&gt;0,Tabela3[Rentabilidade s/ PL]&gt;=Tabela3[Rentabilidade s/ PL Média]),"Sim","Não")</f>
        <v>Não</v>
      </c>
      <c r="AT65" s="42">
        <f>IF(Tabela3[Cotação]&gt;0,Tabela3[[#This Row],[Lucro]]/Tabela3[[#This Row],[Cotação]],0)</f>
        <v>9.7799826878436427E-3</v>
      </c>
      <c r="AU65" s="19">
        <f>((1+Tabela3[[#This Row],[% Yield]])^(1/(3*Tabela3[[#This Row],[Ref]])))^(12)-1</f>
        <v>1.3061186034752037E-2</v>
      </c>
      <c r="AV65" s="14">
        <f>IF(Tabela3[Cotação]&gt;0,($BH$1/Tabela3[[#This Row],[Cotação]]-MOD($BH$1/Tabela3[[#This Row],[Cotação]],100)),)</f>
        <v>0</v>
      </c>
      <c r="AW65" s="17">
        <f>Tabela3[[#This Row],[Ativos]]*Tabela3[Lucro]</f>
        <v>0</v>
      </c>
      <c r="AX65" s="13">
        <f>SUMPRODUCT(N(Tabela1[Código]=Tabela3[[#This Row],[PAPEL]]),Tabela1[Fechamento])</f>
        <v>0</v>
      </c>
      <c r="AY65" s="55">
        <f>SUMPRODUCT(N(Tabela17[Código]=Tabela3[[#This Row],[PAPEL]]),Tabela17[Fechamento])</f>
        <v>24.68</v>
      </c>
      <c r="AZ65" s="7">
        <f>SUMPRODUCT(N(Tabela176[Código]=Tabela3[[#This Row],[PAPEL]]),Tabela176[Fechamento])</f>
        <v>0</v>
      </c>
      <c r="BA65" s="7">
        <f>SUMPRODUCT(N(Tabela1768[Código]=Tabela3[[#This Row],[PAPEL]]),Tabela1768[Fechamento])</f>
        <v>0</v>
      </c>
      <c r="BB65" s="7">
        <f>SUMPRODUCT(N(Tabela17683[Código]=Tabela3[[#This Row],[PAPEL]]),Tabela17683[Fechamento])</f>
        <v>0</v>
      </c>
    </row>
    <row r="66" spans="1:54" hidden="1" x14ac:dyDescent="0.2">
      <c r="A66" s="4" t="s">
        <v>12</v>
      </c>
      <c r="B66" s="57" t="s">
        <v>173</v>
      </c>
      <c r="C66" s="14" t="str">
        <f>LEFT(Tabela3[PAPEL],LEN(Tabela3[PAPEL])-(LEN(Tabela3[PAPEL])-4))</f>
        <v>GTDP</v>
      </c>
      <c r="D66" s="15">
        <v>4</v>
      </c>
      <c r="E66" s="6">
        <v>9056481.0600000005</v>
      </c>
      <c r="F66" s="8">
        <v>84761786</v>
      </c>
      <c r="G66" s="81">
        <v>0.25</v>
      </c>
      <c r="H66" s="15"/>
      <c r="I66" s="19"/>
      <c r="J66" s="19"/>
      <c r="K66" s="88"/>
      <c r="L66" s="88"/>
      <c r="M66" s="55">
        <v>12416000</v>
      </c>
      <c r="N66" s="55">
        <v>3741000</v>
      </c>
      <c r="O66" s="55">
        <v>537000</v>
      </c>
      <c r="P66" s="89">
        <v>11722000</v>
      </c>
      <c r="Q66" s="89">
        <v>1886000</v>
      </c>
      <c r="R66" s="89">
        <f>IF(Tabela3[[#This Row],[Ativo || Passivo]]&gt;0,Tabela3[[#This Row],[Ativo || Passivo]]-Tabela3[[#This Row],[Patrimônio Líquido]],0)</f>
        <v>694000</v>
      </c>
      <c r="S66" s="89">
        <f>Tabela3[[#This Row],[Cotação]]*Tabela3[[#This Row],[Total Ações]]</f>
        <v>14972000.67</v>
      </c>
      <c r="T66" s="134">
        <f>IF(Tabela3[[#This Row],[Passivo Circulante]]&gt;0,Tabela3[[#This Row],[Ativo Circulante]]/Tabela3[[#This Row],[Passivo Circulante]],0)</f>
        <v>6.966480446927374</v>
      </c>
      <c r="U66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66" s="19">
        <f>IF(Tabela3[[#This Row],[Lucro Líquido]]&gt;0,Tabela3[[#This Row],[Lucro Líquido]]/Tabela3[[#This Row],[Patrimônio Líquido]],0)</f>
        <v>0.16089404538474664</v>
      </c>
      <c r="W66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66" s="19">
        <f>IF(Tabela3[[#This Row],[Dívida]]&gt;0,Tabela3[[#This Row],[Dívida]]/Tabela3[[#This Row],[Patrimônio Líquido]],0)</f>
        <v>5.9204913837229145E-2</v>
      </c>
      <c r="Y66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66" s="6">
        <f>Tabela3[[#This Row],[Capital Social]]*20%</f>
        <v>1811296.2120000003</v>
      </c>
      <c r="AA66" s="6">
        <f>IF((Tabela3[Lucro Líquido]*5%)&gt;Tabela3[Teto R. Legal],Tabela3[Teto R. Legal],Tabela3[Lucro Líquido]*5%)</f>
        <v>94300</v>
      </c>
      <c r="AB66" s="89">
        <f>IF(Tabela3[Lucro Líquido]&lt;0,0,Tabela3[Lucro Líquido]-Tabela3[Reserva Legal])</f>
        <v>1791700</v>
      </c>
      <c r="AC66" s="89">
        <f>Tabela3[[#This Row],[Lucro Distribuir]]*Tabela3[%Div]</f>
        <v>447925</v>
      </c>
      <c r="AD66" s="56">
        <f>SUMPRODUCT(N(Tabela3[Nome]=Tabela3[[#This Row],[Nome]]),Tabela3[Ações])</f>
        <v>166355563</v>
      </c>
      <c r="AE66" s="6">
        <f>Tabela3[Capital Social]/Tabela3[Total Ações]</f>
        <v>5.4440506206576332E-2</v>
      </c>
      <c r="AF66" s="78">
        <f>Tabela3[[#This Row],[Lucro Líquido]]/Tabela3[[#This Row],[Total Ações]]</f>
        <v>1.1337162196373318E-2</v>
      </c>
      <c r="AG66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2.6087997428159045E-3</v>
      </c>
      <c r="AH66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66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66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2.6087997428159045E-3</v>
      </c>
      <c r="AK66" s="6">
        <f>Tabela3[Div Base]*Tabela3[Ações]</f>
        <v>221126.52551741674</v>
      </c>
      <c r="AL66" s="6">
        <f>SUMPRODUCT(N(Tabela3[Nome]=Tabela3[[#This Row],[Nome]]),Tabela3[Div Base]*Tabela3[Ações])</f>
        <v>455274.53273645107</v>
      </c>
      <c r="AM66" s="6">
        <f>Tabela3[Patrimônio Líquido]/Tabela3[Total Ações]</f>
        <v>7.0463528773005324E-2</v>
      </c>
      <c r="AN66" s="48">
        <f>MAX(Tabela3[[#This Row],[Cotação 1]:[Cotação 5]])</f>
        <v>0.09</v>
      </c>
      <c r="AO66" s="44">
        <f>Tabela3[Cotação]/Tabela3[VPA]</f>
        <v>1.2772564980378776</v>
      </c>
      <c r="AP66" s="40">
        <f>IF(Tabela3[[#This Row],[Lucro/Ação]]&gt;0,Tabela3[[#This Row],[Cotação]]/(Tabela3[[#This Row],[Lucro/Ação]]/Tabela3[Ref]*4),0)</f>
        <v>7.9384945227995756</v>
      </c>
      <c r="AQ66" s="78">
        <f>Tabela3[Lucro Distribuir]/Tabela3[Total Ações]</f>
        <v>1.0770304086554652E-2</v>
      </c>
      <c r="AR66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2.6087997428159045E-3</v>
      </c>
      <c r="AS66" s="15" t="str">
        <f>IF(AND(Tabela3[% A.A.]&gt;=6%,SUMPRODUCT(N(Tabela3[Nome]=Tabela3[[#This Row],[Nome]]),Tabela3[PL])&gt;0,Tabela3[Rentabilidade s/ PL]&gt;=Tabela3[Rentabilidade s/ PL Média]),"Sim","Não")</f>
        <v>Não</v>
      </c>
      <c r="AT66" s="42">
        <f>IF(Tabela3[Cotação]&gt;0,Tabela3[[#This Row],[Lucro]]/Tabela3[[#This Row],[Cotação]],0)</f>
        <v>2.8986663809065605E-2</v>
      </c>
      <c r="AU66" s="19">
        <f>((1+Tabela3[[#This Row],[% Yield]])^(1/(3*Tabela3[[#This Row],[Ref]])))^(12)-1</f>
        <v>2.8986663809066116E-2</v>
      </c>
      <c r="AV66" s="14">
        <f>IF(Tabela3[Cotação]&gt;0,($BD$1/Tabela3[[#This Row],[Cotação]]-MOD($BD$1/Tabela3[[#This Row],[Cotação]],100)),)</f>
        <v>0</v>
      </c>
      <c r="AW66" s="17">
        <f>Tabela3[[#This Row],[Ativos]]*Tabela3[Lucro]</f>
        <v>0</v>
      </c>
      <c r="AX66" s="5">
        <f>SUMPRODUCT(N(Tabela1[Código]=Tabela3[[#This Row],[PAPEL]]),Tabela1[Fechamento])</f>
        <v>0.09</v>
      </c>
      <c r="AY66" s="5">
        <f>SUMPRODUCT(N(Tabela17[Código]=Tabela3[[#This Row],[PAPEL]]),Tabela17[Fechamento])</f>
        <v>0</v>
      </c>
      <c r="AZ66" s="7">
        <f>SUMPRODUCT(N(Tabela176[Código]=Tabela3[[#This Row],[PAPEL]]),Tabela176[Fechamento])</f>
        <v>0</v>
      </c>
      <c r="BA66" s="7">
        <f>SUMPRODUCT(N(Tabela1768[Código]=Tabela3[[#This Row],[PAPEL]]),Tabela1768[Fechamento])</f>
        <v>0</v>
      </c>
      <c r="BB66" s="7">
        <f>SUMPRODUCT(N(Tabela17683[Código]=Tabela3[[#This Row],[PAPEL]]),Tabela17683[Fechamento])</f>
        <v>0</v>
      </c>
    </row>
    <row r="67" spans="1:54" hidden="1" x14ac:dyDescent="0.2">
      <c r="A67" s="4" t="s">
        <v>12</v>
      </c>
      <c r="B67" s="57" t="s">
        <v>174</v>
      </c>
      <c r="C67" s="82" t="str">
        <f>LEFT(Tabela3[PAPEL],LEN(Tabela3[PAPEL])-(LEN(Tabela3[PAPEL])-4))</f>
        <v>GTDP</v>
      </c>
      <c r="D67" s="15">
        <v>4</v>
      </c>
      <c r="E67" s="6">
        <v>9056481.0600000005</v>
      </c>
      <c r="F67" s="8">
        <v>81593777</v>
      </c>
      <c r="G67" s="86">
        <v>0.25</v>
      </c>
      <c r="H67" s="19"/>
      <c r="I67" s="19"/>
      <c r="J67" s="19">
        <v>0.1</v>
      </c>
      <c r="K67" s="88"/>
      <c r="L67" s="88"/>
      <c r="M67" s="55">
        <v>12416000</v>
      </c>
      <c r="N67" s="55">
        <v>3741000</v>
      </c>
      <c r="O67" s="55">
        <v>537000</v>
      </c>
      <c r="P67" s="89">
        <v>11722000</v>
      </c>
      <c r="Q67" s="89">
        <v>1886000</v>
      </c>
      <c r="R67" s="89">
        <f>IF(Tabela3[[#This Row],[Ativo || Passivo]]&gt;0,Tabela3[[#This Row],[Ativo || Passivo]]-Tabela3[[#This Row],[Patrimônio Líquido]],0)</f>
        <v>694000</v>
      </c>
      <c r="S67" s="89">
        <f>Tabela3[[#This Row],[Cotação]]*Tabela3[[#This Row],[Total Ações]]</f>
        <v>14972000.67</v>
      </c>
      <c r="T67" s="134">
        <f>IF(Tabela3[[#This Row],[Passivo Circulante]]&gt;0,Tabela3[[#This Row],[Ativo Circulante]]/Tabela3[[#This Row],[Passivo Circulante]],0)</f>
        <v>6.966480446927374</v>
      </c>
      <c r="U67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67" s="19">
        <f>IF(Tabela3[[#This Row],[Lucro Líquido]]&gt;0,Tabela3[[#This Row],[Lucro Líquido]]/Tabela3[[#This Row],[Patrimônio Líquido]],0)</f>
        <v>0.16089404538474664</v>
      </c>
      <c r="W67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67" s="19">
        <f>IF(Tabela3[[#This Row],[Dívida]]&gt;0,Tabela3[[#This Row],[Dívida]]/Tabela3[[#This Row],[Patrimônio Líquido]],0)</f>
        <v>5.9204913837229145E-2</v>
      </c>
      <c r="Y67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67" s="6">
        <f>Tabela3[[#This Row],[Capital Social]]*20%</f>
        <v>1811296.2120000003</v>
      </c>
      <c r="AA67" s="6">
        <f>IF((Tabela3[Lucro Líquido]*5%)&gt;Tabela3[Teto R. Legal],Tabela3[Teto R. Legal],Tabela3[Lucro Líquido]*5%)</f>
        <v>94300</v>
      </c>
      <c r="AB67" s="89">
        <f>IF(Tabela3[Lucro Líquido]&lt;0,0,Tabela3[Lucro Líquido]-Tabela3[Reserva Legal])</f>
        <v>1791700</v>
      </c>
      <c r="AC67" s="89">
        <f>Tabela3[[#This Row],[Lucro Distribuir]]*Tabela3[%Div]</f>
        <v>447925</v>
      </c>
      <c r="AD67" s="56">
        <f>SUMPRODUCT(N(Tabela3[Nome]=Tabela3[[#This Row],[Nome]]),Tabela3[Ações])</f>
        <v>166355563</v>
      </c>
      <c r="AE67" s="6">
        <f>Tabela3[Capital Social]/Tabela3[Total Ações]</f>
        <v>5.4440506206576332E-2</v>
      </c>
      <c r="AF67" s="78">
        <f>Tabela3[[#This Row],[Lucro Líquido]]/Tabela3[[#This Row],[Total Ações]]</f>
        <v>1.1337162196373318E-2</v>
      </c>
      <c r="AG67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2.8696797210286556E-3</v>
      </c>
      <c r="AH67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67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67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2.8696797210286556E-3</v>
      </c>
      <c r="AK67" s="6">
        <f>Tabela3[Div Base]*Tabela3[Ações]</f>
        <v>234148.00721903433</v>
      </c>
      <c r="AL67" s="6">
        <f>SUMPRODUCT(N(Tabela3[Nome]=Tabela3[[#This Row],[Nome]]),Tabela3[Div Base]*Tabela3[Ações])</f>
        <v>455274.53273645107</v>
      </c>
      <c r="AM67" s="6">
        <f>Tabela3[Patrimônio Líquido]/Tabela3[Total Ações]</f>
        <v>7.0463528773005324E-2</v>
      </c>
      <c r="AN67" s="48">
        <f>MAX(Tabela3[[#This Row],[Cotação 1]:[Cotação 5]])</f>
        <v>0.09</v>
      </c>
      <c r="AO67" s="44">
        <f>Tabela3[Cotação]/Tabela3[VPA]</f>
        <v>1.2772564980378776</v>
      </c>
      <c r="AP67" s="40">
        <f>IF(Tabela3[[#This Row],[Lucro/Ação]]&gt;0,Tabela3[[#This Row],[Cotação]]/(Tabela3[[#This Row],[Lucro/Ação]]/Tabela3[Ref]*4),0)</f>
        <v>7.9384945227995756</v>
      </c>
      <c r="AQ67" s="78">
        <f>Tabela3[Lucro Distribuir]/Tabela3[Total Ações]</f>
        <v>1.0770304086554652E-2</v>
      </c>
      <c r="AR67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2.8696797210286556E-3</v>
      </c>
      <c r="AS67" s="15" t="str">
        <f>IF(AND(Tabela3[% A.A.]&gt;=6%,SUMPRODUCT(N(Tabela3[Nome]=Tabela3[[#This Row],[Nome]]),Tabela3[PL])&gt;0,Tabela3[Rentabilidade s/ PL]&gt;=Tabela3[Rentabilidade s/ PL Média]),"Sim","Não")</f>
        <v>Não</v>
      </c>
      <c r="AT67" s="42">
        <f>IF(Tabela3[Cotação]&gt;0,Tabela3[[#This Row],[Lucro]]/Tabela3[[#This Row],[Cotação]],0)</f>
        <v>3.1885330233651733E-2</v>
      </c>
      <c r="AU67" s="19">
        <f>((1+Tabela3[[#This Row],[% Yield]])^(1/(3*Tabela3[[#This Row],[Ref]])))^(12)-1</f>
        <v>3.1885330233652587E-2</v>
      </c>
      <c r="AV67" s="14">
        <f>IF(Tabela3[Cotação]&gt;0,($BD$1/Tabela3[[#This Row],[Cotação]]-MOD($BD$1/Tabela3[[#This Row],[Cotação]],100)),)</f>
        <v>0</v>
      </c>
      <c r="AW67" s="17">
        <f>Tabela3[[#This Row],[Ativos]]*Tabela3[Lucro]</f>
        <v>0</v>
      </c>
      <c r="AX67" s="5">
        <f>SUMPRODUCT(N(Tabela1[Código]=Tabela3[[#This Row],[PAPEL]]),Tabela1[Fechamento])</f>
        <v>0.09</v>
      </c>
      <c r="AY67" s="5">
        <f>SUMPRODUCT(N(Tabela17[Código]=Tabela3[[#This Row],[PAPEL]]),Tabela17[Fechamento])</f>
        <v>0</v>
      </c>
      <c r="AZ67" s="7">
        <f>SUMPRODUCT(N(Tabela176[Código]=Tabela3[[#This Row],[PAPEL]]),Tabela176[Fechamento])</f>
        <v>0</v>
      </c>
      <c r="BA67" s="7">
        <f>SUMPRODUCT(N(Tabela1768[Código]=Tabela3[[#This Row],[PAPEL]]),Tabela1768[Fechamento])</f>
        <v>0</v>
      </c>
      <c r="BB67" s="7">
        <f>SUMPRODUCT(N(Tabela17683[Código]=Tabela3[[#This Row],[PAPEL]]),Tabela17683[Fechamento])</f>
        <v>0</v>
      </c>
    </row>
    <row r="68" spans="1:54" hidden="1" x14ac:dyDescent="0.2">
      <c r="A68" s="3" t="s">
        <v>1297</v>
      </c>
      <c r="B68" s="58" t="s">
        <v>1298</v>
      </c>
      <c r="C68" s="16" t="str">
        <f>LEFT(Tabela3[PAPEL],LEN(Tabela3[PAPEL])-(LEN(Tabela3[PAPEL])-4))</f>
        <v>ARZZ</v>
      </c>
      <c r="D68" s="16">
        <v>3</v>
      </c>
      <c r="E68" s="5">
        <v>156000000</v>
      </c>
      <c r="F68" s="56">
        <v>88637034</v>
      </c>
      <c r="G68" s="81">
        <v>0.25</v>
      </c>
      <c r="H68" s="87"/>
      <c r="J68" s="18"/>
      <c r="K68" s="16"/>
      <c r="L68" s="87"/>
      <c r="M68" s="54"/>
      <c r="N68" s="54"/>
      <c r="O68" s="54"/>
      <c r="P68" s="91">
        <v>490719000</v>
      </c>
      <c r="Q68" s="73">
        <v>77810000</v>
      </c>
      <c r="R68" s="73">
        <f>IF(Tabela3[[#This Row],[Ativo || Passivo]]&gt;0,Tabela3[[#This Row],[Ativo || Passivo]]-Tabela3[[#This Row],[Patrimônio Líquido]],0)</f>
        <v>0</v>
      </c>
      <c r="S68" s="73">
        <f>Tabela3[[#This Row],[Cotação]]*Tabela3[[#This Row],[Total Ações]]</f>
        <v>2403836362.0799999</v>
      </c>
      <c r="T68" s="37">
        <f>IF(Tabela3[[#This Row],[Passivo Circulante]]&gt;0,Tabela3[[#This Row],[Ativo Circulante]]/Tabela3[[#This Row],[Passivo Circulante]],0)</f>
        <v>0</v>
      </c>
      <c r="U68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68" s="18">
        <f>IF(Tabela3[[#This Row],[Lucro Líquido]]&gt;0,Tabela3[[#This Row],[Lucro Líquido]]/Tabela3[[#This Row],[Patrimônio Líquido]],0)</f>
        <v>0.15856325106629252</v>
      </c>
      <c r="W68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68" s="18">
        <f>IF(Tabela3[[#This Row],[Dívida]]&gt;0,Tabela3[[#This Row],[Dívida]]/Tabela3[[#This Row],[Patrimônio Líquido]],0)</f>
        <v>0</v>
      </c>
      <c r="Y68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68" s="7">
        <f>Tabela3[[#This Row],[Capital Social]]*20%</f>
        <v>31200000</v>
      </c>
      <c r="AA68" s="47">
        <f>IF((Tabela3[Lucro Líquido]*5%)&gt;Tabela3[Teto R. Legal],Tabela3[Teto R. Legal],Tabela3[Lucro Líquido]*5%)</f>
        <v>3890500</v>
      </c>
      <c r="AB68" s="47">
        <f>IF(Tabela3[Lucro Líquido]&lt;0,0,Tabela3[Lucro Líquido]-Tabela3[Reserva Legal])</f>
        <v>73919500</v>
      </c>
      <c r="AC68" s="47">
        <f>Tabela3[[#This Row],[Lucro Distribuir]]*Tabela3[%Div]</f>
        <v>18479875</v>
      </c>
      <c r="AD68" s="56">
        <f>SUMPRODUCT(N(Tabela3[Nome]=Tabela3[[#This Row],[Nome]]),Tabela3[Ações])</f>
        <v>88637034</v>
      </c>
      <c r="AE68" s="85">
        <f>Tabela3[Capital Social]/Tabela3[Total Ações]</f>
        <v>1.7599866890852869</v>
      </c>
      <c r="AF68" s="85">
        <f>Tabela3[[#This Row],[Lucro Líquido]]/Tabela3[[#This Row],[Total Ações]]</f>
        <v>0.87784977101106521</v>
      </c>
      <c r="AG68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0.20848932061512798</v>
      </c>
      <c r="AH68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68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68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0.20848932061512798</v>
      </c>
      <c r="AK68" s="7">
        <f>Tabela3[Div Base]*Tabela3[Ações]</f>
        <v>18479875</v>
      </c>
      <c r="AL68" s="121">
        <f>SUMPRODUCT(N(Tabela3[Nome]=Tabela3[[#This Row],[Nome]]),Tabela3[Div Base]*Tabela3[Ações])</f>
        <v>18479875</v>
      </c>
      <c r="AM68" s="5">
        <f>Tabela3[Patrimônio Líquido]/Tabela3[Total Ações]</f>
        <v>5.5362750518028392</v>
      </c>
      <c r="AN68" s="52">
        <f>MAX(Tabela3[[#This Row],[Cotação 1]:[Cotação 5]])</f>
        <v>27.12</v>
      </c>
      <c r="AO68" s="53">
        <f>Tabela3[Cotação]/Tabela3[VPA]</f>
        <v>4.8986005475231238</v>
      </c>
      <c r="AP68" s="37">
        <f>IF(Tabela3[[#This Row],[Lucro/Ação]]&gt;0,Tabela3[[#This Row],[Cotação]]/(Tabela3[[#This Row],[Lucro/Ação]]/Tabela3[Ref]*4),0)</f>
        <v>23.170251530137513</v>
      </c>
      <c r="AQ68" s="85">
        <f>Tabela3[Lucro Distribuir]/Tabela3[Total Ações]</f>
        <v>0.83395728246051193</v>
      </c>
      <c r="AR68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0.20848932061512798</v>
      </c>
      <c r="AS68" s="10" t="str">
        <f>IF(AND(Tabela3[% A.A.]&gt;=6%,SUMPRODUCT(N(Tabela3[Nome]=Tabela3[[#This Row],[Nome]]),Tabela3[PL])&gt;0,Tabela3[Rentabilidade s/ PL]&gt;=Tabela3[Rentabilidade s/ PL Média]),"Sim","Não")</f>
        <v>Não</v>
      </c>
      <c r="AT68" s="22">
        <f>IF(Tabela3[Cotação]&gt;0,Tabela3[[#This Row],[Lucro]]/Tabela3[[#This Row],[Cotação]],0)</f>
        <v>7.6876593147171086E-3</v>
      </c>
      <c r="AU68" s="22">
        <f>((1+Tabela3[[#This Row],[% Yield]])^(1/(3*Tabela3[[#This Row],[Ref]])))^(12)-1</f>
        <v>1.0263323411413561E-2</v>
      </c>
      <c r="AV68" s="10">
        <f>IF(Tabela3[Cotação]&gt;0,($BH$1/Tabela3[[#This Row],[Cotação]]-MOD($BH$1/Tabela3[[#This Row],[Cotação]],100)),)</f>
        <v>0</v>
      </c>
      <c r="AW68" s="7">
        <f>Tabela3[[#This Row],[Ativos]]*Tabela3[Lucro]</f>
        <v>0</v>
      </c>
      <c r="AX68" s="7">
        <f>SUMPRODUCT(N(Tabela1[Código]=Tabela3[[#This Row],[PAPEL]]),Tabela1[Fechamento])</f>
        <v>0</v>
      </c>
      <c r="AY68" s="7">
        <f>SUMPRODUCT(N(Tabela17[Código]=Tabela3[[#This Row],[PAPEL]]),Tabela17[Fechamento])</f>
        <v>0</v>
      </c>
      <c r="AZ68" s="7">
        <f>SUMPRODUCT(N(Tabela176[Código]=Tabela3[[#This Row],[PAPEL]]),Tabela176[Fechamento])</f>
        <v>0</v>
      </c>
      <c r="BA68" s="7">
        <f>SUMPRODUCT(N(Tabela1768[Código]=Tabela3[[#This Row],[PAPEL]]),Tabela1768[Fechamento])</f>
        <v>27.12</v>
      </c>
      <c r="BB68" s="7">
        <f>SUMPRODUCT(N(Tabela17683[Código]=Tabela3[[#This Row],[PAPEL]]),Tabela17683[Fechamento])</f>
        <v>0</v>
      </c>
    </row>
    <row r="69" spans="1:54" hidden="1" x14ac:dyDescent="0.2">
      <c r="A69" s="3" t="s">
        <v>833</v>
      </c>
      <c r="B69" s="58" t="s">
        <v>837</v>
      </c>
      <c r="C69" s="16" t="str">
        <f>LEFT(Tabela3[PAPEL],LEN(Tabela3[PAPEL])-(LEN(Tabela3[PAPEL])-4))</f>
        <v>PNVL</v>
      </c>
      <c r="D69" s="16">
        <v>3</v>
      </c>
      <c r="E69" s="5">
        <v>227000000</v>
      </c>
      <c r="F69" s="56">
        <v>4119052</v>
      </c>
      <c r="G69" s="81">
        <v>0.25</v>
      </c>
      <c r="H69" s="87"/>
      <c r="J69" s="18"/>
      <c r="K69" s="16"/>
      <c r="L69" s="87"/>
      <c r="M69" s="54"/>
      <c r="N69" s="54"/>
      <c r="O69" s="54"/>
      <c r="P69" s="91">
        <v>269723000</v>
      </c>
      <c r="Q69" s="73">
        <v>42644000</v>
      </c>
      <c r="R69" s="73">
        <f>IF(Tabela3[[#This Row],[Ativo || Passivo]]&gt;0,Tabela3[[#This Row],[Ativo || Passivo]]-Tabela3[[#This Row],[Patrimônio Líquido]],0)</f>
        <v>0</v>
      </c>
      <c r="S69" s="73">
        <f>Tabela3[[#This Row],[Cotação]]*Tabela3[[#This Row],[Total Ações]]</f>
        <v>813206350</v>
      </c>
      <c r="T69" s="37">
        <f>IF(Tabela3[[#This Row],[Passivo Circulante]]&gt;0,Tabela3[[#This Row],[Ativo Circulante]]/Tabela3[[#This Row],[Passivo Circulante]],0)</f>
        <v>0</v>
      </c>
      <c r="U69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69" s="18">
        <f>IF(Tabela3[[#This Row],[Lucro Líquido]]&gt;0,Tabela3[[#This Row],[Lucro Líquido]]/Tabela3[[#This Row],[Patrimônio Líquido]],0)</f>
        <v>0.15810294264856908</v>
      </c>
      <c r="W69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69" s="18">
        <f>IF(Tabela3[[#This Row],[Dívida]]&gt;0,Tabela3[[#This Row],[Dívida]]/Tabela3[[#This Row],[Patrimônio Líquido]],0)</f>
        <v>0</v>
      </c>
      <c r="Y69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69" s="7">
        <f>Tabela3[[#This Row],[Capital Social]]*20%</f>
        <v>45400000</v>
      </c>
      <c r="AA69" s="47">
        <f>IF((Tabela3[Lucro Líquido]*5%)&gt;Tabela3[Teto R. Legal],Tabela3[Teto R. Legal],Tabela3[Lucro Líquido]*5%)</f>
        <v>2132200</v>
      </c>
      <c r="AB69" s="47">
        <f>IF(Tabela3[Lucro Líquido]&lt;0,0,Tabela3[Lucro Líquido]-Tabela3[Reserva Legal])</f>
        <v>40511800</v>
      </c>
      <c r="AC69" s="47">
        <f>Tabela3[[#This Row],[Lucro Distribuir]]*Tabela3[%Div]</f>
        <v>10127950</v>
      </c>
      <c r="AD69" s="56">
        <f>SUMPRODUCT(N(Tabela3[Nome]=Tabela3[[#This Row],[Nome]]),Tabela3[Ações])</f>
        <v>4568575</v>
      </c>
      <c r="AE69" s="85">
        <f>Tabela3[Capital Social]/Tabela3[Total Ações]</f>
        <v>49.68726572290047</v>
      </c>
      <c r="AF69" s="85">
        <f>Tabela3[[#This Row],[Lucro Líquido]]/Tabela3[[#This Row],[Total Ações]]</f>
        <v>9.3342015836447914</v>
      </c>
      <c r="AG69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2.1478975310588817</v>
      </c>
      <c r="AH69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69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69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2.1478975310588817</v>
      </c>
      <c r="AK69" s="7">
        <f>Tabela3[Div Base]*Tabela3[Ações]</f>
        <v>8847301.6211031489</v>
      </c>
      <c r="AL69" s="7">
        <f>SUMPRODUCT(N(Tabela3[Nome]=Tabela3[[#This Row],[Nome]]),Tabela3[Div Base]*Tabela3[Ações])</f>
        <v>9909383.8985976912</v>
      </c>
      <c r="AM69" s="5">
        <f>Tabela3[Patrimônio Líquido]/Tabela3[Total Ações]</f>
        <v>59.03875935056336</v>
      </c>
      <c r="AN69" s="52">
        <f>MAX(Tabela3[[#This Row],[Cotação 1]:[Cotação 5]])</f>
        <v>178</v>
      </c>
      <c r="AO69" s="53">
        <f>Tabela3[Cotação]/Tabela3[VPA]</f>
        <v>3.0149685047252182</v>
      </c>
      <c r="AP69" s="37">
        <f>IF(Tabela3[[#This Row],[Lucro/Ação]]&gt;0,Tabela3[[#This Row],[Cotação]]/(Tabela3[[#This Row],[Lucro/Ação]]/Tabela3[Ref]*4),0)</f>
        <v>14.302240936591312</v>
      </c>
      <c r="AQ69" s="85">
        <f>Tabela3[Lucro Distribuir]/Tabela3[Total Ações]</f>
        <v>8.8674915044625511</v>
      </c>
      <c r="AR69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2.1478975310588817</v>
      </c>
      <c r="AS69" s="10" t="str">
        <f>IF(AND(Tabela3[% A.A.]&gt;=6%,SUMPRODUCT(N(Tabela3[Nome]=Tabela3[[#This Row],[Nome]]),Tabela3[PL])&gt;0,Tabela3[Rentabilidade s/ PL]&gt;=Tabela3[Rentabilidade s/ PL Média]),"Sim","Não")</f>
        <v>Não</v>
      </c>
      <c r="AT69" s="22">
        <f>IF(Tabela3[Cotação]&gt;0,Tabela3[[#This Row],[Lucro]]/Tabela3[[#This Row],[Cotação]],0)</f>
        <v>1.2066840062128549E-2</v>
      </c>
      <c r="AU69" s="22">
        <f>((1+Tabela3[[#This Row],[% Yield]])^(1/(3*Tabela3[[#This Row],[Ref]])))^(12)-1</f>
        <v>1.6121391222221115E-2</v>
      </c>
      <c r="AV69" s="10">
        <f>IF(Tabela3[Cotação]&gt;0,($BD$1/Tabela3[[#This Row],[Cotação]]-MOD($BD$1/Tabela3[[#This Row],[Cotação]],100)),)</f>
        <v>0</v>
      </c>
      <c r="AW69" s="7">
        <f>Tabela3[[#This Row],[Ativos]]*Tabela3[Lucro]</f>
        <v>0</v>
      </c>
      <c r="AX69" s="7">
        <f>SUMPRODUCT(N(Tabela1[Código]=Tabela3[[#This Row],[PAPEL]]),Tabela1[Fechamento])</f>
        <v>0</v>
      </c>
      <c r="AY69" s="7">
        <f>SUMPRODUCT(N(Tabela17[Código]=Tabela3[[#This Row],[PAPEL]]),Tabela17[Fechamento])</f>
        <v>0</v>
      </c>
      <c r="AZ69" s="7">
        <f>SUMPRODUCT(N(Tabela176[Código]=Tabela3[[#This Row],[PAPEL]]),Tabela176[Fechamento])</f>
        <v>178</v>
      </c>
      <c r="BA69" s="7">
        <f>SUMPRODUCT(N(Tabela1768[Código]=Tabela3[[#This Row],[PAPEL]]),Tabela1768[Fechamento])</f>
        <v>0</v>
      </c>
      <c r="BB69" s="7">
        <f>SUMPRODUCT(N(Tabela17683[Código]=Tabela3[[#This Row],[PAPEL]]),Tabela17683[Fechamento])</f>
        <v>0</v>
      </c>
    </row>
    <row r="70" spans="1:54" hidden="1" x14ac:dyDescent="0.2">
      <c r="A70" s="3" t="s">
        <v>833</v>
      </c>
      <c r="B70" s="58" t="s">
        <v>838</v>
      </c>
      <c r="C70" s="16" t="str">
        <f>LEFT(Tabela3[PAPEL],LEN(Tabela3[PAPEL])-(LEN(Tabela3[PAPEL])-4))</f>
        <v>PNVL</v>
      </c>
      <c r="D70" s="16">
        <v>3</v>
      </c>
      <c r="E70" s="5">
        <v>227000000</v>
      </c>
      <c r="F70" s="56">
        <v>449523</v>
      </c>
      <c r="G70" s="81">
        <v>0.25</v>
      </c>
      <c r="H70" s="87"/>
      <c r="J70" s="18">
        <v>0.1</v>
      </c>
      <c r="K70" s="16"/>
      <c r="L70" s="87"/>
      <c r="M70" s="54"/>
      <c r="N70" s="54"/>
      <c r="O70" s="54"/>
      <c r="P70" s="91">
        <v>269723000</v>
      </c>
      <c r="Q70" s="73">
        <v>42644000</v>
      </c>
      <c r="R70" s="73">
        <f>IF(Tabela3[[#This Row],[Ativo || Passivo]]&gt;0,Tabela3[[#This Row],[Ativo || Passivo]]-Tabela3[[#This Row],[Patrimônio Líquido]],0)</f>
        <v>0</v>
      </c>
      <c r="S70" s="73">
        <f>Tabela3[[#This Row],[Cotação]]*Tabela3[[#This Row],[Total Ações]]</f>
        <v>868029250</v>
      </c>
      <c r="T70" s="37">
        <f>IF(Tabela3[[#This Row],[Passivo Circulante]]&gt;0,Tabela3[[#This Row],[Ativo Circulante]]/Tabela3[[#This Row],[Passivo Circulante]],0)</f>
        <v>0</v>
      </c>
      <c r="U70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70" s="18">
        <f>IF(Tabela3[[#This Row],[Lucro Líquido]]&gt;0,Tabela3[[#This Row],[Lucro Líquido]]/Tabela3[[#This Row],[Patrimônio Líquido]],0)</f>
        <v>0.15810294264856908</v>
      </c>
      <c r="W70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70" s="18">
        <f>IF(Tabela3[[#This Row],[Dívida]]&gt;0,Tabela3[[#This Row],[Dívida]]/Tabela3[[#This Row],[Patrimônio Líquido]],0)</f>
        <v>0</v>
      </c>
      <c r="Y70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70" s="7">
        <f>Tabela3[[#This Row],[Capital Social]]*20%</f>
        <v>45400000</v>
      </c>
      <c r="AA70" s="47">
        <f>IF((Tabela3[Lucro Líquido]*5%)&gt;Tabela3[Teto R. Legal],Tabela3[Teto R. Legal],Tabela3[Lucro Líquido]*5%)</f>
        <v>2132200</v>
      </c>
      <c r="AB70" s="47">
        <f>IF(Tabela3[Lucro Líquido]&lt;0,0,Tabela3[Lucro Líquido]-Tabela3[Reserva Legal])</f>
        <v>40511800</v>
      </c>
      <c r="AC70" s="47">
        <f>Tabela3[[#This Row],[Lucro Distribuir]]*Tabela3[%Div]</f>
        <v>10127950</v>
      </c>
      <c r="AD70" s="56">
        <f>SUMPRODUCT(N(Tabela3[Nome]=Tabela3[[#This Row],[Nome]]),Tabela3[Ações])</f>
        <v>4568575</v>
      </c>
      <c r="AE70" s="85">
        <f>Tabela3[Capital Social]/Tabela3[Total Ações]</f>
        <v>49.68726572290047</v>
      </c>
      <c r="AF70" s="85">
        <f>Tabela3[[#This Row],[Lucro Líquido]]/Tabela3[[#This Row],[Total Ações]]</f>
        <v>9.3342015836447914</v>
      </c>
      <c r="AG70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2.3626872874014042</v>
      </c>
      <c r="AH70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70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70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2.3626872874014042</v>
      </c>
      <c r="AK70" s="7">
        <f>Tabela3[Div Base]*Tabela3[Ações]</f>
        <v>1062082.2774945414</v>
      </c>
      <c r="AL70" s="7">
        <f>SUMPRODUCT(N(Tabela3[Nome]=Tabela3[[#This Row],[Nome]]),Tabela3[Div Base]*Tabela3[Ações])</f>
        <v>9909383.8985976912</v>
      </c>
      <c r="AM70" s="5">
        <f>Tabela3[Patrimônio Líquido]/Tabela3[Total Ações]</f>
        <v>59.03875935056336</v>
      </c>
      <c r="AN70" s="52">
        <f>MAX(Tabela3[[#This Row],[Cotação 1]:[Cotação 5]])</f>
        <v>190</v>
      </c>
      <c r="AO70" s="53">
        <f>Tabela3[Cotação]/Tabela3[VPA]</f>
        <v>3.2182248084145586</v>
      </c>
      <c r="AP70" s="37">
        <f>IF(Tabela3[[#This Row],[Lucro/Ação]]&gt;0,Tabela3[[#This Row],[Cotação]]/(Tabela3[[#This Row],[Lucro/Ação]]/Tabela3[Ref]*4),0)</f>
        <v>15.26643695478848</v>
      </c>
      <c r="AQ70" s="85">
        <f>Tabela3[Lucro Distribuir]/Tabela3[Total Ações]</f>
        <v>8.8674915044625511</v>
      </c>
      <c r="AR70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2.3626872874014042</v>
      </c>
      <c r="AS70" s="10" t="str">
        <f>IF(AND(Tabela3[% A.A.]&gt;=6%,SUMPRODUCT(N(Tabela3[Nome]=Tabela3[[#This Row],[Nome]]),Tabela3[PL])&gt;0,Tabela3[Rentabilidade s/ PL]&gt;=Tabela3[Rentabilidade s/ PL Média]),"Sim","Não")</f>
        <v>Não</v>
      </c>
      <c r="AT70" s="22">
        <f>IF(Tabela3[Cotação]&gt;0,Tabela3[[#This Row],[Lucro]]/Tabela3[[#This Row],[Cotação]],0)</f>
        <v>1.2435196249481075E-2</v>
      </c>
      <c r="AU70" s="22">
        <f>((1+Tabela3[[#This Row],[% Yield]])^(1/(3*Tabela3[[#This Row],[Ref]])))^(12)-1</f>
        <v>1.6614530331066746E-2</v>
      </c>
      <c r="AV70" s="10">
        <f>IF(Tabela3[Cotação]&gt;0,($BD$1/Tabela3[[#This Row],[Cotação]]-MOD($BD$1/Tabela3[[#This Row],[Cotação]],100)),)</f>
        <v>0</v>
      </c>
      <c r="AW70" s="7">
        <f>Tabela3[[#This Row],[Ativos]]*Tabela3[Lucro]</f>
        <v>0</v>
      </c>
      <c r="AX70" s="7">
        <f>SUMPRODUCT(N(Tabela1[Código]=Tabela3[[#This Row],[PAPEL]]),Tabela1[Fechamento])</f>
        <v>0</v>
      </c>
      <c r="AY70" s="7">
        <f>SUMPRODUCT(N(Tabela17[Código]=Tabela3[[#This Row],[PAPEL]]),Tabela17[Fechamento])</f>
        <v>0</v>
      </c>
      <c r="AZ70" s="7">
        <f>SUMPRODUCT(N(Tabela176[Código]=Tabela3[[#This Row],[PAPEL]]),Tabela176[Fechamento])</f>
        <v>190</v>
      </c>
      <c r="BA70" s="7">
        <f>SUMPRODUCT(N(Tabela1768[Código]=Tabela3[[#This Row],[PAPEL]]),Tabela1768[Fechamento])</f>
        <v>0</v>
      </c>
      <c r="BB70" s="7">
        <f>SUMPRODUCT(N(Tabela17683[Código]=Tabela3[[#This Row],[PAPEL]]),Tabela17683[Fechamento])</f>
        <v>0</v>
      </c>
    </row>
    <row r="71" spans="1:54" hidden="1" x14ac:dyDescent="0.2">
      <c r="A71" s="4" t="s">
        <v>12</v>
      </c>
      <c r="B71" s="57" t="s">
        <v>504</v>
      </c>
      <c r="C71" s="15" t="str">
        <f>LEFT(Tabela3[PAPEL],LEN(Tabela3[PAPEL])-(LEN(Tabela3[PAPEL])-4))</f>
        <v>EKTR</v>
      </c>
      <c r="D71" s="15">
        <v>4</v>
      </c>
      <c r="E71" s="6">
        <v>952491950.13999999</v>
      </c>
      <c r="F71" s="8">
        <v>91880972</v>
      </c>
      <c r="G71" s="81">
        <v>0.25</v>
      </c>
      <c r="H71" s="15"/>
      <c r="I71" s="19"/>
      <c r="J71" s="19"/>
      <c r="K71" s="88"/>
      <c r="L71" s="88"/>
      <c r="M71" s="55">
        <v>4601380000</v>
      </c>
      <c r="N71" s="55">
        <v>1223769000</v>
      </c>
      <c r="O71" s="55">
        <v>808162000</v>
      </c>
      <c r="P71" s="92">
        <v>2052755000</v>
      </c>
      <c r="Q71" s="92">
        <v>323694000</v>
      </c>
      <c r="R71" s="92">
        <f>IF(Tabela3[[#This Row],[Ativo || Passivo]]&gt;0,Tabela3[[#This Row],[Ativo || Passivo]]-Tabela3[[#This Row],[Patrimônio Líquido]],0)</f>
        <v>2548625000</v>
      </c>
      <c r="S71" s="92">
        <f>Tabela3[[#This Row],[Cotação]]*Tabela3[[#This Row],[Total Ações]]</f>
        <v>4068944565</v>
      </c>
      <c r="T71" s="36">
        <f>IF(Tabela3[[#This Row],[Passivo Circulante]]&gt;0,Tabela3[[#This Row],[Ativo Circulante]]/Tabela3[[#This Row],[Passivo Circulante]],0)</f>
        <v>1.5142619920263511</v>
      </c>
      <c r="U71" s="36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71" s="19">
        <f>IF(Tabela3[[#This Row],[Lucro Líquido]]&gt;0,Tabela3[[#This Row],[Lucro Líquido]]/Tabela3[[#This Row],[Patrimônio Líquido]],0)</f>
        <v>0.15768759545099148</v>
      </c>
      <c r="W71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71" s="19">
        <f>IF(Tabela3[[#This Row],[Dívida]]&gt;0,Tabela3[[#This Row],[Dívida]]/Tabela3[[#This Row],[Patrimônio Líquido]],0)</f>
        <v>1.2415631675480026</v>
      </c>
      <c r="Y71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71" s="13">
        <f>Tabela3[[#This Row],[Capital Social]]*20%</f>
        <v>190498390.028</v>
      </c>
      <c r="AA71" s="13">
        <f>IF((Tabela3[Lucro Líquido]*5%)&gt;Tabela3[Teto R. Legal],Tabela3[Teto R. Legal],Tabela3[Lucro Líquido]*5%)</f>
        <v>16184700</v>
      </c>
      <c r="AB71" s="13">
        <f>IF(Tabela3[Lucro Líquido]&lt;0,0,Tabela3[Lucro Líquido]-Tabela3[Reserva Legal])</f>
        <v>307509300</v>
      </c>
      <c r="AC71" s="13">
        <f>Tabela3[[#This Row],[Lucro Distribuir]]*Tabela3[%Div]</f>
        <v>76877325</v>
      </c>
      <c r="AD71" s="56">
        <f>SUMPRODUCT(N(Tabela3[Nome]=Tabela3[[#This Row],[Nome]]),Tabela3[Ações])</f>
        <v>193759265</v>
      </c>
      <c r="AE71" s="6">
        <f>Tabela3[Capital Social]/Tabela3[Total Ações]</f>
        <v>4.9158524117027387</v>
      </c>
      <c r="AF71" s="78">
        <f>Tabela3[[#This Row],[Lucro Líquido]]/Tabela3[[#This Row],[Total Ações]]</f>
        <v>1.6705988227195225</v>
      </c>
      <c r="AG71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0.38442228342233836</v>
      </c>
      <c r="AH71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71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71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0.38442228342233836</v>
      </c>
      <c r="AK71" s="13">
        <f>Tabela3[Div Base]*Tabela3[Ações]</f>
        <v>35321093.059303932</v>
      </c>
      <c r="AL71" s="13">
        <f>SUMPRODUCT(N(Tabela3[Nome]=Tabela3[[#This Row],[Nome]]),Tabela3[Div Base]*Tabela3[Ações])</f>
        <v>78401807.747173041</v>
      </c>
      <c r="AM71" s="6">
        <f>Tabela3[Patrimônio Líquido]/Tabela3[Total Ações]</f>
        <v>10.594357900769287</v>
      </c>
      <c r="AN71" s="48">
        <f>MAX(Tabela3[[#This Row],[Cotação 1]:[Cotação 5]])</f>
        <v>21</v>
      </c>
      <c r="AO71" s="44">
        <f>Tabela3[Cotação]/Tabela3[VPA]</f>
        <v>1.982187141183434</v>
      </c>
      <c r="AP71" s="40">
        <f>IF(Tabela3[[#This Row],[Lucro/Ação]]&gt;0,Tabela3[[#This Row],[Cotação]]/(Tabela3[[#This Row],[Lucro/Ação]]/Tabela3[Ref]*4),0)</f>
        <v>12.570342870118075</v>
      </c>
      <c r="AQ71" s="78">
        <f>Tabela3[Lucro Distribuir]/Tabela3[Total Ações]</f>
        <v>1.5870688815835465</v>
      </c>
      <c r="AR71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0.38442228342233836</v>
      </c>
      <c r="AS71" s="14" t="str">
        <f>IF(AND(Tabela3[% A.A.]&gt;=6%,SUMPRODUCT(N(Tabela3[Nome]=Tabela3[[#This Row],[Nome]]),Tabela3[PL])&gt;0,Tabela3[Rentabilidade s/ PL]&gt;=Tabela3[Rentabilidade s/ PL Média]),"Sim","Não")</f>
        <v>Não</v>
      </c>
      <c r="AT71" s="42">
        <f>IF(Tabela3[Cotação]&gt;0,Tabela3[[#This Row],[Lucro]]/Tabela3[[#This Row],[Cotação]],0)</f>
        <v>1.8305823020111349E-2</v>
      </c>
      <c r="AU71" s="42">
        <f>((1+Tabela3[[#This Row],[% Yield]])^(1/(3*Tabela3[[#This Row],[Ref]])))^(12)-1</f>
        <v>1.8305823020112744E-2</v>
      </c>
      <c r="AV71" s="14">
        <f>IF(Tabela3[Cotação]&gt;0,($BH$1/Tabela3[[#This Row],[Cotação]]-MOD($BH$1/Tabela3[[#This Row],[Cotação]],100)),)</f>
        <v>0</v>
      </c>
      <c r="AW71" s="17">
        <f>Tabela3[[#This Row],[Ativos]]*Tabela3[Lucro]</f>
        <v>0</v>
      </c>
      <c r="AX71" s="17">
        <f>SUMPRODUCT(N(Tabela1[Código]=Tabela3[[#This Row],[PAPEL]]),Tabela1[Fechamento])</f>
        <v>0</v>
      </c>
      <c r="AY71" s="17">
        <f>SUMPRODUCT(N(Tabela17[Código]=Tabela3[[#This Row],[PAPEL]]),Tabela17[Fechamento])</f>
        <v>21</v>
      </c>
      <c r="AZ71" s="7">
        <f>SUMPRODUCT(N(Tabela176[Código]=Tabela3[[#This Row],[PAPEL]]),Tabela176[Fechamento])</f>
        <v>0</v>
      </c>
      <c r="BA71" s="7">
        <f>SUMPRODUCT(N(Tabela1768[Código]=Tabela3[[#This Row],[PAPEL]]),Tabela1768[Fechamento])</f>
        <v>0</v>
      </c>
      <c r="BB71" s="7">
        <f>SUMPRODUCT(N(Tabela17683[Código]=Tabela3[[#This Row],[PAPEL]]),Tabela17683[Fechamento])</f>
        <v>0</v>
      </c>
    </row>
    <row r="72" spans="1:54" hidden="1" x14ac:dyDescent="0.2">
      <c r="A72" s="4" t="s">
        <v>12</v>
      </c>
      <c r="B72" s="57" t="s">
        <v>505</v>
      </c>
      <c r="C72" s="15" t="str">
        <f>LEFT(Tabela3[PAPEL],LEN(Tabela3[PAPEL])-(LEN(Tabela3[PAPEL])-4))</f>
        <v>EKTR</v>
      </c>
      <c r="D72" s="15">
        <v>4</v>
      </c>
      <c r="E72" s="6">
        <v>952491950.13999999</v>
      </c>
      <c r="F72" s="8">
        <v>101878293</v>
      </c>
      <c r="G72" s="81">
        <v>0.25</v>
      </c>
      <c r="H72" s="15"/>
      <c r="I72" s="19"/>
      <c r="J72" s="19">
        <v>0.1</v>
      </c>
      <c r="K72" s="88"/>
      <c r="L72" s="88"/>
      <c r="M72" s="55">
        <v>4601380000</v>
      </c>
      <c r="N72" s="55">
        <v>1223769000</v>
      </c>
      <c r="O72" s="55">
        <v>808162000</v>
      </c>
      <c r="P72" s="92">
        <v>2052755000</v>
      </c>
      <c r="Q72" s="92">
        <v>323694000</v>
      </c>
      <c r="R72" s="92">
        <f>IF(Tabela3[[#This Row],[Ativo || Passivo]]&gt;0,Tabela3[[#This Row],[Ativo || Passivo]]-Tabela3[[#This Row],[Patrimônio Líquido]],0)</f>
        <v>2548625000</v>
      </c>
      <c r="S72" s="92">
        <f>Tabela3[[#This Row],[Cotação]]*Tabela3[[#This Row],[Total Ações]]</f>
        <v>3293907505</v>
      </c>
      <c r="T72" s="36">
        <f>IF(Tabela3[[#This Row],[Passivo Circulante]]&gt;0,Tabela3[[#This Row],[Ativo Circulante]]/Tabela3[[#This Row],[Passivo Circulante]],0)</f>
        <v>1.5142619920263511</v>
      </c>
      <c r="U72" s="36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72" s="19">
        <f>IF(Tabela3[[#This Row],[Lucro Líquido]]&gt;0,Tabela3[[#This Row],[Lucro Líquido]]/Tabela3[[#This Row],[Patrimônio Líquido]],0)</f>
        <v>0.15768759545099148</v>
      </c>
      <c r="W72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72" s="19">
        <f>IF(Tabela3[[#This Row],[Dívida]]&gt;0,Tabela3[[#This Row],[Dívida]]/Tabela3[[#This Row],[Patrimônio Líquido]],0)</f>
        <v>1.2415631675480026</v>
      </c>
      <c r="Y72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72" s="13">
        <f>Tabela3[[#This Row],[Capital Social]]*20%</f>
        <v>190498390.028</v>
      </c>
      <c r="AA72" s="13">
        <f>IF((Tabela3[Lucro Líquido]*5%)&gt;Tabela3[Teto R. Legal],Tabela3[Teto R. Legal],Tabela3[Lucro Líquido]*5%)</f>
        <v>16184700</v>
      </c>
      <c r="AB72" s="13">
        <f>IF(Tabela3[Lucro Líquido]&lt;0,0,Tabela3[Lucro Líquido]-Tabela3[Reserva Legal])</f>
        <v>307509300</v>
      </c>
      <c r="AC72" s="13">
        <f>Tabela3[[#This Row],[Lucro Distribuir]]*Tabela3[%Div]</f>
        <v>76877325</v>
      </c>
      <c r="AD72" s="56">
        <f>SUMPRODUCT(N(Tabela3[Nome]=Tabela3[[#This Row],[Nome]]),Tabela3[Ações])</f>
        <v>193759265</v>
      </c>
      <c r="AE72" s="6">
        <f>Tabela3[Capital Social]/Tabela3[Total Ações]</f>
        <v>4.9158524117027387</v>
      </c>
      <c r="AF72" s="78">
        <f>Tabela3[[#This Row],[Lucro Líquido]]/Tabela3[[#This Row],[Total Ações]]</f>
        <v>1.6705988227195225</v>
      </c>
      <c r="AG72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0.42286451234385231</v>
      </c>
      <c r="AH72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72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72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0.42286451234385231</v>
      </c>
      <c r="AK72" s="13">
        <f>Tabela3[Div Base]*Tabela3[Ações]</f>
        <v>43080714.687869102</v>
      </c>
      <c r="AL72" s="13">
        <f>SUMPRODUCT(N(Tabela3[Nome]=Tabela3[[#This Row],[Nome]]),Tabela3[Div Base]*Tabela3[Ações])</f>
        <v>78401807.747173041</v>
      </c>
      <c r="AM72" s="6">
        <f>Tabela3[Patrimônio Líquido]/Tabela3[Total Ações]</f>
        <v>10.594357900769287</v>
      </c>
      <c r="AN72" s="48">
        <f>MAX(Tabela3[[#This Row],[Cotação 1]:[Cotação 5]])</f>
        <v>17</v>
      </c>
      <c r="AO72" s="44">
        <f>Tabela3[Cotação]/Tabela3[VPA]</f>
        <v>1.6046276857199226</v>
      </c>
      <c r="AP72" s="40">
        <f>IF(Tabela3[[#This Row],[Lucro/Ação]]&gt;0,Tabela3[[#This Row],[Cotação]]/(Tabela3[[#This Row],[Lucro/Ação]]/Tabela3[Ref]*4),0)</f>
        <v>10.175991847238441</v>
      </c>
      <c r="AQ72" s="78">
        <f>Tabela3[Lucro Distribuir]/Tabela3[Total Ações]</f>
        <v>1.5870688815835465</v>
      </c>
      <c r="AR72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0.42286451234385231</v>
      </c>
      <c r="AS72" s="14" t="str">
        <f>IF(AND(Tabela3[% A.A.]&gt;=6%,SUMPRODUCT(N(Tabela3[Nome]=Tabela3[[#This Row],[Nome]]),Tabela3[PL])&gt;0,Tabela3[Rentabilidade s/ PL]&gt;=Tabela3[Rentabilidade s/ PL Média]),"Sim","Não")</f>
        <v>Não</v>
      </c>
      <c r="AT72" s="42">
        <f>IF(Tabela3[Cotação]&gt;0,Tabela3[[#This Row],[Lucro]]/Tabela3[[#This Row],[Cotação]],0)</f>
        <v>2.4874383079050134E-2</v>
      </c>
      <c r="AU72" s="42">
        <f>((1+Tabela3[[#This Row],[% Yield]])^(1/(3*Tabela3[[#This Row],[Ref]])))^(12)-1</f>
        <v>2.4874383079052098E-2</v>
      </c>
      <c r="AV72" s="14">
        <f>IF(Tabela3[Cotação]&gt;0,($BH$1/Tabela3[[#This Row],[Cotação]]-MOD($BH$1/Tabela3[[#This Row],[Cotação]],100)),)</f>
        <v>0</v>
      </c>
      <c r="AW72" s="17">
        <f>Tabela3[[#This Row],[Ativos]]*Tabela3[Lucro]</f>
        <v>0</v>
      </c>
      <c r="AX72" s="17">
        <f>SUMPRODUCT(N(Tabela1[Código]=Tabela3[[#This Row],[PAPEL]]),Tabela1[Fechamento])</f>
        <v>0</v>
      </c>
      <c r="AY72" s="17">
        <f>SUMPRODUCT(N(Tabela17[Código]=Tabela3[[#This Row],[PAPEL]]),Tabela17[Fechamento])</f>
        <v>17</v>
      </c>
      <c r="AZ72" s="7">
        <f>SUMPRODUCT(N(Tabela176[Código]=Tabela3[[#This Row],[PAPEL]]),Tabela176[Fechamento])</f>
        <v>0</v>
      </c>
      <c r="BA72" s="7">
        <f>SUMPRODUCT(N(Tabela1768[Código]=Tabela3[[#This Row],[PAPEL]]),Tabela1768[Fechamento])</f>
        <v>0</v>
      </c>
      <c r="BB72" s="7">
        <f>SUMPRODUCT(N(Tabela17683[Código]=Tabela3[[#This Row],[PAPEL]]),Tabela17683[Fechamento])</f>
        <v>0</v>
      </c>
    </row>
    <row r="73" spans="1:54" hidden="1" x14ac:dyDescent="0.2">
      <c r="A73" s="4" t="s">
        <v>12</v>
      </c>
      <c r="B73" s="57" t="s">
        <v>88</v>
      </c>
      <c r="C73" s="14" t="str">
        <f>LEFT(Tabela3[PAPEL],LEN(Tabela3[PAPEL])-(LEN(Tabela3[PAPEL])-4))</f>
        <v>CEEB</v>
      </c>
      <c r="D73" s="15">
        <v>3</v>
      </c>
      <c r="E73" s="6">
        <v>542163250.52999997</v>
      </c>
      <c r="F73" s="8">
        <v>109304516</v>
      </c>
      <c r="G73" s="86">
        <v>0.25</v>
      </c>
      <c r="H73" s="15"/>
      <c r="I73" s="19"/>
      <c r="J73" s="19"/>
      <c r="K73" s="88"/>
      <c r="L73" s="88"/>
      <c r="M73" s="55">
        <v>6973082000</v>
      </c>
      <c r="N73" s="55">
        <v>1241973000</v>
      </c>
      <c r="O73" s="55">
        <v>1518506000</v>
      </c>
      <c r="P73" s="89">
        <v>2778501000</v>
      </c>
      <c r="Q73" s="89">
        <v>434008000</v>
      </c>
      <c r="R73" s="89">
        <f>IF(Tabela3[[#This Row],[Ativo || Passivo]]&gt;0,Tabela3[[#This Row],[Ativo || Passivo]]-Tabela3[[#This Row],[Patrimônio Líquido]],0)</f>
        <v>4194581000</v>
      </c>
      <c r="S73" s="89">
        <f>Tabela3[[#This Row],[Cotação]]*Tabela3[[#This Row],[Total Ações]]</f>
        <v>5457142802</v>
      </c>
      <c r="T73" s="134">
        <f>IF(Tabela3[[#This Row],[Passivo Circulante]]&gt;0,Tabela3[[#This Row],[Ativo Circulante]]/Tabela3[[#This Row],[Passivo Circulante]],0)</f>
        <v>0.81789140115350223</v>
      </c>
      <c r="U73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73" s="19">
        <f>IF(Tabela3[[#This Row],[Lucro Líquido]]&gt;0,Tabela3[[#This Row],[Lucro Líquido]]/Tabela3[[#This Row],[Patrimônio Líquido]],0)</f>
        <v>0.15620221119229397</v>
      </c>
      <c r="W73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73" s="19">
        <f>IF(Tabela3[[#This Row],[Dívida]]&gt;0,Tabela3[[#This Row],[Dívida]]/Tabela3[[#This Row],[Patrimônio Líquido]],0)</f>
        <v>1.5096561059362585</v>
      </c>
      <c r="Y73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73" s="6">
        <f>Tabela3[[#This Row],[Capital Social]]*20%</f>
        <v>108432650.10600001</v>
      </c>
      <c r="AA73" s="6">
        <f>IF((Tabela3[Lucro Líquido]*5%)&gt;Tabela3[Teto R. Legal],Tabela3[Teto R. Legal],Tabela3[Lucro Líquido]*5%)</f>
        <v>21700400</v>
      </c>
      <c r="AB73" s="89">
        <f>IF(Tabela3[Lucro Líquido]&lt;0,0,Tabela3[Lucro Líquido]-Tabela3[Reserva Legal])</f>
        <v>412307600</v>
      </c>
      <c r="AC73" s="89">
        <f>Tabela3[[#This Row],[Lucro Distribuir]]*Tabela3[%Div]</f>
        <v>103076900</v>
      </c>
      <c r="AD73" s="56">
        <f>SUMPRODUCT(N(Tabela3[Nome]=Tabela3[[#This Row],[Nome]]),Tabela3[Ações])</f>
        <v>188177338</v>
      </c>
      <c r="AE73" s="6">
        <f>Tabela3[Capital Social]/Tabela3[Total Ações]</f>
        <v>2.8811293447566997</v>
      </c>
      <c r="AF73" s="78">
        <f>Tabela3[[#This Row],[Lucro Líquido]]/Tabela3[[#This Row],[Total Ações]]</f>
        <v>2.3063776149283184</v>
      </c>
      <c r="AG73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0.53072164131039024</v>
      </c>
      <c r="AH73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73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0.5778806851361471</v>
      </c>
      <c r="AJ73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0.53072164131039024</v>
      </c>
      <c r="AK73" s="6">
        <f>Tabela3[Div Base]*Tabela3[Ações]</f>
        <v>58010272.134157814</v>
      </c>
      <c r="AL73" s="6">
        <f>SUMPRODUCT(N(Tabela3[Nome]=Tabela3[[#This Row],[Nome]]),Tabela3[Div Base]*Tabela3[Ações])</f>
        <v>103017775.26084489</v>
      </c>
      <c r="AM73" s="6">
        <f>Tabela3[Patrimônio Líquido]/Tabela3[Total Ações]</f>
        <v>14.765332688466451</v>
      </c>
      <c r="AN73" s="48">
        <f>MAX(Tabela3[[#This Row],[Cotação 1]:[Cotação 5]])</f>
        <v>29</v>
      </c>
      <c r="AO73" s="44">
        <f>Tabela3[Cotação]/Tabela3[VPA]</f>
        <v>1.9640600460464113</v>
      </c>
      <c r="AP73" s="40">
        <f>IF(Tabela3[[#This Row],[Lucro/Ação]]&gt;0,Tabela3[[#This Row],[Cotação]]/(Tabela3[[#This Row],[Lucro/Ação]]/Tabela3[Ref]*4),0)</f>
        <v>9.4303724850693982</v>
      </c>
      <c r="AQ73" s="78">
        <f>Tabela3[Lucro Distribuir]/Tabela3[Total Ações]</f>
        <v>2.1910587341819023</v>
      </c>
      <c r="AR73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0.53072164131039024</v>
      </c>
      <c r="AS73" s="15" t="str">
        <f>IF(AND(Tabela3[% A.A.]&gt;=6%,SUMPRODUCT(N(Tabela3[Nome]=Tabela3[[#This Row],[Nome]]),Tabela3[PL])&gt;0,Tabela3[Rentabilidade s/ PL]&gt;=Tabela3[Rentabilidade s/ PL Média]),"Sim","Não")</f>
        <v>Não</v>
      </c>
      <c r="AT73" s="42">
        <f>IF(Tabela3[Cotação]&gt;0,Tabela3[[#This Row],[Lucro]]/Tabela3[[#This Row],[Cotação]],0)</f>
        <v>1.8300746252082421E-2</v>
      </c>
      <c r="AU73" s="19">
        <f>((1+Tabela3[[#This Row],[% Yield]])^(1/(3*Tabela3[[#This Row],[Ref]])))^(12)-1</f>
        <v>2.4475120679795959E-2</v>
      </c>
      <c r="AV73" s="14">
        <f>IF(Tabela3[Cotação]&gt;0,($BH$1/Tabela3[[#This Row],[Cotação]]-MOD($BH$1/Tabela3[[#This Row],[Cotação]],100)),)</f>
        <v>0</v>
      </c>
      <c r="AW73" s="17">
        <f>Tabela3[[#This Row],[Ativos]]*Tabela3[Lucro]</f>
        <v>0</v>
      </c>
      <c r="AX73" s="5">
        <f>SUMPRODUCT(N(Tabela1[Código]=Tabela3[[#This Row],[PAPEL]]),Tabela1[Fechamento])</f>
        <v>29</v>
      </c>
      <c r="AY73" s="5">
        <f>SUMPRODUCT(N(Tabela17[Código]=Tabela3[[#This Row],[PAPEL]]),Tabela17[Fechamento])</f>
        <v>0</v>
      </c>
      <c r="AZ73" s="7">
        <f>SUMPRODUCT(N(Tabela176[Código]=Tabela3[[#This Row],[PAPEL]]),Tabela176[Fechamento])</f>
        <v>0</v>
      </c>
      <c r="BA73" s="7">
        <f>SUMPRODUCT(N(Tabela1768[Código]=Tabela3[[#This Row],[PAPEL]]),Tabela1768[Fechamento])</f>
        <v>0</v>
      </c>
      <c r="BB73" s="7">
        <f>SUMPRODUCT(N(Tabela17683[Código]=Tabela3[[#This Row],[PAPEL]]),Tabela17683[Fechamento])</f>
        <v>0</v>
      </c>
    </row>
    <row r="74" spans="1:54" hidden="1" x14ac:dyDescent="0.2">
      <c r="A74" s="4" t="s">
        <v>12</v>
      </c>
      <c r="B74" s="57" t="s">
        <v>89</v>
      </c>
      <c r="C74" s="14" t="str">
        <f>LEFT(Tabela3[PAPEL],LEN(Tabela3[PAPEL])-(LEN(Tabela3[PAPEL])-4))</f>
        <v>CEEB</v>
      </c>
      <c r="D74" s="15">
        <v>3</v>
      </c>
      <c r="E74" s="6">
        <v>542163250.52999997</v>
      </c>
      <c r="F74" s="8">
        <v>19557556</v>
      </c>
      <c r="G74" s="81">
        <v>0.25</v>
      </c>
      <c r="H74" s="15"/>
      <c r="I74" s="19">
        <v>0.1</v>
      </c>
      <c r="J74" s="19"/>
      <c r="K74" s="88"/>
      <c r="L74" s="88"/>
      <c r="M74" s="55">
        <v>6973082000</v>
      </c>
      <c r="N74" s="55">
        <v>1241973000</v>
      </c>
      <c r="O74" s="55">
        <v>1518506000</v>
      </c>
      <c r="P74" s="89">
        <v>2778501000</v>
      </c>
      <c r="Q74" s="89">
        <v>434008000</v>
      </c>
      <c r="R74" s="89">
        <f>IF(Tabela3[[#This Row],[Ativo || Passivo]]&gt;0,Tabela3[[#This Row],[Ativo || Passivo]]-Tabela3[[#This Row],[Patrimônio Líquido]],0)</f>
        <v>4194581000</v>
      </c>
      <c r="S74" s="89">
        <f>Tabela3[[#This Row],[Cotação]]*Tabela3[[#This Row],[Total Ações]]</f>
        <v>6023556589.3799992</v>
      </c>
      <c r="T74" s="134">
        <f>IF(Tabela3[[#This Row],[Passivo Circulante]]&gt;0,Tabela3[[#This Row],[Ativo Circulante]]/Tabela3[[#This Row],[Passivo Circulante]],0)</f>
        <v>0.81789140115350223</v>
      </c>
      <c r="U74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74" s="19">
        <f>IF(Tabela3[[#This Row],[Lucro Líquido]]&gt;0,Tabela3[[#This Row],[Lucro Líquido]]/Tabela3[[#This Row],[Patrimônio Líquido]],0)</f>
        <v>0.15620221119229397</v>
      </c>
      <c r="W74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74" s="19">
        <f>IF(Tabela3[[#This Row],[Dívida]]&gt;0,Tabela3[[#This Row],[Dívida]]/Tabela3[[#This Row],[Patrimônio Líquido]],0)</f>
        <v>1.5096561059362585</v>
      </c>
      <c r="Y74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74" s="6">
        <f>Tabela3[[#This Row],[Capital Social]]*20%</f>
        <v>108432650.10600001</v>
      </c>
      <c r="AA74" s="6">
        <f>IF((Tabela3[Lucro Líquido]*5%)&gt;Tabela3[Teto R. Legal],Tabela3[Teto R. Legal],Tabela3[Lucro Líquido]*5%)</f>
        <v>21700400</v>
      </c>
      <c r="AB74" s="89">
        <f>IF(Tabela3[Lucro Líquido]&lt;0,0,Tabela3[Lucro Líquido]-Tabela3[Reserva Legal])</f>
        <v>412307600</v>
      </c>
      <c r="AC74" s="89">
        <f>Tabela3[[#This Row],[Lucro Distribuir]]*Tabela3[%Div]</f>
        <v>103076900</v>
      </c>
      <c r="AD74" s="56">
        <f>SUMPRODUCT(N(Tabela3[Nome]=Tabela3[[#This Row],[Nome]]),Tabela3[Ações])</f>
        <v>188177338</v>
      </c>
      <c r="AE74" s="6">
        <f>Tabela3[Capital Social]/Tabela3[Total Ações]</f>
        <v>2.8811293447566997</v>
      </c>
      <c r="AF74" s="78">
        <f>Tabela3[[#This Row],[Lucro Líquido]]/Tabela3[[#This Row],[Total Ações]]</f>
        <v>2.3063776149283184</v>
      </c>
      <c r="AG74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0.53072164131039024</v>
      </c>
      <c r="AH74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74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0.28811293447566999</v>
      </c>
      <c r="AJ74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0.53072164131039024</v>
      </c>
      <c r="AK74" s="6">
        <f>Tabela3[Div Base]*Tabela3[Ações]</f>
        <v>10379618.22033987</v>
      </c>
      <c r="AL74" s="6">
        <f>SUMPRODUCT(N(Tabela3[Nome]=Tabela3[[#This Row],[Nome]]),Tabela3[Div Base]*Tabela3[Ações])</f>
        <v>103017775.26084489</v>
      </c>
      <c r="AM74" s="6">
        <f>Tabela3[Patrimônio Líquido]/Tabela3[Total Ações]</f>
        <v>14.765332688466451</v>
      </c>
      <c r="AN74" s="48">
        <f>MAX(Tabela3[[#This Row],[Cotação 1]:[Cotação 5]])</f>
        <v>32.01</v>
      </c>
      <c r="AO74" s="44">
        <f>Tabela3[Cotação]/Tabela3[VPA]</f>
        <v>2.1679159335843319</v>
      </c>
      <c r="AP74" s="40">
        <f>IF(Tabela3[[#This Row],[Lucro/Ação]]&gt;0,Tabela3[[#This Row],[Cotação]]/(Tabela3[[#This Row],[Lucro/Ação]]/Tabela3[Ref]*4),0)</f>
        <v>10.409180111967981</v>
      </c>
      <c r="AQ74" s="78">
        <f>Tabela3[Lucro Distribuir]/Tabela3[Total Ações]</f>
        <v>2.1910587341819023</v>
      </c>
      <c r="AR74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0.53072164131039024</v>
      </c>
      <c r="AS74" s="15" t="str">
        <f>IF(AND(Tabela3[% A.A.]&gt;=6%,SUMPRODUCT(N(Tabela3[Nome]=Tabela3[[#This Row],[Nome]]),Tabela3[PL])&gt;0,Tabela3[Rentabilidade s/ PL]&gt;=Tabela3[Rentabilidade s/ PL Média]),"Sim","Não")</f>
        <v>Não</v>
      </c>
      <c r="AT74" s="42">
        <f>IF(Tabela3[Cotação]&gt;0,Tabela3[[#This Row],[Lucro]]/Tabela3[[#This Row],[Cotação]],0)</f>
        <v>1.6579870081549212E-2</v>
      </c>
      <c r="AU74" s="19">
        <f>((1+Tabela3[[#This Row],[% Yield]])^(1/(3*Tabela3[[#This Row],[Ref]])))^(12)-1</f>
        <v>2.2167357044462044E-2</v>
      </c>
      <c r="AV74" s="14">
        <f>IF(Tabela3[Cotação]&gt;0,($BH$1/Tabela3[[#This Row],[Cotação]]-MOD($BH$1/Tabela3[[#This Row],[Cotação]],100)),)</f>
        <v>0</v>
      </c>
      <c r="AW74" s="17">
        <f>Tabela3[[#This Row],[Ativos]]*Tabela3[Lucro]</f>
        <v>0</v>
      </c>
      <c r="AX74" s="5">
        <f>SUMPRODUCT(N(Tabela1[Código]=Tabela3[[#This Row],[PAPEL]]),Tabela1[Fechamento])</f>
        <v>32.01</v>
      </c>
      <c r="AY74" s="5">
        <f>SUMPRODUCT(N(Tabela17[Código]=Tabela3[[#This Row],[PAPEL]]),Tabela17[Fechamento])</f>
        <v>0</v>
      </c>
      <c r="AZ74" s="7">
        <f>SUMPRODUCT(N(Tabela176[Código]=Tabela3[[#This Row],[PAPEL]]),Tabela176[Fechamento])</f>
        <v>0</v>
      </c>
      <c r="BA74" s="7">
        <f>SUMPRODUCT(N(Tabela1768[Código]=Tabela3[[#This Row],[PAPEL]]),Tabela1768[Fechamento])</f>
        <v>0</v>
      </c>
      <c r="BB74" s="7">
        <f>SUMPRODUCT(N(Tabela17683[Código]=Tabela3[[#This Row],[PAPEL]]),Tabela17683[Fechamento])</f>
        <v>0</v>
      </c>
    </row>
    <row r="75" spans="1:54" hidden="1" x14ac:dyDescent="0.2">
      <c r="A75" s="4" t="s">
        <v>12</v>
      </c>
      <c r="B75" s="57" t="s">
        <v>488</v>
      </c>
      <c r="C75" s="14" t="str">
        <f>LEFT(Tabela3[PAPEL],LEN(Tabela3[PAPEL])-(LEN(Tabela3[PAPEL])-4))</f>
        <v>CEEB</v>
      </c>
      <c r="D75" s="15">
        <v>3</v>
      </c>
      <c r="E75" s="6">
        <v>542163250.52999997</v>
      </c>
      <c r="F75" s="8">
        <v>59315266</v>
      </c>
      <c r="G75" s="81">
        <v>0.25</v>
      </c>
      <c r="H75" s="15"/>
      <c r="I75" s="19"/>
      <c r="J75" s="19">
        <v>0.1</v>
      </c>
      <c r="K75" s="88"/>
      <c r="L75" s="88"/>
      <c r="M75" s="55">
        <v>6973082000</v>
      </c>
      <c r="N75" s="55">
        <v>1241973000</v>
      </c>
      <c r="O75" s="55">
        <v>1518506000</v>
      </c>
      <c r="P75" s="89">
        <v>2778501000</v>
      </c>
      <c r="Q75" s="89">
        <v>434008000</v>
      </c>
      <c r="R75" s="89">
        <f>IF(Tabela3[[#This Row],[Ativo || Passivo]]&gt;0,Tabela3[[#This Row],[Ativo || Passivo]]-Tabela3[[#This Row],[Patrimônio Líquido]],0)</f>
        <v>4194581000</v>
      </c>
      <c r="S75" s="89">
        <f>Tabela3[[#This Row],[Cotação]]*Tabela3[[#This Row],[Total Ações]]</f>
        <v>0</v>
      </c>
      <c r="T75" s="134">
        <f>IF(Tabela3[[#This Row],[Passivo Circulante]]&gt;0,Tabela3[[#This Row],[Ativo Circulante]]/Tabela3[[#This Row],[Passivo Circulante]],0)</f>
        <v>0.81789140115350223</v>
      </c>
      <c r="U75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75" s="19">
        <f>IF(Tabela3[[#This Row],[Lucro Líquido]]&gt;0,Tabela3[[#This Row],[Lucro Líquido]]/Tabela3[[#This Row],[Patrimônio Líquido]],0)</f>
        <v>0.15620221119229397</v>
      </c>
      <c r="W75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75" s="19">
        <f>IF(Tabela3[[#This Row],[Dívida]]&gt;0,Tabela3[[#This Row],[Dívida]]/Tabela3[[#This Row],[Patrimônio Líquido]],0)</f>
        <v>1.5096561059362585</v>
      </c>
      <c r="Y75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75" s="6">
        <f>Tabela3[[#This Row],[Capital Social]]*20%</f>
        <v>108432650.10600001</v>
      </c>
      <c r="AA75" s="6">
        <f>IF((Tabela3[Lucro Líquido]*5%)&gt;Tabela3[Teto R. Legal],Tabela3[Teto R. Legal],Tabela3[Lucro Líquido]*5%)</f>
        <v>21700400</v>
      </c>
      <c r="AB75" s="89">
        <f>IF(Tabela3[Lucro Líquido]&lt;0,0,Tabela3[Lucro Líquido]-Tabela3[Reserva Legal])</f>
        <v>412307600</v>
      </c>
      <c r="AC75" s="89">
        <f>Tabela3[[#This Row],[Lucro Distribuir]]*Tabela3[%Div]</f>
        <v>103076900</v>
      </c>
      <c r="AD75" s="56">
        <f>SUMPRODUCT(N(Tabela3[Nome]=Tabela3[[#This Row],[Nome]]),Tabela3[Ações])</f>
        <v>188177338</v>
      </c>
      <c r="AE75" s="6">
        <f>Tabela3[Capital Social]/Tabela3[Total Ações]</f>
        <v>2.8811293447566997</v>
      </c>
      <c r="AF75" s="78">
        <f>Tabela3[[#This Row],[Lucro Líquido]]/Tabela3[[#This Row],[Total Ações]]</f>
        <v>2.3063776149283184</v>
      </c>
      <c r="AG75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0.58379380624116561</v>
      </c>
      <c r="AH75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75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0.5778806851361471</v>
      </c>
      <c r="AJ75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0.58379380624116561</v>
      </c>
      <c r="AK75" s="6">
        <f>Tabela3[Div Base]*Tabela3[Ações]</f>
        <v>34627884.9063472</v>
      </c>
      <c r="AL75" s="6">
        <f>SUMPRODUCT(N(Tabela3[Nome]=Tabela3[[#This Row],[Nome]]),Tabela3[Div Base]*Tabela3[Ações])</f>
        <v>103017775.26084489</v>
      </c>
      <c r="AM75" s="6">
        <f>Tabela3[Patrimônio Líquido]/Tabela3[Total Ações]</f>
        <v>14.765332688466451</v>
      </c>
      <c r="AN75" s="48">
        <f>MAX(Tabela3[[#This Row],[Cotação 1]:[Cotação 5]])</f>
        <v>0</v>
      </c>
      <c r="AO75" s="44">
        <f>Tabela3[Cotação]/Tabela3[VPA]</f>
        <v>0</v>
      </c>
      <c r="AP75" s="40">
        <f>IF(Tabela3[[#This Row],[Lucro/Ação]]&gt;0,Tabela3[[#This Row],[Cotação]]/(Tabela3[[#This Row],[Lucro/Ação]]/Tabela3[Ref]*4),0)</f>
        <v>0</v>
      </c>
      <c r="AQ75" s="78">
        <f>Tabela3[Lucro Distribuir]/Tabela3[Total Ações]</f>
        <v>2.1910587341819023</v>
      </c>
      <c r="AR75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0.58379380624116561</v>
      </c>
      <c r="AS75" s="15" t="str">
        <f>IF(AND(Tabela3[% A.A.]&gt;=6%,SUMPRODUCT(N(Tabela3[Nome]=Tabela3[[#This Row],[Nome]]),Tabela3[PL])&gt;0,Tabela3[Rentabilidade s/ PL]&gt;=Tabela3[Rentabilidade s/ PL Média]),"Sim","Não")</f>
        <v>Não</v>
      </c>
      <c r="AT75" s="42">
        <f>IF(Tabela3[Cotação]&gt;0,Tabela3[[#This Row],[Lucro]]/Tabela3[[#This Row],[Cotação]],0)</f>
        <v>0</v>
      </c>
      <c r="AU75" s="19">
        <f>((1+Tabela3[[#This Row],[% Yield]])^(1/(3*Tabela3[[#This Row],[Ref]])))^(12)-1</f>
        <v>0</v>
      </c>
      <c r="AV75" s="14">
        <f>IF(Tabela3[Cotação]&gt;0,($BH$1/Tabela3[[#This Row],[Cotação]]-MOD($BH$1/Tabela3[[#This Row],[Cotação]],100)),)</f>
        <v>0</v>
      </c>
      <c r="AW75" s="17">
        <f>Tabela3[[#This Row],[Ativos]]*Tabela3[Lucro]</f>
        <v>0</v>
      </c>
      <c r="AX75" s="5">
        <f>SUMPRODUCT(N(Tabela1[Código]=Tabela3[[#This Row],[PAPEL]]),Tabela1[Fechamento])</f>
        <v>0</v>
      </c>
      <c r="AY75" s="5">
        <f>SUMPRODUCT(N(Tabela17[Código]=Tabela3[[#This Row],[PAPEL]]),Tabela17[Fechamento])</f>
        <v>0</v>
      </c>
      <c r="AZ75" s="7">
        <f>SUMPRODUCT(N(Tabela176[Código]=Tabela3[[#This Row],[PAPEL]]),Tabela176[Fechamento])</f>
        <v>0</v>
      </c>
      <c r="BA75" s="7">
        <f>SUMPRODUCT(N(Tabela1768[Código]=Tabela3[[#This Row],[PAPEL]]),Tabela1768[Fechamento])</f>
        <v>0</v>
      </c>
      <c r="BB75" s="7">
        <f>SUMPRODUCT(N(Tabela17683[Código]=Tabela3[[#This Row],[PAPEL]]),Tabela17683[Fechamento])</f>
        <v>0</v>
      </c>
    </row>
    <row r="76" spans="1:54" x14ac:dyDescent="0.2">
      <c r="A76" s="4" t="s">
        <v>14</v>
      </c>
      <c r="B76" s="57" t="s">
        <v>24</v>
      </c>
      <c r="C76" s="14" t="str">
        <f>LEFT(Tabela3[PAPEL],LEN(Tabela3[PAPEL])-(LEN(Tabela3[PAPEL])-4))</f>
        <v>BBAS</v>
      </c>
      <c r="D76" s="15">
        <v>4</v>
      </c>
      <c r="E76" s="6">
        <v>54000000000</v>
      </c>
      <c r="F76" s="8">
        <v>2865417020</v>
      </c>
      <c r="G76" s="81">
        <v>0.25</v>
      </c>
      <c r="H76" s="19"/>
      <c r="I76" s="19"/>
      <c r="J76" s="19"/>
      <c r="K76" s="88"/>
      <c r="L76" s="88"/>
      <c r="M76" s="55">
        <v>1224458597000</v>
      </c>
      <c r="N76" s="55">
        <v>650448226000</v>
      </c>
      <c r="O76" s="55">
        <v>783736092000</v>
      </c>
      <c r="P76" s="6">
        <v>69859729000</v>
      </c>
      <c r="Q76" s="6">
        <v>15810371000</v>
      </c>
      <c r="R76" s="6">
        <f>IF(Tabela3[[#This Row],[Ativo || Passivo]]&gt;0,Tabela3[[#This Row],[Ativo || Passivo]]-Tabela3[[#This Row],[Patrimônio Líquido]],0)</f>
        <v>1154598868000</v>
      </c>
      <c r="S76" s="6">
        <f>Tabela3[[#This Row],[Cotação]]*Tabela3[[#This Row],[Total Ações]]</f>
        <v>56305444442.999992</v>
      </c>
      <c r="T76" s="134">
        <f>IF(Tabela3[[#This Row],[Passivo Circulante]]&gt;0,Tabela3[[#This Row],[Ativo Circulante]]/Tabela3[[#This Row],[Passivo Circulante]],0)</f>
        <v>0.8299327192398841</v>
      </c>
      <c r="U76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76" s="19">
        <f>IF(Tabela3[[#This Row],[Lucro Líquido]]&gt;0,Tabela3[[#This Row],[Lucro Líquido]]/Tabela3[[#This Row],[Patrimônio Líquido]],0)</f>
        <v>0.22631595092503151</v>
      </c>
      <c r="W76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76" s="19">
        <f>IF(Tabela3[[#This Row],[Dívida]]&gt;0,Tabela3[[#This Row],[Dívida]]/Tabela3[[#This Row],[Patrimônio Líquido]],0)</f>
        <v>16.527388304068573</v>
      </c>
      <c r="Y76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76" s="6">
        <f>Tabela3[[#This Row],[Capital Social]]*20%</f>
        <v>10800000000</v>
      </c>
      <c r="AA76" s="6">
        <f>IF((Tabela3[Lucro Líquido]*5%)&gt;Tabela3[Teto R. Legal],Tabela3[Teto R. Legal],Tabela3[Lucro Líquido]*5%)</f>
        <v>790518550</v>
      </c>
      <c r="AB76" s="6">
        <f>IF(Tabela3[Lucro Líquido]&lt;0,0,Tabela3[Lucro Líquido]-Tabela3[Reserva Legal])</f>
        <v>15019852450</v>
      </c>
      <c r="AC76" s="6">
        <f>Tabela3[[#This Row],[Lucro Distribuir]]*Tabela3[%Div]</f>
        <v>3754963112.5</v>
      </c>
      <c r="AD76" s="21">
        <f>SUMPRODUCT(N(Tabela3[Nome]=Tabela3[[#This Row],[Nome]]),Tabela3[Ações])</f>
        <v>2865417020</v>
      </c>
      <c r="AE76" s="6">
        <f>Tabela3[Capital Social]/Tabela3[Total Ações]</f>
        <v>18.845424461113865</v>
      </c>
      <c r="AF76" s="78">
        <f>Tabela3[[#This Row],[Lucro Líquido]]/Tabela3[[#This Row],[Total Ações]]</f>
        <v>5.5176509700497274</v>
      </c>
      <c r="AG76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1.3104421053868103</v>
      </c>
      <c r="AH76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76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76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1.3104421053868103</v>
      </c>
      <c r="AK76" s="6">
        <f>Tabela3[Div Base]*Tabela3[Ações]</f>
        <v>3754963112.5</v>
      </c>
      <c r="AL76" s="6">
        <f>SUMPRODUCT(N(Tabela3[Nome]=Tabela3[[#This Row],[Nome]]),Tabela3[Div Base]*Tabela3[Ações])</f>
        <v>3754963112.5</v>
      </c>
      <c r="AM76" s="6">
        <f>Tabela3[Patrimônio Líquido]/Tabela3[Total Ações]</f>
        <v>24.380300847099736</v>
      </c>
      <c r="AN76" s="48">
        <f>MAX(Tabela3[[#This Row],[Cotação 1]:[Cotação 5]])</f>
        <v>19.649999999999999</v>
      </c>
      <c r="AO76" s="44">
        <f>Tabela3[Cotação]/Tabela3[VPA]</f>
        <v>0.80597856947025937</v>
      </c>
      <c r="AP76" s="40">
        <f>IF(Tabela3[[#This Row],[Lucro/Ação]]&gt;0,Tabela3[[#This Row],[Cotação]]/(Tabela3[[#This Row],[Lucro/Ação]]/Tabela3[Ref]*4),0)</f>
        <v>3.5612981152055192</v>
      </c>
      <c r="AQ76" s="78">
        <f>Tabela3[Lucro Distribuir]/Tabela3[Total Ações]</f>
        <v>5.2417684215472411</v>
      </c>
      <c r="AR76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1.3104421053868103</v>
      </c>
      <c r="AS76" s="15" t="str">
        <f>IF(AND(Tabela3[% A.A.]&gt;=6%,SUMPRODUCT(N(Tabela3[Nome]=Tabela3[[#This Row],[Nome]]),Tabela3[PL])&gt;0,Tabela3[Rentabilidade s/ PL]&gt;=Tabela3[Rentabilidade s/ PL Média]),"Sim","Não")</f>
        <v>Sim</v>
      </c>
      <c r="AT76" s="42">
        <f>IF(Tabela3[Cotação]&gt;0,Tabela3[[#This Row],[Lucro]]/Tabela3[[#This Row],[Cotação]],0)</f>
        <v>6.6689165668539968E-2</v>
      </c>
      <c r="AU76" s="19">
        <f>((1+Tabela3[[#This Row],[% Yield]])^(1/(3*Tabela3[[#This Row],[Ref]])))^(12)-1</f>
        <v>6.6689165668539552E-2</v>
      </c>
      <c r="AV76" s="14">
        <f>IF(Tabela3[Cotação]&gt;0,($BD$1/Tabela3[[#This Row],[Cotação]]-MOD($BD$1/Tabela3[[#This Row],[Cotação]],100)),)</f>
        <v>0</v>
      </c>
      <c r="AW76" s="17">
        <f>Tabela3[[#This Row],[Ativos]]*Tabela3[Lucro]</f>
        <v>0</v>
      </c>
      <c r="AX76" s="5">
        <f>SUMPRODUCT(N(Tabela1[Código]=Tabela3[[#This Row],[PAPEL]]),Tabela1[Fechamento])</f>
        <v>19.649999999999999</v>
      </c>
      <c r="AY76" s="5">
        <f>SUMPRODUCT(N(Tabela17[Código]=Tabela3[[#This Row],[PAPEL]]),Tabela17[Fechamento])</f>
        <v>0</v>
      </c>
      <c r="AZ76" s="7">
        <f>SUMPRODUCT(N(Tabela176[Código]=Tabela3[[#This Row],[PAPEL]]),Tabela176[Fechamento])</f>
        <v>0</v>
      </c>
      <c r="BA76" s="7">
        <f>SUMPRODUCT(N(Tabela1768[Código]=Tabela3[[#This Row],[PAPEL]]),Tabela1768[Fechamento])</f>
        <v>0</v>
      </c>
      <c r="BB76" s="7">
        <f>SUMPRODUCT(N(Tabela17683[Código]=Tabela3[[#This Row],[PAPEL]]),Tabela17683[Fechamento])</f>
        <v>0</v>
      </c>
    </row>
    <row r="77" spans="1:54" hidden="1" x14ac:dyDescent="0.2">
      <c r="A77" s="3" t="s">
        <v>1552</v>
      </c>
      <c r="B77" s="57" t="s">
        <v>1547</v>
      </c>
      <c r="C77" s="16" t="str">
        <f>LEFT(Tabela3[PAPEL],LEN(Tabela3[PAPEL])-(LEN(Tabela3[PAPEL])-4))</f>
        <v>BALM</v>
      </c>
      <c r="D77" s="16">
        <v>3</v>
      </c>
      <c r="E77" s="5">
        <v>15000000</v>
      </c>
      <c r="F77" s="56">
        <v>490000</v>
      </c>
      <c r="G77" s="81">
        <v>0.3</v>
      </c>
      <c r="H77" s="87"/>
      <c r="J77" s="18"/>
      <c r="K77" s="16"/>
      <c r="L77" s="87"/>
      <c r="M77" s="47">
        <v>109025000</v>
      </c>
      <c r="N77" s="47">
        <v>67948000</v>
      </c>
      <c r="O77" s="47">
        <v>30740000</v>
      </c>
      <c r="P77" s="91">
        <v>65926000</v>
      </c>
      <c r="Q77" s="73">
        <v>10280000</v>
      </c>
      <c r="R77" s="73">
        <f>IF(Tabela3[[#This Row],[Ativo || Passivo]]&gt;0,Tabela3[[#This Row],[Ativo || Passivo]]-Tabela3[[#This Row],[Patrimônio Líquido]],0)</f>
        <v>43099000</v>
      </c>
      <c r="S77" s="73">
        <f>Tabela3[[#This Row],[Cotação]]*Tabela3[[#This Row],[Total Ações]]</f>
        <v>96040000</v>
      </c>
      <c r="T77" s="37">
        <f>IF(Tabela3[[#This Row],[Passivo Circulante]]&gt;0,Tabela3[[#This Row],[Ativo Circulante]]/Tabela3[[#This Row],[Passivo Circulante]],0)</f>
        <v>2.2104098893949251</v>
      </c>
      <c r="U77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77" s="18">
        <f>IF(Tabela3[[#This Row],[Lucro Líquido]]&gt;0,Tabela3[[#This Row],[Lucro Líquido]]/Tabela3[[#This Row],[Patrimônio Líquido]],0)</f>
        <v>0.15593240906470893</v>
      </c>
      <c r="W77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77" s="18">
        <f>IF(Tabela3[[#This Row],[Dívida]]&gt;0,Tabela3[[#This Row],[Dívida]]/Tabela3[[#This Row],[Patrimônio Líquido]],0)</f>
        <v>0.65374814185602037</v>
      </c>
      <c r="Y77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77" s="7">
        <f>Tabela3[[#This Row],[Capital Social]]*20%</f>
        <v>3000000</v>
      </c>
      <c r="AA77" s="47">
        <f>IF((Tabela3[Lucro Líquido]*5%)&gt;Tabela3[Teto R. Legal],Tabela3[Teto R. Legal],Tabela3[Lucro Líquido]*5%)</f>
        <v>514000</v>
      </c>
      <c r="AB77" s="47">
        <f>IF(Tabela3[Lucro Líquido]&lt;0,0,Tabela3[Lucro Líquido]-Tabela3[Reserva Legal])</f>
        <v>9766000</v>
      </c>
      <c r="AC77" s="47">
        <f>Tabela3[[#This Row],[Lucro Distribuir]]*Tabela3[%Div]</f>
        <v>2929800</v>
      </c>
      <c r="AD77" s="56">
        <f>SUMPRODUCT(N(Tabela3[Nome]=Tabela3[[#This Row],[Nome]]),Tabela3[Ações])</f>
        <v>980000</v>
      </c>
      <c r="AE77" s="85">
        <f>Tabela3[Capital Social]/Tabela3[Total Ações]</f>
        <v>15.306122448979592</v>
      </c>
      <c r="AF77" s="85">
        <f>Tabela3[[#This Row],[Lucro Líquido]]/Tabela3[[#This Row],[Total Ações]]</f>
        <v>10.489795918367347</v>
      </c>
      <c r="AG77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2.9895918367346939</v>
      </c>
      <c r="AH77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77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77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2.9895918367346939</v>
      </c>
      <c r="AK77" s="7">
        <f>Tabela3[Div Base]*Tabela3[Ações]</f>
        <v>1464900</v>
      </c>
      <c r="AL77" s="121">
        <f>SUMPRODUCT(N(Tabela3[Nome]=Tabela3[[#This Row],[Nome]]),Tabela3[Div Base]*Tabela3[Ações])</f>
        <v>2685650</v>
      </c>
      <c r="AM77" s="5">
        <f>Tabela3[Patrimônio Líquido]/Tabela3[Total Ações]</f>
        <v>67.271428571428572</v>
      </c>
      <c r="AN77" s="52">
        <f>MAX(Tabela3[[#This Row],[Cotação 1]:[Cotação 5]])</f>
        <v>98</v>
      </c>
      <c r="AO77" s="53">
        <f>Tabela3[Cotação]/Tabela3[VPA]</f>
        <v>1.4567848800169887</v>
      </c>
      <c r="AP77" s="37">
        <f>IF(Tabela3[[#This Row],[Lucro/Ação]]&gt;0,Tabela3[[#This Row],[Cotação]]/(Tabela3[[#This Row],[Lucro/Ação]]/Tabela3[Ref]*4),0)</f>
        <v>7.0068093385213999</v>
      </c>
      <c r="AQ77" s="85">
        <f>Tabela3[Lucro Distribuir]/Tabela3[Total Ações]</f>
        <v>9.965306122448979</v>
      </c>
      <c r="AR77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2.9895918367346939</v>
      </c>
      <c r="AS77" s="10" t="str">
        <f>IF(AND(Tabela3[% A.A.]&gt;=6%,SUMPRODUCT(N(Tabela3[Nome]=Tabela3[[#This Row],[Nome]]),Tabela3[PL])&gt;0,Tabela3[Rentabilidade s/ PL]&gt;=Tabela3[Rentabilidade s/ PL Média]),"Sim","Não")</f>
        <v>Não</v>
      </c>
      <c r="AT77" s="22">
        <f>IF(Tabela3[Cotação]&gt;0,Tabela3[[#This Row],[Lucro]]/Tabela3[[#This Row],[Cotação]],0)</f>
        <v>3.050603915035402E-2</v>
      </c>
      <c r="AU77" s="22">
        <f>((1+Tabela3[[#This Row],[% Yield]])^(1/(3*Tabela3[[#This Row],[Ref]])))^(12)-1</f>
        <v>4.08801385471107E-2</v>
      </c>
      <c r="AV77" s="10">
        <f>IF(Tabela3[Cotação]&gt;0,($BH$1/Tabela3[[#This Row],[Cotação]]-MOD($BH$1/Tabela3[[#This Row],[Cotação]],100)),)</f>
        <v>0</v>
      </c>
      <c r="AW77" s="7">
        <f>Tabela3[[#This Row],[Ativos]]*Tabela3[Lucro]</f>
        <v>0</v>
      </c>
      <c r="AX77" s="7">
        <f>SUMPRODUCT(N(Tabela1[Código]=Tabela3[[#This Row],[PAPEL]]),Tabela1[Fechamento])</f>
        <v>0</v>
      </c>
      <c r="AY77" s="7">
        <f>SUMPRODUCT(N(Tabela17[Código]=Tabela3[[#This Row],[PAPEL]]),Tabela17[Fechamento])</f>
        <v>0</v>
      </c>
      <c r="AZ77" s="7">
        <f>SUMPRODUCT(N(Tabela176[Código]=Tabela3[[#This Row],[PAPEL]]),Tabela176[Fechamento])</f>
        <v>0</v>
      </c>
      <c r="BA77" s="7">
        <f>SUMPRODUCT(N(Tabela1768[Código]=Tabela3[[#This Row],[PAPEL]]),Tabela1768[Fechamento])</f>
        <v>0</v>
      </c>
      <c r="BB77" s="7">
        <f>SUMPRODUCT(N(Tabela17683[Código]=Tabela3[[#This Row],[PAPEL]]),Tabela17683[Fechamento])</f>
        <v>98</v>
      </c>
    </row>
    <row r="78" spans="1:54" hidden="1" x14ac:dyDescent="0.2">
      <c r="A78" s="4" t="s">
        <v>14</v>
      </c>
      <c r="B78" s="57" t="s">
        <v>205</v>
      </c>
      <c r="C78" s="14" t="str">
        <f>LEFT(Tabela3[PAPEL],LEN(Tabela3[PAPEL])-(LEN(Tabela3[PAPEL])-4))</f>
        <v>BRSR</v>
      </c>
      <c r="D78" s="15">
        <v>4</v>
      </c>
      <c r="E78" s="6">
        <v>3750000000</v>
      </c>
      <c r="F78" s="8">
        <v>205043374</v>
      </c>
      <c r="G78" s="81">
        <v>0.25</v>
      </c>
      <c r="H78" s="15"/>
      <c r="I78" s="19"/>
      <c r="J78" s="19"/>
      <c r="K78" s="88"/>
      <c r="L78" s="88"/>
      <c r="M78" s="55"/>
      <c r="N78" s="55"/>
      <c r="O78" s="55"/>
      <c r="P78" s="6">
        <v>5147862000</v>
      </c>
      <c r="Q78" s="6">
        <v>791614000</v>
      </c>
      <c r="R78" s="6">
        <f>IF(Tabela3[[#This Row],[Ativo || Passivo]]&gt;0,Tabela3[[#This Row],[Ativo || Passivo]]-Tabela3[[#This Row],[Patrimônio Líquido]],0)</f>
        <v>0</v>
      </c>
      <c r="S78" s="6">
        <f>Tabela3[[#This Row],[Cotação]]*Tabela3[[#This Row],[Total Ações]]</f>
        <v>4989488619.3999996</v>
      </c>
      <c r="T78" s="134">
        <f>IF(Tabela3[[#This Row],[Passivo Circulante]]&gt;0,Tabela3[[#This Row],[Ativo Circulante]]/Tabela3[[#This Row],[Passivo Circulante]],0)</f>
        <v>0</v>
      </c>
      <c r="U78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78" s="19">
        <f>IF(Tabela3[[#This Row],[Lucro Líquido]]&gt;0,Tabela3[[#This Row],[Lucro Líquido]]/Tabela3[[#This Row],[Patrimônio Líquido]],0)</f>
        <v>0.15377529545275301</v>
      </c>
      <c r="W78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78" s="19">
        <f>IF(Tabela3[[#This Row],[Dívida]]&gt;0,Tabela3[[#This Row],[Dívida]]/Tabela3[[#This Row],[Patrimônio Líquido]],0)</f>
        <v>0</v>
      </c>
      <c r="Y78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78" s="6">
        <f>Tabela3[[#This Row],[Capital Social]]*20%</f>
        <v>750000000</v>
      </c>
      <c r="AA78" s="6">
        <f>IF((Tabela3[Lucro Líquido]*5%)&gt;Tabela3[Teto R. Legal],Tabela3[Teto R. Legal],Tabela3[Lucro Líquido]*5%)</f>
        <v>39580700</v>
      </c>
      <c r="AB78" s="6">
        <f>IF(Tabela3[Lucro Líquido]&lt;0,0,Tabela3[Lucro Líquido]-Tabela3[Reserva Legal])</f>
        <v>752033300</v>
      </c>
      <c r="AC78" s="6">
        <f>Tabela3[[#This Row],[Lucro Distribuir]]*Tabela3[%Div]</f>
        <v>188008325</v>
      </c>
      <c r="AD78" s="21">
        <f>SUMPRODUCT(N(Tabela3[Nome]=Tabela3[[#This Row],[Nome]]),Tabela3[Ações])</f>
        <v>408974477</v>
      </c>
      <c r="AE78" s="6">
        <f>Tabela3[Capital Social]/Tabela3[Total Ações]</f>
        <v>9.1692763507097776</v>
      </c>
      <c r="AF78" s="78">
        <f>Tabela3[[#This Row],[Lucro Líquido]]/Tabela3[[#This Row],[Total Ações]]</f>
        <v>1.9356073410908721</v>
      </c>
      <c r="AG78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0.44540351863765171</v>
      </c>
      <c r="AH78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78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0.45891645723393909</v>
      </c>
      <c r="AJ78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0.45891645723393909</v>
      </c>
      <c r="AK78" s="6">
        <f>Tabela3[Div Base]*Tabela3[Ações]</f>
        <v>94097778.775373578</v>
      </c>
      <c r="AL78" s="6">
        <f>SUMPRODUCT(N(Tabela3[Nome]=Tabela3[[#This Row],[Nome]]),Tabela3[Div Base]*Tabela3[Ações])</f>
        <v>188008325</v>
      </c>
      <c r="AM78" s="6">
        <f>Tabela3[Patrimônio Líquido]/Tabela3[Total Ações]</f>
        <v>12.587245144884678</v>
      </c>
      <c r="AN78" s="48">
        <f>MAX(Tabela3[[#This Row],[Cotação 1]:[Cotação 5]])</f>
        <v>12.2</v>
      </c>
      <c r="AO78" s="44">
        <f>Tabela3[Cotação]/Tabela3[VPA]</f>
        <v>0.96923511535468498</v>
      </c>
      <c r="AP78" s="40">
        <f>IF(Tabela3[[#This Row],[Lucro/Ação]]&gt;0,Tabela3[[#This Row],[Cotação]]/(Tabela3[[#This Row],[Lucro/Ação]]/Tabela3[Ref]*4),0)</f>
        <v>6.3029312510895457</v>
      </c>
      <c r="AQ78" s="78">
        <f>Tabela3[Lucro Distribuir]/Tabela3[Total Ações]</f>
        <v>1.8388269740363283</v>
      </c>
      <c r="AR78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0.45891645723393909</v>
      </c>
      <c r="AS78" s="15" t="str">
        <f>IF(AND(Tabela3[% A.A.]&gt;=6%,SUMPRODUCT(N(Tabela3[Nome]=Tabela3[[#This Row],[Nome]]),Tabela3[PL])&gt;0,Tabela3[Rentabilidade s/ PL]&gt;=Tabela3[Rentabilidade s/ PL Média]),"Sim","Não")</f>
        <v>Não</v>
      </c>
      <c r="AT78" s="42">
        <f>IF(Tabela3[Cotação]&gt;0,Tabela3[[#This Row],[Lucro]]/Tabela3[[#This Row],[Cotação]],0)</f>
        <v>3.7616103051962224E-2</v>
      </c>
      <c r="AU78" s="19">
        <f>((1+Tabela3[[#This Row],[% Yield]])^(1/(3*Tabela3[[#This Row],[Ref]])))^(12)-1</f>
        <v>3.7616103051960614E-2</v>
      </c>
      <c r="AV78" s="14">
        <f>IF(Tabela3[Cotação]&gt;0,($BH$1/Tabela3[[#This Row],[Cotação]]-MOD($BH$1/Tabela3[[#This Row],[Cotação]],100)),)</f>
        <v>0</v>
      </c>
      <c r="AW78" s="17">
        <f>Tabela3[[#This Row],[Ativos]]*Tabela3[Lucro]</f>
        <v>0</v>
      </c>
      <c r="AX78" s="5">
        <f>SUMPRODUCT(N(Tabela1[Código]=Tabela3[[#This Row],[PAPEL]]),Tabela1[Fechamento])</f>
        <v>12.2</v>
      </c>
      <c r="AY78" s="5">
        <f>SUMPRODUCT(N(Tabela17[Código]=Tabela3[[#This Row],[PAPEL]]),Tabela17[Fechamento])</f>
        <v>0</v>
      </c>
      <c r="AZ78" s="7">
        <f>SUMPRODUCT(N(Tabela176[Código]=Tabela3[[#This Row],[PAPEL]]),Tabela176[Fechamento])</f>
        <v>0</v>
      </c>
      <c r="BA78" s="7">
        <f>SUMPRODUCT(N(Tabela1768[Código]=Tabela3[[#This Row],[PAPEL]]),Tabela1768[Fechamento])</f>
        <v>0</v>
      </c>
      <c r="BB78" s="7">
        <f>SUMPRODUCT(N(Tabela17683[Código]=Tabela3[[#This Row],[PAPEL]]),Tabela17683[Fechamento])</f>
        <v>0</v>
      </c>
    </row>
    <row r="79" spans="1:54" hidden="1" x14ac:dyDescent="0.2">
      <c r="A79" s="4" t="s">
        <v>14</v>
      </c>
      <c r="B79" s="57" t="s">
        <v>206</v>
      </c>
      <c r="C79" s="14" t="str">
        <f>LEFT(Tabela3[PAPEL],LEN(Tabela3[PAPEL])-(LEN(Tabela3[PAPEL])-4))</f>
        <v>BRSR</v>
      </c>
      <c r="D79" s="15">
        <v>4</v>
      </c>
      <c r="E79" s="6">
        <v>3750000000</v>
      </c>
      <c r="F79" s="8">
        <v>3542377</v>
      </c>
      <c r="G79" s="86">
        <v>0.25</v>
      </c>
      <c r="H79" s="15"/>
      <c r="I79" s="19">
        <v>0.06</v>
      </c>
      <c r="J79" s="19"/>
      <c r="K79" s="88"/>
      <c r="L79" s="88"/>
      <c r="M79" s="55"/>
      <c r="N79" s="55"/>
      <c r="O79" s="55"/>
      <c r="P79" s="6">
        <v>5147862000</v>
      </c>
      <c r="Q79" s="6">
        <v>791614000</v>
      </c>
      <c r="R79" s="6">
        <f>IF(Tabela3[[#This Row],[Ativo || Passivo]]&gt;0,Tabela3[[#This Row],[Ativo || Passivo]]-Tabela3[[#This Row],[Patrimônio Líquido]],0)</f>
        <v>0</v>
      </c>
      <c r="S79" s="6">
        <f>Tabela3[[#This Row],[Cotação]]*Tabela3[[#This Row],[Total Ações]]</f>
        <v>4461911544.0699997</v>
      </c>
      <c r="T79" s="134">
        <f>IF(Tabela3[[#This Row],[Passivo Circulante]]&gt;0,Tabela3[[#This Row],[Ativo Circulante]]/Tabela3[[#This Row],[Passivo Circulante]],0)</f>
        <v>0</v>
      </c>
      <c r="U79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79" s="19">
        <f>IF(Tabela3[[#This Row],[Lucro Líquido]]&gt;0,Tabela3[[#This Row],[Lucro Líquido]]/Tabela3[[#This Row],[Patrimônio Líquido]],0)</f>
        <v>0.15377529545275301</v>
      </c>
      <c r="W79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79" s="19">
        <f>IF(Tabela3[[#This Row],[Dívida]]&gt;0,Tabela3[[#This Row],[Dívida]]/Tabela3[[#This Row],[Patrimônio Líquido]],0)</f>
        <v>0</v>
      </c>
      <c r="Y79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79" s="6">
        <f>Tabela3[[#This Row],[Capital Social]]*20%</f>
        <v>750000000</v>
      </c>
      <c r="AA79" s="6">
        <f>IF((Tabela3[Lucro Líquido]*5%)&gt;Tabela3[Teto R. Legal],Tabela3[Teto R. Legal],Tabela3[Lucro Líquido]*5%)</f>
        <v>39580700</v>
      </c>
      <c r="AB79" s="6">
        <f>IF(Tabela3[Lucro Líquido]&lt;0,0,Tabela3[Lucro Líquido]-Tabela3[Reserva Legal])</f>
        <v>752033300</v>
      </c>
      <c r="AC79" s="6">
        <f>Tabela3[[#This Row],[Lucro Distribuir]]*Tabela3[%Div]</f>
        <v>188008325</v>
      </c>
      <c r="AD79" s="21">
        <f>SUMPRODUCT(N(Tabela3[Nome]=Tabela3[[#This Row],[Nome]]),Tabela3[Ações])</f>
        <v>408974477</v>
      </c>
      <c r="AE79" s="6">
        <f>Tabela3[Capital Social]/Tabela3[Total Ações]</f>
        <v>9.1692763507097776</v>
      </c>
      <c r="AF79" s="78">
        <f>Tabela3[[#This Row],[Lucro Líquido]]/Tabela3[[#This Row],[Total Ações]]</f>
        <v>1.9356073410908721</v>
      </c>
      <c r="AG79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0.44540351863765171</v>
      </c>
      <c r="AH79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79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0.55015658104258669</v>
      </c>
      <c r="AJ79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0.55015658104258669</v>
      </c>
      <c r="AK79" s="6">
        <f>Tabela3[Div Base]*Tabela3[Ações]</f>
        <v>1948862.019083895</v>
      </c>
      <c r="AL79" s="6">
        <f>SUMPRODUCT(N(Tabela3[Nome]=Tabela3[[#This Row],[Nome]]),Tabela3[Div Base]*Tabela3[Ações])</f>
        <v>188008325</v>
      </c>
      <c r="AM79" s="6">
        <f>Tabela3[Patrimônio Líquido]/Tabela3[Total Ações]</f>
        <v>12.587245144884678</v>
      </c>
      <c r="AN79" s="48">
        <f>MAX(Tabela3[[#This Row],[Cotação 1]:[Cotação 5]])</f>
        <v>10.91</v>
      </c>
      <c r="AO79" s="44">
        <f>Tabela3[Cotação]/Tabela3[VPA]</f>
        <v>0.86675041873111591</v>
      </c>
      <c r="AP79" s="40">
        <f>IF(Tabela3[[#This Row],[Lucro/Ação]]&gt;0,Tabela3[[#This Row],[Cotação]]/(Tabela3[[#This Row],[Lucro/Ação]]/Tabela3[Ref]*4),0)</f>
        <v>5.6364737663431921</v>
      </c>
      <c r="AQ79" s="78">
        <f>Tabela3[Lucro Distribuir]/Tabela3[Total Ações]</f>
        <v>1.8388269740363283</v>
      </c>
      <c r="AR79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0.55015658104258669</v>
      </c>
      <c r="AS79" s="15" t="str">
        <f>IF(AND(Tabela3[% A.A.]&gt;=6%,SUMPRODUCT(N(Tabela3[Nome]=Tabela3[[#This Row],[Nome]]),Tabela3[PL])&gt;0,Tabela3[Rentabilidade s/ PL]&gt;=Tabela3[Rentabilidade s/ PL Média]),"Sim","Não")</f>
        <v>Não</v>
      </c>
      <c r="AT79" s="42">
        <f>IF(Tabela3[Cotação]&gt;0,Tabela3[[#This Row],[Lucro]]/Tabela3[[#This Row],[Cotação]],0)</f>
        <v>5.0426817694095939E-2</v>
      </c>
      <c r="AU79" s="19">
        <f>((1+Tabela3[[#This Row],[% Yield]])^(1/(3*Tabela3[[#This Row],[Ref]])))^(12)-1</f>
        <v>5.0426817694095627E-2</v>
      </c>
      <c r="AV79" s="14">
        <f>IF(Tabela3[Cotação]&gt;0,($BH$1/Tabela3[[#This Row],[Cotação]]-MOD($BH$1/Tabela3[[#This Row],[Cotação]],100)),)</f>
        <v>0</v>
      </c>
      <c r="AW79" s="17">
        <f>Tabela3[[#This Row],[Ativos]]*Tabela3[Lucro]</f>
        <v>0</v>
      </c>
      <c r="AX79" s="5">
        <f>SUMPRODUCT(N(Tabela1[Código]=Tabela3[[#This Row],[PAPEL]]),Tabela1[Fechamento])</f>
        <v>10.91</v>
      </c>
      <c r="AY79" s="5">
        <f>SUMPRODUCT(N(Tabela17[Código]=Tabela3[[#This Row],[PAPEL]]),Tabela17[Fechamento])</f>
        <v>0</v>
      </c>
      <c r="AZ79" s="7">
        <f>SUMPRODUCT(N(Tabela176[Código]=Tabela3[[#This Row],[PAPEL]]),Tabela176[Fechamento])</f>
        <v>0</v>
      </c>
      <c r="BA79" s="7">
        <f>SUMPRODUCT(N(Tabela1768[Código]=Tabela3[[#This Row],[PAPEL]]),Tabela1768[Fechamento])</f>
        <v>0</v>
      </c>
      <c r="BB79" s="7">
        <f>SUMPRODUCT(N(Tabela17683[Código]=Tabela3[[#This Row],[PAPEL]]),Tabela17683[Fechamento])</f>
        <v>0</v>
      </c>
    </row>
    <row r="80" spans="1:54" hidden="1" x14ac:dyDescent="0.2">
      <c r="A80" s="4" t="s">
        <v>14</v>
      </c>
      <c r="B80" s="57" t="s">
        <v>23</v>
      </c>
      <c r="C80" s="14" t="str">
        <f>LEFT(Tabela3[PAPEL],LEN(Tabela3[PAPEL])-(LEN(Tabela3[PAPEL])-4))</f>
        <v>BRSR</v>
      </c>
      <c r="D80" s="15">
        <v>4</v>
      </c>
      <c r="E80" s="6">
        <v>3750000000</v>
      </c>
      <c r="F80" s="8">
        <v>200388726</v>
      </c>
      <c r="G80" s="81">
        <v>0.25</v>
      </c>
      <c r="H80" s="15"/>
      <c r="I80" s="19"/>
      <c r="J80" s="19">
        <v>0.1</v>
      </c>
      <c r="K80" s="88"/>
      <c r="L80" s="88"/>
      <c r="M80" s="55"/>
      <c r="N80" s="55"/>
      <c r="O80" s="55"/>
      <c r="P80" s="6">
        <v>5147862000</v>
      </c>
      <c r="Q80" s="6">
        <v>791614000</v>
      </c>
      <c r="R80" s="6">
        <f>IF(Tabela3[[#This Row],[Ativo || Passivo]]&gt;0,Tabela3[[#This Row],[Ativo || Passivo]]-Tabela3[[#This Row],[Patrimônio Líquido]],0)</f>
        <v>0</v>
      </c>
      <c r="S80" s="6">
        <f>Tabela3[[#This Row],[Cotação]]*Tabela3[[#This Row],[Total Ações]]</f>
        <v>4527347460.3900003</v>
      </c>
      <c r="T80" s="134">
        <f>IF(Tabela3[[#This Row],[Passivo Circulante]]&gt;0,Tabela3[[#This Row],[Ativo Circulante]]/Tabela3[[#This Row],[Passivo Circulante]],0)</f>
        <v>0</v>
      </c>
      <c r="U80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80" s="19">
        <f>IF(Tabela3[[#This Row],[Lucro Líquido]]&gt;0,Tabela3[[#This Row],[Lucro Líquido]]/Tabela3[[#This Row],[Patrimônio Líquido]],0)</f>
        <v>0.15377529545275301</v>
      </c>
      <c r="W80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80" s="19">
        <f>IF(Tabela3[[#This Row],[Dívida]]&gt;0,Tabela3[[#This Row],[Dívida]]/Tabela3[[#This Row],[Patrimônio Líquido]],0)</f>
        <v>0</v>
      </c>
      <c r="Y80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80" s="6">
        <f>Tabela3[[#This Row],[Capital Social]]*20%</f>
        <v>750000000</v>
      </c>
      <c r="AA80" s="6">
        <f>IF((Tabela3[Lucro Líquido]*5%)&gt;Tabela3[Teto R. Legal],Tabela3[Teto R. Legal],Tabela3[Lucro Líquido]*5%)</f>
        <v>39580700</v>
      </c>
      <c r="AB80" s="6">
        <f>IF(Tabela3[Lucro Líquido]&lt;0,0,Tabela3[Lucro Líquido]-Tabela3[Reserva Legal])</f>
        <v>752033300</v>
      </c>
      <c r="AC80" s="6">
        <f>Tabela3[[#This Row],[Lucro Distribuir]]*Tabela3[%Div]</f>
        <v>188008325</v>
      </c>
      <c r="AD80" s="21">
        <f>SUMPRODUCT(N(Tabela3[Nome]=Tabela3[[#This Row],[Nome]]),Tabela3[Ações])</f>
        <v>408974477</v>
      </c>
      <c r="AE80" s="6">
        <f>Tabela3[Capital Social]/Tabela3[Total Ações]</f>
        <v>9.1692763507097776</v>
      </c>
      <c r="AF80" s="78">
        <f>Tabela3[[#This Row],[Lucro Líquido]]/Tabela3[[#This Row],[Total Ações]]</f>
        <v>1.9356073410908721</v>
      </c>
      <c r="AG80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0.4899438711725887</v>
      </c>
      <c r="AH80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80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0.45891645723393909</v>
      </c>
      <c r="AJ80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0.45891645723393909</v>
      </c>
      <c r="AK80" s="6">
        <f>Tabela3[Div Base]*Tabela3[Ações]</f>
        <v>91961684.205542535</v>
      </c>
      <c r="AL80" s="6">
        <f>SUMPRODUCT(N(Tabela3[Nome]=Tabela3[[#This Row],[Nome]]),Tabela3[Div Base]*Tabela3[Ações])</f>
        <v>188008325</v>
      </c>
      <c r="AM80" s="6">
        <f>Tabela3[Patrimônio Líquido]/Tabela3[Total Ações]</f>
        <v>12.587245144884678</v>
      </c>
      <c r="AN80" s="48">
        <f>MAX(Tabela3[[#This Row],[Cotação 1]:[Cotação 5]])</f>
        <v>11.07</v>
      </c>
      <c r="AO80" s="44">
        <f>Tabela3[Cotação]/Tabela3[VPA]</f>
        <v>0.87946169893248882</v>
      </c>
      <c r="AP80" s="40">
        <f>IF(Tabela3[[#This Row],[Lucro/Ação]]&gt;0,Tabela3[[#This Row],[Cotação]]/(Tabela3[[#This Row],[Lucro/Ação]]/Tabela3[Ref]*4),0)</f>
        <v>5.7191351598001043</v>
      </c>
      <c r="AQ80" s="78">
        <f>Tabela3[Lucro Distribuir]/Tabela3[Total Ações]</f>
        <v>1.8388269740363283</v>
      </c>
      <c r="AR80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0.45891645723393909</v>
      </c>
      <c r="AS80" s="15" t="str">
        <f>IF(AND(Tabela3[% A.A.]&gt;=6%,SUMPRODUCT(N(Tabela3[Nome]=Tabela3[[#This Row],[Nome]]),Tabela3[PL])&gt;0,Tabela3[Rentabilidade s/ PL]&gt;=Tabela3[Rentabilidade s/ PL Média]),"Sim","Não")</f>
        <v>Não</v>
      </c>
      <c r="AT80" s="42">
        <f>IF(Tabela3[Cotação]&gt;0,Tabela3[[#This Row],[Lucro]]/Tabela3[[#This Row],[Cotação]],0)</f>
        <v>4.1455867862144453E-2</v>
      </c>
      <c r="AU80" s="19">
        <f>((1+Tabela3[[#This Row],[% Yield]])^(1/(3*Tabela3[[#This Row],[Ref]])))^(12)-1</f>
        <v>4.1455867862144169E-2</v>
      </c>
      <c r="AV80" s="14">
        <f>IF(Tabela3[Cotação]&gt;0,($BH$1/Tabela3[[#This Row],[Cotação]]-MOD($BH$1/Tabela3[[#This Row],[Cotação]],100)),)</f>
        <v>0</v>
      </c>
      <c r="AW80" s="17">
        <f>Tabela3[[#This Row],[Ativos]]*Tabela3[Lucro]</f>
        <v>0</v>
      </c>
      <c r="AX80" s="5">
        <f>SUMPRODUCT(N(Tabela1[Código]=Tabela3[[#This Row],[PAPEL]]),Tabela1[Fechamento])</f>
        <v>11.07</v>
      </c>
      <c r="AY80" s="5">
        <f>SUMPRODUCT(N(Tabela17[Código]=Tabela3[[#This Row],[PAPEL]]),Tabela17[Fechamento])</f>
        <v>0</v>
      </c>
      <c r="AZ80" s="7">
        <f>SUMPRODUCT(N(Tabela176[Código]=Tabela3[[#This Row],[PAPEL]]),Tabela176[Fechamento])</f>
        <v>0</v>
      </c>
      <c r="BA80" s="7">
        <f>SUMPRODUCT(N(Tabela1768[Código]=Tabela3[[#This Row],[PAPEL]]),Tabela1768[Fechamento])</f>
        <v>0</v>
      </c>
      <c r="BB80" s="7">
        <f>SUMPRODUCT(N(Tabela17683[Código]=Tabela3[[#This Row],[PAPEL]]),Tabela17683[Fechamento])</f>
        <v>0</v>
      </c>
    </row>
    <row r="81" spans="1:54" hidden="1" x14ac:dyDescent="0.2">
      <c r="A81" s="4" t="s">
        <v>340</v>
      </c>
      <c r="B81" s="57" t="s">
        <v>339</v>
      </c>
      <c r="C81" s="82" t="str">
        <f>LEFT(Tabela3[PAPEL],LEN(Tabela3[PAPEL])-(LEN(Tabela3[PAPEL])-4))</f>
        <v>ETER</v>
      </c>
      <c r="D81" s="15">
        <v>3</v>
      </c>
      <c r="E81" s="6">
        <v>334251231.39999998</v>
      </c>
      <c r="F81" s="8">
        <v>89500000</v>
      </c>
      <c r="G81" s="81">
        <v>0.25</v>
      </c>
      <c r="H81" s="19"/>
      <c r="I81" s="19"/>
      <c r="J81" s="19"/>
      <c r="K81" s="88"/>
      <c r="L81" s="88"/>
      <c r="M81" s="55"/>
      <c r="N81" s="55"/>
      <c r="O81" s="55"/>
      <c r="P81" s="6">
        <v>502819000</v>
      </c>
      <c r="Q81" s="6">
        <v>76981000</v>
      </c>
      <c r="R81" s="6">
        <f>IF(Tabela3[[#This Row],[Ativo || Passivo]]&gt;0,Tabela3[[#This Row],[Ativo || Passivo]]-Tabela3[[#This Row],[Patrimônio Líquido]],0)</f>
        <v>0</v>
      </c>
      <c r="S81" s="6">
        <f>Tabela3[[#This Row],[Cotação]]*Tabela3[[#This Row],[Total Ações]]</f>
        <v>733005000</v>
      </c>
      <c r="T81" s="134">
        <f>IF(Tabela3[[#This Row],[Passivo Circulante]]&gt;0,Tabela3[[#This Row],[Ativo Circulante]]/Tabela3[[#This Row],[Passivo Circulante]],0)</f>
        <v>0</v>
      </c>
      <c r="U81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81" s="19">
        <f>IF(Tabela3[[#This Row],[Lucro Líquido]]&gt;0,Tabela3[[#This Row],[Lucro Líquido]]/Tabela3[[#This Row],[Patrimônio Líquido]],0)</f>
        <v>0.15309882880320752</v>
      </c>
      <c r="W81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81" s="19">
        <f>IF(Tabela3[[#This Row],[Dívida]]&gt;0,Tabela3[[#This Row],[Dívida]]/Tabela3[[#This Row],[Patrimônio Líquido]],0)</f>
        <v>0</v>
      </c>
      <c r="Y81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81" s="6">
        <f>Tabela3[[#This Row],[Capital Social]]*20%</f>
        <v>66850246.280000001</v>
      </c>
      <c r="AA81" s="6">
        <f>IF((Tabela3[Lucro Líquido]*5%)&gt;Tabela3[Teto R. Legal],Tabela3[Teto R. Legal],Tabela3[Lucro Líquido]*5%)</f>
        <v>3849050</v>
      </c>
      <c r="AB81" s="6">
        <f>IF(Tabela3[Lucro Líquido]&lt;0,0,Tabela3[Lucro Líquido]-Tabela3[Reserva Legal])</f>
        <v>73131950</v>
      </c>
      <c r="AC81" s="6">
        <f>Tabela3[[#This Row],[Lucro Distribuir]]*Tabela3[%Div]</f>
        <v>18282987.5</v>
      </c>
      <c r="AD81" s="21">
        <f>SUMPRODUCT(N(Tabela3[Nome]=Tabela3[[#This Row],[Nome]]),Tabela3[Ações])</f>
        <v>89500000</v>
      </c>
      <c r="AE81" s="6">
        <f>Tabela3[Capital Social]/Tabela3[Total Ações]</f>
        <v>3.7346506301675975</v>
      </c>
      <c r="AF81" s="78">
        <f>Tabela3[[#This Row],[Lucro Líquido]]/Tabela3[[#This Row],[Total Ações]]</f>
        <v>0.86012290502793298</v>
      </c>
      <c r="AG81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0.20427918994413408</v>
      </c>
      <c r="AH81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81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81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0.20427918994413408</v>
      </c>
      <c r="AK81" s="6">
        <f>Tabela3[Div Base]*Tabela3[Ações]</f>
        <v>18282987.5</v>
      </c>
      <c r="AL81" s="6">
        <f>SUMPRODUCT(N(Tabela3[Nome]=Tabela3[[#This Row],[Nome]]),Tabela3[Div Base]*Tabela3[Ações])</f>
        <v>18282987.5</v>
      </c>
      <c r="AM81" s="6">
        <f>Tabela3[Patrimônio Líquido]/Tabela3[Total Ações]</f>
        <v>5.6180893854748604</v>
      </c>
      <c r="AN81" s="48">
        <f>MAX(Tabela3[[#This Row],[Cotação 1]:[Cotação 5]])</f>
        <v>8.19</v>
      </c>
      <c r="AO81" s="44">
        <f>Tabela3[Cotação]/Tabela3[VPA]</f>
        <v>1.4577909744858486</v>
      </c>
      <c r="AP81" s="40">
        <f>IF(Tabela3[[#This Row],[Lucro/Ação]]&gt;0,Tabela3[[#This Row],[Cotação]]/(Tabela3[[#This Row],[Lucro/Ação]]/Tabela3[Ref]*4),0)</f>
        <v>7.1414212597913762</v>
      </c>
      <c r="AQ81" s="78">
        <f>Tabela3[Lucro Distribuir]/Tabela3[Total Ações]</f>
        <v>0.81711675977653631</v>
      </c>
      <c r="AR81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0.20427918994413408</v>
      </c>
      <c r="AS81" s="15" t="str">
        <f>IF(AND(Tabela3[% A.A.]&gt;=6%,SUMPRODUCT(N(Tabela3[Nome]=Tabela3[[#This Row],[Nome]]),Tabela3[PL])&gt;0,Tabela3[Rentabilidade s/ PL]&gt;=Tabela3[Rentabilidade s/ PL Média]),"Sim","Não")</f>
        <v>Não</v>
      </c>
      <c r="AT81" s="42">
        <f>IF(Tabela3[Cotação]&gt;0,Tabela3[[#This Row],[Lucro]]/Tabela3[[#This Row],[Cotação]],0)</f>
        <v>2.4942514034692807E-2</v>
      </c>
      <c r="AU81" s="19">
        <f>((1+Tabela3[[#This Row],[% Yield]])^(1/(3*Tabela3[[#This Row],[Ref]])))^(12)-1</f>
        <v>3.3394177835027739E-2</v>
      </c>
      <c r="AV81" s="14">
        <f>IF(Tabela3[Cotação]&gt;0,($BD$1/Tabela3[[#This Row],[Cotação]]-MOD($BD$1/Tabela3[[#This Row],[Cotação]],100)),)</f>
        <v>0</v>
      </c>
      <c r="AW81" s="17">
        <f>Tabela3[[#This Row],[Ativos]]*Tabela3[Lucro]</f>
        <v>0</v>
      </c>
      <c r="AX81" s="13">
        <f>SUMPRODUCT(N(Tabela1[Código]=Tabela3[[#This Row],[PAPEL]]),Tabela1[Fechamento])</f>
        <v>0</v>
      </c>
      <c r="AY81" s="55">
        <f>SUMPRODUCT(N(Tabela17[Código]=Tabela3[[#This Row],[PAPEL]]),Tabela17[Fechamento])</f>
        <v>8.19</v>
      </c>
      <c r="AZ81" s="7">
        <f>SUMPRODUCT(N(Tabela176[Código]=Tabela3[[#This Row],[PAPEL]]),Tabela176[Fechamento])</f>
        <v>0</v>
      </c>
      <c r="BA81" s="7">
        <f>SUMPRODUCT(N(Tabela1768[Código]=Tabela3[[#This Row],[PAPEL]]),Tabela1768[Fechamento])</f>
        <v>0</v>
      </c>
      <c r="BB81" s="7">
        <f>SUMPRODUCT(N(Tabela17683[Código]=Tabela3[[#This Row],[PAPEL]]),Tabela17683[Fechamento])</f>
        <v>0</v>
      </c>
    </row>
    <row r="82" spans="1:54" hidden="1" x14ac:dyDescent="0.2">
      <c r="A82" s="4" t="s">
        <v>12</v>
      </c>
      <c r="B82" s="57" t="s">
        <v>451</v>
      </c>
      <c r="C82" s="15" t="str">
        <f>LEFT(Tabela3[PAPEL],LEN(Tabela3[PAPEL])-(LEN(Tabela3[PAPEL])-4))</f>
        <v>AFLU</v>
      </c>
      <c r="D82" s="15">
        <v>3</v>
      </c>
      <c r="E82" s="6">
        <v>30916200</v>
      </c>
      <c r="F82" s="8">
        <v>10930451</v>
      </c>
      <c r="G82" s="81">
        <v>0.25</v>
      </c>
      <c r="H82" s="15"/>
      <c r="I82" s="19"/>
      <c r="J82" s="19"/>
      <c r="K82" s="88"/>
      <c r="L82" s="88"/>
      <c r="M82" s="55">
        <v>47076000</v>
      </c>
      <c r="N82" s="55">
        <v>6105000</v>
      </c>
      <c r="O82" s="55">
        <v>5255000</v>
      </c>
      <c r="P82" s="89">
        <v>41755000</v>
      </c>
      <c r="Q82" s="89">
        <v>6373000</v>
      </c>
      <c r="R82" s="89">
        <f>IF(Tabela3[[#This Row],[Ativo || Passivo]]&gt;0,Tabela3[[#This Row],[Ativo || Passivo]]-Tabela3[[#This Row],[Patrimônio Líquido]],0)</f>
        <v>5321000</v>
      </c>
      <c r="S82" s="89">
        <f>Tabela3[[#This Row],[Cotação]]*Tabela3[[#This Row],[Total Ações]]</f>
        <v>104438412.59999999</v>
      </c>
      <c r="T82" s="134">
        <f>IF(Tabela3[[#This Row],[Passivo Circulante]]&gt;0,Tabela3[[#This Row],[Ativo Circulante]]/Tabela3[[#This Row],[Passivo Circulante]],0)</f>
        <v>1.1617507136060894</v>
      </c>
      <c r="U82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82" s="19">
        <f>IF(Tabela3[[#This Row],[Lucro Líquido]]&gt;0,Tabela3[[#This Row],[Lucro Líquido]]/Tabela3[[#This Row],[Patrimônio Líquido]],0)</f>
        <v>0.15262842773320559</v>
      </c>
      <c r="W82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82" s="19">
        <f>IF(Tabela3[[#This Row],[Dívida]]&gt;0,Tabela3[[#This Row],[Dívida]]/Tabela3[[#This Row],[Patrimônio Líquido]],0)</f>
        <v>0.12743384025865165</v>
      </c>
      <c r="Y82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82" s="13">
        <f>Tabela3[[#This Row],[Capital Social]]*20%</f>
        <v>6183240</v>
      </c>
      <c r="AA82" s="13">
        <f>IF((Tabela3[Lucro Líquido]*5%)&gt;Tabela3[Teto R. Legal],Tabela3[Teto R. Legal],Tabela3[Lucro Líquido]*5%)</f>
        <v>318650</v>
      </c>
      <c r="AB82" s="89">
        <f>IF(Tabela3[Lucro Líquido]&lt;0,0,Tabela3[Lucro Líquido]-Tabela3[Reserva Legal])</f>
        <v>6054350</v>
      </c>
      <c r="AC82" s="89">
        <f>Tabela3[[#This Row],[Lucro Distribuir]]*Tabela3[%Div]</f>
        <v>1513587.5</v>
      </c>
      <c r="AD82" s="56">
        <f>SUMPRODUCT(N(Tabela3[Nome]=Tabela3[[#This Row],[Nome]]),Tabela3[Ações])</f>
        <v>18817732</v>
      </c>
      <c r="AE82" s="6">
        <f>Tabela3[Capital Social]/Tabela3[Total Ações]</f>
        <v>1.6429291266343893</v>
      </c>
      <c r="AF82" s="78">
        <f>Tabela3[[#This Row],[Lucro Líquido]]/Tabela3[[#This Row],[Total Ações]]</f>
        <v>0.33866993110540633</v>
      </c>
      <c r="AG82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7.7931497659078822E-2</v>
      </c>
      <c r="AH82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82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7.0707652761827167E-2</v>
      </c>
      <c r="AJ82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7.0707652761827167E-2</v>
      </c>
      <c r="AK82" s="13">
        <f>Tabela3[Div Base]*Tabela3[Ações]</f>
        <v>772866.53383816651</v>
      </c>
      <c r="AL82" s="13">
        <f>SUMPRODUCT(N(Tabela3[Nome]=Tabela3[[#This Row],[Nome]]),Tabela3[Div Base]*Tabela3[Ações])</f>
        <v>1513587.5000000002</v>
      </c>
      <c r="AM82" s="6">
        <f>Tabela3[Patrimônio Líquido]/Tabela3[Total Ações]</f>
        <v>2.2189177739379007</v>
      </c>
      <c r="AN82" s="48">
        <f>MAX(Tabela3[[#This Row],[Cotação 1]:[Cotação 5]])</f>
        <v>5.55</v>
      </c>
      <c r="AO82" s="44">
        <f>Tabela3[Cotação]/Tabela3[VPA]</f>
        <v>2.5012193174470121</v>
      </c>
      <c r="AP82" s="40">
        <f>IF(Tabela3[[#This Row],[Lucro/Ação]]&gt;0,Tabela3[[#This Row],[Cotação]]/(Tabela3[[#This Row],[Lucro/Ação]]/Tabela3[Ref]*4),0)</f>
        <v>12.290727985250275</v>
      </c>
      <c r="AQ82" s="78">
        <f>Tabela3[Lucro Distribuir]/Tabela3[Total Ações]</f>
        <v>0.32173643455013601</v>
      </c>
      <c r="AR82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7.0707652761827167E-2</v>
      </c>
      <c r="AS82" s="14" t="str">
        <f>IF(AND(Tabela3[% A.A.]&gt;=6%,SUMPRODUCT(N(Tabela3[Nome]=Tabela3[[#This Row],[Nome]]),Tabela3[PL])&gt;0,Tabela3[Rentabilidade s/ PL]&gt;=Tabela3[Rentabilidade s/ PL Média]),"Sim","Não")</f>
        <v>Não</v>
      </c>
      <c r="AT82" s="42">
        <f>IF(Tabela3[Cotação]&gt;0,Tabela3[[#This Row],[Lucro]]/Tabela3[[#This Row],[Cotação]],0)</f>
        <v>1.2740117614743633E-2</v>
      </c>
      <c r="AU82" s="42">
        <f>((1+Tabela3[[#This Row],[% Yield]])^(1/(3*Tabela3[[#This Row],[Ref]])))^(12)-1</f>
        <v>1.7022790929911435E-2</v>
      </c>
      <c r="AV82" s="14">
        <f>IF(Tabela3[Cotação]&gt;0,($BH$1/Tabela3[[#This Row],[Cotação]]-MOD($BH$1/Tabela3[[#This Row],[Cotação]],100)),)</f>
        <v>0</v>
      </c>
      <c r="AW82" s="17">
        <f>Tabela3[[#This Row],[Ativos]]*Tabela3[Lucro]</f>
        <v>0</v>
      </c>
      <c r="AX82" s="17">
        <f>SUMPRODUCT(N(Tabela1[Código]=Tabela3[[#This Row],[PAPEL]]),Tabela1[Fechamento])</f>
        <v>0</v>
      </c>
      <c r="AY82" s="17">
        <f>SUMPRODUCT(N(Tabela17[Código]=Tabela3[[#This Row],[PAPEL]]),Tabela17[Fechamento])</f>
        <v>5.55</v>
      </c>
      <c r="AZ82" s="7">
        <f>SUMPRODUCT(N(Tabela176[Código]=Tabela3[[#This Row],[PAPEL]]),Tabela176[Fechamento])</f>
        <v>0</v>
      </c>
      <c r="BA82" s="7">
        <f>SUMPRODUCT(N(Tabela1768[Código]=Tabela3[[#This Row],[PAPEL]]),Tabela1768[Fechamento])</f>
        <v>0</v>
      </c>
      <c r="BB82" s="7">
        <f>SUMPRODUCT(N(Tabela17683[Código]=Tabela3[[#This Row],[PAPEL]]),Tabela17683[Fechamento])</f>
        <v>0</v>
      </c>
    </row>
    <row r="83" spans="1:54" hidden="1" x14ac:dyDescent="0.2">
      <c r="A83" s="4" t="s">
        <v>12</v>
      </c>
      <c r="B83" s="57" t="s">
        <v>452</v>
      </c>
      <c r="C83" s="15" t="str">
        <f>LEFT(Tabela3[PAPEL],LEN(Tabela3[PAPEL])-(LEN(Tabela3[PAPEL])-4))</f>
        <v>AFLU</v>
      </c>
      <c r="D83" s="15">
        <v>3</v>
      </c>
      <c r="E83" s="6">
        <v>30916200</v>
      </c>
      <c r="F83" s="8">
        <v>1955755</v>
      </c>
      <c r="G83" s="81">
        <v>0.25</v>
      </c>
      <c r="H83" s="15"/>
      <c r="I83" s="19">
        <v>0.1</v>
      </c>
      <c r="J83" s="19"/>
      <c r="K83" s="88"/>
      <c r="L83" s="88"/>
      <c r="M83" s="55">
        <v>47076000</v>
      </c>
      <c r="N83" s="55">
        <v>6105000</v>
      </c>
      <c r="O83" s="55">
        <v>5255000</v>
      </c>
      <c r="P83" s="89">
        <v>41755000</v>
      </c>
      <c r="Q83" s="89">
        <v>6373000</v>
      </c>
      <c r="R83" s="89">
        <f>IF(Tabela3[[#This Row],[Ativo || Passivo]]&gt;0,Tabela3[[#This Row],[Ativo || Passivo]]-Tabela3[[#This Row],[Patrimônio Líquido]],0)</f>
        <v>5321000</v>
      </c>
      <c r="S83" s="89">
        <f>Tabela3[[#This Row],[Cotação]]*Tabela3[[#This Row],[Total Ações]]</f>
        <v>0</v>
      </c>
      <c r="T83" s="134">
        <f>IF(Tabela3[[#This Row],[Passivo Circulante]]&gt;0,Tabela3[[#This Row],[Ativo Circulante]]/Tabela3[[#This Row],[Passivo Circulante]],0)</f>
        <v>1.1617507136060894</v>
      </c>
      <c r="U83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83" s="19">
        <f>IF(Tabela3[[#This Row],[Lucro Líquido]]&gt;0,Tabela3[[#This Row],[Lucro Líquido]]/Tabela3[[#This Row],[Patrimônio Líquido]],0)</f>
        <v>0.15262842773320559</v>
      </c>
      <c r="W83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83" s="19">
        <f>IF(Tabela3[[#This Row],[Dívida]]&gt;0,Tabela3[[#This Row],[Dívida]]/Tabela3[[#This Row],[Patrimônio Líquido]],0)</f>
        <v>0.12743384025865165</v>
      </c>
      <c r="Y83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83" s="13">
        <f>Tabela3[[#This Row],[Capital Social]]*20%</f>
        <v>6183240</v>
      </c>
      <c r="AA83" s="13">
        <f>IF((Tabela3[Lucro Líquido]*5%)&gt;Tabela3[Teto R. Legal],Tabela3[Teto R. Legal],Tabela3[Lucro Líquido]*5%)</f>
        <v>318650</v>
      </c>
      <c r="AB83" s="89">
        <f>IF(Tabela3[Lucro Líquido]&lt;0,0,Tabela3[Lucro Líquido]-Tabela3[Reserva Legal])</f>
        <v>6054350</v>
      </c>
      <c r="AC83" s="89">
        <f>Tabela3[[#This Row],[Lucro Distribuir]]*Tabela3[%Div]</f>
        <v>1513587.5</v>
      </c>
      <c r="AD83" s="56">
        <f>SUMPRODUCT(N(Tabela3[Nome]=Tabela3[[#This Row],[Nome]]),Tabela3[Ações])</f>
        <v>18817732</v>
      </c>
      <c r="AE83" s="6">
        <f>Tabela3[Capital Social]/Tabela3[Total Ações]</f>
        <v>1.6429291266343893</v>
      </c>
      <c r="AF83" s="78">
        <f>Tabela3[[#This Row],[Lucro Líquido]]/Tabela3[[#This Row],[Total Ações]]</f>
        <v>0.33866993110540633</v>
      </c>
      <c r="AG83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7.7931497659078822E-2</v>
      </c>
      <c r="AH83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83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0.16429291266343893</v>
      </c>
      <c r="AJ83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0.16429291266343893</v>
      </c>
      <c r="AK83" s="13">
        <f>Tabela3[Div Base]*Tabela3[Ações]</f>
        <v>321316.685406084</v>
      </c>
      <c r="AL83" s="13">
        <f>SUMPRODUCT(N(Tabela3[Nome]=Tabela3[[#This Row],[Nome]]),Tabela3[Div Base]*Tabela3[Ações])</f>
        <v>1513587.5000000002</v>
      </c>
      <c r="AM83" s="6">
        <f>Tabela3[Patrimônio Líquido]/Tabela3[Total Ações]</f>
        <v>2.2189177739379007</v>
      </c>
      <c r="AN83" s="48">
        <f>MAX(Tabela3[[#This Row],[Cotação 1]:[Cotação 5]])</f>
        <v>0</v>
      </c>
      <c r="AO83" s="44">
        <f>Tabela3[Cotação]/Tabela3[VPA]</f>
        <v>0</v>
      </c>
      <c r="AP83" s="40">
        <f>IF(Tabela3[[#This Row],[Lucro/Ação]]&gt;0,Tabela3[[#This Row],[Cotação]]/(Tabela3[[#This Row],[Lucro/Ação]]/Tabela3[Ref]*4),0)</f>
        <v>0</v>
      </c>
      <c r="AQ83" s="78">
        <f>Tabela3[Lucro Distribuir]/Tabela3[Total Ações]</f>
        <v>0.32173643455013601</v>
      </c>
      <c r="AR83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0.16429291266343893</v>
      </c>
      <c r="AS83" s="14" t="str">
        <f>IF(AND(Tabela3[% A.A.]&gt;=6%,SUMPRODUCT(N(Tabela3[Nome]=Tabela3[[#This Row],[Nome]]),Tabela3[PL])&gt;0,Tabela3[Rentabilidade s/ PL]&gt;=Tabela3[Rentabilidade s/ PL Média]),"Sim","Não")</f>
        <v>Não</v>
      </c>
      <c r="AT83" s="42">
        <f>IF(Tabela3[Cotação]&gt;0,Tabela3[[#This Row],[Lucro]]/Tabela3[[#This Row],[Cotação]],0)</f>
        <v>0</v>
      </c>
      <c r="AU83" s="42">
        <f>((1+Tabela3[[#This Row],[% Yield]])^(1/(3*Tabela3[[#This Row],[Ref]])))^(12)-1</f>
        <v>0</v>
      </c>
      <c r="AV83" s="14">
        <f>IF(Tabela3[Cotação]&gt;0,($BH$1/Tabela3[[#This Row],[Cotação]]-MOD($BH$1/Tabela3[[#This Row],[Cotação]],100)),)</f>
        <v>0</v>
      </c>
      <c r="AW83" s="17">
        <f>Tabela3[[#This Row],[Ativos]]*Tabela3[Lucro]</f>
        <v>0</v>
      </c>
      <c r="AX83" s="17">
        <f>SUMPRODUCT(N(Tabela1[Código]=Tabela3[[#This Row],[PAPEL]]),Tabela1[Fechamento])</f>
        <v>0</v>
      </c>
      <c r="AY83" s="17">
        <f>SUMPRODUCT(N(Tabela17[Código]=Tabela3[[#This Row],[PAPEL]]),Tabela17[Fechamento])</f>
        <v>0</v>
      </c>
      <c r="AZ83" s="7">
        <f>SUMPRODUCT(N(Tabela176[Código]=Tabela3[[#This Row],[PAPEL]]),Tabela176[Fechamento])</f>
        <v>0</v>
      </c>
      <c r="BA83" s="7">
        <f>SUMPRODUCT(N(Tabela1768[Código]=Tabela3[[#This Row],[PAPEL]]),Tabela1768[Fechamento])</f>
        <v>0</v>
      </c>
      <c r="BB83" s="7">
        <f>SUMPRODUCT(N(Tabela17683[Código]=Tabela3[[#This Row],[PAPEL]]),Tabela17683[Fechamento])</f>
        <v>0</v>
      </c>
    </row>
    <row r="84" spans="1:54" hidden="1" x14ac:dyDescent="0.2">
      <c r="A84" s="4" t="s">
        <v>12</v>
      </c>
      <c r="B84" s="57" t="s">
        <v>453</v>
      </c>
      <c r="C84" s="15" t="str">
        <f>LEFT(Tabela3[PAPEL],LEN(Tabela3[PAPEL])-(LEN(Tabela3[PAPEL])-4))</f>
        <v>AFLU</v>
      </c>
      <c r="D84" s="15">
        <v>3</v>
      </c>
      <c r="E84" s="6">
        <v>30916200</v>
      </c>
      <c r="F84" s="8">
        <v>5931526</v>
      </c>
      <c r="G84" s="81">
        <v>0.25</v>
      </c>
      <c r="H84" s="15"/>
      <c r="I84" s="19"/>
      <c r="J84" s="19">
        <v>0.1</v>
      </c>
      <c r="K84" s="88"/>
      <c r="L84" s="88"/>
      <c r="M84" s="55">
        <v>47076000</v>
      </c>
      <c r="N84" s="55">
        <v>6105000</v>
      </c>
      <c r="O84" s="55">
        <v>5255000</v>
      </c>
      <c r="P84" s="89">
        <v>41755000</v>
      </c>
      <c r="Q84" s="89">
        <v>6373000</v>
      </c>
      <c r="R84" s="89">
        <f>IF(Tabela3[[#This Row],[Ativo || Passivo]]&gt;0,Tabela3[[#This Row],[Ativo || Passivo]]-Tabela3[[#This Row],[Patrimônio Líquido]],0)</f>
        <v>5321000</v>
      </c>
      <c r="S84" s="89">
        <f>Tabela3[[#This Row],[Cotação]]*Tabela3[[#This Row],[Total Ações]]</f>
        <v>0</v>
      </c>
      <c r="T84" s="134">
        <f>IF(Tabela3[[#This Row],[Passivo Circulante]]&gt;0,Tabela3[[#This Row],[Ativo Circulante]]/Tabela3[[#This Row],[Passivo Circulante]],0)</f>
        <v>1.1617507136060894</v>
      </c>
      <c r="U84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84" s="19">
        <f>IF(Tabela3[[#This Row],[Lucro Líquido]]&gt;0,Tabela3[[#This Row],[Lucro Líquido]]/Tabela3[[#This Row],[Patrimônio Líquido]],0)</f>
        <v>0.15262842773320559</v>
      </c>
      <c r="W84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84" s="19">
        <f>IF(Tabela3[[#This Row],[Dívida]]&gt;0,Tabela3[[#This Row],[Dívida]]/Tabela3[[#This Row],[Patrimônio Líquido]],0)</f>
        <v>0.12743384025865165</v>
      </c>
      <c r="Y84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84" s="13">
        <f>Tabela3[[#This Row],[Capital Social]]*20%</f>
        <v>6183240</v>
      </c>
      <c r="AA84" s="13">
        <f>IF((Tabela3[Lucro Líquido]*5%)&gt;Tabela3[Teto R. Legal],Tabela3[Teto R. Legal],Tabela3[Lucro Líquido]*5%)</f>
        <v>318650</v>
      </c>
      <c r="AB84" s="89">
        <f>IF(Tabela3[Lucro Líquido]&lt;0,0,Tabela3[Lucro Líquido]-Tabela3[Reserva Legal])</f>
        <v>6054350</v>
      </c>
      <c r="AC84" s="89">
        <f>Tabela3[[#This Row],[Lucro Distribuir]]*Tabela3[%Div]</f>
        <v>1513587.5</v>
      </c>
      <c r="AD84" s="56">
        <f>SUMPRODUCT(N(Tabela3[Nome]=Tabela3[[#This Row],[Nome]]),Tabela3[Ações])</f>
        <v>18817732</v>
      </c>
      <c r="AE84" s="6">
        <f>Tabela3[Capital Social]/Tabela3[Total Ações]</f>
        <v>1.6429291266343893</v>
      </c>
      <c r="AF84" s="78">
        <f>Tabela3[[#This Row],[Lucro Líquido]]/Tabela3[[#This Row],[Total Ações]]</f>
        <v>0.33866993110540633</v>
      </c>
      <c r="AG84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8.5724647542420498E-2</v>
      </c>
      <c r="AH84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84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7.0707652761827167E-2</v>
      </c>
      <c r="AJ84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7.0707652761827167E-2</v>
      </c>
      <c r="AK84" s="13">
        <f>Tabela3[Div Base]*Tabela3[Ações]</f>
        <v>419404.28075574967</v>
      </c>
      <c r="AL84" s="13">
        <f>SUMPRODUCT(N(Tabela3[Nome]=Tabela3[[#This Row],[Nome]]),Tabela3[Div Base]*Tabela3[Ações])</f>
        <v>1513587.5000000002</v>
      </c>
      <c r="AM84" s="6">
        <f>Tabela3[Patrimônio Líquido]/Tabela3[Total Ações]</f>
        <v>2.2189177739379007</v>
      </c>
      <c r="AN84" s="48">
        <f>MAX(Tabela3[[#This Row],[Cotação 1]:[Cotação 5]])</f>
        <v>0</v>
      </c>
      <c r="AO84" s="44">
        <f>Tabela3[Cotação]/Tabela3[VPA]</f>
        <v>0</v>
      </c>
      <c r="AP84" s="40">
        <f>IF(Tabela3[[#This Row],[Lucro/Ação]]&gt;0,Tabela3[[#This Row],[Cotação]]/(Tabela3[[#This Row],[Lucro/Ação]]/Tabela3[Ref]*4),0)</f>
        <v>0</v>
      </c>
      <c r="AQ84" s="78">
        <f>Tabela3[Lucro Distribuir]/Tabela3[Total Ações]</f>
        <v>0.32173643455013601</v>
      </c>
      <c r="AR84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7.0707652761827167E-2</v>
      </c>
      <c r="AS84" s="14" t="str">
        <f>IF(AND(Tabela3[% A.A.]&gt;=6%,SUMPRODUCT(N(Tabela3[Nome]=Tabela3[[#This Row],[Nome]]),Tabela3[PL])&gt;0,Tabela3[Rentabilidade s/ PL]&gt;=Tabela3[Rentabilidade s/ PL Média]),"Sim","Não")</f>
        <v>Não</v>
      </c>
      <c r="AT84" s="42">
        <f>IF(Tabela3[Cotação]&gt;0,Tabela3[[#This Row],[Lucro]]/Tabela3[[#This Row],[Cotação]],0)</f>
        <v>0</v>
      </c>
      <c r="AU84" s="42">
        <f>((1+Tabela3[[#This Row],[% Yield]])^(1/(3*Tabela3[[#This Row],[Ref]])))^(12)-1</f>
        <v>0</v>
      </c>
      <c r="AV84" s="14">
        <f>IF(Tabela3[Cotação]&gt;0,($BH$1/Tabela3[[#This Row],[Cotação]]-MOD($BH$1/Tabela3[[#This Row],[Cotação]],100)),)</f>
        <v>0</v>
      </c>
      <c r="AW84" s="17">
        <f>Tabela3[[#This Row],[Ativos]]*Tabela3[Lucro]</f>
        <v>0</v>
      </c>
      <c r="AX84" s="17">
        <f>SUMPRODUCT(N(Tabela1[Código]=Tabela3[[#This Row],[PAPEL]]),Tabela1[Fechamento])</f>
        <v>0</v>
      </c>
      <c r="AY84" s="17">
        <f>SUMPRODUCT(N(Tabela17[Código]=Tabela3[[#This Row],[PAPEL]]),Tabela17[Fechamento])</f>
        <v>0</v>
      </c>
      <c r="AZ84" s="7">
        <f>SUMPRODUCT(N(Tabela176[Código]=Tabela3[[#This Row],[PAPEL]]),Tabela176[Fechamento])</f>
        <v>0</v>
      </c>
      <c r="BA84" s="7">
        <f>SUMPRODUCT(N(Tabela1768[Código]=Tabela3[[#This Row],[PAPEL]]),Tabela1768[Fechamento])</f>
        <v>0</v>
      </c>
      <c r="BB84" s="7">
        <f>SUMPRODUCT(N(Tabela17683[Código]=Tabela3[[#This Row],[PAPEL]]),Tabela17683[Fechamento])</f>
        <v>0</v>
      </c>
    </row>
    <row r="85" spans="1:54" hidden="1" x14ac:dyDescent="0.2">
      <c r="A85" s="3" t="s">
        <v>1709</v>
      </c>
      <c r="B85" s="58" t="s">
        <v>1670</v>
      </c>
      <c r="C85" s="16" t="str">
        <f>LEFT(Tabela3[PAPEL],LEN(Tabela3[PAPEL])-(LEN(Tabela3[PAPEL])-4))</f>
        <v>RAPT</v>
      </c>
      <c r="D85" s="16">
        <v>3</v>
      </c>
      <c r="E85" s="5">
        <v>730000000</v>
      </c>
      <c r="F85" s="56">
        <v>81888294</v>
      </c>
      <c r="G85" s="81">
        <v>0.3</v>
      </c>
      <c r="H85" s="87"/>
      <c r="J85" s="18"/>
      <c r="K85" s="16"/>
      <c r="L85" s="87"/>
      <c r="M85" s="54"/>
      <c r="N85" s="54"/>
      <c r="O85" s="54"/>
      <c r="P85" s="91">
        <v>1228796000</v>
      </c>
      <c r="Q85" s="73">
        <v>187245000</v>
      </c>
      <c r="R85" s="73">
        <f>IF(Tabela3[[#This Row],[Ativo || Passivo]]&gt;0,Tabela3[[#This Row],[Ativo || Passivo]]-Tabela3[[#This Row],[Patrimônio Líquido]],0)</f>
        <v>0</v>
      </c>
      <c r="S85" s="73">
        <f>Tabela3[[#This Row],[Cotação]]*Tabela3[[#This Row],[Total Ações]]</f>
        <v>1830828744.52</v>
      </c>
      <c r="T85" s="37">
        <f>IF(Tabela3[[#This Row],[Passivo Circulante]]&gt;0,Tabela3[[#This Row],[Ativo Circulante]]/Tabela3[[#This Row],[Passivo Circulante]],0)</f>
        <v>0</v>
      </c>
      <c r="U85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85" s="18">
        <f>IF(Tabela3[[#This Row],[Lucro Líquido]]&gt;0,Tabela3[[#This Row],[Lucro Líquido]]/Tabela3[[#This Row],[Patrimônio Líquido]],0)</f>
        <v>0.15238086712521851</v>
      </c>
      <c r="W85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85" s="18">
        <f>IF(Tabela3[[#This Row],[Dívida]]&gt;0,Tabela3[[#This Row],[Dívida]]/Tabela3[[#This Row],[Patrimônio Líquido]],0)</f>
        <v>0</v>
      </c>
      <c r="Y85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85" s="7">
        <f>Tabela3[[#This Row],[Capital Social]]*20%</f>
        <v>146000000</v>
      </c>
      <c r="AA85" s="47">
        <f>IF((Tabela3[Lucro Líquido]*5%)&gt;Tabela3[Teto R. Legal],Tabela3[Teto R. Legal],Tabela3[Lucro Líquido]*5%)</f>
        <v>9362250</v>
      </c>
      <c r="AB85" s="47">
        <f>IF(Tabela3[Lucro Líquido]&lt;0,0,Tabela3[Lucro Líquido]-Tabela3[Reserva Legal])</f>
        <v>177882750</v>
      </c>
      <c r="AC85" s="47">
        <f>Tabela3[[#This Row],[Lucro Distribuir]]*Tabela3[%Div]</f>
        <v>53364825</v>
      </c>
      <c r="AD85" s="56">
        <f>SUMPRODUCT(N(Tabela3[Nome]=Tabela3[[#This Row],[Nome]]),Tabela3[Ações])</f>
        <v>243785452</v>
      </c>
      <c r="AE85" s="85">
        <f>Tabela3[Capital Social]/Tabela3[Total Ações]</f>
        <v>2.994436271775561</v>
      </c>
      <c r="AF85" s="85">
        <f>Tabela3[[#This Row],[Lucro Líquido]]/Tabela3[[#This Row],[Total Ações]]</f>
        <v>0.76807290371043146</v>
      </c>
      <c r="AG85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0.21890077755747295</v>
      </c>
      <c r="AH85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85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85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0.21890077755747295</v>
      </c>
      <c r="AK85" s="7">
        <f>Tabela3[Div Base]*Tabela3[Ações]</f>
        <v>17925411.229454946</v>
      </c>
      <c r="AL85" s="121">
        <f>SUMPRODUCT(N(Tabela3[Nome]=Tabela3[[#This Row],[Nome]]),Tabela3[Div Base]*Tabela3[Ações])</f>
        <v>53364825</v>
      </c>
      <c r="AM85" s="5">
        <f>Tabela3[Patrimônio Líquido]/Tabela3[Total Ações]</f>
        <v>5.0404812507023591</v>
      </c>
      <c r="AN85" s="52">
        <f>MAX(Tabela3[[#This Row],[Cotação 1]:[Cotação 5]])</f>
        <v>7.51</v>
      </c>
      <c r="AO85" s="53">
        <f>Tabela3[Cotação]/Tabela3[VPA]</f>
        <v>1.48993709657258</v>
      </c>
      <c r="AP85" s="37">
        <f>IF(Tabela3[[#This Row],[Lucro/Ação]]&gt;0,Tabela3[[#This Row],[Cotação]]/(Tabela3[[#This Row],[Lucro/Ação]]/Tabela3[Ref]*4),0)</f>
        <v>7.3332882501001357</v>
      </c>
      <c r="AQ85" s="85">
        <f>Tabela3[Lucro Distribuir]/Tabela3[Total Ações]</f>
        <v>0.72966925852490983</v>
      </c>
      <c r="AR85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0.21890077755747295</v>
      </c>
      <c r="AS85" s="10" t="str">
        <f>IF(AND(Tabela3[% A.A.]&gt;=6%,SUMPRODUCT(N(Tabela3[Nome]=Tabela3[[#This Row],[Nome]]),Tabela3[PL])&gt;0,Tabela3[Rentabilidade s/ PL]&gt;=Tabela3[Rentabilidade s/ PL Média]),"Sim","Não")</f>
        <v>Não</v>
      </c>
      <c r="AT85" s="22">
        <f>IF(Tabela3[Cotação]&gt;0,Tabela3[[#This Row],[Lucro]]/Tabela3[[#This Row],[Cotação]],0)</f>
        <v>2.9147906465708782E-2</v>
      </c>
      <c r="AU85" s="22">
        <f>((1+Tabela3[[#This Row],[% Yield]])^(1/(3*Tabela3[[#This Row],[Ref]])))^(12)-1</f>
        <v>3.9051467096079095E-2</v>
      </c>
      <c r="AV85" s="10">
        <f>IF(Tabela3[Cotação]&gt;0,($BD$1/Tabela3[[#This Row],[Cotação]]-MOD($BD$1/Tabela3[[#This Row],[Cotação]],100)),)</f>
        <v>0</v>
      </c>
      <c r="AW85" s="7">
        <f>Tabela3[[#This Row],[Ativos]]*Tabela3[Lucro]</f>
        <v>0</v>
      </c>
      <c r="AX85" s="7">
        <f>SUMPRODUCT(N(Tabela1[Código]=Tabela3[[#This Row],[PAPEL]]),Tabela1[Fechamento])</f>
        <v>0</v>
      </c>
      <c r="AY85" s="7">
        <f>SUMPRODUCT(N(Tabela17[Código]=Tabela3[[#This Row],[PAPEL]]),Tabela17[Fechamento])</f>
        <v>0</v>
      </c>
      <c r="AZ85" s="7">
        <f>SUMPRODUCT(N(Tabela176[Código]=Tabela3[[#This Row],[PAPEL]]),Tabela176[Fechamento])</f>
        <v>0</v>
      </c>
      <c r="BA85" s="7">
        <f>SUMPRODUCT(N(Tabela1768[Código]=Tabela3[[#This Row],[PAPEL]]),Tabela1768[Fechamento])</f>
        <v>0</v>
      </c>
      <c r="BB85" s="7">
        <f>SUMPRODUCT(N(Tabela17683[Código]=Tabela3[[#This Row],[PAPEL]]),Tabela17683[Fechamento])</f>
        <v>7.51</v>
      </c>
    </row>
    <row r="86" spans="1:54" hidden="1" x14ac:dyDescent="0.2">
      <c r="A86" s="3" t="s">
        <v>1709</v>
      </c>
      <c r="B86" s="58" t="s">
        <v>1671</v>
      </c>
      <c r="C86" s="16" t="str">
        <f>LEFT(Tabela3[PAPEL],LEN(Tabela3[PAPEL])-(LEN(Tabela3[PAPEL])-4))</f>
        <v>RAPT</v>
      </c>
      <c r="D86" s="16">
        <v>3</v>
      </c>
      <c r="E86" s="5">
        <v>730000000</v>
      </c>
      <c r="F86" s="56">
        <v>161897158</v>
      </c>
      <c r="G86" s="81">
        <v>0.3</v>
      </c>
      <c r="H86" s="87"/>
      <c r="J86" s="18"/>
      <c r="K86" s="16"/>
      <c r="L86" s="87"/>
      <c r="M86" s="54"/>
      <c r="N86" s="54"/>
      <c r="O86" s="54"/>
      <c r="P86" s="91">
        <v>1228796000</v>
      </c>
      <c r="Q86" s="73">
        <v>187245000</v>
      </c>
      <c r="R86" s="73">
        <f>IF(Tabela3[[#This Row],[Ativo || Passivo]]&gt;0,Tabela3[[#This Row],[Ativo || Passivo]]-Tabela3[[#This Row],[Patrimônio Líquido]],0)</f>
        <v>0</v>
      </c>
      <c r="S86" s="73">
        <f>Tabela3[[#This Row],[Cotação]]*Tabela3[[#This Row],[Total Ações]]</f>
        <v>2001478560.9200003</v>
      </c>
      <c r="T86" s="37">
        <f>IF(Tabela3[[#This Row],[Passivo Circulante]]&gt;0,Tabela3[[#This Row],[Ativo Circulante]]/Tabela3[[#This Row],[Passivo Circulante]],0)</f>
        <v>0</v>
      </c>
      <c r="U86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86" s="18">
        <f>IF(Tabela3[[#This Row],[Lucro Líquido]]&gt;0,Tabela3[[#This Row],[Lucro Líquido]]/Tabela3[[#This Row],[Patrimônio Líquido]],0)</f>
        <v>0.15238086712521851</v>
      </c>
      <c r="W86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86" s="18">
        <f>IF(Tabela3[[#This Row],[Dívida]]&gt;0,Tabela3[[#This Row],[Dívida]]/Tabela3[[#This Row],[Patrimônio Líquido]],0)</f>
        <v>0</v>
      </c>
      <c r="Y86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86" s="7">
        <f>Tabela3[[#This Row],[Capital Social]]*20%</f>
        <v>146000000</v>
      </c>
      <c r="AA86" s="47">
        <f>IF((Tabela3[Lucro Líquido]*5%)&gt;Tabela3[Teto R. Legal],Tabela3[Teto R. Legal],Tabela3[Lucro Líquido]*5%)</f>
        <v>9362250</v>
      </c>
      <c r="AB86" s="47">
        <f>IF(Tabela3[Lucro Líquido]&lt;0,0,Tabela3[Lucro Líquido]-Tabela3[Reserva Legal])</f>
        <v>177882750</v>
      </c>
      <c r="AC86" s="47">
        <f>Tabela3[[#This Row],[Lucro Distribuir]]*Tabela3[%Div]</f>
        <v>53364825</v>
      </c>
      <c r="AD86" s="56">
        <f>SUMPRODUCT(N(Tabela3[Nome]=Tabela3[[#This Row],[Nome]]),Tabela3[Ações])</f>
        <v>243785452</v>
      </c>
      <c r="AE86" s="85">
        <f>Tabela3[Capital Social]/Tabela3[Total Ações]</f>
        <v>2.994436271775561</v>
      </c>
      <c r="AF86" s="85">
        <f>Tabela3[[#This Row],[Lucro Líquido]]/Tabela3[[#This Row],[Total Ações]]</f>
        <v>0.76807290371043146</v>
      </c>
      <c r="AG86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0.21890077755747295</v>
      </c>
      <c r="AH86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86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86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0.21890077755747295</v>
      </c>
      <c r="AK86" s="7">
        <f>Tabela3[Div Base]*Tabela3[Ações]</f>
        <v>35439413.770545051</v>
      </c>
      <c r="AL86" s="121">
        <f>SUMPRODUCT(N(Tabela3[Nome]=Tabela3[[#This Row],[Nome]]),Tabela3[Div Base]*Tabela3[Ações])</f>
        <v>53364825</v>
      </c>
      <c r="AM86" s="5">
        <f>Tabela3[Patrimônio Líquido]/Tabela3[Total Ações]</f>
        <v>5.0404812507023591</v>
      </c>
      <c r="AN86" s="52">
        <f>MAX(Tabela3[[#This Row],[Cotação 1]:[Cotação 5]])</f>
        <v>8.2100000000000009</v>
      </c>
      <c r="AO86" s="53">
        <f>Tabela3[Cotação]/Tabela3[VPA]</f>
        <v>1.6288127247484532</v>
      </c>
      <c r="AP86" s="37">
        <f>IF(Tabela3[[#This Row],[Lucro/Ação]]&gt;0,Tabela3[[#This Row],[Cotação]]/(Tabela3[[#This Row],[Lucro/Ação]]/Tabela3[Ref]*4),0)</f>
        <v>8.016817114956341</v>
      </c>
      <c r="AQ86" s="85">
        <f>Tabela3[Lucro Distribuir]/Tabela3[Total Ações]</f>
        <v>0.72966925852490983</v>
      </c>
      <c r="AR86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0.21890077755747295</v>
      </c>
      <c r="AS86" s="10" t="str">
        <f>IF(AND(Tabela3[% A.A.]&gt;=6%,SUMPRODUCT(N(Tabela3[Nome]=Tabela3[[#This Row],[Nome]]),Tabela3[PL])&gt;0,Tabela3[Rentabilidade s/ PL]&gt;=Tabela3[Rentabilidade s/ PL Média]),"Sim","Não")</f>
        <v>Não</v>
      </c>
      <c r="AT86" s="22">
        <f>IF(Tabela3[Cotação]&gt;0,Tabela3[[#This Row],[Lucro]]/Tabela3[[#This Row],[Cotação]],0)</f>
        <v>2.6662701285928493E-2</v>
      </c>
      <c r="AU86" s="22">
        <f>((1+Tabela3[[#This Row],[% Yield]])^(1/(3*Tabela3[[#This Row],[Ref]])))^(12)-1</f>
        <v>3.5707320307285295E-2</v>
      </c>
      <c r="AV86" s="10">
        <f>IF(Tabela3[Cotação]&gt;0,($BD$1/Tabela3[[#This Row],[Cotação]]-MOD($BD$1/Tabela3[[#This Row],[Cotação]],100)),)</f>
        <v>0</v>
      </c>
      <c r="AW86" s="7">
        <f>Tabela3[[#This Row],[Ativos]]*Tabela3[Lucro]</f>
        <v>0</v>
      </c>
      <c r="AX86" s="7">
        <f>SUMPRODUCT(N(Tabela1[Código]=Tabela3[[#This Row],[PAPEL]]),Tabela1[Fechamento])</f>
        <v>0</v>
      </c>
      <c r="AY86" s="7">
        <f>SUMPRODUCT(N(Tabela17[Código]=Tabela3[[#This Row],[PAPEL]]),Tabela17[Fechamento])</f>
        <v>0</v>
      </c>
      <c r="AZ86" s="7">
        <f>SUMPRODUCT(N(Tabela176[Código]=Tabela3[[#This Row],[PAPEL]]),Tabela176[Fechamento])</f>
        <v>0</v>
      </c>
      <c r="BA86" s="7">
        <f>SUMPRODUCT(N(Tabela1768[Código]=Tabela3[[#This Row],[PAPEL]]),Tabela1768[Fechamento])</f>
        <v>0</v>
      </c>
      <c r="BB86" s="7">
        <f>SUMPRODUCT(N(Tabela17683[Código]=Tabela3[[#This Row],[PAPEL]]),Tabela17683[Fechamento])</f>
        <v>8.2100000000000009</v>
      </c>
    </row>
    <row r="87" spans="1:54" hidden="1" x14ac:dyDescent="0.2">
      <c r="A87" s="3" t="s">
        <v>1709</v>
      </c>
      <c r="B87" s="57" t="s">
        <v>1665</v>
      </c>
      <c r="C87" s="16" t="str">
        <f>LEFT(Tabela3[PAPEL],LEN(Tabela3[PAPEL])-(LEN(Tabela3[PAPEL])-4))</f>
        <v>POMO</v>
      </c>
      <c r="D87" s="16">
        <v>3</v>
      </c>
      <c r="E87" s="5">
        <v>700000000</v>
      </c>
      <c r="F87" s="56">
        <v>341625744</v>
      </c>
      <c r="G87" s="81">
        <v>0.25</v>
      </c>
      <c r="H87" s="87"/>
      <c r="J87" s="18"/>
      <c r="K87" s="16"/>
      <c r="L87" s="87"/>
      <c r="M87" s="54"/>
      <c r="N87" s="54"/>
      <c r="O87" s="54"/>
      <c r="P87" s="91">
        <v>1410684000</v>
      </c>
      <c r="Q87" s="73">
        <v>214808000</v>
      </c>
      <c r="R87" s="73">
        <f>IF(Tabela3[[#This Row],[Ativo || Passivo]]&gt;0,Tabela3[[#This Row],[Ativo || Passivo]]-Tabela3[[#This Row],[Patrimônio Líquido]],0)</f>
        <v>0</v>
      </c>
      <c r="S87" s="73">
        <f>Tabela3[[#This Row],[Cotação]]*Tabela3[[#This Row],[Total Ações]]</f>
        <v>4018112376.3200002</v>
      </c>
      <c r="T87" s="37">
        <f>IF(Tabela3[[#This Row],[Passivo Circulante]]&gt;0,Tabela3[[#This Row],[Ativo Circulante]]/Tabela3[[#This Row],[Passivo Circulante]],0)</f>
        <v>0</v>
      </c>
      <c r="U87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87" s="18">
        <f>IF(Tabela3[[#This Row],[Lucro Líquido]]&gt;0,Tabela3[[#This Row],[Lucro Líquido]]/Tabela3[[#This Row],[Patrimônio Líquido]],0)</f>
        <v>0.15227223105954274</v>
      </c>
      <c r="W87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87" s="18">
        <f>IF(Tabela3[[#This Row],[Dívida]]&gt;0,Tabela3[[#This Row],[Dívida]]/Tabela3[[#This Row],[Patrimônio Líquido]],0)</f>
        <v>0</v>
      </c>
      <c r="Y87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87" s="7">
        <f>Tabela3[[#This Row],[Capital Social]]*20%</f>
        <v>140000000</v>
      </c>
      <c r="AA87" s="47">
        <f>IF((Tabela3[Lucro Líquido]*5%)&gt;Tabela3[Teto R. Legal],Tabela3[Teto R. Legal],Tabela3[Lucro Líquido]*5%)</f>
        <v>10740400</v>
      </c>
      <c r="AB87" s="47">
        <f>IF(Tabela3[Lucro Líquido]&lt;0,0,Tabela3[Lucro Líquido]-Tabela3[Reserva Legal])</f>
        <v>204067600</v>
      </c>
      <c r="AC87" s="47">
        <f>Tabela3[[#This Row],[Lucro Distribuir]]*Tabela3[%Div]</f>
        <v>51016900</v>
      </c>
      <c r="AD87" s="56">
        <f>SUMPRODUCT(N(Tabela3[Nome]=Tabela3[[#This Row],[Nome]]),Tabela3[Ações])</f>
        <v>896900084</v>
      </c>
      <c r="AE87" s="85">
        <f>Tabela3[Capital Social]/Tabela3[Total Ações]</f>
        <v>0.78046597663157313</v>
      </c>
      <c r="AF87" s="85">
        <f>Tabela3[[#This Row],[Lucro Líquido]]/Tabela3[[#This Row],[Total Ações]]</f>
        <v>0.23950047929753568</v>
      </c>
      <c r="AG87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5.6881363833164722E-2</v>
      </c>
      <c r="AH87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87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87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5.6881363833164722E-2</v>
      </c>
      <c r="AK87" s="7">
        <f>Tabela3[Div Base]*Tabela3[Ações]</f>
        <v>19432138.239239588</v>
      </c>
      <c r="AL87" s="121">
        <f>SUMPRODUCT(N(Tabela3[Nome]=Tabela3[[#This Row],[Nome]]),Tabela3[Div Base]*Tabela3[Ações])</f>
        <v>51016900</v>
      </c>
      <c r="AM87" s="5">
        <f>Tabela3[Patrimônio Líquido]/Tabela3[Total Ações]</f>
        <v>1.5728440939693344</v>
      </c>
      <c r="AN87" s="52">
        <f>MAX(Tabela3[[#This Row],[Cotação 1]:[Cotação 5]])</f>
        <v>4.4800000000000004</v>
      </c>
      <c r="AO87" s="53">
        <f>Tabela3[Cotação]/Tabela3[VPA]</f>
        <v>2.8483433400534781</v>
      </c>
      <c r="AP87" s="37">
        <f>IF(Tabela3[[#This Row],[Lucro/Ação]]&gt;0,Tabela3[[#This Row],[Cotação]]/(Tabela3[[#This Row],[Lucro/Ação]]/Tabela3[Ref]*4),0)</f>
        <v>14.029199481583554</v>
      </c>
      <c r="AQ87" s="85">
        <f>Tabela3[Lucro Distribuir]/Tabela3[Total Ações]</f>
        <v>0.22752545533265889</v>
      </c>
      <c r="AR87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5.6881363833164722E-2</v>
      </c>
      <c r="AS87" s="10" t="str">
        <f>IF(AND(Tabela3[% A.A.]&gt;=6%,SUMPRODUCT(N(Tabela3[Nome]=Tabela3[[#This Row],[Nome]]),Tabela3[PL])&gt;0,Tabela3[Rentabilidade s/ PL]&gt;=Tabela3[Rentabilidade s/ PL Média]),"Sim","Não")</f>
        <v>Não</v>
      </c>
      <c r="AT87" s="22">
        <f>IF(Tabela3[Cotação]&gt;0,Tabela3[[#This Row],[Lucro]]/Tabela3[[#This Row],[Cotação]],0)</f>
        <v>1.2696732998474267E-2</v>
      </c>
      <c r="AU87" s="22">
        <f>((1+Tabela3[[#This Row],[% Yield]])^(1/(3*Tabela3[[#This Row],[Ref]])))^(12)-1</f>
        <v>1.696470056994559E-2</v>
      </c>
      <c r="AV87" s="10">
        <f>IF(Tabela3[Cotação]&gt;0,($BD$1/Tabela3[[#This Row],[Cotação]]-MOD($BD$1/Tabela3[[#This Row],[Cotação]],100)),)</f>
        <v>0</v>
      </c>
      <c r="AW87" s="7">
        <f>Tabela3[[#This Row],[Ativos]]*Tabela3[Lucro]</f>
        <v>0</v>
      </c>
      <c r="AX87" s="7">
        <f>SUMPRODUCT(N(Tabela1[Código]=Tabela3[[#This Row],[PAPEL]]),Tabela1[Fechamento])</f>
        <v>0</v>
      </c>
      <c r="AY87" s="7">
        <f>SUMPRODUCT(N(Tabela17[Código]=Tabela3[[#This Row],[PAPEL]]),Tabela17[Fechamento])</f>
        <v>0</v>
      </c>
      <c r="AZ87" s="7">
        <f>SUMPRODUCT(N(Tabela176[Código]=Tabela3[[#This Row],[PAPEL]]),Tabela176[Fechamento])</f>
        <v>0</v>
      </c>
      <c r="BA87" s="7">
        <f>SUMPRODUCT(N(Tabela1768[Código]=Tabela3[[#This Row],[PAPEL]]),Tabela1768[Fechamento])</f>
        <v>0</v>
      </c>
      <c r="BB87" s="7">
        <f>SUMPRODUCT(N(Tabela17683[Código]=Tabela3[[#This Row],[PAPEL]]),Tabela17683[Fechamento])</f>
        <v>4.4800000000000004</v>
      </c>
    </row>
    <row r="88" spans="1:54" hidden="1" x14ac:dyDescent="0.2">
      <c r="A88" s="3" t="s">
        <v>1709</v>
      </c>
      <c r="B88" s="57" t="s">
        <v>1666</v>
      </c>
      <c r="C88" s="16" t="str">
        <f>LEFT(Tabela3[PAPEL],LEN(Tabela3[PAPEL])-(LEN(Tabela3[PAPEL])-4))</f>
        <v>POMO</v>
      </c>
      <c r="D88" s="16">
        <v>3</v>
      </c>
      <c r="E88" s="5">
        <v>700000000</v>
      </c>
      <c r="F88" s="56">
        <v>555274340</v>
      </c>
      <c r="G88" s="81">
        <v>0.25</v>
      </c>
      <c r="H88" s="87"/>
      <c r="J88" s="18"/>
      <c r="K88" s="16"/>
      <c r="L88" s="87"/>
      <c r="M88" s="54"/>
      <c r="N88" s="54"/>
      <c r="O88" s="54"/>
      <c r="P88" s="91">
        <v>1410684000</v>
      </c>
      <c r="Q88" s="73">
        <v>214808000</v>
      </c>
      <c r="R88" s="73">
        <f>IF(Tabela3[[#This Row],[Ativo || Passivo]]&gt;0,Tabela3[[#This Row],[Ativo || Passivo]]-Tabela3[[#This Row],[Patrimônio Líquido]],0)</f>
        <v>0</v>
      </c>
      <c r="S88" s="73">
        <f>Tabela3[[#This Row],[Cotação]]*Tabela3[[#This Row],[Total Ações]]</f>
        <v>4188523392.2799997</v>
      </c>
      <c r="T88" s="37">
        <f>IF(Tabela3[[#This Row],[Passivo Circulante]]&gt;0,Tabela3[[#This Row],[Ativo Circulante]]/Tabela3[[#This Row],[Passivo Circulante]],0)</f>
        <v>0</v>
      </c>
      <c r="U88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88" s="18">
        <f>IF(Tabela3[[#This Row],[Lucro Líquido]]&gt;0,Tabela3[[#This Row],[Lucro Líquido]]/Tabela3[[#This Row],[Patrimônio Líquido]],0)</f>
        <v>0.15227223105954274</v>
      </c>
      <c r="W88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88" s="18">
        <f>IF(Tabela3[[#This Row],[Dívida]]&gt;0,Tabela3[[#This Row],[Dívida]]/Tabela3[[#This Row],[Patrimônio Líquido]],0)</f>
        <v>0</v>
      </c>
      <c r="Y88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88" s="7">
        <f>Tabela3[[#This Row],[Capital Social]]*20%</f>
        <v>140000000</v>
      </c>
      <c r="AA88" s="47">
        <f>IF((Tabela3[Lucro Líquido]*5%)&gt;Tabela3[Teto R. Legal],Tabela3[Teto R. Legal],Tabela3[Lucro Líquido]*5%)</f>
        <v>10740400</v>
      </c>
      <c r="AB88" s="47">
        <f>IF(Tabela3[Lucro Líquido]&lt;0,0,Tabela3[Lucro Líquido]-Tabela3[Reserva Legal])</f>
        <v>204067600</v>
      </c>
      <c r="AC88" s="47">
        <f>Tabela3[[#This Row],[Lucro Distribuir]]*Tabela3[%Div]</f>
        <v>51016900</v>
      </c>
      <c r="AD88" s="56">
        <f>SUMPRODUCT(N(Tabela3[Nome]=Tabela3[[#This Row],[Nome]]),Tabela3[Ações])</f>
        <v>896900084</v>
      </c>
      <c r="AE88" s="85">
        <f>Tabela3[Capital Social]/Tabela3[Total Ações]</f>
        <v>0.78046597663157313</v>
      </c>
      <c r="AF88" s="85">
        <f>Tabela3[[#This Row],[Lucro Líquido]]/Tabela3[[#This Row],[Total Ações]]</f>
        <v>0.23950047929753568</v>
      </c>
      <c r="AG88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5.6881363833164722E-2</v>
      </c>
      <c r="AH88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88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88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5.6881363833164722E-2</v>
      </c>
      <c r="AK88" s="7">
        <f>Tabela3[Div Base]*Tabela3[Ações]</f>
        <v>31584761.760760412</v>
      </c>
      <c r="AL88" s="121">
        <f>SUMPRODUCT(N(Tabela3[Nome]=Tabela3[[#This Row],[Nome]]),Tabela3[Div Base]*Tabela3[Ações])</f>
        <v>51016900</v>
      </c>
      <c r="AM88" s="5">
        <f>Tabela3[Patrimônio Líquido]/Tabela3[Total Ações]</f>
        <v>1.5728440939693344</v>
      </c>
      <c r="AN88" s="52">
        <f>MAX(Tabela3[[#This Row],[Cotação 1]:[Cotação 5]])</f>
        <v>4.67</v>
      </c>
      <c r="AO88" s="53">
        <f>Tabela3[Cotação]/Tabela3[VPA]</f>
        <v>2.9691436156361029</v>
      </c>
      <c r="AP88" s="37">
        <f>IF(Tabela3[[#This Row],[Lucro/Ação]]&gt;0,Tabela3[[#This Row],[Cotação]]/(Tabela3[[#This Row],[Lucro/Ação]]/Tabela3[Ref]*4),0)</f>
        <v>14.624187852454284</v>
      </c>
      <c r="AQ88" s="85">
        <f>Tabela3[Lucro Distribuir]/Tabela3[Total Ações]</f>
        <v>0.22752545533265889</v>
      </c>
      <c r="AR88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5.6881363833164722E-2</v>
      </c>
      <c r="AS88" s="10" t="str">
        <f>IF(AND(Tabela3[% A.A.]&gt;=6%,SUMPRODUCT(N(Tabela3[Nome]=Tabela3[[#This Row],[Nome]]),Tabela3[PL])&gt;0,Tabela3[Rentabilidade s/ PL]&gt;=Tabela3[Rentabilidade s/ PL Média]),"Sim","Não")</f>
        <v>Não</v>
      </c>
      <c r="AT88" s="22">
        <f>IF(Tabela3[Cotação]&gt;0,Tabela3[[#This Row],[Lucro]]/Tabela3[[#This Row],[Cotação]],0)</f>
        <v>1.2180163561705508E-2</v>
      </c>
      <c r="AU88" s="22">
        <f>((1+Tabela3[[#This Row],[% Yield]])^(1/(3*Tabela3[[#This Row],[Ref]])))^(12)-1</f>
        <v>1.627309738282956E-2</v>
      </c>
      <c r="AV88" s="10">
        <f>IF(Tabela3[Cotação]&gt;0,($BD$1/Tabela3[[#This Row],[Cotação]]-MOD($BD$1/Tabela3[[#This Row],[Cotação]],100)),)</f>
        <v>0</v>
      </c>
      <c r="AW88" s="7">
        <f>Tabela3[[#This Row],[Ativos]]*Tabela3[Lucro]</f>
        <v>0</v>
      </c>
      <c r="AX88" s="7">
        <f>SUMPRODUCT(N(Tabela1[Código]=Tabela3[[#This Row],[PAPEL]]),Tabela1[Fechamento])</f>
        <v>0</v>
      </c>
      <c r="AY88" s="7">
        <f>SUMPRODUCT(N(Tabela17[Código]=Tabela3[[#This Row],[PAPEL]]),Tabela17[Fechamento])</f>
        <v>0</v>
      </c>
      <c r="AZ88" s="7">
        <f>SUMPRODUCT(N(Tabela176[Código]=Tabela3[[#This Row],[PAPEL]]),Tabela176[Fechamento])</f>
        <v>0</v>
      </c>
      <c r="BA88" s="7">
        <f>SUMPRODUCT(N(Tabela1768[Código]=Tabela3[[#This Row],[PAPEL]]),Tabela1768[Fechamento])</f>
        <v>0</v>
      </c>
      <c r="BB88" s="7">
        <f>SUMPRODUCT(N(Tabela17683[Código]=Tabela3[[#This Row],[PAPEL]]),Tabela17683[Fechamento])</f>
        <v>4.67</v>
      </c>
    </row>
    <row r="89" spans="1:54" hidden="1" x14ac:dyDescent="0.2">
      <c r="A89" s="3" t="s">
        <v>1297</v>
      </c>
      <c r="B89" s="58" t="s">
        <v>1307</v>
      </c>
      <c r="C89" s="16" t="str">
        <f>LEFT(Tabela3[PAPEL],LEN(Tabela3[PAPEL])-(LEN(Tabela3[PAPEL])-4))</f>
        <v>GUAR</v>
      </c>
      <c r="D89" s="16">
        <v>4</v>
      </c>
      <c r="E89" s="5">
        <v>2300000000</v>
      </c>
      <c r="F89" s="56">
        <v>31200000</v>
      </c>
      <c r="G89" s="81">
        <v>0.25</v>
      </c>
      <c r="H89" s="87"/>
      <c r="J89" s="18"/>
      <c r="K89" s="16"/>
      <c r="L89" s="87"/>
      <c r="M89" s="54"/>
      <c r="N89" s="54"/>
      <c r="O89" s="54"/>
      <c r="P89" s="91">
        <v>2829123000</v>
      </c>
      <c r="Q89" s="91">
        <v>420584000</v>
      </c>
      <c r="R89" s="91">
        <f>IF(Tabela3[[#This Row],[Ativo || Passivo]]&gt;0,Tabela3[[#This Row],[Ativo || Passivo]]-Tabela3[[#This Row],[Patrimônio Líquido]],0)</f>
        <v>0</v>
      </c>
      <c r="S89" s="91">
        <f>Tabela3[[#This Row],[Cotação]]*Tabela3[[#This Row],[Total Ações]]</f>
        <v>5658432000</v>
      </c>
      <c r="T89" s="34">
        <f>IF(Tabela3[[#This Row],[Passivo Circulante]]&gt;0,Tabela3[[#This Row],[Ativo Circulante]]/Tabela3[[#This Row],[Passivo Circulante]],0)</f>
        <v>0</v>
      </c>
      <c r="U89" s="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89" s="18">
        <f>IF(Tabela3[[#This Row],[Lucro Líquido]]&gt;0,Tabela3[[#This Row],[Lucro Líquido]]/Tabela3[[#This Row],[Patrimônio Líquido]],0)</f>
        <v>0.14866232397813739</v>
      </c>
      <c r="W89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89" s="18">
        <f>IF(Tabela3[[#This Row],[Dívida]]&gt;0,Tabela3[[#This Row],[Dívida]]/Tabela3[[#This Row],[Patrimônio Líquido]],0)</f>
        <v>0</v>
      </c>
      <c r="Y89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89" s="7">
        <f>Tabela3[[#This Row],[Capital Social]]*20%</f>
        <v>460000000</v>
      </c>
      <c r="AA89" s="47">
        <f>IF((Tabela3[Lucro Líquido]*5%)&gt;Tabela3[Teto R. Legal],Tabela3[Teto R. Legal],Tabela3[Lucro Líquido]*5%)</f>
        <v>21029200</v>
      </c>
      <c r="AB89" s="47">
        <f>IF(Tabela3[Lucro Líquido]&lt;0,0,Tabela3[Lucro Líquido]-Tabela3[Reserva Legal])</f>
        <v>399554800</v>
      </c>
      <c r="AC89" s="47">
        <f>Tabela3[[#This Row],[Lucro Distribuir]]*Tabela3[%Div]</f>
        <v>99888700</v>
      </c>
      <c r="AD89" s="56">
        <f>SUMPRODUCT(N(Tabela3[Nome]=Tabela3[[#This Row],[Nome]]),Tabela3[Ações])</f>
        <v>62400000</v>
      </c>
      <c r="AE89" s="85">
        <f>Tabela3[Capital Social]/Tabela3[Total Ações]</f>
        <v>36.858974358974358</v>
      </c>
      <c r="AF89" s="85">
        <f>Tabela3[[#This Row],[Lucro Líquido]]/Tabela3[[#This Row],[Total Ações]]</f>
        <v>6.7401282051282054</v>
      </c>
      <c r="AG89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1.550974081830599</v>
      </c>
      <c r="AH89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89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89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1.550974081830599</v>
      </c>
      <c r="AK89" s="7">
        <f>Tabela3[Div Base]*Tabela3[Ações]</f>
        <v>48390391.353114687</v>
      </c>
      <c r="AL89" s="121">
        <f>SUMPRODUCT(N(Tabela3[Nome]=Tabela3[[#This Row],[Nome]]),Tabela3[Div Base]*Tabela3[Ações])</f>
        <v>101619821.91445959</v>
      </c>
      <c r="AM89" s="5">
        <f>Tabela3[Patrimônio Líquido]/Tabela3[Total Ações]</f>
        <v>45.338509615384616</v>
      </c>
      <c r="AN89" s="52">
        <f>MAX(Tabela3[[#This Row],[Cotação 1]:[Cotação 5]])</f>
        <v>90.68</v>
      </c>
      <c r="AO89" s="53">
        <f>Tabela3[Cotação]/Tabela3[VPA]</f>
        <v>2.0000657447555303</v>
      </c>
      <c r="AP89" s="37">
        <f>IF(Tabela3[[#This Row],[Lucro/Ação]]&gt;0,Tabela3[[#This Row],[Cotação]]/(Tabela3[[#This Row],[Lucro/Ação]]/Tabela3[Ref]*4),0)</f>
        <v>13.453750023776463</v>
      </c>
      <c r="AQ89" s="85">
        <f>Tabela3[Lucro Distribuir]/Tabela3[Total Ações]</f>
        <v>6.4031217948717947</v>
      </c>
      <c r="AR89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1.550974081830599</v>
      </c>
      <c r="AS89" s="10" t="str">
        <f>IF(AND(Tabela3[% A.A.]&gt;=6%,SUMPRODUCT(N(Tabela3[Nome]=Tabela3[[#This Row],[Nome]]),Tabela3[PL])&gt;0,Tabela3[Rentabilidade s/ PL]&gt;=Tabela3[Rentabilidade s/ PL Média]),"Sim","Não")</f>
        <v>Não</v>
      </c>
      <c r="AT89" s="22">
        <f>IF(Tabela3[Cotação]&gt;0,Tabela3[[#This Row],[Lucro]]/Tabela3[[#This Row],[Cotação]],0)</f>
        <v>1.7103816517761345E-2</v>
      </c>
      <c r="AU89" s="22">
        <f>((1+Tabela3[[#This Row],[% Yield]])^(1/(3*Tabela3[[#This Row],[Ref]])))^(12)-1</f>
        <v>1.7103816517761938E-2</v>
      </c>
      <c r="AV89" s="10">
        <f>IF(Tabela3[Cotação]&gt;0,($BD$1/Tabela3[[#This Row],[Cotação]]-MOD($BD$1/Tabela3[[#This Row],[Cotação]],100)),)</f>
        <v>0</v>
      </c>
      <c r="AW89" s="7">
        <f>Tabela3[[#This Row],[Ativos]]*Tabela3[Lucro]</f>
        <v>0</v>
      </c>
      <c r="AX89" s="7">
        <f>SUMPRODUCT(N(Tabela1[Código]=Tabela3[[#This Row],[PAPEL]]),Tabela1[Fechamento])</f>
        <v>0</v>
      </c>
      <c r="AY89" s="7">
        <f>SUMPRODUCT(N(Tabela17[Código]=Tabela3[[#This Row],[PAPEL]]),Tabela17[Fechamento])</f>
        <v>0</v>
      </c>
      <c r="AZ89" s="7">
        <f>SUMPRODUCT(N(Tabela176[Código]=Tabela3[[#This Row],[PAPEL]]),Tabela176[Fechamento])</f>
        <v>0</v>
      </c>
      <c r="BA89" s="7">
        <f>SUMPRODUCT(N(Tabela1768[Código]=Tabela3[[#This Row],[PAPEL]]),Tabela1768[Fechamento])</f>
        <v>90.68</v>
      </c>
      <c r="BB89" s="7">
        <f>SUMPRODUCT(N(Tabela17683[Código]=Tabela3[[#This Row],[PAPEL]]),Tabela17683[Fechamento])</f>
        <v>0</v>
      </c>
    </row>
    <row r="90" spans="1:54" hidden="1" x14ac:dyDescent="0.2">
      <c r="A90" s="3" t="s">
        <v>1297</v>
      </c>
      <c r="B90" s="58" t="s">
        <v>1308</v>
      </c>
      <c r="C90" s="16" t="str">
        <f>LEFT(Tabela3[PAPEL],LEN(Tabela3[PAPEL])-(LEN(Tabela3[PAPEL])-4))</f>
        <v>GUAR</v>
      </c>
      <c r="D90" s="16">
        <v>4</v>
      </c>
      <c r="E90" s="5">
        <v>2300000000</v>
      </c>
      <c r="F90" s="56">
        <v>31200000</v>
      </c>
      <c r="G90" s="81">
        <v>0.25</v>
      </c>
      <c r="H90" s="87"/>
      <c r="J90" s="18">
        <v>0.1</v>
      </c>
      <c r="K90" s="16"/>
      <c r="L90" s="87"/>
      <c r="M90" s="54"/>
      <c r="N90" s="54"/>
      <c r="O90" s="54"/>
      <c r="P90" s="91">
        <v>2829123000</v>
      </c>
      <c r="Q90" s="91">
        <v>420584000</v>
      </c>
      <c r="R90" s="91">
        <f>IF(Tabela3[[#This Row],[Ativo || Passivo]]&gt;0,Tabela3[[#This Row],[Ativo || Passivo]]-Tabela3[[#This Row],[Patrimônio Líquido]],0)</f>
        <v>0</v>
      </c>
      <c r="S90" s="91">
        <f>Tabela3[[#This Row],[Cotação]]*Tabela3[[#This Row],[Total Ações]]</f>
        <v>5110560000</v>
      </c>
      <c r="T90" s="34">
        <f>IF(Tabela3[[#This Row],[Passivo Circulante]]&gt;0,Tabela3[[#This Row],[Ativo Circulante]]/Tabela3[[#This Row],[Passivo Circulante]],0)</f>
        <v>0</v>
      </c>
      <c r="U90" s="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90" s="18">
        <f>IF(Tabela3[[#This Row],[Lucro Líquido]]&gt;0,Tabela3[[#This Row],[Lucro Líquido]]/Tabela3[[#This Row],[Patrimônio Líquido]],0)</f>
        <v>0.14866232397813739</v>
      </c>
      <c r="W90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90" s="18">
        <f>IF(Tabela3[[#This Row],[Dívida]]&gt;0,Tabela3[[#This Row],[Dívida]]/Tabela3[[#This Row],[Patrimônio Líquido]],0)</f>
        <v>0</v>
      </c>
      <c r="Y90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90" s="7">
        <f>Tabela3[[#This Row],[Capital Social]]*20%</f>
        <v>460000000</v>
      </c>
      <c r="AA90" s="47">
        <f>IF((Tabela3[Lucro Líquido]*5%)&gt;Tabela3[Teto R. Legal],Tabela3[Teto R. Legal],Tabela3[Lucro Líquido]*5%)</f>
        <v>21029200</v>
      </c>
      <c r="AB90" s="47">
        <f>IF(Tabela3[Lucro Líquido]&lt;0,0,Tabela3[Lucro Líquido]-Tabela3[Reserva Legal])</f>
        <v>399554800</v>
      </c>
      <c r="AC90" s="47">
        <f>Tabela3[[#This Row],[Lucro Distribuir]]*Tabela3[%Div]</f>
        <v>99888700</v>
      </c>
      <c r="AD90" s="56">
        <f>SUMPRODUCT(N(Tabela3[Nome]=Tabela3[[#This Row],[Nome]]),Tabela3[Ações])</f>
        <v>62400000</v>
      </c>
      <c r="AE90" s="85">
        <f>Tabela3[Capital Social]/Tabela3[Total Ações]</f>
        <v>36.858974358974358</v>
      </c>
      <c r="AF90" s="85">
        <f>Tabela3[[#This Row],[Lucro Líquido]]/Tabela3[[#This Row],[Total Ações]]</f>
        <v>6.7401282051282054</v>
      </c>
      <c r="AG90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1.7060714923507982</v>
      </c>
      <c r="AH90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90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90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1.7060714923507982</v>
      </c>
      <c r="AK90" s="7">
        <f>Tabela3[Div Base]*Tabela3[Ações]</f>
        <v>53229430.561344907</v>
      </c>
      <c r="AL90" s="121">
        <f>SUMPRODUCT(N(Tabela3[Nome]=Tabela3[[#This Row],[Nome]]),Tabela3[Div Base]*Tabela3[Ações])</f>
        <v>101619821.91445959</v>
      </c>
      <c r="AM90" s="5">
        <f>Tabela3[Patrimônio Líquido]/Tabela3[Total Ações]</f>
        <v>45.338509615384616</v>
      </c>
      <c r="AN90" s="52">
        <f>MAX(Tabela3[[#This Row],[Cotação 1]:[Cotação 5]])</f>
        <v>81.900000000000006</v>
      </c>
      <c r="AO90" s="53">
        <f>Tabela3[Cotação]/Tabela3[VPA]</f>
        <v>1.8064113861433384</v>
      </c>
      <c r="AP90" s="37">
        <f>IF(Tabela3[[#This Row],[Lucro/Ação]]&gt;0,Tabela3[[#This Row],[Cotação]]/(Tabela3[[#This Row],[Lucro/Ação]]/Tabela3[Ref]*4),0)</f>
        <v>12.151104178951172</v>
      </c>
      <c r="AQ90" s="85">
        <f>Tabela3[Lucro Distribuir]/Tabela3[Total Ações]</f>
        <v>6.4031217948717947</v>
      </c>
      <c r="AR90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1.7060714923507982</v>
      </c>
      <c r="AS90" s="10" t="str">
        <f>IF(AND(Tabela3[% A.A.]&gt;=6%,SUMPRODUCT(N(Tabela3[Nome]=Tabela3[[#This Row],[Nome]]),Tabela3[PL])&gt;0,Tabela3[Rentabilidade s/ PL]&gt;=Tabela3[Rentabilidade s/ PL Média]),"Sim","Não")</f>
        <v>Não</v>
      </c>
      <c r="AT90" s="22">
        <f>IF(Tabela3[Cotação]&gt;0,Tabela3[[#This Row],[Lucro]]/Tabela3[[#This Row],[Cotação]],0)</f>
        <v>2.0831153752756997E-2</v>
      </c>
      <c r="AU90" s="22">
        <f>((1+Tabela3[[#This Row],[% Yield]])^(1/(3*Tabela3[[#This Row],[Ref]])))^(12)-1</f>
        <v>2.0831153752756126E-2</v>
      </c>
      <c r="AV90" s="10">
        <f>IF(Tabela3[Cotação]&gt;0,($BD$1/Tabela3[[#This Row],[Cotação]]-MOD($BD$1/Tabela3[[#This Row],[Cotação]],100)),)</f>
        <v>0</v>
      </c>
      <c r="AW90" s="7">
        <f>Tabela3[[#This Row],[Ativos]]*Tabela3[Lucro]</f>
        <v>0</v>
      </c>
      <c r="AX90" s="7">
        <f>SUMPRODUCT(N(Tabela1[Código]=Tabela3[[#This Row],[PAPEL]]),Tabela1[Fechamento])</f>
        <v>0</v>
      </c>
      <c r="AY90" s="7">
        <f>SUMPRODUCT(N(Tabela17[Código]=Tabela3[[#This Row],[PAPEL]]),Tabela17[Fechamento])</f>
        <v>0</v>
      </c>
      <c r="AZ90" s="7">
        <f>SUMPRODUCT(N(Tabela176[Código]=Tabela3[[#This Row],[PAPEL]]),Tabela176[Fechamento])</f>
        <v>0</v>
      </c>
      <c r="BA90" s="7">
        <f>SUMPRODUCT(N(Tabela1768[Código]=Tabela3[[#This Row],[PAPEL]]),Tabela1768[Fechamento])</f>
        <v>81.900000000000006</v>
      </c>
      <c r="BB90" s="7">
        <f>SUMPRODUCT(N(Tabela17683[Código]=Tabela3[[#This Row],[PAPEL]]),Tabela17683[Fechamento])</f>
        <v>0</v>
      </c>
    </row>
    <row r="91" spans="1:54" hidden="1" x14ac:dyDescent="0.2">
      <c r="A91" s="3" t="s">
        <v>1297</v>
      </c>
      <c r="B91" s="58" t="s">
        <v>1317</v>
      </c>
      <c r="C91" s="16" t="str">
        <f>LEFT(Tabela3[PAPEL],LEN(Tabela3[PAPEL])-(LEN(Tabela3[PAPEL])-4))</f>
        <v>LREN</v>
      </c>
      <c r="D91" s="16">
        <v>3</v>
      </c>
      <c r="E91" s="5">
        <v>421683182.5</v>
      </c>
      <c r="F91" s="56">
        <v>125894865</v>
      </c>
      <c r="G91" s="81">
        <v>0.25</v>
      </c>
      <c r="H91" s="87"/>
      <c r="J91" s="18"/>
      <c r="K91" s="16"/>
      <c r="L91" s="87"/>
      <c r="M91" s="54"/>
      <c r="N91" s="54"/>
      <c r="O91" s="54"/>
      <c r="P91" s="91">
        <v>1315462000</v>
      </c>
      <c r="Q91" s="73">
        <v>191248000</v>
      </c>
      <c r="R91" s="73">
        <f>IF(Tabela3[[#This Row],[Ativo || Passivo]]&gt;0,Tabela3[[#This Row],[Ativo || Passivo]]-Tabela3[[#This Row],[Patrimônio Líquido]],0)</f>
        <v>0</v>
      </c>
      <c r="S91" s="73">
        <f>Tabela3[[#This Row],[Cotação]]*Tabela3[[#This Row],[Total Ações]]</f>
        <v>6812171145.1499996</v>
      </c>
      <c r="T91" s="37">
        <f>IF(Tabela3[[#This Row],[Passivo Circulante]]&gt;0,Tabela3[[#This Row],[Ativo Circulante]]/Tabela3[[#This Row],[Passivo Circulante]],0)</f>
        <v>0</v>
      </c>
      <c r="U91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91" s="18">
        <f>IF(Tabela3[[#This Row],[Lucro Líquido]]&gt;0,Tabela3[[#This Row],[Lucro Líquido]]/Tabela3[[#This Row],[Patrimônio Líquido]],0)</f>
        <v>0.14538466333501082</v>
      </c>
      <c r="W91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91" s="18">
        <f>IF(Tabela3[[#This Row],[Dívida]]&gt;0,Tabela3[[#This Row],[Dívida]]/Tabela3[[#This Row],[Patrimônio Líquido]],0)</f>
        <v>0</v>
      </c>
      <c r="Y91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91" s="7">
        <f>Tabela3[[#This Row],[Capital Social]]*20%</f>
        <v>84336636.5</v>
      </c>
      <c r="AA91" s="47">
        <f>IF((Tabela3[Lucro Líquido]*5%)&gt;Tabela3[Teto R. Legal],Tabela3[Teto R. Legal],Tabela3[Lucro Líquido]*5%)</f>
        <v>9562400</v>
      </c>
      <c r="AB91" s="47">
        <f>IF(Tabela3[Lucro Líquido]&lt;0,0,Tabela3[Lucro Líquido]-Tabela3[Reserva Legal])</f>
        <v>181685600</v>
      </c>
      <c r="AC91" s="47">
        <f>Tabela3[[#This Row],[Lucro Distribuir]]*Tabela3[%Div]</f>
        <v>45421400</v>
      </c>
      <c r="AD91" s="56">
        <f>SUMPRODUCT(N(Tabela3[Nome]=Tabela3[[#This Row],[Nome]]),Tabela3[Ações])</f>
        <v>125894865</v>
      </c>
      <c r="AE91" s="85">
        <f>Tabela3[Capital Social]/Tabela3[Total Ações]</f>
        <v>3.3494867522992302</v>
      </c>
      <c r="AF91" s="85">
        <f>Tabela3[[#This Row],[Lucro Líquido]]/Tabela3[[#This Row],[Total Ações]]</f>
        <v>1.5191088214757607</v>
      </c>
      <c r="AG91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0.36078834510049318</v>
      </c>
      <c r="AH91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91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91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0.36078834510049318</v>
      </c>
      <c r="AK91" s="7">
        <f>Tabela3[Div Base]*Tabela3[Ações]</f>
        <v>45421400</v>
      </c>
      <c r="AL91" s="121">
        <f>SUMPRODUCT(N(Tabela3[Nome]=Tabela3[[#This Row],[Nome]]),Tabela3[Div Base]*Tabela3[Ações])</f>
        <v>45421400</v>
      </c>
      <c r="AM91" s="5">
        <f>Tabela3[Patrimônio Líquido]/Tabela3[Total Ações]</f>
        <v>10.448893209425181</v>
      </c>
      <c r="AN91" s="52">
        <f>MAX(Tabela3[[#This Row],[Cotação 1]:[Cotação 5]])</f>
        <v>54.11</v>
      </c>
      <c r="AO91" s="53">
        <f>Tabela3[Cotação]/Tabela3[VPA]</f>
        <v>5.1785389050766959</v>
      </c>
      <c r="AP91" s="37">
        <f>IF(Tabela3[[#This Row],[Lucro/Ação]]&gt;0,Tabela3[[#This Row],[Cotação]]/(Tabela3[[#This Row],[Lucro/Ação]]/Tabela3[Ref]*4),0)</f>
        <v>26.714676016808017</v>
      </c>
      <c r="AQ91" s="85">
        <f>Tabela3[Lucro Distribuir]/Tabela3[Total Ações]</f>
        <v>1.4431533804019727</v>
      </c>
      <c r="AR91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0.36078834510049318</v>
      </c>
      <c r="AS91" s="10" t="str">
        <f>IF(AND(Tabela3[% A.A.]&gt;=6%,SUMPRODUCT(N(Tabela3[Nome]=Tabela3[[#This Row],[Nome]]),Tabela3[PL])&gt;0,Tabela3[Rentabilidade s/ PL]&gt;=Tabela3[Rentabilidade s/ PL Média]),"Sim","Não")</f>
        <v>Não</v>
      </c>
      <c r="AT91" s="22">
        <f>IF(Tabela3[Cotação]&gt;0,Tabela3[[#This Row],[Lucro]]/Tabela3[[#This Row],[Cotação]],0)</f>
        <v>6.6676833321103893E-3</v>
      </c>
      <c r="AU91" s="22">
        <f>((1+Tabela3[[#This Row],[% Yield]])^(1/(3*Tabela3[[#This Row],[Ref]])))^(12)-1</f>
        <v>8.9001094005096704E-3</v>
      </c>
      <c r="AV91" s="10">
        <f>IF(Tabela3[Cotação]&gt;0,($BD$1/Tabela3[[#This Row],[Cotação]]-MOD($BD$1/Tabela3[[#This Row],[Cotação]],100)),)</f>
        <v>0</v>
      </c>
      <c r="AW91" s="7">
        <f>Tabela3[[#This Row],[Ativos]]*Tabela3[Lucro]</f>
        <v>0</v>
      </c>
      <c r="AX91" s="7">
        <f>SUMPRODUCT(N(Tabela1[Código]=Tabela3[[#This Row],[PAPEL]]),Tabela1[Fechamento])</f>
        <v>0</v>
      </c>
      <c r="AY91" s="7">
        <f>SUMPRODUCT(N(Tabela17[Código]=Tabela3[[#This Row],[PAPEL]]),Tabela17[Fechamento])</f>
        <v>0</v>
      </c>
      <c r="AZ91" s="7">
        <f>SUMPRODUCT(N(Tabela176[Código]=Tabela3[[#This Row],[PAPEL]]),Tabela176[Fechamento])</f>
        <v>0</v>
      </c>
      <c r="BA91" s="7">
        <f>SUMPRODUCT(N(Tabela1768[Código]=Tabela3[[#This Row],[PAPEL]]),Tabela1768[Fechamento])</f>
        <v>54.11</v>
      </c>
      <c r="BB91" s="7">
        <f>SUMPRODUCT(N(Tabela17683[Código]=Tabela3[[#This Row],[PAPEL]]),Tabela17683[Fechamento])</f>
        <v>0</v>
      </c>
    </row>
    <row r="92" spans="1:54" hidden="1" x14ac:dyDescent="0.2">
      <c r="A92" s="3" t="s">
        <v>1476</v>
      </c>
      <c r="B92" s="57" t="s">
        <v>1470</v>
      </c>
      <c r="C92" s="16" t="str">
        <f>LEFT(Tabela3[PAPEL],LEN(Tabela3[PAPEL])-(LEN(Tabela3[PAPEL])-4))</f>
        <v>ECOR</v>
      </c>
      <c r="D92" s="16">
        <v>3</v>
      </c>
      <c r="E92" s="5">
        <v>1340699080</v>
      </c>
      <c r="F92" s="56">
        <v>558699080</v>
      </c>
      <c r="G92" s="81">
        <v>0.25</v>
      </c>
      <c r="H92" s="87"/>
      <c r="J92" s="18"/>
      <c r="K92" s="16"/>
      <c r="L92" s="87"/>
      <c r="M92" s="54"/>
      <c r="N92" s="54"/>
      <c r="O92" s="54"/>
      <c r="P92" s="91">
        <v>2152782000</v>
      </c>
      <c r="Q92" s="103">
        <v>309558000</v>
      </c>
      <c r="R92" s="73">
        <f>IF(Tabela3[[#This Row],[Ativo || Passivo]]&gt;0,Tabela3[[#This Row],[Ativo || Passivo]]-Tabela3[[#This Row],[Patrimônio Líquido]],0)</f>
        <v>0</v>
      </c>
      <c r="S92" s="73">
        <f>Tabela3[[#This Row],[Cotação]]*Tabela3[[#This Row],[Total Ações]]</f>
        <v>6754671877.1999998</v>
      </c>
      <c r="T92" s="37">
        <f>IF(Tabela3[[#This Row],[Passivo Circulante]]&gt;0,Tabela3[[#This Row],[Ativo Circulante]]/Tabela3[[#This Row],[Passivo Circulante]],0)</f>
        <v>0</v>
      </c>
      <c r="U92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92" s="18">
        <f>IF(Tabela3[[#This Row],[Lucro Líquido]]&gt;0,Tabela3[[#This Row],[Lucro Líquido]]/Tabela3[[#This Row],[Patrimônio Líquido]],0)</f>
        <v>0.14379440184839895</v>
      </c>
      <c r="W92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92" s="18">
        <f>IF(Tabela3[[#This Row],[Dívida]]&gt;0,Tabela3[[#This Row],[Dívida]]/Tabela3[[#This Row],[Patrimônio Líquido]],0)</f>
        <v>0</v>
      </c>
      <c r="Y92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92" s="7">
        <f>Tabela3[[#This Row],[Capital Social]]*20%</f>
        <v>268139816</v>
      </c>
      <c r="AA92" s="47">
        <f>IF((Tabela3[Lucro Líquido]*5%)&gt;Tabela3[Teto R. Legal],Tabela3[Teto R. Legal],Tabela3[Lucro Líquido]*5%)</f>
        <v>15477900</v>
      </c>
      <c r="AB92" s="47">
        <f>IF(Tabela3[Lucro Líquido]&lt;0,0,Tabela3[Lucro Líquido]-Tabela3[Reserva Legal])</f>
        <v>294080100</v>
      </c>
      <c r="AC92" s="47">
        <f>Tabela3[[#This Row],[Lucro Distribuir]]*Tabela3[%Div]</f>
        <v>73520025</v>
      </c>
      <c r="AD92" s="56">
        <f>SUMPRODUCT(N(Tabela3[Nome]=Tabela3[[#This Row],[Nome]]),Tabela3[Ações])</f>
        <v>558699080</v>
      </c>
      <c r="AE92" s="85">
        <f>Tabela3[Capital Social]/Tabela3[Total Ações]</f>
        <v>2.3996801283438662</v>
      </c>
      <c r="AF92" s="85">
        <f>Tabela3[[#This Row],[Lucro Líquido]]/Tabela3[[#This Row],[Total Ações]]</f>
        <v>0.55406928538346623</v>
      </c>
      <c r="AG92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0.13159145527857322</v>
      </c>
      <c r="AH92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92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92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0.13159145527857322</v>
      </c>
      <c r="AK92" s="7">
        <f>Tabela3[Div Base]*Tabela3[Ações]</f>
        <v>73520025</v>
      </c>
      <c r="AL92" s="121">
        <f>SUMPRODUCT(N(Tabela3[Nome]=Tabela3[[#This Row],[Nome]]),Tabela3[Div Base]*Tabela3[Ações])</f>
        <v>73520025</v>
      </c>
      <c r="AM92" s="5">
        <f>Tabela3[Patrimônio Líquido]/Tabela3[Total Ações]</f>
        <v>3.853204841504303</v>
      </c>
      <c r="AN92" s="52">
        <f>MAX(Tabela3[[#This Row],[Cotação 1]:[Cotação 5]])</f>
        <v>12.09</v>
      </c>
      <c r="AO92" s="53">
        <f>Tabela3[Cotação]/Tabela3[VPA]</f>
        <v>3.1376478794415785</v>
      </c>
      <c r="AP92" s="37">
        <f>IF(Tabela3[[#This Row],[Lucro/Ação]]&gt;0,Tabela3[[#This Row],[Cotação]]/(Tabela3[[#This Row],[Lucro/Ação]]/Tabela3[Ref]*4),0)</f>
        <v>16.365281814393423</v>
      </c>
      <c r="AQ92" s="85">
        <f>Tabela3[Lucro Distribuir]/Tabela3[Total Ações]</f>
        <v>0.52636582111429286</v>
      </c>
      <c r="AR92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0.13159145527857322</v>
      </c>
      <c r="AS92" s="10" t="str">
        <f>IF(AND(Tabela3[% A.A.]&gt;=6%,SUMPRODUCT(N(Tabela3[Nome]=Tabela3[[#This Row],[Nome]]),Tabela3[PL])&gt;0,Tabela3[Rentabilidade s/ PL]&gt;=Tabela3[Rentabilidade s/ PL Média]),"Sim","Não")</f>
        <v>Não</v>
      </c>
      <c r="AT92" s="22">
        <f>IF(Tabela3[Cotação]&gt;0,Tabela3[[#This Row],[Lucro]]/Tabela3[[#This Row],[Cotação]],0)</f>
        <v>1.0884322190121854E-2</v>
      </c>
      <c r="AU92" s="22">
        <f>((1+Tabela3[[#This Row],[% Yield]])^(1/(3*Tabela3[[#This Row],[Ref]])))^(12)-1</f>
        <v>1.4538692524016961E-2</v>
      </c>
      <c r="AV92" s="10">
        <f>IF(Tabela3[Cotação]&gt;0,($BH$1/Tabela3[[#This Row],[Cotação]]-MOD($BH$1/Tabela3[[#This Row],[Cotação]],100)),)</f>
        <v>0</v>
      </c>
      <c r="AW92" s="7">
        <f>Tabela3[[#This Row],[Ativos]]*Tabela3[Lucro]</f>
        <v>0</v>
      </c>
      <c r="AX92" s="7">
        <f>SUMPRODUCT(N(Tabela1[Código]=Tabela3[[#This Row],[PAPEL]]),Tabela1[Fechamento])</f>
        <v>0</v>
      </c>
      <c r="AY92" s="7">
        <f>SUMPRODUCT(N(Tabela17[Código]=Tabela3[[#This Row],[PAPEL]]),Tabela17[Fechamento])</f>
        <v>0</v>
      </c>
      <c r="AZ92" s="7">
        <f>SUMPRODUCT(N(Tabela176[Código]=Tabela3[[#This Row],[PAPEL]]),Tabela176[Fechamento])</f>
        <v>0</v>
      </c>
      <c r="BA92" s="7">
        <f>SUMPRODUCT(N(Tabela1768[Código]=Tabela3[[#This Row],[PAPEL]]),Tabela1768[Fechamento])</f>
        <v>0</v>
      </c>
      <c r="BB92" s="7">
        <f>SUMPRODUCT(N(Tabela17683[Código]=Tabela3[[#This Row],[PAPEL]]),Tabela17683[Fechamento])</f>
        <v>12.09</v>
      </c>
    </row>
    <row r="93" spans="1:54" hidden="1" x14ac:dyDescent="0.2">
      <c r="A93" s="4" t="s">
        <v>14</v>
      </c>
      <c r="B93" s="57" t="s">
        <v>217</v>
      </c>
      <c r="C93" s="15" t="str">
        <f>LEFT(Tabela3[PAPEL],LEN(Tabela3[PAPEL])-(LEN(Tabela3[PAPEL])-4))</f>
        <v>BSLI</v>
      </c>
      <c r="D93" s="16">
        <v>3</v>
      </c>
      <c r="E93" s="5">
        <v>500000000</v>
      </c>
      <c r="F93" s="56">
        <v>28014650</v>
      </c>
      <c r="G93" s="86">
        <v>0.25</v>
      </c>
      <c r="H93" s="16"/>
      <c r="J93" s="18"/>
      <c r="K93" s="87"/>
      <c r="L93" s="87"/>
      <c r="M93" s="54"/>
      <c r="N93" s="54"/>
      <c r="O93" s="54"/>
      <c r="P93" s="5">
        <v>1002748000</v>
      </c>
      <c r="Q93" s="126">
        <v>143437000</v>
      </c>
      <c r="R93" s="5">
        <f>IF(Tabela3[[#This Row],[Ativo || Passivo]]&gt;0,Tabela3[[#This Row],[Ativo || Passivo]]-Tabela3[[#This Row],[Patrimônio Líquido]],0)</f>
        <v>0</v>
      </c>
      <c r="S93" s="5">
        <f>Tabela3[[#This Row],[Cotação]]*Tabela3[[#This Row],[Total Ações]]</f>
        <v>971149387.5</v>
      </c>
      <c r="T93" s="132">
        <f>IF(Tabela3[[#This Row],[Passivo Circulante]]&gt;0,Tabela3[[#This Row],[Ativo Circulante]]/Tabela3[[#This Row],[Passivo Circulante]],0)</f>
        <v>0</v>
      </c>
      <c r="U93" s="132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93" s="18">
        <f>IF(Tabela3[[#This Row],[Lucro Líquido]]&gt;0,Tabela3[[#This Row],[Lucro Líquido]]/Tabela3[[#This Row],[Patrimônio Líquido]],0)</f>
        <v>0.14304391532069871</v>
      </c>
      <c r="W93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93" s="18">
        <f>IF(Tabela3[[#This Row],[Dívida]]&gt;0,Tabela3[[#This Row],[Dívida]]/Tabela3[[#This Row],[Patrimônio Líquido]],0)</f>
        <v>0</v>
      </c>
      <c r="Y93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93" s="5">
        <f>Tabela3[[#This Row],[Capital Social]]*20%</f>
        <v>100000000</v>
      </c>
      <c r="AA93" s="5">
        <f>IF((Tabela3[Lucro Líquido]*5%)&gt;Tabela3[Teto R. Legal],Tabela3[Teto R. Legal],Tabela3[Lucro Líquido]*5%)</f>
        <v>7171850</v>
      </c>
      <c r="AB93" s="5">
        <f>IF(Tabela3[Lucro Líquido]&lt;0,0,Tabela3[Lucro Líquido]-Tabela3[Reserva Legal])</f>
        <v>136265150</v>
      </c>
      <c r="AC93" s="5">
        <f>Tabela3[[#This Row],[Lucro Distribuir]]*Tabela3[%Div]</f>
        <v>34066287.5</v>
      </c>
      <c r="AD93" s="21">
        <f>SUMPRODUCT(N(Tabela3[Nome]=Tabela3[[#This Row],[Nome]]),Tabela3[Ações])</f>
        <v>36304650</v>
      </c>
      <c r="AE93" s="5">
        <f>Tabela3[Capital Social]/Tabela3[Total Ações]</f>
        <v>13.772340457765052</v>
      </c>
      <c r="AF93" s="77">
        <f>Tabela3[[#This Row],[Lucro Líquido]]/Tabela3[[#This Row],[Total Ações]]</f>
        <v>3.9509263964808916</v>
      </c>
      <c r="AG93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0.90914953746724325</v>
      </c>
      <c r="AH93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93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93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0.90914953746724325</v>
      </c>
      <c r="AK93" s="5">
        <f>Tabela3[Div Base]*Tabela3[Ações]</f>
        <v>25469506.089806706</v>
      </c>
      <c r="AL93" s="5">
        <f>SUMPRODUCT(N(Tabela3[Nome]=Tabela3[[#This Row],[Nome]]),Tabela3[Div Base]*Tabela3[Ações])</f>
        <v>33760040.733327664</v>
      </c>
      <c r="AM93" s="5">
        <f>Tabela3[Patrimônio Líquido]/Tabela3[Total Ações]</f>
        <v>27.620373698685981</v>
      </c>
      <c r="AN93" s="52">
        <f>MAX(Tabela3[[#This Row],[Cotação 1]:[Cotação 5]])</f>
        <v>26.75</v>
      </c>
      <c r="AO93" s="53">
        <f>Tabela3[Cotação]/Tabela3[VPA]</f>
        <v>0.96848798252402402</v>
      </c>
      <c r="AP93" s="37">
        <f>IF(Tabela3[[#This Row],[Lucro/Ação]]&gt;0,Tabela3[[#This Row],[Cotação]]/(Tabela3[[#This Row],[Lucro/Ação]]/Tabela3[Ref]*4),0)</f>
        <v>5.077922994938544</v>
      </c>
      <c r="AQ93" s="77">
        <f>Tabela3[Lucro Distribuir]/Tabela3[Total Ações]</f>
        <v>3.753380076656847</v>
      </c>
      <c r="AR93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0.90914953746724325</v>
      </c>
      <c r="AS93" s="16" t="str">
        <f>IF(AND(Tabela3[% A.A.]&gt;=6%,SUMPRODUCT(N(Tabela3[Nome]=Tabela3[[#This Row],[Nome]]),Tabela3[PL])&gt;0,Tabela3[Rentabilidade s/ PL]&gt;=Tabela3[Rentabilidade s/ PL Média]),"Sim","Não")</f>
        <v>Não</v>
      </c>
      <c r="AT93" s="22">
        <f>IF(Tabela3[Cotação]&gt;0,Tabela3[[#This Row],[Lucro]]/Tabela3[[#This Row],[Cotação]],0)</f>
        <v>3.398689859690629E-2</v>
      </c>
      <c r="AU93" s="18">
        <f>((1+Tabela3[[#This Row],[% Yield]])^(1/(3*Tabela3[[#This Row],[Ref]])))^(12)-1</f>
        <v>4.5570644017481232E-2</v>
      </c>
      <c r="AV93" s="10">
        <f>IF(Tabela3[Cotação]&gt;0,($BH$1/Tabela3[[#This Row],[Cotação]]-MOD($BH$1/Tabela3[[#This Row],[Cotação]],100)),)</f>
        <v>0</v>
      </c>
      <c r="AW93" s="7">
        <f>Tabela3[[#This Row],[Ativos]]*Tabela3[Lucro]</f>
        <v>0</v>
      </c>
      <c r="AX93" s="5">
        <f>SUMPRODUCT(N(Tabela1[Código]=Tabela3[[#This Row],[PAPEL]]),Tabela1[Fechamento])</f>
        <v>26.75</v>
      </c>
      <c r="AY93" s="5">
        <f>SUMPRODUCT(N(Tabela17[Código]=Tabela3[[#This Row],[PAPEL]]),Tabela17[Fechamento])</f>
        <v>0</v>
      </c>
      <c r="AZ93" s="7">
        <f>SUMPRODUCT(N(Tabela176[Código]=Tabela3[[#This Row],[PAPEL]]),Tabela176[Fechamento])</f>
        <v>0</v>
      </c>
      <c r="BA93" s="7">
        <f>SUMPRODUCT(N(Tabela1768[Código]=Tabela3[[#This Row],[PAPEL]]),Tabela1768[Fechamento])</f>
        <v>0</v>
      </c>
      <c r="BB93" s="7">
        <f>SUMPRODUCT(N(Tabela17683[Código]=Tabela3[[#This Row],[PAPEL]]),Tabela17683[Fechamento])</f>
        <v>0</v>
      </c>
    </row>
    <row r="94" spans="1:54" hidden="1" x14ac:dyDescent="0.2">
      <c r="A94" s="4" t="s">
        <v>14</v>
      </c>
      <c r="B94" s="57" t="s">
        <v>218</v>
      </c>
      <c r="C94" s="14" t="str">
        <f>LEFT(Tabela3[PAPEL],LEN(Tabela3[PAPEL])-(LEN(Tabela3[PAPEL])-4))</f>
        <v>BSLI</v>
      </c>
      <c r="D94" s="15">
        <v>3</v>
      </c>
      <c r="E94" s="5">
        <v>500000000</v>
      </c>
      <c r="F94" s="8">
        <v>8290000</v>
      </c>
      <c r="G94" s="81">
        <v>0.25</v>
      </c>
      <c r="H94" s="15"/>
      <c r="I94" s="19"/>
      <c r="J94" s="19">
        <v>0.1</v>
      </c>
      <c r="K94" s="88"/>
      <c r="L94" s="88"/>
      <c r="M94" s="55"/>
      <c r="N94" s="55"/>
      <c r="O94" s="55"/>
      <c r="P94" s="5">
        <v>1002748000</v>
      </c>
      <c r="Q94" s="6">
        <v>143437000</v>
      </c>
      <c r="R94" s="5">
        <f>IF(Tabela3[[#This Row],[Ativo || Passivo]]&gt;0,Tabela3[[#This Row],[Ativo || Passivo]]-Tabela3[[#This Row],[Patrimônio Líquido]],0)</f>
        <v>0</v>
      </c>
      <c r="S94" s="5">
        <f>Tabela3[[#This Row],[Cotação]]*Tabela3[[#This Row],[Total Ações]]</f>
        <v>1016530200</v>
      </c>
      <c r="T94" s="132">
        <f>IF(Tabela3[[#This Row],[Passivo Circulante]]&gt;0,Tabela3[[#This Row],[Ativo Circulante]]/Tabela3[[#This Row],[Passivo Circulante]],0)</f>
        <v>0</v>
      </c>
      <c r="U94" s="132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94" s="18">
        <f>IF(Tabela3[[#This Row],[Lucro Líquido]]&gt;0,Tabela3[[#This Row],[Lucro Líquido]]/Tabela3[[#This Row],[Patrimônio Líquido]],0)</f>
        <v>0.14304391532069871</v>
      </c>
      <c r="W94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94" s="18">
        <f>IF(Tabela3[[#This Row],[Dívida]]&gt;0,Tabela3[[#This Row],[Dívida]]/Tabela3[[#This Row],[Patrimônio Líquido]],0)</f>
        <v>0</v>
      </c>
      <c r="Y94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94" s="5">
        <f>Tabela3[[#This Row],[Capital Social]]*20%</f>
        <v>100000000</v>
      </c>
      <c r="AA94" s="5">
        <f>IF((Tabela3[Lucro Líquido]*5%)&gt;Tabela3[Teto R. Legal],Tabela3[Teto R. Legal],Tabela3[Lucro Líquido]*5%)</f>
        <v>7171850</v>
      </c>
      <c r="AB94" s="5">
        <f>IF(Tabela3[Lucro Líquido]&lt;0,0,Tabela3[Lucro Líquido]-Tabela3[Reserva Legal])</f>
        <v>136265150</v>
      </c>
      <c r="AC94" s="5">
        <f>Tabela3[[#This Row],[Lucro Distribuir]]*Tabela3[%Div]</f>
        <v>34066287.5</v>
      </c>
      <c r="AD94" s="21">
        <f>SUMPRODUCT(N(Tabela3[Nome]=Tabela3[[#This Row],[Nome]]),Tabela3[Ações])</f>
        <v>36304650</v>
      </c>
      <c r="AE94" s="5">
        <f>Tabela3[Capital Social]/Tabela3[Total Ações]</f>
        <v>13.772340457765052</v>
      </c>
      <c r="AF94" s="78">
        <f>Tabela3[[#This Row],[Lucro Líquido]]/Tabela3[[#This Row],[Total Ações]]</f>
        <v>3.9509263964808916</v>
      </c>
      <c r="AG94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1.0000644925839512</v>
      </c>
      <c r="AH94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94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94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1.0000644925839512</v>
      </c>
      <c r="AK94" s="5">
        <f>Tabela3[Div Base]*Tabela3[Ações]</f>
        <v>8290534.6435209559</v>
      </c>
      <c r="AL94" s="5">
        <f>SUMPRODUCT(N(Tabela3[Nome]=Tabela3[[#This Row],[Nome]]),Tabela3[Div Base]*Tabela3[Ações])</f>
        <v>33760040.733327664</v>
      </c>
      <c r="AM94" s="6">
        <f>Tabela3[Patrimônio Líquido]/Tabela3[Total Ações]</f>
        <v>27.620373698685981</v>
      </c>
      <c r="AN94" s="48">
        <f>MAX(Tabela3[[#This Row],[Cotação 1]:[Cotação 5]])</f>
        <v>28</v>
      </c>
      <c r="AO94" s="44">
        <f>Tabela3[Cotação]/Tabela3[VPA]</f>
        <v>1.0137444303055205</v>
      </c>
      <c r="AP94" s="40">
        <f>IF(Tabela3[[#This Row],[Lucro/Ação]]&gt;0,Tabela3[[#This Row],[Cotação]]/(Tabela3[[#This Row],[Lucro/Ação]]/Tabela3[Ref]*4),0)</f>
        <v>5.3152091161973551</v>
      </c>
      <c r="AQ94" s="78">
        <f>Tabela3[Lucro Distribuir]/Tabela3[Total Ações]</f>
        <v>3.753380076656847</v>
      </c>
      <c r="AR94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1.0000644925839512</v>
      </c>
      <c r="AS94" s="15" t="str">
        <f>IF(AND(Tabela3[% A.A.]&gt;=6%,SUMPRODUCT(N(Tabela3[Nome]=Tabela3[[#This Row],[Nome]]),Tabela3[PL])&gt;0,Tabela3[Rentabilidade s/ PL]&gt;=Tabela3[Rentabilidade s/ PL Média]),"Sim","Não")</f>
        <v>Não</v>
      </c>
      <c r="AT94" s="42">
        <f>IF(Tabela3[Cotação]&gt;0,Tabela3[[#This Row],[Lucro]]/Tabela3[[#This Row],[Cotação]],0)</f>
        <v>3.5716589020855401E-2</v>
      </c>
      <c r="AU94" s="19">
        <f>((1+Tabela3[[#This Row],[% Yield]])^(1/(3*Tabela3[[#This Row],[Ref]])))^(12)-1</f>
        <v>4.7903384815986216E-2</v>
      </c>
      <c r="AV94" s="14">
        <f>IF(Tabela3[Cotação]&gt;0,($BH$1/Tabela3[[#This Row],[Cotação]]-MOD($BH$1/Tabela3[[#This Row],[Cotação]],100)),)</f>
        <v>0</v>
      </c>
      <c r="AW94" s="17">
        <f>Tabela3[[#This Row],[Ativos]]*Tabela3[Lucro]</f>
        <v>0</v>
      </c>
      <c r="AX94" s="5">
        <f>SUMPRODUCT(N(Tabela1[Código]=Tabela3[[#This Row],[PAPEL]]),Tabela1[Fechamento])</f>
        <v>28</v>
      </c>
      <c r="AY94" s="5">
        <f>SUMPRODUCT(N(Tabela17[Código]=Tabela3[[#This Row],[PAPEL]]),Tabela17[Fechamento])</f>
        <v>0</v>
      </c>
      <c r="AZ94" s="7">
        <f>SUMPRODUCT(N(Tabela176[Código]=Tabela3[[#This Row],[PAPEL]]),Tabela176[Fechamento])</f>
        <v>0</v>
      </c>
      <c r="BA94" s="7">
        <f>SUMPRODUCT(N(Tabela1768[Código]=Tabela3[[#This Row],[PAPEL]]),Tabela1768[Fechamento])</f>
        <v>0</v>
      </c>
      <c r="BB94" s="7">
        <f>SUMPRODUCT(N(Tabela17683[Código]=Tabela3[[#This Row],[PAPEL]]),Tabela17683[Fechamento])</f>
        <v>0</v>
      </c>
    </row>
    <row r="95" spans="1:54" hidden="1" x14ac:dyDescent="0.2">
      <c r="A95" s="4" t="s">
        <v>259</v>
      </c>
      <c r="B95" s="58" t="s">
        <v>882</v>
      </c>
      <c r="C95" s="16" t="str">
        <f>LEFT(Tabela3[PAPEL],LEN(Tabela3[PAPEL])-(LEN(Tabela3[PAPEL])-4))</f>
        <v>MDIA</v>
      </c>
      <c r="D95" s="16">
        <v>3</v>
      </c>
      <c r="E95" s="5">
        <v>725607830.69000006</v>
      </c>
      <c r="F95" s="56">
        <v>113450000</v>
      </c>
      <c r="G95" s="81">
        <v>0.25</v>
      </c>
      <c r="H95" s="87"/>
      <c r="J95" s="18"/>
      <c r="K95" s="16"/>
      <c r="L95" s="87"/>
      <c r="M95" s="54"/>
      <c r="N95" s="54"/>
      <c r="O95" s="54"/>
      <c r="P95" s="91">
        <v>2754410000</v>
      </c>
      <c r="Q95" s="73">
        <v>392611000</v>
      </c>
      <c r="R95" s="73">
        <f>IF(Tabela3[[#This Row],[Ativo || Passivo]]&gt;0,Tabela3[[#This Row],[Ativo || Passivo]]-Tabela3[[#This Row],[Patrimônio Líquido]],0)</f>
        <v>0</v>
      </c>
      <c r="S95" s="73">
        <f>Tabela3[[#This Row],[Cotação]]*Tabela3[[#This Row],[Total Ações]]</f>
        <v>0</v>
      </c>
      <c r="T95" s="37">
        <f>IF(Tabela3[[#This Row],[Passivo Circulante]]&gt;0,Tabela3[[#This Row],[Ativo Circulante]]/Tabela3[[#This Row],[Passivo Circulante]],0)</f>
        <v>0</v>
      </c>
      <c r="U95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95" s="18">
        <f>IF(Tabela3[[#This Row],[Lucro Líquido]]&gt;0,Tabela3[[#This Row],[Lucro Líquido]]/Tabela3[[#This Row],[Patrimônio Líquido]],0)</f>
        <v>0.14253905555091653</v>
      </c>
      <c r="W95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95" s="18">
        <f>IF(Tabela3[[#This Row],[Dívida]]&gt;0,Tabela3[[#This Row],[Dívida]]/Tabela3[[#This Row],[Patrimônio Líquido]],0)</f>
        <v>0</v>
      </c>
      <c r="Y95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95" s="7">
        <f>Tabela3[[#This Row],[Capital Social]]*20%</f>
        <v>145121566.13800001</v>
      </c>
      <c r="AA95" s="47">
        <f>IF((Tabela3[Lucro Líquido]*5%)&gt;Tabela3[Teto R. Legal],Tabela3[Teto R. Legal],Tabela3[Lucro Líquido]*5%)</f>
        <v>19630550</v>
      </c>
      <c r="AB95" s="47">
        <f>IF(Tabela3[Lucro Líquido]&lt;0,0,Tabela3[Lucro Líquido]-Tabela3[Reserva Legal])</f>
        <v>372980450</v>
      </c>
      <c r="AC95" s="47">
        <f>Tabela3[[#This Row],[Lucro Distribuir]]*Tabela3[%Div]</f>
        <v>93245112.5</v>
      </c>
      <c r="AD95" s="56">
        <f>SUMPRODUCT(N(Tabela3[Nome]=Tabela3[[#This Row],[Nome]]),Tabela3[Ações])</f>
        <v>113450000</v>
      </c>
      <c r="AE95" s="85">
        <f>Tabela3[Capital Social]/Tabela3[Total Ações]</f>
        <v>6.3958380845306309</v>
      </c>
      <c r="AF95" s="85">
        <f>Tabela3[[#This Row],[Lucro Líquido]]/Tabela3[[#This Row],[Total Ações]]</f>
        <v>3.4606522697223445</v>
      </c>
      <c r="AG95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0.82190491405905686</v>
      </c>
      <c r="AH95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95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95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0.82190491405905686</v>
      </c>
      <c r="AK95" s="7">
        <f>Tabela3[Div Base]*Tabela3[Ações]</f>
        <v>93245112.5</v>
      </c>
      <c r="AL95" s="7">
        <f>SUMPRODUCT(N(Tabela3[Nome]=Tabela3[[#This Row],[Nome]]),Tabela3[Div Base]*Tabela3[Ações])</f>
        <v>93245112.5</v>
      </c>
      <c r="AM95" s="5">
        <f>Tabela3[Patrimônio Líquido]/Tabela3[Total Ações]</f>
        <v>24.278624944909652</v>
      </c>
      <c r="AN95" s="52">
        <f>MAX(Tabela3[[#This Row],[Cotação 1]:[Cotação 5]])</f>
        <v>0</v>
      </c>
      <c r="AO95" s="53">
        <f>Tabela3[Cotação]/Tabela3[VPA]</f>
        <v>0</v>
      </c>
      <c r="AP95" s="37">
        <f>IF(Tabela3[[#This Row],[Lucro/Ação]]&gt;0,Tabela3[[#This Row],[Cotação]]/(Tabela3[[#This Row],[Lucro/Ação]]/Tabela3[Ref]*4),0)</f>
        <v>0</v>
      </c>
      <c r="AQ95" s="85">
        <f>Tabela3[Lucro Distribuir]/Tabela3[Total Ações]</f>
        <v>3.2876196562362274</v>
      </c>
      <c r="AR95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0.82190491405905686</v>
      </c>
      <c r="AS95" s="10" t="str">
        <f>IF(AND(Tabela3[% A.A.]&gt;=6%,SUMPRODUCT(N(Tabela3[Nome]=Tabela3[[#This Row],[Nome]]),Tabela3[PL])&gt;0,Tabela3[Rentabilidade s/ PL]&gt;=Tabela3[Rentabilidade s/ PL Média]),"Sim","Não")</f>
        <v>Não</v>
      </c>
      <c r="AT95" s="22">
        <f>IF(Tabela3[Cotação]&gt;0,Tabela3[[#This Row],[Lucro]]/Tabela3[[#This Row],[Cotação]],0)</f>
        <v>0</v>
      </c>
      <c r="AU95" s="22">
        <f>((1+Tabela3[[#This Row],[% Yield]])^(1/(3*Tabela3[[#This Row],[Ref]])))^(12)-1</f>
        <v>0</v>
      </c>
      <c r="AV95" s="10">
        <f>IF(Tabela3[Cotação]&gt;0,($BD$1/Tabela3[[#This Row],[Cotação]]-MOD($BD$1/Tabela3[[#This Row],[Cotação]],100)),)</f>
        <v>0</v>
      </c>
      <c r="AW95" s="7">
        <f>Tabela3[[#This Row],[Ativos]]*Tabela3[Lucro]</f>
        <v>0</v>
      </c>
      <c r="AX95" s="7">
        <f>SUMPRODUCT(N(Tabela1[Código]=Tabela3[[#This Row],[PAPEL]]),Tabela1[Fechamento])</f>
        <v>0</v>
      </c>
      <c r="AY95" s="7">
        <f>SUMPRODUCT(N(Tabela17[Código]=Tabela3[[#This Row],[PAPEL]]),Tabela17[Fechamento])</f>
        <v>0</v>
      </c>
      <c r="AZ95" s="7">
        <f>SUMPRODUCT(N(Tabela176[Código]=Tabela3[[#This Row],[PAPEL]]),Tabela176[Fechamento])</f>
        <v>0</v>
      </c>
      <c r="BA95" s="7">
        <f>SUMPRODUCT(N(Tabela1768[Código]=Tabela3[[#This Row],[PAPEL]]),Tabela1768[Fechamento])</f>
        <v>0</v>
      </c>
      <c r="BB95" s="7">
        <f>SUMPRODUCT(N(Tabela17683[Código]=Tabela3[[#This Row],[PAPEL]]),Tabela17683[Fechamento])</f>
        <v>0</v>
      </c>
    </row>
    <row r="96" spans="1:54" x14ac:dyDescent="0.2">
      <c r="A96" s="3" t="s">
        <v>293</v>
      </c>
      <c r="B96" s="58" t="s">
        <v>290</v>
      </c>
      <c r="C96" s="83" t="str">
        <f>LEFT(Tabela3[PAPEL],LEN(Tabela3[PAPEL])-(LEN(Tabela3[PAPEL])-4))</f>
        <v>OIBR</v>
      </c>
      <c r="D96" s="16">
        <v>4</v>
      </c>
      <c r="E96" s="5">
        <v>7471208836.6300001</v>
      </c>
      <c r="F96" s="56">
        <v>1198077775</v>
      </c>
      <c r="G96" s="81">
        <v>0.25</v>
      </c>
      <c r="H96" s="18">
        <v>0.03</v>
      </c>
      <c r="I96" s="18">
        <v>0.06</v>
      </c>
      <c r="J96" s="18"/>
      <c r="K96" s="87"/>
      <c r="L96" s="87"/>
      <c r="M96" s="54">
        <v>45633520000</v>
      </c>
      <c r="N96" s="54">
        <v>7215516000</v>
      </c>
      <c r="O96" s="54">
        <v>7256054000</v>
      </c>
      <c r="P96" s="5">
        <v>11524138000</v>
      </c>
      <c r="Q96" s="5">
        <v>1493015000</v>
      </c>
      <c r="R96" s="5">
        <f>IF(Tabela3[[#This Row],[Ativo || Passivo]]&gt;0,Tabela3[[#This Row],[Ativo || Passivo]]-Tabela3[[#This Row],[Patrimônio Líquido]],0)</f>
        <v>34109382000</v>
      </c>
      <c r="S96" s="5">
        <f>Tabela3[[#This Row],[Cotação]]*Tabela3[[#This Row],[Total Ações]]</f>
        <v>6829232335.1999998</v>
      </c>
      <c r="T96" s="132">
        <f>IF(Tabela3[[#This Row],[Passivo Circulante]]&gt;0,Tabela3[[#This Row],[Ativo Circulante]]/Tabela3[[#This Row],[Passivo Circulante]],0)</f>
        <v>0.99441321688069029</v>
      </c>
      <c r="U96" s="132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96" s="18">
        <f>IF(Tabela3[[#This Row],[Lucro Líquido]]&gt;0,Tabela3[[#This Row],[Lucro Líquido]]/Tabela3[[#This Row],[Patrimônio Líquido]],0)</f>
        <v>0.1295554600265981</v>
      </c>
      <c r="W96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96" s="18">
        <f>IF(Tabela3[[#This Row],[Dívida]]&gt;0,Tabela3[[#This Row],[Dívida]]/Tabela3[[#This Row],[Patrimônio Líquido]],0)</f>
        <v>2.9598206824666624</v>
      </c>
      <c r="Y96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96" s="5">
        <f>Tabela3[[#This Row],[Capital Social]]*20%</f>
        <v>1494241767.3260002</v>
      </c>
      <c r="AA96" s="5">
        <f>IF((Tabela3[Lucro Líquido]*5%)&gt;Tabela3[Teto R. Legal],Tabela3[Teto R. Legal],Tabela3[Lucro Líquido]*5%)</f>
        <v>74650750</v>
      </c>
      <c r="AB96" s="5">
        <f>IF(Tabela3[Lucro Líquido]&lt;0,0,Tabela3[Lucro Líquido]-Tabela3[Reserva Legal])</f>
        <v>1418364250</v>
      </c>
      <c r="AC96" s="5">
        <f>Tabela3[[#This Row],[Lucro Distribuir]]*Tabela3[%Div]</f>
        <v>354591062.5</v>
      </c>
      <c r="AD96" s="56">
        <f>SUMPRODUCT(N(Tabela3[Nome]=Tabela3[[#This Row],[Nome]]),Tabela3[Ações])</f>
        <v>1797166404</v>
      </c>
      <c r="AE96" s="5">
        <f>Tabela3[Capital Social]/Tabela3[Total Ações]</f>
        <v>4.1572159483958391</v>
      </c>
      <c r="AF96" s="77">
        <f>Tabela3[[#This Row],[Lucro Líquido]]/Tabela3[[#This Row],[Total Ações]]</f>
        <v>0.83076057769439582</v>
      </c>
      <c r="AG96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0.197305637202419</v>
      </c>
      <c r="AH96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0.19237180220513403</v>
      </c>
      <c r="AI96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0.24943295690375034</v>
      </c>
      <c r="AJ96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0.24943295690375034</v>
      </c>
      <c r="AK96" s="5">
        <f>Tabela3[Div Base]*Tabela3[Ações]</f>
        <v>298840082.01891607</v>
      </c>
      <c r="AL96" s="5">
        <f>SUMPRODUCT(N(Tabela3[Nome]=Tabela3[[#This Row],[Nome]]),Tabela3[Div Base]*Tabela3[Ações])</f>
        <v>354591062.5</v>
      </c>
      <c r="AM96" s="5">
        <f>Tabela3[Patrimônio Líquido]/Tabela3[Total Ações]</f>
        <v>6.4123934068378015</v>
      </c>
      <c r="AN96" s="52">
        <f>MAX(Tabela3[[#This Row],[Cotação 1]:[Cotação 5]])</f>
        <v>3.8</v>
      </c>
      <c r="AO96" s="53">
        <f>Tabela3[Cotação]/Tabela3[VPA]</f>
        <v>0.59260244325432399</v>
      </c>
      <c r="AP96" s="37">
        <f>IF(Tabela3[[#This Row],[Lucro/Ação]]&gt;0,Tabela3[[#This Row],[Cotação]]/(Tabela3[[#This Row],[Lucro/Ação]]/Tabela3[Ref]*4),0)</f>
        <v>4.5741217169284969</v>
      </c>
      <c r="AQ96" s="77">
        <f>Tabela3[Lucro Distribuir]/Tabela3[Total Ações]</f>
        <v>0.78922254880967602</v>
      </c>
      <c r="AR96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0.24943295690375034</v>
      </c>
      <c r="AS96" s="16" t="str">
        <f>IF(AND(Tabela3[% A.A.]&gt;=6%,SUMPRODUCT(N(Tabela3[Nome]=Tabela3[[#This Row],[Nome]]),Tabela3[PL])&gt;0,Tabela3[Rentabilidade s/ PL]&gt;=Tabela3[Rentabilidade s/ PL Média]),"Sim","Não")</f>
        <v>Sim</v>
      </c>
      <c r="AT96" s="22">
        <f>IF(Tabela3[Cotação]&gt;0,Tabela3[[#This Row],[Lucro]]/Tabela3[[#This Row],[Cotação]],0)</f>
        <v>6.5640251816776407E-2</v>
      </c>
      <c r="AU96" s="18">
        <f>((1+Tabela3[[#This Row],[% Yield]])^(1/(3*Tabela3[[#This Row],[Ref]])))^(12)-1</f>
        <v>6.5640251816775352E-2</v>
      </c>
      <c r="AV96" s="10">
        <f>IF(Tabela3[Cotação]&gt;0,($BD$1/Tabela3[[#This Row],[Cotação]]-MOD($BD$1/Tabela3[[#This Row],[Cotação]],100)),)</f>
        <v>0</v>
      </c>
      <c r="AW96" s="7">
        <f>Tabela3[[#This Row],[Ativos]]*Tabela3[Lucro]</f>
        <v>0</v>
      </c>
      <c r="AX96" s="47">
        <f>SUMPRODUCT(N(Tabela1[Código]=Tabela3[[#This Row],[PAPEL]]),Tabela1[Fechamento])</f>
        <v>0</v>
      </c>
      <c r="AY96" s="54">
        <f>SUMPRODUCT(N(Tabela17[Código]=Tabela3[[#This Row],[PAPEL]]),Tabela17[Fechamento])</f>
        <v>3.8</v>
      </c>
      <c r="AZ96" s="7">
        <f>SUMPRODUCT(N(Tabela176[Código]=Tabela3[[#This Row],[PAPEL]]),Tabela176[Fechamento])</f>
        <v>0</v>
      </c>
      <c r="BA96" s="7">
        <f>SUMPRODUCT(N(Tabela1768[Código]=Tabela3[[#This Row],[PAPEL]]),Tabela1768[Fechamento])</f>
        <v>0</v>
      </c>
      <c r="BB96" s="7">
        <f>SUMPRODUCT(N(Tabela17683[Código]=Tabela3[[#This Row],[PAPEL]]),Tabela17683[Fechamento])</f>
        <v>0</v>
      </c>
    </row>
    <row r="97" spans="1:54" hidden="1" x14ac:dyDescent="0.2">
      <c r="A97" s="3" t="s">
        <v>277</v>
      </c>
      <c r="B97" s="58" t="s">
        <v>275</v>
      </c>
      <c r="C97" s="83" t="str">
        <f>LEFT(Tabela3[PAPEL],LEN(Tabela3[PAPEL])-(LEN(Tabela3[PAPEL])-4))</f>
        <v>CIQU</v>
      </c>
      <c r="D97" s="16">
        <v>3</v>
      </c>
      <c r="E97" s="5">
        <v>173000000</v>
      </c>
      <c r="F97" s="56">
        <v>16632000</v>
      </c>
      <c r="G97" s="81">
        <v>0.25</v>
      </c>
      <c r="H97" s="16"/>
      <c r="J97" s="18">
        <v>0.1</v>
      </c>
      <c r="K97" s="87"/>
      <c r="L97" s="87"/>
      <c r="M97" s="54">
        <v>571642000</v>
      </c>
      <c r="N97" s="54">
        <v>361717000</v>
      </c>
      <c r="O97" s="54">
        <v>263730000</v>
      </c>
      <c r="P97" s="5">
        <v>264517000</v>
      </c>
      <c r="Q97" s="5">
        <v>37183000</v>
      </c>
      <c r="R97" s="5">
        <f>IF(Tabela3[[#This Row],[Ativo || Passivo]]&gt;0,Tabela3[[#This Row],[Ativo || Passivo]]-Tabela3[[#This Row],[Patrimônio Líquido]],0)</f>
        <v>307125000</v>
      </c>
      <c r="S97" s="5">
        <f>Tabela3[[#This Row],[Cotação]]*Tabela3[[#This Row],[Total Ações]]</f>
        <v>311850000</v>
      </c>
      <c r="T97" s="132">
        <f>IF(Tabela3[[#This Row],[Passivo Circulante]]&gt;0,Tabela3[[#This Row],[Ativo Circulante]]/Tabela3[[#This Row],[Passivo Circulante]],0)</f>
        <v>1.3715428658097297</v>
      </c>
      <c r="U97" s="132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97" s="18">
        <f>IF(Tabela3[[#This Row],[Lucro Líquido]]&gt;0,Tabela3[[#This Row],[Lucro Líquido]]/Tabela3[[#This Row],[Patrimônio Líquido]],0)</f>
        <v>0.14056941519826702</v>
      </c>
      <c r="W97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97" s="18">
        <f>IF(Tabela3[[#This Row],[Dívida]]&gt;0,Tabela3[[#This Row],[Dívida]]/Tabela3[[#This Row],[Patrimônio Líquido]],0)</f>
        <v>1.1610784940098369</v>
      </c>
      <c r="Y97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97" s="5">
        <f>Tabela3[[#This Row],[Capital Social]]*20%</f>
        <v>34600000</v>
      </c>
      <c r="AA97" s="5">
        <f>IF((Tabela3[Lucro Líquido]*5%)&gt;Tabela3[Teto R. Legal],Tabela3[Teto R. Legal],Tabela3[Lucro Líquido]*5%)</f>
        <v>1859150</v>
      </c>
      <c r="AB97" s="5">
        <f>IF(Tabela3[Lucro Líquido]&lt;0,0,Tabela3[Lucro Líquido]-Tabela3[Reserva Legal])</f>
        <v>35323850</v>
      </c>
      <c r="AC97" s="5">
        <f>Tabela3[[#This Row],[Lucro Distribuir]]*Tabela3[%Div]</f>
        <v>8830962.5</v>
      </c>
      <c r="AD97" s="56">
        <f>SUMPRODUCT(N(Tabela3[Nome]=Tabela3[[#This Row],[Nome]]),Tabela3[Ações])</f>
        <v>24948000</v>
      </c>
      <c r="AE97" s="5">
        <f>Tabela3[Capital Social]/Tabela3[Total Ações]</f>
        <v>6.934423601090268</v>
      </c>
      <c r="AF97" s="77">
        <f>Tabela3[[#This Row],[Lucro Líquido]]/Tabela3[[#This Row],[Total Ações]]</f>
        <v>1.490420073753407</v>
      </c>
      <c r="AG97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0.37725739363880484</v>
      </c>
      <c r="AH97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97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97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0.37725739363880484</v>
      </c>
      <c r="AK97" s="5">
        <f>Tabela3[Div Base]*Tabela3[Ações]</f>
        <v>6274544.9710006025</v>
      </c>
      <c r="AL97" s="5">
        <f>SUMPRODUCT(N(Tabela3[Nome]=Tabela3[[#This Row],[Nome]]),Tabela3[Div Base]*Tabela3[Ações])</f>
        <v>9126610.8630029354</v>
      </c>
      <c r="AM97" s="5">
        <f>Tabela3[Patrimônio Líquido]/Tabela3[Total Ações]</f>
        <v>10.602733686067019</v>
      </c>
      <c r="AN97" s="52">
        <f>MAX(Tabela3[[#This Row],[Cotação 1]:[Cotação 5]])</f>
        <v>12.5</v>
      </c>
      <c r="AO97" s="53">
        <f>Tabela3[Cotação]/Tabela3[VPA]</f>
        <v>1.1789412400715267</v>
      </c>
      <c r="AP97" s="37">
        <f>IF(Tabela3[[#This Row],[Lucro/Ação]]&gt;0,Tabela3[[#This Row],[Cotação]]/(Tabela3[[#This Row],[Lucro/Ação]]/Tabela3[Ref]*4),0)</f>
        <v>6.2901729284888255</v>
      </c>
      <c r="AQ97" s="77">
        <f>Tabela3[Lucro Distribuir]/Tabela3[Total Ações]</f>
        <v>1.4158990700657368</v>
      </c>
      <c r="AR97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0.37725739363880484</v>
      </c>
      <c r="AS97" s="16" t="str">
        <f>IF(AND(Tabela3[% A.A.]&gt;=6%,SUMPRODUCT(N(Tabela3[Nome]=Tabela3[[#This Row],[Nome]]),Tabela3[PL])&gt;0,Tabela3[Rentabilidade s/ PL]&gt;=Tabela3[Rentabilidade s/ PL Média]),"Sim","Não")</f>
        <v>Não</v>
      </c>
      <c r="AT97" s="22">
        <f>IF(Tabela3[Cotação]&gt;0,Tabela3[[#This Row],[Lucro]]/Tabela3[[#This Row],[Cotação]],0)</f>
        <v>3.0180591491104386E-2</v>
      </c>
      <c r="AU97" s="18">
        <f>((1+Tabela3[[#This Row],[% Yield]])^(1/(3*Tabela3[[#This Row],[Ref]])))^(12)-1</f>
        <v>4.0441863033111147E-2</v>
      </c>
      <c r="AV97" s="10">
        <f>IF(Tabela3[Cotação]&gt;0,($BH$1/Tabela3[[#This Row],[Cotação]]-MOD($BH$1/Tabela3[[#This Row],[Cotação]],100)),)</f>
        <v>0</v>
      </c>
      <c r="AW97" s="7">
        <f>Tabela3[[#This Row],[Ativos]]*Tabela3[Lucro]</f>
        <v>0</v>
      </c>
      <c r="AX97" s="47">
        <f>SUMPRODUCT(N(Tabela1[Código]=Tabela3[[#This Row],[PAPEL]]),Tabela1[Fechamento])</f>
        <v>0</v>
      </c>
      <c r="AY97" s="54">
        <f>SUMPRODUCT(N(Tabela17[Código]=Tabela3[[#This Row],[PAPEL]]),Tabela17[Fechamento])</f>
        <v>12.5</v>
      </c>
      <c r="AZ97" s="7">
        <f>SUMPRODUCT(N(Tabela176[Código]=Tabela3[[#This Row],[PAPEL]]),Tabela176[Fechamento])</f>
        <v>0</v>
      </c>
      <c r="BA97" s="7">
        <f>SUMPRODUCT(N(Tabela1768[Código]=Tabela3[[#This Row],[PAPEL]]),Tabela1768[Fechamento])</f>
        <v>0</v>
      </c>
      <c r="BB97" s="7">
        <f>SUMPRODUCT(N(Tabela17683[Código]=Tabela3[[#This Row],[PAPEL]]),Tabela17683[Fechamento])</f>
        <v>0</v>
      </c>
    </row>
    <row r="98" spans="1:54" hidden="1" x14ac:dyDescent="0.2">
      <c r="A98" s="3" t="s">
        <v>1637</v>
      </c>
      <c r="B98" s="57" t="s">
        <v>1640</v>
      </c>
      <c r="C98" s="16" t="str">
        <f>LEFT(Tabela3[PAPEL],LEN(Tabela3[PAPEL])-(LEN(Tabela3[PAPEL])-4))</f>
        <v>WEGE</v>
      </c>
      <c r="D98" s="16">
        <v>3</v>
      </c>
      <c r="E98" s="5">
        <v>2718440437</v>
      </c>
      <c r="F98" s="56">
        <v>620905029</v>
      </c>
      <c r="G98" s="81">
        <v>0.25</v>
      </c>
      <c r="H98" s="87"/>
      <c r="J98" s="18"/>
      <c r="K98" s="16"/>
      <c r="L98" s="87"/>
      <c r="M98" s="54"/>
      <c r="N98" s="54"/>
      <c r="O98" s="54"/>
      <c r="P98" s="91">
        <v>4327712000</v>
      </c>
      <c r="Q98" s="73">
        <v>606028000</v>
      </c>
      <c r="R98" s="73">
        <f>IF(Tabela3[[#This Row],[Ativo || Passivo]]&gt;0,Tabela3[[#This Row],[Ativo || Passivo]]-Tabela3[[#This Row],[Patrimônio Líquido]],0)</f>
        <v>0</v>
      </c>
      <c r="S98" s="73">
        <f>Tabela3[[#This Row],[Cotação]]*Tabela3[[#This Row],[Total Ações]]</f>
        <v>18440879361.299999</v>
      </c>
      <c r="T98" s="37">
        <f>IF(Tabela3[[#This Row],[Passivo Circulante]]&gt;0,Tabela3[[#This Row],[Ativo Circulante]]/Tabela3[[#This Row],[Passivo Circulante]],0)</f>
        <v>0</v>
      </c>
      <c r="U98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98" s="18">
        <f>IF(Tabela3[[#This Row],[Lucro Líquido]]&gt;0,Tabela3[[#This Row],[Lucro Líquido]]/Tabela3[[#This Row],[Patrimônio Líquido]],0)</f>
        <v>0.14003427215119676</v>
      </c>
      <c r="W98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98" s="18">
        <f>IF(Tabela3[[#This Row],[Dívida]]&gt;0,Tabela3[[#This Row],[Dívida]]/Tabela3[[#This Row],[Patrimônio Líquido]],0)</f>
        <v>0</v>
      </c>
      <c r="Y98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98" s="7">
        <f>Tabela3[[#This Row],[Capital Social]]*20%</f>
        <v>543688087.39999998</v>
      </c>
      <c r="AA98" s="47">
        <f>IF((Tabela3[Lucro Líquido]*5%)&gt;Tabela3[Teto R. Legal],Tabela3[Teto R. Legal],Tabela3[Lucro Líquido]*5%)</f>
        <v>30301400</v>
      </c>
      <c r="AB98" s="47">
        <f>IF(Tabela3[Lucro Líquido]&lt;0,0,Tabela3[Lucro Líquido]-Tabela3[Reserva Legal])</f>
        <v>575726600</v>
      </c>
      <c r="AC98" s="47">
        <f>Tabela3[[#This Row],[Lucro Distribuir]]*Tabela3[%Div]</f>
        <v>143931650</v>
      </c>
      <c r="AD98" s="56">
        <f>SUMPRODUCT(N(Tabela3[Nome]=Tabela3[[#This Row],[Nome]]),Tabela3[Ações])</f>
        <v>620905029</v>
      </c>
      <c r="AE98" s="85">
        <f>Tabela3[Capital Social]/Tabela3[Total Ações]</f>
        <v>4.3781903995498155</v>
      </c>
      <c r="AF98" s="85">
        <f>Tabela3[[#This Row],[Lucro Líquido]]/Tabela3[[#This Row],[Total Ações]]</f>
        <v>0.97603976726688746</v>
      </c>
      <c r="AG98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0.23180944472588577</v>
      </c>
      <c r="AH98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98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98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0.23180944472588577</v>
      </c>
      <c r="AK98" s="7">
        <f>Tabela3[Div Base]*Tabela3[Ações]</f>
        <v>143931650</v>
      </c>
      <c r="AL98" s="121">
        <f>SUMPRODUCT(N(Tabela3[Nome]=Tabela3[[#This Row],[Nome]]),Tabela3[Div Base]*Tabela3[Ações])</f>
        <v>143931650</v>
      </c>
      <c r="AM98" s="5">
        <f>Tabela3[Patrimônio Líquido]/Tabela3[Total Ações]</f>
        <v>6.9700063582509655</v>
      </c>
      <c r="AN98" s="52">
        <f>MAX(Tabela3[[#This Row],[Cotação 1]:[Cotação 5]])</f>
        <v>29.7</v>
      </c>
      <c r="AO98" s="53">
        <f>Tabela3[Cotação]/Tabela3[VPA]</f>
        <v>4.2611151946571306</v>
      </c>
      <c r="AP98" s="37">
        <f>IF(Tabela3[[#This Row],[Lucro/Ação]]&gt;0,Tabela3[[#This Row],[Cotação]]/(Tabela3[[#This Row],[Lucro/Ação]]/Tabela3[Ref]*4),0)</f>
        <v>22.821816023310806</v>
      </c>
      <c r="AQ98" s="85">
        <f>Tabela3[Lucro Distribuir]/Tabela3[Total Ações]</f>
        <v>0.92723777890354309</v>
      </c>
      <c r="AR98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0.23180944472588577</v>
      </c>
      <c r="AS98" s="10" t="str">
        <f>IF(AND(Tabela3[% A.A.]&gt;=6%,SUMPRODUCT(N(Tabela3[Nome]=Tabela3[[#This Row],[Nome]]),Tabela3[PL])&gt;0,Tabela3[Rentabilidade s/ PL]&gt;=Tabela3[Rentabilidade s/ PL Média]),"Sim","Não")</f>
        <v>Não</v>
      </c>
      <c r="AT98" s="22">
        <f>IF(Tabela3[Cotação]&gt;0,Tabela3[[#This Row],[Lucro]]/Tabela3[[#This Row],[Cotação]],0)</f>
        <v>7.805031808952383E-3</v>
      </c>
      <c r="AU98" s="22">
        <f>((1+Tabela3[[#This Row],[% Yield]])^(1/(3*Tabela3[[#This Row],[Ref]])))^(12)-1</f>
        <v>1.0420223123826622E-2</v>
      </c>
      <c r="AV98" s="10">
        <f>IF(Tabela3[Cotação]&gt;0,($BC$1/Tabela3[[#This Row],[Cotação]]-MOD($BC$1/Tabela3[[#This Row],[Cotação]],100)),)</f>
        <v>0</v>
      </c>
      <c r="AW98" s="7">
        <f>Tabela3[[#This Row],[Ativos]]*Tabela3[Lucro]</f>
        <v>0</v>
      </c>
      <c r="AX98" s="7">
        <f>SUMPRODUCT(N(Tabela1[Código]=Tabela3[[#This Row],[PAPEL]]),Tabela1[Fechamento])</f>
        <v>0</v>
      </c>
      <c r="AY98" s="7">
        <f>SUMPRODUCT(N(Tabela17[Código]=Tabela3[[#This Row],[PAPEL]]),Tabela17[Fechamento])</f>
        <v>0</v>
      </c>
      <c r="AZ98" s="7">
        <f>SUMPRODUCT(N(Tabela176[Código]=Tabela3[[#This Row],[PAPEL]]),Tabela176[Fechamento])</f>
        <v>0</v>
      </c>
      <c r="BA98" s="7">
        <f>SUMPRODUCT(N(Tabela1768[Código]=Tabela3[[#This Row],[PAPEL]]),Tabela1768[Fechamento])</f>
        <v>0</v>
      </c>
      <c r="BB98" s="7">
        <f>SUMPRODUCT(N(Tabela17683[Código]=Tabela3[[#This Row],[PAPEL]]),Tabela17683[Fechamento])</f>
        <v>29.7</v>
      </c>
    </row>
    <row r="99" spans="1:54" hidden="1" x14ac:dyDescent="0.2">
      <c r="A99" s="4" t="s">
        <v>14</v>
      </c>
      <c r="B99" s="57" t="s">
        <v>443</v>
      </c>
      <c r="C99" s="16" t="str">
        <f>LEFT(Tabela3[PAPEL],LEN(Tabela3[PAPEL])-(LEN(Tabela3[PAPEL])-4))</f>
        <v>ABCB</v>
      </c>
      <c r="D99" s="16">
        <v>4</v>
      </c>
      <c r="E99" s="5">
        <v>1113919943.79</v>
      </c>
      <c r="F99" s="56">
        <v>73697646</v>
      </c>
      <c r="G99" s="81">
        <v>0.25</v>
      </c>
      <c r="H99" s="16"/>
      <c r="J99" s="18"/>
      <c r="K99" s="87"/>
      <c r="L99" s="87"/>
      <c r="M99" s="54"/>
      <c r="N99" s="54"/>
      <c r="O99" s="54"/>
      <c r="P99" s="6">
        <v>1917522000</v>
      </c>
      <c r="Q99" s="6">
        <v>268263000</v>
      </c>
      <c r="R99" s="6">
        <f>IF(Tabela3[[#This Row],[Ativo || Passivo]]&gt;0,Tabela3[[#This Row],[Ativo || Passivo]]-Tabela3[[#This Row],[Patrimônio Líquido]],0)</f>
        <v>0</v>
      </c>
      <c r="S99" s="6">
        <f>Tabela3[[#This Row],[Cotação]]*Tabela3[[#This Row],[Total Ações]]</f>
        <v>0</v>
      </c>
      <c r="T99" s="134">
        <f>IF(Tabela3[[#This Row],[Passivo Circulante]]&gt;0,Tabela3[[#This Row],[Ativo Circulante]]/Tabela3[[#This Row],[Passivo Circulante]],0)</f>
        <v>0</v>
      </c>
      <c r="U99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99" s="19">
        <f>IF(Tabela3[[#This Row],[Lucro Líquido]]&gt;0,Tabela3[[#This Row],[Lucro Líquido]]/Tabela3[[#This Row],[Patrimônio Líquido]],0)</f>
        <v>0.1399008720630063</v>
      </c>
      <c r="W99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99" s="19">
        <f>IF(Tabela3[[#This Row],[Dívida]]&gt;0,Tabela3[[#This Row],[Dívida]]/Tabela3[[#This Row],[Patrimônio Líquido]],0)</f>
        <v>0</v>
      </c>
      <c r="Y99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99" s="47">
        <f>Tabela3[[#This Row],[Capital Social]]*20%</f>
        <v>222783988.75800002</v>
      </c>
      <c r="AA99" s="47">
        <f>IF((Tabela3[Lucro Líquido]*5%)&gt;Tabela3[Teto R. Legal],Tabela3[Teto R. Legal],Tabela3[Lucro Líquido]*5%)</f>
        <v>13413150</v>
      </c>
      <c r="AB99" s="47">
        <f>IF(Tabela3[Lucro Líquido]&lt;0,0,Tabela3[Lucro Líquido]-Tabela3[Reserva Legal])</f>
        <v>254849850</v>
      </c>
      <c r="AC99" s="47">
        <f>Tabela3[[#This Row],[Lucro Distribuir]]*Tabela3[%Div]</f>
        <v>63712462.5</v>
      </c>
      <c r="AD99" s="21">
        <f>SUMPRODUCT(N(Tabela3[Nome]=Tabela3[[#This Row],[Nome]]),Tabela3[Ações])</f>
        <v>147232649</v>
      </c>
      <c r="AE99" s="5">
        <f>Tabela3[Capital Social]/Tabela3[Total Ações]</f>
        <v>7.5657128453214204</v>
      </c>
      <c r="AF99" s="77">
        <f>Tabela3[[#This Row],[Lucro Líquido]]/Tabela3[[#This Row],[Total Ações]]</f>
        <v>1.8220347308972211</v>
      </c>
      <c r="AG99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0.43273324858808998</v>
      </c>
      <c r="AH99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99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99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0.43273324858808998</v>
      </c>
      <c r="AK99" s="47">
        <f>Tabela3[Div Base]*Tabela3[Ações]</f>
        <v>31891421.766875055</v>
      </c>
      <c r="AL99" s="47">
        <f>SUMPRODUCT(N(Tabela3[Nome]=Tabela3[[#This Row],[Nome]]),Tabela3[Div Base]*Tabela3[Ações])</f>
        <v>63712462.5</v>
      </c>
      <c r="AM99" s="5">
        <f>Tabela3[Patrimônio Líquido]/Tabela3[Total Ações]</f>
        <v>13.023755349263601</v>
      </c>
      <c r="AN99" s="80">
        <f>MAX(Tabela3[[#This Row],[Cotação 1]:[Cotação 5]])</f>
        <v>0</v>
      </c>
      <c r="AO99" s="81">
        <f>Tabela3[Cotação]/Tabela3[VPA]</f>
        <v>0</v>
      </c>
      <c r="AP99" s="34">
        <f>IF(Tabela3[[#This Row],[Lucro/Ação]]&gt;0,Tabela3[[#This Row],[Cotação]]/(Tabela3[[#This Row],[Lucro/Ação]]/Tabela3[Ref]*4),0)</f>
        <v>0</v>
      </c>
      <c r="AQ99" s="77">
        <f>Tabela3[Lucro Distribuir]/Tabela3[Total Ações]</f>
        <v>1.7309329943523599</v>
      </c>
      <c r="AR99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0.43273324858808998</v>
      </c>
      <c r="AS99" s="10" t="str">
        <f>IF(AND(Tabela3[% A.A.]&gt;=6%,SUMPRODUCT(N(Tabela3[Nome]=Tabela3[[#This Row],[Nome]]),Tabela3[PL])&gt;0,Tabela3[Rentabilidade s/ PL]&gt;=Tabela3[Rentabilidade s/ PL Média]),"Sim","Não")</f>
        <v>Não</v>
      </c>
      <c r="AT99" s="22">
        <f>IF(Tabela3[Cotação]&gt;0,Tabela3[[#This Row],[Lucro]]/Tabela3[[#This Row],[Cotação]],0)</f>
        <v>0</v>
      </c>
      <c r="AU99" s="18">
        <f>((1+Tabela3[[#This Row],[% Yield]])^(1/(3*Tabela3[[#This Row],[Ref]])))^(12)-1</f>
        <v>0</v>
      </c>
      <c r="AV99" s="10">
        <f>IF(Tabela3[Cotação]&gt;0,($BH$1/Tabela3[[#This Row],[Cotação]]-MOD($BH$1/Tabela3[[#This Row],[Cotação]],100)),)</f>
        <v>0</v>
      </c>
      <c r="AW99" s="47">
        <f>Tabela3[[#This Row],[Ativos]]*Tabela3[Lucro]</f>
        <v>0</v>
      </c>
      <c r="AX99" s="47">
        <f>SUMPRODUCT(N(Tabela1[Código]=Tabela3[[#This Row],[PAPEL]]),Tabela1[Fechamento])</f>
        <v>0</v>
      </c>
      <c r="AY99" s="47">
        <f>SUMPRODUCT(N(Tabela17[Código]=Tabela3[[#This Row],[PAPEL]]),Tabela17[Fechamento])</f>
        <v>0</v>
      </c>
      <c r="AZ99" s="7">
        <f>SUMPRODUCT(N(Tabela176[Código]=Tabela3[[#This Row],[PAPEL]]),Tabela176[Fechamento])</f>
        <v>0</v>
      </c>
      <c r="BA99" s="7">
        <f>SUMPRODUCT(N(Tabela1768[Código]=Tabela3[[#This Row],[PAPEL]]),Tabela1768[Fechamento])</f>
        <v>0</v>
      </c>
      <c r="BB99" s="7">
        <f>SUMPRODUCT(N(Tabela17683[Código]=Tabela3[[#This Row],[PAPEL]]),Tabela17683[Fechamento])</f>
        <v>0</v>
      </c>
    </row>
    <row r="100" spans="1:54" hidden="1" x14ac:dyDescent="0.2">
      <c r="A100" s="4" t="s">
        <v>14</v>
      </c>
      <c r="B100" s="57" t="s">
        <v>22</v>
      </c>
      <c r="C100" s="14" t="str">
        <f>LEFT(Tabela3[PAPEL],LEN(Tabela3[PAPEL])-(LEN(Tabela3[PAPEL])-4))</f>
        <v>ABCB</v>
      </c>
      <c r="D100" s="15">
        <v>4</v>
      </c>
      <c r="E100" s="5">
        <v>1113919943.79</v>
      </c>
      <c r="F100" s="8">
        <v>73535003</v>
      </c>
      <c r="G100" s="86">
        <v>0.25</v>
      </c>
      <c r="H100" s="15"/>
      <c r="I100" s="19"/>
      <c r="J100" s="19"/>
      <c r="K100" s="88"/>
      <c r="L100" s="88"/>
      <c r="M100" s="55"/>
      <c r="N100" s="55"/>
      <c r="O100" s="55"/>
      <c r="P100" s="6">
        <v>1917522000</v>
      </c>
      <c r="Q100" s="6">
        <v>268263000</v>
      </c>
      <c r="R100" s="6">
        <f>IF(Tabela3[[#This Row],[Ativo || Passivo]]&gt;0,Tabela3[[#This Row],[Ativo || Passivo]]-Tabela3[[#This Row],[Patrimônio Líquido]],0)</f>
        <v>0</v>
      </c>
      <c r="S100" s="6">
        <f>Tabela3[[#This Row],[Cotação]]*Tabela3[[#This Row],[Total Ações]]</f>
        <v>1719677340.3199999</v>
      </c>
      <c r="T100" s="134">
        <f>IF(Tabela3[[#This Row],[Passivo Circulante]]&gt;0,Tabela3[[#This Row],[Ativo Circulante]]/Tabela3[[#This Row],[Passivo Circulante]],0)</f>
        <v>0</v>
      </c>
      <c r="U100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00" s="19">
        <f>IF(Tabela3[[#This Row],[Lucro Líquido]]&gt;0,Tabela3[[#This Row],[Lucro Líquido]]/Tabela3[[#This Row],[Patrimônio Líquido]],0)</f>
        <v>0.1399008720630063</v>
      </c>
      <c r="W100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00" s="19">
        <f>IF(Tabela3[[#This Row],[Dívida]]&gt;0,Tabela3[[#This Row],[Dívida]]/Tabela3[[#This Row],[Patrimônio Líquido]],0)</f>
        <v>0</v>
      </c>
      <c r="Y100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00" s="6">
        <f>Tabela3[[#This Row],[Capital Social]]*20%</f>
        <v>222783988.75800002</v>
      </c>
      <c r="AA100" s="6">
        <f>IF((Tabela3[Lucro Líquido]*5%)&gt;Tabela3[Teto R. Legal],Tabela3[Teto R. Legal],Tabela3[Lucro Líquido]*5%)</f>
        <v>13413150</v>
      </c>
      <c r="AB100" s="6">
        <f>IF(Tabela3[Lucro Líquido]&lt;0,0,Tabela3[Lucro Líquido]-Tabela3[Reserva Legal])</f>
        <v>254849850</v>
      </c>
      <c r="AC100" s="6">
        <f>Tabela3[[#This Row],[Lucro Distribuir]]*Tabela3[%Div]</f>
        <v>63712462.5</v>
      </c>
      <c r="AD100" s="21">
        <f>SUMPRODUCT(N(Tabela3[Nome]=Tabela3[[#This Row],[Nome]]),Tabela3[Ações])</f>
        <v>147232649</v>
      </c>
      <c r="AE100" s="6">
        <f>Tabela3[Capital Social]/Tabela3[Total Ações]</f>
        <v>7.5657128453214204</v>
      </c>
      <c r="AF100" s="78">
        <f>Tabela3[[#This Row],[Lucro Líquido]]/Tabela3[[#This Row],[Total Ações]]</f>
        <v>1.8220347308972211</v>
      </c>
      <c r="AG100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0.43273324858808998</v>
      </c>
      <c r="AH100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00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00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0.43273324858808998</v>
      </c>
      <c r="AK100" s="6">
        <f>Tabela3[Div Base]*Tabela3[Ações]</f>
        <v>31821040.733124942</v>
      </c>
      <c r="AL100" s="6">
        <f>SUMPRODUCT(N(Tabela3[Nome]=Tabela3[[#This Row],[Nome]]),Tabela3[Div Base]*Tabela3[Ações])</f>
        <v>63712462.5</v>
      </c>
      <c r="AM100" s="6">
        <f>Tabela3[Patrimônio Líquido]/Tabela3[Total Ações]</f>
        <v>13.023755349263601</v>
      </c>
      <c r="AN100" s="48">
        <f>MAX(Tabela3[[#This Row],[Cotação 1]:[Cotação 5]])</f>
        <v>11.68</v>
      </c>
      <c r="AO100" s="44">
        <f>Tabela3[Cotação]/Tabela3[VPA]</f>
        <v>0.89682274326969902</v>
      </c>
      <c r="AP100" s="40">
        <f>IF(Tabela3[[#This Row],[Lucro/Ação]]&gt;0,Tabela3[[#This Row],[Cotação]]/(Tabela3[[#This Row],[Lucro/Ação]]/Tabela3[Ref]*4),0)</f>
        <v>6.4104156753633559</v>
      </c>
      <c r="AQ100" s="78">
        <f>Tabela3[Lucro Distribuir]/Tabela3[Total Ações]</f>
        <v>1.7309329943523599</v>
      </c>
      <c r="AR100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0.43273324858808998</v>
      </c>
      <c r="AS100" s="15" t="str">
        <f>IF(AND(Tabela3[% A.A.]&gt;=6%,SUMPRODUCT(N(Tabela3[Nome]=Tabela3[[#This Row],[Nome]]),Tabela3[PL])&gt;0,Tabela3[Rentabilidade s/ PL]&gt;=Tabela3[Rentabilidade s/ PL Média]),"Sim","Não")</f>
        <v>Não</v>
      </c>
      <c r="AT100" s="42">
        <f>IF(Tabela3[Cotação]&gt;0,Tabela3[[#This Row],[Lucro]]/Tabela3[[#This Row],[Cotação]],0)</f>
        <v>3.7049079502404964E-2</v>
      </c>
      <c r="AU100" s="19">
        <f>((1+Tabela3[[#This Row],[% Yield]])^(1/(3*Tabela3[[#This Row],[Ref]])))^(12)-1</f>
        <v>3.7049079502404103E-2</v>
      </c>
      <c r="AV100" s="14">
        <f>IF(Tabela3[Cotação]&gt;0,($BH$1/Tabela3[[#This Row],[Cotação]]-MOD($BH$1/Tabela3[[#This Row],[Cotação]],100)),)</f>
        <v>0</v>
      </c>
      <c r="AW100" s="17">
        <f>Tabela3[[#This Row],[Ativos]]*Tabela3[Lucro]</f>
        <v>0</v>
      </c>
      <c r="AX100" s="5">
        <f>SUMPRODUCT(N(Tabela1[Código]=Tabela3[[#This Row],[PAPEL]]),Tabela1[Fechamento])</f>
        <v>11.68</v>
      </c>
      <c r="AY100" s="5">
        <f>SUMPRODUCT(N(Tabela17[Código]=Tabela3[[#This Row],[PAPEL]]),Tabela17[Fechamento])</f>
        <v>0</v>
      </c>
      <c r="AZ100" s="7">
        <f>SUMPRODUCT(N(Tabela176[Código]=Tabela3[[#This Row],[PAPEL]]),Tabela176[Fechamento])</f>
        <v>0</v>
      </c>
      <c r="BA100" s="7">
        <f>SUMPRODUCT(N(Tabela1768[Código]=Tabela3[[#This Row],[PAPEL]]),Tabela1768[Fechamento])</f>
        <v>0</v>
      </c>
      <c r="BB100" s="7">
        <f>SUMPRODUCT(N(Tabela17683[Código]=Tabela3[[#This Row],[PAPEL]]),Tabela17683[Fechamento])</f>
        <v>0</v>
      </c>
    </row>
    <row r="101" spans="1:54" hidden="1" x14ac:dyDescent="0.2">
      <c r="A101" s="4" t="s">
        <v>12</v>
      </c>
      <c r="B101" s="60" t="s">
        <v>55</v>
      </c>
      <c r="C101" s="43" t="str">
        <f>LEFT(Tabela3[PAPEL],LEN(Tabela3[PAPEL])-(LEN(Tabela3[PAPEL])-4))</f>
        <v>LIGT</v>
      </c>
      <c r="D101" s="16">
        <v>3</v>
      </c>
      <c r="E101" s="5">
        <v>2225822197.8899999</v>
      </c>
      <c r="F101" s="56">
        <v>203934060</v>
      </c>
      <c r="G101" s="81">
        <v>0.25</v>
      </c>
      <c r="H101" s="18"/>
      <c r="J101" s="18"/>
      <c r="K101" s="87"/>
      <c r="L101" s="87"/>
      <c r="M101" s="54">
        <v>3488751000</v>
      </c>
      <c r="N101" s="54">
        <v>17106000</v>
      </c>
      <c r="O101" s="54">
        <v>95470000</v>
      </c>
      <c r="P101" s="89">
        <v>3392238000</v>
      </c>
      <c r="Q101" s="89">
        <v>458325000</v>
      </c>
      <c r="R101" s="89">
        <f>IF(Tabela3[[#This Row],[Ativo || Passivo]]&gt;0,Tabela3[[#This Row],[Ativo || Passivo]]-Tabela3[[#This Row],[Patrimônio Líquido]],0)</f>
        <v>96513000</v>
      </c>
      <c r="S101" s="89">
        <f>Tabela3[[#This Row],[Cotação]]*Tabela3[[#This Row],[Total Ações]]</f>
        <v>3177292654.8000002</v>
      </c>
      <c r="T101" s="134">
        <f>IF(Tabela3[[#This Row],[Passivo Circulante]]&gt;0,Tabela3[[#This Row],[Ativo Circulante]]/Tabela3[[#This Row],[Passivo Circulante]],0)</f>
        <v>0.17917670472399708</v>
      </c>
      <c r="U101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01" s="19">
        <f>IF(Tabela3[[#This Row],[Lucro Líquido]]&gt;0,Tabela3[[#This Row],[Lucro Líquido]]/Tabela3[[#This Row],[Patrimônio Líquido]],0)</f>
        <v>0.13510991858472193</v>
      </c>
      <c r="W101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01" s="19">
        <f>IF(Tabela3[[#This Row],[Dívida]]&gt;0,Tabela3[[#This Row],[Dívida]]/Tabela3[[#This Row],[Patrimônio Líquido]],0)</f>
        <v>2.8451128723869019E-2</v>
      </c>
      <c r="Y101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01" s="6">
        <f>Tabela3[[#This Row],[Capital Social]]*20%</f>
        <v>445164439.57800001</v>
      </c>
      <c r="AA101" s="6">
        <f>IF((Tabela3[Lucro Líquido]*5%)&gt;Tabela3[Teto R. Legal],Tabela3[Teto R. Legal],Tabela3[Lucro Líquido]*5%)</f>
        <v>22916250</v>
      </c>
      <c r="AB101" s="89">
        <f>IF(Tabela3[Lucro Líquido]&lt;0,0,Tabela3[Lucro Líquido]-Tabela3[Reserva Legal])</f>
        <v>435408750</v>
      </c>
      <c r="AC101" s="89">
        <f>Tabela3[[#This Row],[Lucro Distribuir]]*Tabela3[%Div]</f>
        <v>108852187.5</v>
      </c>
      <c r="AD101" s="56">
        <f>SUMPRODUCT(N(Tabela3[Nome]=Tabela3[[#This Row],[Nome]]),Tabela3[Ações])</f>
        <v>203934060</v>
      </c>
      <c r="AE101" s="6">
        <f>Tabela3[Capital Social]/Tabela3[Total Ações]</f>
        <v>10.914421053010958</v>
      </c>
      <c r="AF101" s="78">
        <f>Tabela3[[#This Row],[Lucro Líquido]]/Tabela3[[#This Row],[Total Ações]]</f>
        <v>2.2474176211663712</v>
      </c>
      <c r="AG101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0.53376168502701316</v>
      </c>
      <c r="AH101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01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01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0.53376168502701316</v>
      </c>
      <c r="AK101" s="6">
        <f>Tabela3[Div Base]*Tabela3[Ações]</f>
        <v>108852187.5</v>
      </c>
      <c r="AL101" s="6">
        <f>SUMPRODUCT(N(Tabela3[Nome]=Tabela3[[#This Row],[Nome]]),Tabela3[Div Base]*Tabela3[Ações])</f>
        <v>108852187.5</v>
      </c>
      <c r="AM101" s="6">
        <f>Tabela3[Patrimônio Líquido]/Tabela3[Total Ações]</f>
        <v>16.633994341112025</v>
      </c>
      <c r="AN101" s="39">
        <f>MAX(Tabela3[[#This Row],[Cotação 1]:[Cotação 5]])</f>
        <v>15.58</v>
      </c>
      <c r="AO101" s="44">
        <f>Tabela3[Cotação]/Tabela3[VPA]</f>
        <v>0.93663612482378888</v>
      </c>
      <c r="AP101" s="40">
        <f>IF(Tabela3[[#This Row],[Lucro/Ação]]&gt;0,Tabela3[[#This Row],[Cotação]]/(Tabela3[[#This Row],[Lucro/Ação]]/Tabela3[Ref]*4),0)</f>
        <v>5.199300695139911</v>
      </c>
      <c r="AQ101" s="78">
        <f>Tabela3[Lucro Distribuir]/Tabela3[Total Ações]</f>
        <v>2.1350467401080526</v>
      </c>
      <c r="AR101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0.53376168502701316</v>
      </c>
      <c r="AS101" s="14" t="str">
        <f>IF(AND(Tabela3[% A.A.]&gt;=6%,SUMPRODUCT(N(Tabela3[Nome]=Tabela3[[#This Row],[Nome]]),Tabela3[PL])&gt;0,Tabela3[Rentabilidade s/ PL]&gt;=Tabela3[Rentabilidade s/ PL Média]),"Sim","Não")</f>
        <v>Não</v>
      </c>
      <c r="AT101" s="41">
        <f>IF(Tabela3[Cotação]&gt;0,Tabela3[[#This Row],[Lucro]]/Tabela3[[#This Row],[Cotação]],0)</f>
        <v>3.4259414956804436E-2</v>
      </c>
      <c r="AU101" s="19">
        <f>((1+Tabela3[[#This Row],[% Yield]])^(1/(3*Tabela3[[#This Row],[Ref]])))^(12)-1</f>
        <v>4.5938085967045517E-2</v>
      </c>
      <c r="AV101" s="14">
        <f>IF(Tabela3[Cotação]&gt;0,($BD$1/Tabela3[[#This Row],[Cotação]]-MOD($BD$1/Tabela3[[#This Row],[Cotação]],100)),)</f>
        <v>0</v>
      </c>
      <c r="AW101" s="17">
        <f>Tabela3[[#This Row],[Ativos]]*Tabela3[Lucro]</f>
        <v>0</v>
      </c>
      <c r="AX101" s="5">
        <f>SUMPRODUCT(N(Tabela1[Código]=Tabela3[[#This Row],[PAPEL]]),Tabela1[Fechamento])</f>
        <v>15.58</v>
      </c>
      <c r="AY101" s="5">
        <f>SUMPRODUCT(N(Tabela17[Código]=Tabela3[[#This Row],[PAPEL]]),Tabela17[Fechamento])</f>
        <v>0</v>
      </c>
      <c r="AZ101" s="7">
        <f>SUMPRODUCT(N(Tabela176[Código]=Tabela3[[#This Row],[PAPEL]]),Tabela176[Fechamento])</f>
        <v>0</v>
      </c>
      <c r="BA101" s="7">
        <f>SUMPRODUCT(N(Tabela1768[Código]=Tabela3[[#This Row],[PAPEL]]),Tabela1768[Fechamento])</f>
        <v>0</v>
      </c>
      <c r="BB101" s="7">
        <f>SUMPRODUCT(N(Tabela17683[Código]=Tabela3[[#This Row],[PAPEL]]),Tabela17683[Fechamento])</f>
        <v>0</v>
      </c>
    </row>
    <row r="102" spans="1:54" hidden="1" x14ac:dyDescent="0.2">
      <c r="A102" s="3" t="s">
        <v>298</v>
      </c>
      <c r="B102" s="58" t="s">
        <v>305</v>
      </c>
      <c r="C102" s="83" t="str">
        <f>LEFT(Tabela3[PAPEL],LEN(Tabela3[PAPEL])-(LEN(Tabela3[PAPEL])-4))</f>
        <v>UGPA</v>
      </c>
      <c r="D102" s="16">
        <v>3</v>
      </c>
      <c r="E102" s="5">
        <v>3696772957.3200002</v>
      </c>
      <c r="F102" s="21">
        <v>544383996</v>
      </c>
      <c r="G102" s="81">
        <v>0.5</v>
      </c>
      <c r="H102" s="16"/>
      <c r="J102" s="18"/>
      <c r="K102" s="87"/>
      <c r="L102" s="87"/>
      <c r="M102" s="54"/>
      <c r="N102" s="54"/>
      <c r="O102" s="54"/>
      <c r="P102" s="5">
        <v>6332530000</v>
      </c>
      <c r="Q102" s="5">
        <v>852330000</v>
      </c>
      <c r="R102" s="5">
        <f>IF(Tabela3[[#This Row],[Ativo || Passivo]]&gt;0,Tabela3[[#This Row],[Ativo || Passivo]]-Tabela3[[#This Row],[Patrimônio Líquido]],0)</f>
        <v>0</v>
      </c>
      <c r="S102" s="5">
        <f>Tabela3[[#This Row],[Cotação]]*Tabela3[[#This Row],[Total Ações]]</f>
        <v>28574715950.040001</v>
      </c>
      <c r="T102" s="132">
        <f>IF(Tabela3[[#This Row],[Passivo Circulante]]&gt;0,Tabela3[[#This Row],[Ativo Circulante]]/Tabela3[[#This Row],[Passivo Circulante]],0)</f>
        <v>0</v>
      </c>
      <c r="U102" s="132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02" s="18">
        <f>IF(Tabela3[[#This Row],[Lucro Líquido]]&gt;0,Tabela3[[#This Row],[Lucro Líquido]]/Tabela3[[#This Row],[Patrimônio Líquido]],0)</f>
        <v>0.13459549342837696</v>
      </c>
      <c r="W102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02" s="18">
        <f>IF(Tabela3[[#This Row],[Dívida]]&gt;0,Tabela3[[#This Row],[Dívida]]/Tabela3[[#This Row],[Patrimônio Líquido]],0)</f>
        <v>0</v>
      </c>
      <c r="Y102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02" s="5">
        <f>Tabela3[[#This Row],[Capital Social]]*20%</f>
        <v>739354591.46400011</v>
      </c>
      <c r="AA102" s="5">
        <f>IF((Tabela3[Lucro Líquido]*5%)&gt;Tabela3[Teto R. Legal],Tabela3[Teto R. Legal],Tabela3[Lucro Líquido]*5%)</f>
        <v>42616500</v>
      </c>
      <c r="AB102" s="5">
        <f>IF(Tabela3[Lucro Líquido]&lt;0,0,Tabela3[Lucro Líquido]-Tabela3[Reserva Legal])</f>
        <v>809713500</v>
      </c>
      <c r="AC102" s="5">
        <f>Tabela3[[#This Row],[Lucro Distribuir]]*Tabela3[%Div]</f>
        <v>404856750</v>
      </c>
      <c r="AD102" s="21">
        <f>SUMPRODUCT(N(Tabela3[Nome]=Tabela3[[#This Row],[Nome]]),Tabela3[Ações])</f>
        <v>544383996</v>
      </c>
      <c r="AE102" s="5">
        <f>Tabela3[Capital Social]/Tabela3[Total Ações]</f>
        <v>6.7907451072826914</v>
      </c>
      <c r="AF102" s="77">
        <f>Tabela3[[#This Row],[Lucro Líquido]]/Tabela3[[#This Row],[Total Ações]]</f>
        <v>1.5656779153368057</v>
      </c>
      <c r="AG102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0.74369700978498277</v>
      </c>
      <c r="AH102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02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02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0.74369700978498277</v>
      </c>
      <c r="AK102" s="5">
        <f>Tabela3[Div Base]*Tabela3[Ações]</f>
        <v>404856750</v>
      </c>
      <c r="AL102" s="5">
        <f>SUMPRODUCT(N(Tabela3[Nome]=Tabela3[[#This Row],[Nome]]),Tabela3[Div Base]*Tabela3[Ações])</f>
        <v>404856750</v>
      </c>
      <c r="AM102" s="5">
        <f>Tabela3[Patrimônio Líquido]/Tabela3[Total Ações]</f>
        <v>11.632469077948427</v>
      </c>
      <c r="AN102" s="52">
        <f>MAX(Tabela3[[#This Row],[Cotação 1]:[Cotação 5]])</f>
        <v>52.49</v>
      </c>
      <c r="AO102" s="53">
        <f>Tabela3[Cotação]/Tabela3[VPA]</f>
        <v>4.5123696137310052</v>
      </c>
      <c r="AP102" s="37">
        <f>IF(Tabela3[[#This Row],[Lucro/Ação]]&gt;0,Tabela3[[#This Row],[Cotação]]/(Tabela3[[#This Row],[Lucro/Ação]]/Tabela3[Ref]*4),0)</f>
        <v>25.144060355179334</v>
      </c>
      <c r="AQ102" s="77">
        <f>Tabela3[Lucro Distribuir]/Tabela3[Total Ações]</f>
        <v>1.4873940195699655</v>
      </c>
      <c r="AR102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0.74369700978498277</v>
      </c>
      <c r="AS102" s="16" t="str">
        <f>IF(AND(Tabela3[% A.A.]&gt;=6%,SUMPRODUCT(N(Tabela3[Nome]=Tabela3[[#This Row],[Nome]]),Tabela3[PL])&gt;0,Tabela3[Rentabilidade s/ PL]&gt;=Tabela3[Rentabilidade s/ PL Média]),"Sim","Não")</f>
        <v>Não</v>
      </c>
      <c r="AT102" s="22">
        <f>IF(Tabela3[Cotação]&gt;0,Tabela3[[#This Row],[Lucro]]/Tabela3[[#This Row],[Cotação]],0)</f>
        <v>1.4168356063726096E-2</v>
      </c>
      <c r="AU102" s="18">
        <f>((1+Tabela3[[#This Row],[% Yield]])^(1/(3*Tabela3[[#This Row],[Ref]])))^(12)-1</f>
        <v>1.8935611190509682E-2</v>
      </c>
      <c r="AV102" s="10">
        <f>IF(Tabela3[Cotação]&gt;0,($BD$1/Tabela3[[#This Row],[Cotação]]-MOD($BD$1/Tabela3[[#This Row],[Cotação]],100)),)</f>
        <v>0</v>
      </c>
      <c r="AW102" s="7">
        <f>Tabela3[[#This Row],[Ativos]]*Tabela3[Lucro]</f>
        <v>0</v>
      </c>
      <c r="AX102" s="47">
        <f>SUMPRODUCT(N(Tabela1[Código]=Tabela3[[#This Row],[PAPEL]]),Tabela1[Fechamento])</f>
        <v>0</v>
      </c>
      <c r="AY102" s="54">
        <f>SUMPRODUCT(N(Tabela17[Código]=Tabela3[[#This Row],[PAPEL]]),Tabela17[Fechamento])</f>
        <v>52.49</v>
      </c>
      <c r="AZ102" s="7">
        <f>SUMPRODUCT(N(Tabela176[Código]=Tabela3[[#This Row],[PAPEL]]),Tabela176[Fechamento])</f>
        <v>0</v>
      </c>
      <c r="BA102" s="7">
        <f>SUMPRODUCT(N(Tabela1768[Código]=Tabela3[[#This Row],[PAPEL]]),Tabela1768[Fechamento])</f>
        <v>0</v>
      </c>
      <c r="BB102" s="7">
        <f>SUMPRODUCT(N(Tabela17683[Código]=Tabela3[[#This Row],[PAPEL]]),Tabela17683[Fechamento])</f>
        <v>0</v>
      </c>
    </row>
    <row r="103" spans="1:54" hidden="1" x14ac:dyDescent="0.2">
      <c r="A103" s="3" t="s">
        <v>1147</v>
      </c>
      <c r="B103" s="58" t="s">
        <v>1143</v>
      </c>
      <c r="C103" s="16" t="str">
        <f>LEFT(Tabela3[PAPEL],LEN(Tabela3[PAPEL])-(LEN(Tabela3[PAPEL])-4))</f>
        <v>ALPA</v>
      </c>
      <c r="D103" s="16">
        <v>3</v>
      </c>
      <c r="E103" s="5">
        <v>624610414.55999994</v>
      </c>
      <c r="F103" s="56">
        <v>219644137</v>
      </c>
      <c r="G103" s="81">
        <v>0.25</v>
      </c>
      <c r="H103" s="87"/>
      <c r="J103" s="18"/>
      <c r="K103" s="16"/>
      <c r="L103" s="87"/>
      <c r="M103" s="54"/>
      <c r="N103" s="54"/>
      <c r="O103" s="54"/>
      <c r="P103" s="91">
        <v>1775139000</v>
      </c>
      <c r="Q103" s="73">
        <v>237360000</v>
      </c>
      <c r="R103" s="73">
        <f>IF(Tabela3[[#This Row],[Ativo || Passivo]]&gt;0,Tabela3[[#This Row],[Ativo || Passivo]]-Tabela3[[#This Row],[Patrimônio Líquido]],0)</f>
        <v>0</v>
      </c>
      <c r="S103" s="73">
        <f>Tabela3[[#This Row],[Cotação]]*Tabela3[[#This Row],[Total Ações]]</f>
        <v>5132179380</v>
      </c>
      <c r="T103" s="37">
        <f>IF(Tabela3[[#This Row],[Passivo Circulante]]&gt;0,Tabela3[[#This Row],[Ativo Circulante]]/Tabela3[[#This Row],[Passivo Circulante]],0)</f>
        <v>0</v>
      </c>
      <c r="U103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03" s="18">
        <f>IF(Tabela3[[#This Row],[Lucro Líquido]]&gt;0,Tabela3[[#This Row],[Lucro Líquido]]/Tabela3[[#This Row],[Patrimônio Líquido]],0)</f>
        <v>0.13371347257876706</v>
      </c>
      <c r="W103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03" s="18">
        <f>IF(Tabela3[[#This Row],[Dívida]]&gt;0,Tabela3[[#This Row],[Dívida]]/Tabela3[[#This Row],[Patrimônio Líquido]],0)</f>
        <v>0</v>
      </c>
      <c r="Y103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03" s="7">
        <f>Tabela3[[#This Row],[Capital Social]]*20%</f>
        <v>124922082.912</v>
      </c>
      <c r="AA103" s="47">
        <f>IF((Tabela3[Lucro Líquido]*5%)&gt;Tabela3[Teto R. Legal],Tabela3[Teto R. Legal],Tabela3[Lucro Líquido]*5%)</f>
        <v>11868000</v>
      </c>
      <c r="AB103" s="47">
        <f>IF(Tabela3[Lucro Líquido]&lt;0,0,Tabela3[Lucro Líquido]-Tabela3[Reserva Legal])</f>
        <v>225492000</v>
      </c>
      <c r="AC103" s="47">
        <f>Tabela3[[#This Row],[Lucro Distribuir]]*Tabela3[%Div]</f>
        <v>56373000</v>
      </c>
      <c r="AD103" s="56">
        <f>SUMPRODUCT(N(Tabela3[Nome]=Tabela3[[#This Row],[Nome]]),Tabela3[Ações])</f>
        <v>427681615</v>
      </c>
      <c r="AE103" s="85">
        <f>Tabela3[Capital Social]/Tabela3[Total Ações]</f>
        <v>1.4604565467701949</v>
      </c>
      <c r="AF103" s="85">
        <f>Tabela3[[#This Row],[Lucro Líquido]]/Tabela3[[#This Row],[Total Ações]]</f>
        <v>0.55499229257259519</v>
      </c>
      <c r="AG103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0.12770953833503038</v>
      </c>
      <c r="AH103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03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03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0.12770953833503038</v>
      </c>
      <c r="AK103" s="7">
        <f>Tabela3[Div Base]*Tabela3[Ações]</f>
        <v>28050651.334266163</v>
      </c>
      <c r="AL103" s="7">
        <f>SUMPRODUCT(N(Tabela3[Nome]=Tabela3[[#This Row],[Nome]]),Tabela3[Div Base]*Tabela3[Ações])</f>
        <v>57275858.673242077</v>
      </c>
      <c r="AM103" s="5">
        <f>Tabela3[Patrimônio Líquido]/Tabela3[Total Ações]</f>
        <v>4.1506086250632963</v>
      </c>
      <c r="AN103" s="52">
        <f>MAX(Tabela3[[#This Row],[Cotação 1]:[Cotação 5]])</f>
        <v>12</v>
      </c>
      <c r="AO103" s="53">
        <f>Tabela3[Cotação]/Tabela3[VPA]</f>
        <v>2.8911422598455672</v>
      </c>
      <c r="AP103" s="37">
        <f>IF(Tabela3[[#This Row],[Lucro/Ação]]&gt;0,Tabela3[[#This Row],[Cotação]]/(Tabela3[[#This Row],[Lucro/Ação]]/Tabela3[Ref]*4),0)</f>
        <v>16.216441418099087</v>
      </c>
      <c r="AQ103" s="85">
        <f>Tabela3[Lucro Distribuir]/Tabela3[Total Ações]</f>
        <v>0.5272426779439654</v>
      </c>
      <c r="AR103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0.12770953833503038</v>
      </c>
      <c r="AS103" s="10" t="str">
        <f>IF(AND(Tabela3[% A.A.]&gt;=6%,SUMPRODUCT(N(Tabela3[Nome]=Tabela3[[#This Row],[Nome]]),Tabela3[PL])&gt;0,Tabela3[Rentabilidade s/ PL]&gt;=Tabela3[Rentabilidade s/ PL Média]),"Sim","Não")</f>
        <v>Não</v>
      </c>
      <c r="AT103" s="22">
        <f>IF(Tabela3[Cotação]&gt;0,Tabela3[[#This Row],[Lucro]]/Tabela3[[#This Row],[Cotação]],0)</f>
        <v>1.0642461527919199E-2</v>
      </c>
      <c r="AU103" s="22">
        <f>((1+Tabela3[[#This Row],[% Yield]])^(1/(3*Tabela3[[#This Row],[Ref]])))^(12)-1</f>
        <v>1.4215058771634759E-2</v>
      </c>
      <c r="AV103" s="10">
        <f>IF(Tabela3[Cotação]&gt;0,($BH$1/Tabela3[[#This Row],[Cotação]]-MOD($BH$1/Tabela3[[#This Row],[Cotação]],100)),)</f>
        <v>0</v>
      </c>
      <c r="AW103" s="7">
        <f>Tabela3[[#This Row],[Ativos]]*Tabela3[Lucro]</f>
        <v>0</v>
      </c>
      <c r="AX103" s="7">
        <f>SUMPRODUCT(N(Tabela1[Código]=Tabela3[[#This Row],[PAPEL]]),Tabela1[Fechamento])</f>
        <v>0</v>
      </c>
      <c r="AY103" s="7">
        <f>SUMPRODUCT(N(Tabela17[Código]=Tabela3[[#This Row],[PAPEL]]),Tabela17[Fechamento])</f>
        <v>0</v>
      </c>
      <c r="AZ103" s="7">
        <f>SUMPRODUCT(N(Tabela176[Código]=Tabela3[[#This Row],[PAPEL]]),Tabela176[Fechamento])</f>
        <v>0</v>
      </c>
      <c r="BA103" s="7">
        <f>SUMPRODUCT(N(Tabela1768[Código]=Tabela3[[#This Row],[PAPEL]]),Tabela1768[Fechamento])</f>
        <v>12</v>
      </c>
      <c r="BB103" s="7">
        <f>SUMPRODUCT(N(Tabela17683[Código]=Tabela3[[#This Row],[PAPEL]]),Tabela17683[Fechamento])</f>
        <v>0</v>
      </c>
    </row>
    <row r="104" spans="1:54" hidden="1" x14ac:dyDescent="0.2">
      <c r="A104" s="3" t="s">
        <v>1147</v>
      </c>
      <c r="B104" s="58" t="s">
        <v>1144</v>
      </c>
      <c r="C104" s="16" t="str">
        <f>LEFT(Tabela3[PAPEL],LEN(Tabela3[PAPEL])-(LEN(Tabela3[PAPEL])-4))</f>
        <v>ALPA</v>
      </c>
      <c r="D104" s="16">
        <v>3</v>
      </c>
      <c r="E104" s="5">
        <v>624610414.55999994</v>
      </c>
      <c r="F104" s="56">
        <v>208037478</v>
      </c>
      <c r="G104" s="81">
        <v>0.25</v>
      </c>
      <c r="H104" s="87"/>
      <c r="J104" s="18">
        <v>0.1</v>
      </c>
      <c r="K104" s="16"/>
      <c r="L104" s="87"/>
      <c r="M104" s="54"/>
      <c r="N104" s="54"/>
      <c r="O104" s="54"/>
      <c r="P104" s="91">
        <v>1775139000</v>
      </c>
      <c r="Q104" s="73">
        <v>237360000</v>
      </c>
      <c r="R104" s="73">
        <f>IF(Tabela3[[#This Row],[Ativo || Passivo]]&gt;0,Tabela3[[#This Row],[Ativo || Passivo]]-Tabela3[[#This Row],[Patrimônio Líquido]],0)</f>
        <v>0</v>
      </c>
      <c r="S104" s="73">
        <f>Tabela3[[#This Row],[Cotação]]*Tabela3[[#This Row],[Total Ações]]</f>
        <v>5358850635.9499998</v>
      </c>
      <c r="T104" s="37">
        <f>IF(Tabela3[[#This Row],[Passivo Circulante]]&gt;0,Tabela3[[#This Row],[Ativo Circulante]]/Tabela3[[#This Row],[Passivo Circulante]],0)</f>
        <v>0</v>
      </c>
      <c r="U104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04" s="18">
        <f>IF(Tabela3[[#This Row],[Lucro Líquido]]&gt;0,Tabela3[[#This Row],[Lucro Líquido]]/Tabela3[[#This Row],[Patrimônio Líquido]],0)</f>
        <v>0.13371347257876706</v>
      </c>
      <c r="W104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04" s="18">
        <f>IF(Tabela3[[#This Row],[Dívida]]&gt;0,Tabela3[[#This Row],[Dívida]]/Tabela3[[#This Row],[Patrimônio Líquido]],0)</f>
        <v>0</v>
      </c>
      <c r="Y104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04" s="7">
        <f>Tabela3[[#This Row],[Capital Social]]*20%</f>
        <v>124922082.912</v>
      </c>
      <c r="AA104" s="47">
        <f>IF((Tabela3[Lucro Líquido]*5%)&gt;Tabela3[Teto R. Legal],Tabela3[Teto R. Legal],Tabela3[Lucro Líquido]*5%)</f>
        <v>11868000</v>
      </c>
      <c r="AB104" s="47">
        <f>IF(Tabela3[Lucro Líquido]&lt;0,0,Tabela3[Lucro Líquido]-Tabela3[Reserva Legal])</f>
        <v>225492000</v>
      </c>
      <c r="AC104" s="47">
        <f>Tabela3[[#This Row],[Lucro Distribuir]]*Tabela3[%Div]</f>
        <v>56373000</v>
      </c>
      <c r="AD104" s="56">
        <f>SUMPRODUCT(N(Tabela3[Nome]=Tabela3[[#This Row],[Nome]]),Tabela3[Ações])</f>
        <v>427681615</v>
      </c>
      <c r="AE104" s="85">
        <f>Tabela3[Capital Social]/Tabela3[Total Ações]</f>
        <v>1.4604565467701949</v>
      </c>
      <c r="AF104" s="85">
        <f>Tabela3[[#This Row],[Lucro Líquido]]/Tabela3[[#This Row],[Total Ações]]</f>
        <v>0.55499229257259519</v>
      </c>
      <c r="AG104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0.14048049236097698</v>
      </c>
      <c r="AH104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04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04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0.14048049236097698</v>
      </c>
      <c r="AK104" s="7">
        <f>Tabela3[Div Base]*Tabela3[Ações]</f>
        <v>29225207.338975918</v>
      </c>
      <c r="AL104" s="7">
        <f>SUMPRODUCT(N(Tabela3[Nome]=Tabela3[[#This Row],[Nome]]),Tabela3[Div Base]*Tabela3[Ações])</f>
        <v>57275858.673242077</v>
      </c>
      <c r="AM104" s="5">
        <f>Tabela3[Patrimônio Líquido]/Tabela3[Total Ações]</f>
        <v>4.1506086250632963</v>
      </c>
      <c r="AN104" s="52">
        <f>MAX(Tabela3[[#This Row],[Cotação 1]:[Cotação 5]])</f>
        <v>12.53</v>
      </c>
      <c r="AO104" s="53">
        <f>Tabela3[Cotação]/Tabela3[VPA]</f>
        <v>3.0188343763220793</v>
      </c>
      <c r="AP104" s="37">
        <f>IF(Tabela3[[#This Row],[Lucro/Ação]]&gt;0,Tabela3[[#This Row],[Cotação]]/(Tabela3[[#This Row],[Lucro/Ação]]/Tabela3[Ref]*4),0)</f>
        <v>16.932667580731799</v>
      </c>
      <c r="AQ104" s="85">
        <f>Tabela3[Lucro Distribuir]/Tabela3[Total Ações]</f>
        <v>0.5272426779439654</v>
      </c>
      <c r="AR104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0.14048049236097698</v>
      </c>
      <c r="AS104" s="10" t="str">
        <f>IF(AND(Tabela3[% A.A.]&gt;=6%,SUMPRODUCT(N(Tabela3[Nome]=Tabela3[[#This Row],[Nome]]),Tabela3[PL])&gt;0,Tabela3[Rentabilidade s/ PL]&gt;=Tabela3[Rentabilidade s/ PL Média]),"Sim","Não")</f>
        <v>Não</v>
      </c>
      <c r="AT104" s="22">
        <f>IF(Tabela3[Cotação]&gt;0,Tabela3[[#This Row],[Lucro]]/Tabela3[[#This Row],[Cotação]],0)</f>
        <v>1.1211531712767517E-2</v>
      </c>
      <c r="AU104" s="22">
        <f>((1+Tabela3[[#This Row],[% Yield]])^(1/(3*Tabela3[[#This Row],[Ref]])))^(12)-1</f>
        <v>1.4976572667257493E-2</v>
      </c>
      <c r="AV104" s="10">
        <f>IF(Tabela3[Cotação]&gt;0,($BH$1/Tabela3[[#This Row],[Cotação]]-MOD($BH$1/Tabela3[[#This Row],[Cotação]],100)),)</f>
        <v>0</v>
      </c>
      <c r="AW104" s="7">
        <f>Tabela3[[#This Row],[Ativos]]*Tabela3[Lucro]</f>
        <v>0</v>
      </c>
      <c r="AX104" s="7">
        <f>SUMPRODUCT(N(Tabela1[Código]=Tabela3[[#This Row],[PAPEL]]),Tabela1[Fechamento])</f>
        <v>0</v>
      </c>
      <c r="AY104" s="7">
        <f>SUMPRODUCT(N(Tabela17[Código]=Tabela3[[#This Row],[PAPEL]]),Tabela17[Fechamento])</f>
        <v>0</v>
      </c>
      <c r="AZ104" s="7">
        <f>SUMPRODUCT(N(Tabela176[Código]=Tabela3[[#This Row],[PAPEL]]),Tabela176[Fechamento])</f>
        <v>0</v>
      </c>
      <c r="BA104" s="7">
        <f>SUMPRODUCT(N(Tabela1768[Código]=Tabela3[[#This Row],[PAPEL]]),Tabela1768[Fechamento])</f>
        <v>12.53</v>
      </c>
      <c r="BB104" s="7">
        <f>SUMPRODUCT(N(Tabela17683[Código]=Tabela3[[#This Row],[PAPEL]]),Tabela17683[Fechamento])</f>
        <v>0</v>
      </c>
    </row>
    <row r="105" spans="1:54" hidden="1" x14ac:dyDescent="0.2">
      <c r="A105" s="4" t="s">
        <v>14</v>
      </c>
      <c r="B105" s="60" t="s">
        <v>229</v>
      </c>
      <c r="C105" s="14" t="str">
        <f>LEFT(Tabela3[PAPEL],LEN(Tabela3[PAPEL])-(LEN(Tabela3[PAPEL])-4))</f>
        <v>ITUB</v>
      </c>
      <c r="D105" s="15">
        <v>4</v>
      </c>
      <c r="E105" s="6">
        <v>60000000000</v>
      </c>
      <c r="F105" s="8">
        <v>2518215040</v>
      </c>
      <c r="G105" s="81">
        <v>0.25</v>
      </c>
      <c r="H105" s="15"/>
      <c r="I105" s="19"/>
      <c r="J105" s="19"/>
      <c r="K105" s="88"/>
      <c r="L105" s="88"/>
      <c r="M105" s="55"/>
      <c r="N105" s="55"/>
      <c r="O105" s="55"/>
      <c r="P105" s="6">
        <v>89229744000</v>
      </c>
      <c r="Q105" s="6">
        <v>11661389000</v>
      </c>
      <c r="R105" s="6">
        <f>IF(Tabela3[[#This Row],[Ativo || Passivo]]&gt;0,Tabela3[[#This Row],[Ativo || Passivo]]-Tabela3[[#This Row],[Patrimônio Líquido]],0)</f>
        <v>0</v>
      </c>
      <c r="S105" s="6">
        <f>Tabela3[[#This Row],[Cotação]]*Tabela3[[#This Row],[Total Ações]]</f>
        <v>146215103966.79999</v>
      </c>
      <c r="T105" s="134">
        <f>IF(Tabela3[[#This Row],[Passivo Circulante]]&gt;0,Tabela3[[#This Row],[Ativo Circulante]]/Tabela3[[#This Row],[Passivo Circulante]],0)</f>
        <v>0</v>
      </c>
      <c r="U105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05" s="19">
        <f>IF(Tabela3[[#This Row],[Lucro Líquido]]&gt;0,Tabela3[[#This Row],[Lucro Líquido]]/Tabela3[[#This Row],[Patrimônio Líquido]],0)</f>
        <v>0.13068948174949377</v>
      </c>
      <c r="W105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05" s="19">
        <f>IF(Tabela3[[#This Row],[Dívida]]&gt;0,Tabela3[[#This Row],[Dívida]]/Tabela3[[#This Row],[Patrimônio Líquido]],0)</f>
        <v>0</v>
      </c>
      <c r="Y105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05" s="6">
        <f>Tabela3[[#This Row],[Capital Social]]*20%</f>
        <v>12000000000</v>
      </c>
      <c r="AA105" s="6">
        <f>IF((Tabela3[Lucro Líquido]*5%)&gt;Tabela3[Teto R. Legal],Tabela3[Teto R. Legal],Tabela3[Lucro Líquido]*5%)</f>
        <v>583069450</v>
      </c>
      <c r="AB105" s="6">
        <f>IF(Tabela3[Lucro Líquido]&lt;0,0,Tabela3[Lucro Líquido]-Tabela3[Reserva Legal])</f>
        <v>11078319550</v>
      </c>
      <c r="AC105" s="6">
        <f>Tabela3[[#This Row],[Lucro Distribuir]]*Tabela3[%Div]</f>
        <v>2769579887.5</v>
      </c>
      <c r="AD105" s="21">
        <f>SUMPRODUCT(N(Tabela3[Nome]=Tabela3[[#This Row],[Nome]]),Tabela3[Ações])</f>
        <v>5028029710</v>
      </c>
      <c r="AE105" s="6">
        <f>Tabela3[Capital Social]/Tabela3[Total Ações]</f>
        <v>11.933103712706583</v>
      </c>
      <c r="AF105" s="78">
        <f>Tabela3[[#This Row],[Lucro Líquido]]/Tabela3[[#This Row],[Total Ações]]</f>
        <v>2.319276072853595</v>
      </c>
      <c r="AG105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0.55082806730272882</v>
      </c>
      <c r="AH105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05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0.86195272361027253</v>
      </c>
      <c r="AJ105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0.55082806730272882</v>
      </c>
      <c r="AK105" s="6">
        <f>Tabela3[Div Base]*Tabela3[Ações]</f>
        <v>1387103523.5358639</v>
      </c>
      <c r="AL105" s="6">
        <f>SUMPRODUCT(N(Tabela3[Nome]=Tabela3[[#This Row],[Nome]]),Tabela3[Div Base]*Tabela3[Ações])</f>
        <v>2769579887.5</v>
      </c>
      <c r="AM105" s="6">
        <f>Tabela3[Patrimônio Líquido]/Tabela3[Total Ações]</f>
        <v>17.746463156837631</v>
      </c>
      <c r="AN105" s="48">
        <f>MAX(Tabela3[[#This Row],[Cotação 1]:[Cotação 5]])</f>
        <v>29.08</v>
      </c>
      <c r="AO105" s="44">
        <f>Tabela3[Cotação]/Tabela3[VPA]</f>
        <v>1.6386363718223824</v>
      </c>
      <c r="AP105" s="40">
        <f>IF(Tabela3[[#This Row],[Lucro/Ação]]&gt;0,Tabela3[[#This Row],[Cotação]]/(Tabela3[[#This Row],[Lucro/Ação]]/Tabela3[Ref]*4),0)</f>
        <v>12.53839520890693</v>
      </c>
      <c r="AQ105" s="78">
        <f>Tabela3[Lucro Distribuir]/Tabela3[Total Ações]</f>
        <v>2.2033122692109153</v>
      </c>
      <c r="AR105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0.55082806730272882</v>
      </c>
      <c r="AS105" s="15" t="str">
        <f>IF(AND(Tabela3[% A.A.]&gt;=6%,SUMPRODUCT(N(Tabela3[Nome]=Tabela3[[#This Row],[Nome]]),Tabela3[PL])&gt;0,Tabela3[Rentabilidade s/ PL]&gt;=Tabela3[Rentabilidade s/ PL Média]),"Sim","Não")</f>
        <v>Não</v>
      </c>
      <c r="AT105" s="42">
        <f>IF(Tabela3[Cotação]&gt;0,Tabela3[[#This Row],[Lucro]]/Tabela3[[#This Row],[Cotação]],0)</f>
        <v>1.8941817995279536E-2</v>
      </c>
      <c r="AU105" s="19">
        <f>((1+Tabela3[[#This Row],[% Yield]])^(1/(3*Tabela3[[#This Row],[Ref]])))^(12)-1</f>
        <v>1.894181799527872E-2</v>
      </c>
      <c r="AV105" s="14">
        <f>IF(Tabela3[Cotação]&gt;0,($BD$1/Tabela3[[#This Row],[Cotação]]-MOD($BD$1/Tabela3[[#This Row],[Cotação]],100)),)</f>
        <v>0</v>
      </c>
      <c r="AW105" s="17">
        <f>Tabela3[[#This Row],[Ativos]]*Tabela3[Lucro]</f>
        <v>0</v>
      </c>
      <c r="AX105" s="5">
        <f>SUMPRODUCT(N(Tabela1[Código]=Tabela3[[#This Row],[PAPEL]]),Tabela1[Fechamento])</f>
        <v>29.08</v>
      </c>
      <c r="AY105" s="5">
        <f>SUMPRODUCT(N(Tabela17[Código]=Tabela3[[#This Row],[PAPEL]]),Tabela17[Fechamento])</f>
        <v>0</v>
      </c>
      <c r="AZ105" s="7">
        <f>SUMPRODUCT(N(Tabela176[Código]=Tabela3[[#This Row],[PAPEL]]),Tabela176[Fechamento])</f>
        <v>0</v>
      </c>
      <c r="BA105" s="7">
        <f>SUMPRODUCT(N(Tabela1768[Código]=Tabela3[[#This Row],[PAPEL]]),Tabela1768[Fechamento])</f>
        <v>0</v>
      </c>
      <c r="BB105" s="7">
        <f>SUMPRODUCT(N(Tabela17683[Código]=Tabela3[[#This Row],[PAPEL]]),Tabela17683[Fechamento])</f>
        <v>0</v>
      </c>
    </row>
    <row r="106" spans="1:54" hidden="1" x14ac:dyDescent="0.2">
      <c r="A106" s="4" t="s">
        <v>14</v>
      </c>
      <c r="B106" s="60" t="s">
        <v>80</v>
      </c>
      <c r="C106" s="14" t="str">
        <f>LEFT(Tabela3[PAPEL],LEN(Tabela3[PAPEL])-(LEN(Tabela3[PAPEL])-4))</f>
        <v>ITUB</v>
      </c>
      <c r="D106" s="15">
        <v>4</v>
      </c>
      <c r="E106" s="6">
        <v>60000000000</v>
      </c>
      <c r="F106" s="8">
        <v>2509814670</v>
      </c>
      <c r="G106" s="86">
        <v>0.25</v>
      </c>
      <c r="H106" s="15"/>
      <c r="I106" s="19">
        <v>0.02</v>
      </c>
      <c r="J106" s="19"/>
      <c r="K106" s="88"/>
      <c r="L106" s="88"/>
      <c r="M106" s="55"/>
      <c r="N106" s="55"/>
      <c r="O106" s="55"/>
      <c r="P106" s="6">
        <v>89229744000</v>
      </c>
      <c r="Q106" s="6">
        <v>11661389000</v>
      </c>
      <c r="R106" s="6">
        <f>IF(Tabela3[[#This Row],[Ativo || Passivo]]&gt;0,Tabela3[[#This Row],[Ativo || Passivo]]-Tabela3[[#This Row],[Patrimônio Líquido]],0)</f>
        <v>0</v>
      </c>
      <c r="S106" s="6">
        <f>Tabela3[[#This Row],[Cotação]]*Tabela3[[#This Row],[Total Ações]]</f>
        <v>156070042198.39999</v>
      </c>
      <c r="T106" s="134">
        <f>IF(Tabela3[[#This Row],[Passivo Circulante]]&gt;0,Tabela3[[#This Row],[Ativo Circulante]]/Tabela3[[#This Row],[Passivo Circulante]],0)</f>
        <v>0</v>
      </c>
      <c r="U106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06" s="19">
        <f>IF(Tabela3[[#This Row],[Lucro Líquido]]&gt;0,Tabela3[[#This Row],[Lucro Líquido]]/Tabela3[[#This Row],[Patrimônio Líquido]],0)</f>
        <v>0.13068948174949377</v>
      </c>
      <c r="W106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06" s="19">
        <f>IF(Tabela3[[#This Row],[Dívida]]&gt;0,Tabela3[[#This Row],[Dívida]]/Tabela3[[#This Row],[Patrimônio Líquido]],0)</f>
        <v>0</v>
      </c>
      <c r="Y106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06" s="6">
        <f>Tabela3[[#This Row],[Capital Social]]*20%</f>
        <v>12000000000</v>
      </c>
      <c r="AA106" s="6">
        <f>IF((Tabela3[Lucro Líquido]*5%)&gt;Tabela3[Teto R. Legal],Tabela3[Teto R. Legal],Tabela3[Lucro Líquido]*5%)</f>
        <v>583069450</v>
      </c>
      <c r="AB106" s="6">
        <f>IF(Tabela3[Lucro Líquido]&lt;0,0,Tabela3[Lucro Líquido]-Tabela3[Reserva Legal])</f>
        <v>11078319550</v>
      </c>
      <c r="AC106" s="6">
        <f>Tabela3[[#This Row],[Lucro Distribuir]]*Tabela3[%Div]</f>
        <v>2769579887.5</v>
      </c>
      <c r="AD106" s="21">
        <f>SUMPRODUCT(N(Tabela3[Nome]=Tabela3[[#This Row],[Nome]]),Tabela3[Ações])</f>
        <v>5028029710</v>
      </c>
      <c r="AE106" s="6">
        <f>Tabela3[Capital Social]/Tabela3[Total Ações]</f>
        <v>11.933103712706583</v>
      </c>
      <c r="AF106" s="78">
        <f>Tabela3[[#This Row],[Lucro Líquido]]/Tabela3[[#This Row],[Total Ações]]</f>
        <v>2.319276072853595</v>
      </c>
      <c r="AG106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0.55082806730272882</v>
      </c>
      <c r="AH106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06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0.23866207425413163</v>
      </c>
      <c r="AJ106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0.55082806730272882</v>
      </c>
      <c r="AK106" s="6">
        <f>Tabela3[Div Base]*Tabela3[Ações]</f>
        <v>1382476363.9641361</v>
      </c>
      <c r="AL106" s="6">
        <f>SUMPRODUCT(N(Tabela3[Nome]=Tabela3[[#This Row],[Nome]]),Tabela3[Div Base]*Tabela3[Ações])</f>
        <v>2769579887.5</v>
      </c>
      <c r="AM106" s="6">
        <f>Tabela3[Patrimônio Líquido]/Tabela3[Total Ações]</f>
        <v>17.746463156837631</v>
      </c>
      <c r="AN106" s="48">
        <f>MAX(Tabela3[[#This Row],[Cotação 1]:[Cotação 5]])</f>
        <v>31.04</v>
      </c>
      <c r="AO106" s="44">
        <f>Tabela3[Cotação]/Tabela3[VPA]</f>
        <v>1.749080914077261</v>
      </c>
      <c r="AP106" s="40">
        <f>IF(Tabela3[[#This Row],[Lucro/Ação]]&gt;0,Tabela3[[#This Row],[Cotação]]/(Tabela3[[#This Row],[Lucro/Ação]]/Tabela3[Ref]*4),0)</f>
        <v>13.383486495339447</v>
      </c>
      <c r="AQ106" s="78">
        <f>Tabela3[Lucro Distribuir]/Tabela3[Total Ações]</f>
        <v>2.2033122692109153</v>
      </c>
      <c r="AR106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0.55082806730272882</v>
      </c>
      <c r="AS106" s="15" t="str">
        <f>IF(AND(Tabela3[% A.A.]&gt;=6%,SUMPRODUCT(N(Tabela3[Nome]=Tabela3[[#This Row],[Nome]]),Tabela3[PL])&gt;0,Tabela3[Rentabilidade s/ PL]&gt;=Tabela3[Rentabilidade s/ PL Média]),"Sim","Não")</f>
        <v>Não</v>
      </c>
      <c r="AT106" s="42">
        <f>IF(Tabela3[Cotação]&gt;0,Tabela3[[#This Row],[Lucro]]/Tabela3[[#This Row],[Cotação]],0)</f>
        <v>1.7745749590938428E-2</v>
      </c>
      <c r="AU106" s="19">
        <f>((1+Tabela3[[#This Row],[% Yield]])^(1/(3*Tabela3[[#This Row],[Ref]])))^(12)-1</f>
        <v>1.7745749590937443E-2</v>
      </c>
      <c r="AV106" s="14">
        <f>IF(Tabela3[Cotação]&gt;0,($BD$1/Tabela3[[#This Row],[Cotação]]-MOD($BD$1/Tabela3[[#This Row],[Cotação]],100)),)</f>
        <v>0</v>
      </c>
      <c r="AW106" s="17">
        <f>Tabela3[[#This Row],[Ativos]]*Tabela3[Lucro]</f>
        <v>0</v>
      </c>
      <c r="AX106" s="5">
        <f>SUMPRODUCT(N(Tabela1[Código]=Tabela3[[#This Row],[PAPEL]]),Tabela1[Fechamento])</f>
        <v>31.04</v>
      </c>
      <c r="AY106" s="5">
        <f>SUMPRODUCT(N(Tabela17[Código]=Tabela3[[#This Row],[PAPEL]]),Tabela17[Fechamento])</f>
        <v>0</v>
      </c>
      <c r="AZ106" s="7">
        <f>SUMPRODUCT(N(Tabela176[Código]=Tabela3[[#This Row],[PAPEL]]),Tabela176[Fechamento])</f>
        <v>0</v>
      </c>
      <c r="BA106" s="7">
        <f>SUMPRODUCT(N(Tabela1768[Código]=Tabela3[[#This Row],[PAPEL]]),Tabela1768[Fechamento])</f>
        <v>0</v>
      </c>
      <c r="BB106" s="7">
        <f>SUMPRODUCT(N(Tabela17683[Código]=Tabela3[[#This Row],[PAPEL]]),Tabela17683[Fechamento])</f>
        <v>0</v>
      </c>
    </row>
    <row r="107" spans="1:54" hidden="1" x14ac:dyDescent="0.2">
      <c r="A107" s="3" t="s">
        <v>293</v>
      </c>
      <c r="B107" s="57" t="s">
        <v>289</v>
      </c>
      <c r="C107" s="82" t="str">
        <f>LEFT(Tabela3[PAPEL],LEN(Tabela3[PAPEL])-(LEN(Tabela3[PAPEL])-4))</f>
        <v>OIBR</v>
      </c>
      <c r="D107" s="16">
        <v>4</v>
      </c>
      <c r="E107" s="5">
        <v>7471208836.6300001</v>
      </c>
      <c r="F107" s="56">
        <v>599088629</v>
      </c>
      <c r="G107" s="86">
        <v>0.25</v>
      </c>
      <c r="H107" s="18"/>
      <c r="J107" s="18"/>
      <c r="K107" s="87"/>
      <c r="L107" s="87"/>
      <c r="M107" s="54">
        <v>45633520000</v>
      </c>
      <c r="N107" s="54">
        <v>7215516000</v>
      </c>
      <c r="O107" s="54">
        <v>7256054000</v>
      </c>
      <c r="P107" s="5">
        <v>11524138000</v>
      </c>
      <c r="Q107" s="5">
        <v>1493015000</v>
      </c>
      <c r="R107" s="5">
        <f>IF(Tabela3[[#This Row],[Ativo || Passivo]]&gt;0,Tabela3[[#This Row],[Ativo || Passivo]]-Tabela3[[#This Row],[Patrimônio Líquido]],0)</f>
        <v>34109382000</v>
      </c>
      <c r="S107" s="5">
        <f>Tabela3[[#This Row],[Cotação]]*Tabela3[[#This Row],[Total Ações]]</f>
        <v>7422297248.5199995</v>
      </c>
      <c r="T107" s="132">
        <f>IF(Tabela3[[#This Row],[Passivo Circulante]]&gt;0,Tabela3[[#This Row],[Ativo Circulante]]/Tabela3[[#This Row],[Passivo Circulante]],0)</f>
        <v>0.99441321688069029</v>
      </c>
      <c r="U107" s="132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07" s="18">
        <f>IF(Tabela3[[#This Row],[Lucro Líquido]]&gt;0,Tabela3[[#This Row],[Lucro Líquido]]/Tabela3[[#This Row],[Patrimônio Líquido]],0)</f>
        <v>0.1295554600265981</v>
      </c>
      <c r="W107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07" s="18">
        <f>IF(Tabela3[[#This Row],[Dívida]]&gt;0,Tabela3[[#This Row],[Dívida]]/Tabela3[[#This Row],[Patrimônio Líquido]],0)</f>
        <v>2.9598206824666624</v>
      </c>
      <c r="Y107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07" s="5">
        <f>Tabela3[[#This Row],[Capital Social]]*20%</f>
        <v>1494241767.3260002</v>
      </c>
      <c r="AA107" s="5">
        <f>IF((Tabela3[Lucro Líquido]*5%)&gt;Tabela3[Teto R. Legal],Tabela3[Teto R. Legal],Tabela3[Lucro Líquido]*5%)</f>
        <v>74650750</v>
      </c>
      <c r="AB107" s="5">
        <f>IF(Tabela3[Lucro Líquido]&lt;0,0,Tabela3[Lucro Líquido]-Tabela3[Reserva Legal])</f>
        <v>1418364250</v>
      </c>
      <c r="AC107" s="5">
        <f>Tabela3[[#This Row],[Lucro Distribuir]]*Tabela3[%Div]</f>
        <v>354591062.5</v>
      </c>
      <c r="AD107" s="56">
        <f>SUMPRODUCT(N(Tabela3[Nome]=Tabela3[[#This Row],[Nome]]),Tabela3[Ações])</f>
        <v>1797166404</v>
      </c>
      <c r="AE107" s="5">
        <f>Tabela3[Capital Social]/Tabela3[Total Ações]</f>
        <v>4.1572159483958391</v>
      </c>
      <c r="AF107" s="77">
        <f>Tabela3[[#This Row],[Lucro Líquido]]/Tabela3[[#This Row],[Total Ações]]</f>
        <v>0.83076057769439582</v>
      </c>
      <c r="AG107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0.197305637202419</v>
      </c>
      <c r="AH107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0.20717248789800169</v>
      </c>
      <c r="AI107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9.3059653918225058E-2</v>
      </c>
      <c r="AJ107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9.3059653918225058E-2</v>
      </c>
      <c r="AK107" s="5">
        <f>Tabela3[Div Base]*Tabela3[Ações]</f>
        <v>55750980.48108393</v>
      </c>
      <c r="AL107" s="5">
        <f>SUMPRODUCT(N(Tabela3[Nome]=Tabela3[[#This Row],[Nome]]),Tabela3[Div Base]*Tabela3[Ações])</f>
        <v>354591062.5</v>
      </c>
      <c r="AM107" s="5">
        <f>Tabela3[Patrimônio Líquido]/Tabela3[Total Ações]</f>
        <v>6.4123934068378015</v>
      </c>
      <c r="AN107" s="52">
        <f>MAX(Tabela3[[#This Row],[Cotação 1]:[Cotação 5]])</f>
        <v>4.13</v>
      </c>
      <c r="AO107" s="53">
        <f>Tabela3[Cotação]/Tabela3[VPA]</f>
        <v>0.6440652870106206</v>
      </c>
      <c r="AP107" s="37">
        <f>IF(Tabela3[[#This Row],[Lucro/Ação]]&gt;0,Tabela3[[#This Row],[Cotação]]/(Tabela3[[#This Row],[Lucro/Ação]]/Tabela3[Ref]*4),0)</f>
        <v>4.9713480765564979</v>
      </c>
      <c r="AQ107" s="77">
        <f>Tabela3[Lucro Distribuir]/Tabela3[Total Ações]</f>
        <v>0.78922254880967602</v>
      </c>
      <c r="AR107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9.3059653918225058E-2</v>
      </c>
      <c r="AS107" s="16" t="str">
        <f>IF(AND(Tabela3[% A.A.]&gt;=6%,SUMPRODUCT(N(Tabela3[Nome]=Tabela3[[#This Row],[Nome]]),Tabela3[PL])&gt;0,Tabela3[Rentabilidade s/ PL]&gt;=Tabela3[Rentabilidade s/ PL Média]),"Sim","Não")</f>
        <v>Não</v>
      </c>
      <c r="AT107" s="22">
        <f>IF(Tabela3[Cotação]&gt;0,Tabela3[[#This Row],[Lucro]]/Tabela3[[#This Row],[Cotação]],0)</f>
        <v>2.2532603854291781E-2</v>
      </c>
      <c r="AU107" s="18">
        <f>((1+Tabela3[[#This Row],[% Yield]])^(1/(3*Tabela3[[#This Row],[Ref]])))^(12)-1</f>
        <v>2.2532603854292566E-2</v>
      </c>
      <c r="AV107" s="10">
        <f>IF(Tabela3[Cotação]&gt;0,($BD$1/Tabela3[[#This Row],[Cotação]]-MOD($BD$1/Tabela3[[#This Row],[Cotação]],100)),)</f>
        <v>0</v>
      </c>
      <c r="AW107" s="7">
        <f>Tabela3[[#This Row],[Ativos]]*Tabela3[Lucro]</f>
        <v>0</v>
      </c>
      <c r="AX107" s="47">
        <f>SUMPRODUCT(N(Tabela1[Código]=Tabela3[[#This Row],[PAPEL]]),Tabela1[Fechamento])</f>
        <v>0</v>
      </c>
      <c r="AY107" s="54">
        <f>SUMPRODUCT(N(Tabela17[Código]=Tabela3[[#This Row],[PAPEL]]),Tabela17[Fechamento])</f>
        <v>4.13</v>
      </c>
      <c r="AZ107" s="7">
        <f>SUMPRODUCT(N(Tabela176[Código]=Tabela3[[#This Row],[PAPEL]]),Tabela176[Fechamento])</f>
        <v>0</v>
      </c>
      <c r="BA107" s="7">
        <f>SUMPRODUCT(N(Tabela1768[Código]=Tabela3[[#This Row],[PAPEL]]),Tabela1768[Fechamento])</f>
        <v>0</v>
      </c>
      <c r="BB107" s="7">
        <f>SUMPRODUCT(N(Tabela17683[Código]=Tabela3[[#This Row],[PAPEL]]),Tabela17683[Fechamento])</f>
        <v>0</v>
      </c>
    </row>
    <row r="108" spans="1:54" x14ac:dyDescent="0.2">
      <c r="A108" s="3" t="s">
        <v>277</v>
      </c>
      <c r="B108" s="58" t="s">
        <v>274</v>
      </c>
      <c r="C108" s="83" t="str">
        <f>LEFT(Tabela3[PAPEL],LEN(Tabela3[PAPEL])-(LEN(Tabela3[PAPEL])-4))</f>
        <v>CIQU</v>
      </c>
      <c r="D108" s="16">
        <v>3</v>
      </c>
      <c r="E108" s="5">
        <v>173000000</v>
      </c>
      <c r="F108" s="56">
        <v>8316000</v>
      </c>
      <c r="G108" s="86">
        <v>0.25</v>
      </c>
      <c r="H108" s="16"/>
      <c r="J108" s="18"/>
      <c r="K108" s="87"/>
      <c r="L108" s="87"/>
      <c r="M108" s="54">
        <v>571642000</v>
      </c>
      <c r="N108" s="54">
        <v>361717000</v>
      </c>
      <c r="O108" s="54">
        <v>263730000</v>
      </c>
      <c r="P108" s="5">
        <v>264517000</v>
      </c>
      <c r="Q108" s="5">
        <v>37183000</v>
      </c>
      <c r="R108" s="5">
        <f>IF(Tabela3[[#This Row],[Ativo || Passivo]]&gt;0,Tabela3[[#This Row],[Ativo || Passivo]]-Tabela3[[#This Row],[Patrimônio Líquido]],0)</f>
        <v>307125000</v>
      </c>
      <c r="S108" s="5">
        <f>Tabela3[[#This Row],[Cotação]]*Tabela3[[#This Row],[Total Ações]]</f>
        <v>176631840</v>
      </c>
      <c r="T108" s="132">
        <f>IF(Tabela3[[#This Row],[Passivo Circulante]]&gt;0,Tabela3[[#This Row],[Ativo Circulante]]/Tabela3[[#This Row],[Passivo Circulante]],0)</f>
        <v>1.3715428658097297</v>
      </c>
      <c r="U108" s="132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08" s="18">
        <f>IF(Tabela3[[#This Row],[Lucro Líquido]]&gt;0,Tabela3[[#This Row],[Lucro Líquido]]/Tabela3[[#This Row],[Patrimônio Líquido]],0)</f>
        <v>0.14056941519826702</v>
      </c>
      <c r="W108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08" s="18">
        <f>IF(Tabela3[[#This Row],[Dívida]]&gt;0,Tabela3[[#This Row],[Dívida]]/Tabela3[[#This Row],[Patrimônio Líquido]],0)</f>
        <v>1.1610784940098369</v>
      </c>
      <c r="Y108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08" s="5">
        <f>Tabela3[[#This Row],[Capital Social]]*20%</f>
        <v>34600000</v>
      </c>
      <c r="AA108" s="5">
        <f>IF((Tabela3[Lucro Líquido]*5%)&gt;Tabela3[Teto R. Legal],Tabela3[Teto R. Legal],Tabela3[Lucro Líquido]*5%)</f>
        <v>1859150</v>
      </c>
      <c r="AB108" s="5">
        <f>IF(Tabela3[Lucro Líquido]&lt;0,0,Tabela3[Lucro Líquido]-Tabela3[Reserva Legal])</f>
        <v>35323850</v>
      </c>
      <c r="AC108" s="5">
        <f>Tabela3[[#This Row],[Lucro Distribuir]]*Tabela3[%Div]</f>
        <v>8830962.5</v>
      </c>
      <c r="AD108" s="56">
        <f>SUMPRODUCT(N(Tabela3[Nome]=Tabela3[[#This Row],[Nome]]),Tabela3[Ações])</f>
        <v>24948000</v>
      </c>
      <c r="AE108" s="5">
        <f>Tabela3[Capital Social]/Tabela3[Total Ações]</f>
        <v>6.934423601090268</v>
      </c>
      <c r="AF108" s="77">
        <f>Tabela3[[#This Row],[Lucro Líquido]]/Tabela3[[#This Row],[Total Ações]]</f>
        <v>1.490420073753407</v>
      </c>
      <c r="AG108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0.342961266474547</v>
      </c>
      <c r="AH108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08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08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0.342961266474547</v>
      </c>
      <c r="AK108" s="5">
        <f>Tabela3[Div Base]*Tabela3[Ações]</f>
        <v>2852065.892002333</v>
      </c>
      <c r="AL108" s="5">
        <f>SUMPRODUCT(N(Tabela3[Nome]=Tabela3[[#This Row],[Nome]]),Tabela3[Div Base]*Tabela3[Ações])</f>
        <v>9126610.8630029354</v>
      </c>
      <c r="AM108" s="5">
        <f>Tabela3[Patrimônio Líquido]/Tabela3[Total Ações]</f>
        <v>10.602733686067019</v>
      </c>
      <c r="AN108" s="52">
        <f>MAX(Tabela3[[#This Row],[Cotação 1]:[Cotação 5]])</f>
        <v>7.08</v>
      </c>
      <c r="AO108" s="53">
        <f>Tabela3[Cotação]/Tabela3[VPA]</f>
        <v>0.66775231837651272</v>
      </c>
      <c r="AP108" s="37">
        <f>IF(Tabela3[[#This Row],[Lucro/Ação]]&gt;0,Tabela3[[#This Row],[Cotação]]/(Tabela3[[#This Row],[Lucro/Ação]]/Tabela3[Ref]*4),0)</f>
        <v>3.5627539466960707</v>
      </c>
      <c r="AQ108" s="77">
        <f>Tabela3[Lucro Distribuir]/Tabela3[Total Ações]</f>
        <v>1.4158990700657368</v>
      </c>
      <c r="AR108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0.342961266474547</v>
      </c>
      <c r="AS108" s="16" t="str">
        <f>IF(AND(Tabela3[% A.A.]&gt;=6%,SUMPRODUCT(N(Tabela3[Nome]=Tabela3[[#This Row],[Nome]]),Tabela3[PL])&gt;0,Tabela3[Rentabilidade s/ PL]&gt;=Tabela3[Rentabilidade s/ PL Média]),"Sim","Não")</f>
        <v>Sim</v>
      </c>
      <c r="AT108" s="22">
        <f>IF(Tabela3[Cotação]&gt;0,Tabela3[[#This Row],[Lucro]]/Tabela3[[#This Row],[Cotação]],0)</f>
        <v>4.8440856846687426E-2</v>
      </c>
      <c r="AU108" s="18">
        <f>((1+Tabela3[[#This Row],[% Yield]])^(1/(3*Tabela3[[#This Row],[Ref]])))^(12)-1</f>
        <v>6.510375451816186E-2</v>
      </c>
      <c r="AV108" s="10">
        <f>IF(Tabela3[Cotação]&gt;0,($BD$1/Tabela3[[#This Row],[Cotação]]-MOD($BD$1/Tabela3[[#This Row],[Cotação]],100)),)</f>
        <v>0</v>
      </c>
      <c r="AW108" s="7">
        <f>Tabela3[[#This Row],[Ativos]]*Tabela3[Lucro]</f>
        <v>0</v>
      </c>
      <c r="AX108" s="47">
        <f>SUMPRODUCT(N(Tabela1[Código]=Tabela3[[#This Row],[PAPEL]]),Tabela1[Fechamento])</f>
        <v>0</v>
      </c>
      <c r="AY108" s="54">
        <f>SUMPRODUCT(N(Tabela17[Código]=Tabela3[[#This Row],[PAPEL]]),Tabela17[Fechamento])</f>
        <v>7.08</v>
      </c>
      <c r="AZ108" s="7">
        <f>SUMPRODUCT(N(Tabela176[Código]=Tabela3[[#This Row],[PAPEL]]),Tabela176[Fechamento])</f>
        <v>0</v>
      </c>
      <c r="BA108" s="7">
        <f>SUMPRODUCT(N(Tabela1768[Código]=Tabela3[[#This Row],[PAPEL]]),Tabela1768[Fechamento])</f>
        <v>0</v>
      </c>
      <c r="BB108" s="7">
        <f>SUMPRODUCT(N(Tabela17683[Código]=Tabela3[[#This Row],[PAPEL]]),Tabela17683[Fechamento])</f>
        <v>0</v>
      </c>
    </row>
    <row r="109" spans="1:54" hidden="1" x14ac:dyDescent="0.2">
      <c r="A109" s="4" t="s">
        <v>12</v>
      </c>
      <c r="B109" s="60" t="s">
        <v>65</v>
      </c>
      <c r="C109" s="14" t="str">
        <f>LEFT(Tabela3[PAPEL],LEN(Tabela3[PAPEL])-(LEN(Tabela3[PAPEL])-4))</f>
        <v>RDTR</v>
      </c>
      <c r="D109" s="15">
        <v>3</v>
      </c>
      <c r="E109" s="6">
        <v>250576343.34</v>
      </c>
      <c r="F109" s="8">
        <v>108480828</v>
      </c>
      <c r="G109" s="81">
        <v>0.25</v>
      </c>
      <c r="H109" s="15"/>
      <c r="I109" s="19"/>
      <c r="J109" s="19"/>
      <c r="K109" s="88"/>
      <c r="L109" s="88"/>
      <c r="M109" s="55">
        <v>465048000</v>
      </c>
      <c r="N109" s="55">
        <v>547000</v>
      </c>
      <c r="O109" s="55">
        <v>1681000</v>
      </c>
      <c r="P109" s="89">
        <v>463367000</v>
      </c>
      <c r="Q109" s="89">
        <v>59974000</v>
      </c>
      <c r="R109" s="89">
        <f>IF(Tabela3[[#This Row],[Ativo || Passivo]]&gt;0,Tabela3[[#This Row],[Ativo || Passivo]]-Tabela3[[#This Row],[Patrimônio Líquido]],0)</f>
        <v>1681000</v>
      </c>
      <c r="S109" s="89">
        <f>Tabela3[[#This Row],[Cotação]]*Tabela3[[#This Row],[Total Ações]]</f>
        <v>542404140</v>
      </c>
      <c r="T109" s="134">
        <f>IF(Tabela3[[#This Row],[Passivo Circulante]]&gt;0,Tabela3[[#This Row],[Ativo Circulante]]/Tabela3[[#This Row],[Passivo Circulante]],0)</f>
        <v>0.32540154669839383</v>
      </c>
      <c r="U109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09" s="19">
        <f>IF(Tabela3[[#This Row],[Lucro Líquido]]&gt;0,Tabela3[[#This Row],[Lucro Líquido]]/Tabela3[[#This Row],[Patrimônio Líquido]],0)</f>
        <v>0.12943088307971867</v>
      </c>
      <c r="W109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09" s="19">
        <f>IF(Tabela3[[#This Row],[Dívida]]&gt;0,Tabela3[[#This Row],[Dívida]]/Tabela3[[#This Row],[Patrimônio Líquido]],0)</f>
        <v>3.6277939516625051E-3</v>
      </c>
      <c r="Y109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09" s="6">
        <f>Tabela3[[#This Row],[Capital Social]]*20%</f>
        <v>50115268.668000005</v>
      </c>
      <c r="AA109" s="6">
        <f>IF((Tabela3[Lucro Líquido]*5%)&gt;Tabela3[Teto R. Legal],Tabela3[Teto R. Legal],Tabela3[Lucro Líquido]*5%)</f>
        <v>2998700</v>
      </c>
      <c r="AB109" s="89">
        <f>IF(Tabela3[Lucro Líquido]&lt;0,0,Tabela3[Lucro Líquido]-Tabela3[Reserva Legal])</f>
        <v>56975300</v>
      </c>
      <c r="AC109" s="89">
        <f>Tabela3[[#This Row],[Lucro Distribuir]]*Tabela3[%Div]</f>
        <v>14243825</v>
      </c>
      <c r="AD109" s="56">
        <f>SUMPRODUCT(N(Tabela3[Nome]=Tabela3[[#This Row],[Nome]]),Tabela3[Ações])</f>
        <v>108480828</v>
      </c>
      <c r="AE109" s="6">
        <f>Tabela3[Capital Social]/Tabela3[Total Ações]</f>
        <v>2.3098675402809428</v>
      </c>
      <c r="AF109" s="78">
        <f>Tabela3[[#This Row],[Lucro Líquido]]/Tabela3[[#This Row],[Total Ações]]</f>
        <v>0.55285344982801943</v>
      </c>
      <c r="AG109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0.13130269433415459</v>
      </c>
      <c r="AH109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09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09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0.13130269433415459</v>
      </c>
      <c r="AK109" s="6">
        <f>Tabela3[Div Base]*Tabela3[Ações]</f>
        <v>14243824.999999998</v>
      </c>
      <c r="AL109" s="6">
        <f>SUMPRODUCT(N(Tabela3[Nome]=Tabela3[[#This Row],[Nome]]),Tabela3[Div Base]*Tabela3[Ações])</f>
        <v>14243824.999999998</v>
      </c>
      <c r="AM109" s="6">
        <f>Tabela3[Patrimônio Líquido]/Tabela3[Total Ações]</f>
        <v>4.2714183560619574</v>
      </c>
      <c r="AN109" s="48">
        <f>MAX(Tabela3[[#This Row],[Cotação 1]:[Cotação 5]])</f>
        <v>5</v>
      </c>
      <c r="AO109" s="44">
        <f>Tabela3[Cotação]/Tabela3[VPA]</f>
        <v>1.1705713613615127</v>
      </c>
      <c r="AP109" s="40">
        <f>IF(Tabela3[[#This Row],[Lucro/Ação]]&gt;0,Tabela3[[#This Row],[Cotação]]/(Tabela3[[#This Row],[Lucro/Ação]]/Tabela3[Ref]*4),0)</f>
        <v>6.7829910461199852</v>
      </c>
      <c r="AQ109" s="78">
        <f>Tabela3[Lucro Distribuir]/Tabela3[Total Ações]</f>
        <v>0.52521077733661836</v>
      </c>
      <c r="AR109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0.13130269433415459</v>
      </c>
      <c r="AS109" s="14" t="str">
        <f>IF(AND(Tabela3[% A.A.]&gt;=6%,SUMPRODUCT(N(Tabela3[Nome]=Tabela3[[#This Row],[Nome]]),Tabela3[PL])&gt;0,Tabela3[Rentabilidade s/ PL]&gt;=Tabela3[Rentabilidade s/ PL Média]),"Sim","Não")</f>
        <v>Não</v>
      </c>
      <c r="AT109" s="42">
        <f>IF(Tabela3[Cotação]&gt;0,Tabela3[[#This Row],[Lucro]]/Tabela3[[#This Row],[Cotação]],0)</f>
        <v>2.6260538866830919E-2</v>
      </c>
      <c r="AU109" s="19">
        <f>((1+Tabela3[[#This Row],[% Yield]])^(1/(3*Tabela3[[#This Row],[Ref]])))^(12)-1</f>
        <v>3.5166415145631902E-2</v>
      </c>
      <c r="AV109" s="14">
        <f>IF(Tabela3[Cotação]&gt;0,($BD$1/Tabela3[[#This Row],[Cotação]]-MOD($BD$1/Tabela3[[#This Row],[Cotação]],100)),)</f>
        <v>0</v>
      </c>
      <c r="AW109" s="17">
        <f>Tabela3[[#This Row],[Ativos]]*Tabela3[Lucro]</f>
        <v>0</v>
      </c>
      <c r="AX109" s="5">
        <f>SUMPRODUCT(N(Tabela1[Código]=Tabela3[[#This Row],[PAPEL]]),Tabela1[Fechamento])</f>
        <v>5</v>
      </c>
      <c r="AY109" s="5">
        <f>SUMPRODUCT(N(Tabela17[Código]=Tabela3[[#This Row],[PAPEL]]),Tabela17[Fechamento])</f>
        <v>0</v>
      </c>
      <c r="AZ109" s="7">
        <f>SUMPRODUCT(N(Tabela176[Código]=Tabela3[[#This Row],[PAPEL]]),Tabela176[Fechamento])</f>
        <v>0</v>
      </c>
      <c r="BA109" s="7">
        <f>SUMPRODUCT(N(Tabela1768[Código]=Tabela3[[#This Row],[PAPEL]]),Tabela1768[Fechamento])</f>
        <v>0</v>
      </c>
      <c r="BB109" s="7">
        <f>SUMPRODUCT(N(Tabela17683[Código]=Tabela3[[#This Row],[PAPEL]]),Tabela17683[Fechamento])</f>
        <v>0</v>
      </c>
    </row>
    <row r="110" spans="1:54" hidden="1" x14ac:dyDescent="0.2">
      <c r="A110" s="3" t="s">
        <v>1467</v>
      </c>
      <c r="B110" s="57" t="s">
        <v>1452</v>
      </c>
      <c r="C110" s="16" t="str">
        <f>LEFT(Tabela3[PAPEL],LEN(Tabela3[PAPEL])-(LEN(Tabela3[PAPEL])-4))</f>
        <v>MILS</v>
      </c>
      <c r="D110" s="16">
        <v>3</v>
      </c>
      <c r="E110" s="5">
        <v>527989915.31</v>
      </c>
      <c r="F110" s="56">
        <v>127490508</v>
      </c>
      <c r="G110" s="81">
        <v>0.25</v>
      </c>
      <c r="H110" s="18"/>
      <c r="J110" s="18"/>
      <c r="K110" s="16"/>
      <c r="L110" s="87"/>
      <c r="M110" s="54"/>
      <c r="N110" s="54"/>
      <c r="O110" s="54"/>
      <c r="P110" s="91">
        <v>984909000</v>
      </c>
      <c r="Q110" s="73">
        <v>126979000</v>
      </c>
      <c r="R110" s="73">
        <f>IF(Tabela3[[#This Row],[Ativo || Passivo]]&gt;0,Tabela3[[#This Row],[Ativo || Passivo]]-Tabela3[[#This Row],[Patrimônio Líquido]],0)</f>
        <v>0</v>
      </c>
      <c r="S110" s="73">
        <f>Tabela3[[#This Row],[Cotação]]*Tabela3[[#This Row],[Total Ações]]</f>
        <v>3261207194.6399999</v>
      </c>
      <c r="T110" s="37">
        <f>IF(Tabela3[[#This Row],[Passivo Circulante]]&gt;0,Tabela3[[#This Row],[Ativo Circulante]]/Tabela3[[#This Row],[Passivo Circulante]],0)</f>
        <v>0</v>
      </c>
      <c r="U110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10" s="18">
        <f>IF(Tabela3[[#This Row],[Lucro Líquido]]&gt;0,Tabela3[[#This Row],[Lucro Líquido]]/Tabela3[[#This Row],[Patrimônio Líquido]],0)</f>
        <v>0.1289246011560459</v>
      </c>
      <c r="W110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10" s="18">
        <f>IF(Tabela3[[#This Row],[Dívida]]&gt;0,Tabela3[[#This Row],[Dívida]]/Tabela3[[#This Row],[Patrimônio Líquido]],0)</f>
        <v>0</v>
      </c>
      <c r="Y110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10" s="7">
        <f>Tabela3[[#This Row],[Capital Social]]*20%</f>
        <v>105597983.06200001</v>
      </c>
      <c r="AA110" s="47">
        <f>IF((Tabela3[Lucro Líquido]*5%)&gt;Tabela3[Teto R. Legal],Tabela3[Teto R. Legal],Tabela3[Lucro Líquido]*5%)</f>
        <v>6348950</v>
      </c>
      <c r="AB110" s="47">
        <f>IF(Tabela3[Lucro Líquido]&lt;0,0,Tabela3[Lucro Líquido]-Tabela3[Reserva Legal])</f>
        <v>120630050</v>
      </c>
      <c r="AC110" s="47">
        <f>Tabela3[[#This Row],[Lucro Distribuir]]*Tabela3[%Div]</f>
        <v>30157512.5</v>
      </c>
      <c r="AD110" s="56">
        <f>SUMPRODUCT(N(Tabela3[Nome]=Tabela3[[#This Row],[Nome]]),Tabela3[Ações])</f>
        <v>127490508</v>
      </c>
      <c r="AE110" s="85">
        <f>Tabela3[Capital Social]/Tabela3[Total Ações]</f>
        <v>4.1414056904534418</v>
      </c>
      <c r="AF110" s="85">
        <f>Tabela3[[#This Row],[Lucro Líquido]]/Tabela3[[#This Row],[Total Ações]]</f>
        <v>0.99598787385802867</v>
      </c>
      <c r="AG110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0.23654712004128181</v>
      </c>
      <c r="AH110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10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10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0.23654712004128181</v>
      </c>
      <c r="AK110" s="7">
        <f>Tabela3[Div Base]*Tabela3[Ações]</f>
        <v>30157512.5</v>
      </c>
      <c r="AL110" s="121">
        <f>SUMPRODUCT(N(Tabela3[Nome]=Tabela3[[#This Row],[Nome]]),Tabela3[Div Base]*Tabela3[Ações])</f>
        <v>30157512.5</v>
      </c>
      <c r="AM110" s="5">
        <f>Tabela3[Patrimônio Líquido]/Tabela3[Total Ações]</f>
        <v>7.725351600293255</v>
      </c>
      <c r="AN110" s="52">
        <f>MAX(Tabela3[[#This Row],[Cotação 1]:[Cotação 5]])</f>
        <v>25.58</v>
      </c>
      <c r="AO110" s="53">
        <f>Tabela3[Cotação]/Tabela3[VPA]</f>
        <v>3.3111761539797073</v>
      </c>
      <c r="AP110" s="37">
        <f>IF(Tabela3[[#This Row],[Lucro/Ação]]&gt;0,Tabela3[[#This Row],[Cotação]]/(Tabela3[[#This Row],[Lucro/Ação]]/Tabela3[Ref]*4),0)</f>
        <v>19.262282708006836</v>
      </c>
      <c r="AQ110" s="85">
        <f>Tabela3[Lucro Distribuir]/Tabela3[Total Ações]</f>
        <v>0.94618848016512724</v>
      </c>
      <c r="AR110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0.23654712004128181</v>
      </c>
      <c r="AS110" s="10" t="str">
        <f>IF(AND(Tabela3[% A.A.]&gt;=6%,SUMPRODUCT(N(Tabela3[Nome]=Tabela3[[#This Row],[Nome]]),Tabela3[PL])&gt;0,Tabela3[Rentabilidade s/ PL]&gt;=Tabela3[Rentabilidade s/ PL Média]),"Sim","Não")</f>
        <v>Não</v>
      </c>
      <c r="AT110" s="22">
        <f>IF(Tabela3[Cotação]&gt;0,Tabela3[[#This Row],[Lucro]]/Tabela3[[#This Row],[Cotação]],0)</f>
        <v>9.2473463659609786E-3</v>
      </c>
      <c r="AU110" s="22">
        <f>((1+Tabela3[[#This Row],[% Yield]])^(1/(3*Tabela3[[#This Row],[Ref]])))^(12)-1</f>
        <v>1.2348759234934725E-2</v>
      </c>
      <c r="AV110" s="10">
        <f>IF(Tabela3[Cotação]&gt;0,($BD$1/Tabela3[[#This Row],[Cotação]]-MOD($BD$1/Tabela3[[#This Row],[Cotação]],100)),)</f>
        <v>0</v>
      </c>
      <c r="AW110" s="7">
        <f>Tabela3[[#This Row],[Ativos]]*Tabela3[Lucro]</f>
        <v>0</v>
      </c>
      <c r="AX110" s="7">
        <f>SUMPRODUCT(N(Tabela1[Código]=Tabela3[[#This Row],[PAPEL]]),Tabela1[Fechamento])</f>
        <v>0</v>
      </c>
      <c r="AY110" s="7">
        <f>SUMPRODUCT(N(Tabela17[Código]=Tabela3[[#This Row],[PAPEL]]),Tabela17[Fechamento])</f>
        <v>0</v>
      </c>
      <c r="AZ110" s="7">
        <f>SUMPRODUCT(N(Tabela176[Código]=Tabela3[[#This Row],[PAPEL]]),Tabela176[Fechamento])</f>
        <v>0</v>
      </c>
      <c r="BA110" s="7">
        <f>SUMPRODUCT(N(Tabela1768[Código]=Tabela3[[#This Row],[PAPEL]]),Tabela1768[Fechamento])</f>
        <v>0</v>
      </c>
      <c r="BB110" s="7">
        <f>SUMPRODUCT(N(Tabela17683[Código]=Tabela3[[#This Row],[PAPEL]]),Tabela17683[Fechamento])</f>
        <v>25.58</v>
      </c>
    </row>
    <row r="111" spans="1:54" hidden="1" x14ac:dyDescent="0.2">
      <c r="A111" s="4" t="s">
        <v>14</v>
      </c>
      <c r="B111" s="57" t="s">
        <v>437</v>
      </c>
      <c r="C111" s="14" t="str">
        <f>LEFT(Tabela3[PAPEL],LEN(Tabela3[PAPEL])-(LEN(Tabela3[PAPEL])-4))</f>
        <v>PINE</v>
      </c>
      <c r="D111" s="15">
        <v>4</v>
      </c>
      <c r="E111" s="6">
        <v>1112258700.96</v>
      </c>
      <c r="F111" s="8">
        <v>65178483</v>
      </c>
      <c r="G111" s="86">
        <v>0.25</v>
      </c>
      <c r="H111" s="15"/>
      <c r="I111" s="19"/>
      <c r="J111" s="19"/>
      <c r="K111" s="88"/>
      <c r="L111" s="88"/>
      <c r="M111" s="55"/>
      <c r="N111" s="55"/>
      <c r="O111" s="55"/>
      <c r="P111" s="6">
        <v>1272408000</v>
      </c>
      <c r="Q111" s="6">
        <v>161596000</v>
      </c>
      <c r="R111" s="6">
        <f>IF(Tabela3[[#This Row],[Ativo || Passivo]]&gt;0,Tabela3[[#This Row],[Ativo || Passivo]]-Tabela3[[#This Row],[Patrimônio Líquido]],0)</f>
        <v>0</v>
      </c>
      <c r="S111" s="6">
        <f>Tabela3[[#This Row],[Cotação]]*Tabela3[[#This Row],[Total Ações]]</f>
        <v>0</v>
      </c>
      <c r="T111" s="134">
        <f>IF(Tabela3[[#This Row],[Passivo Circulante]]&gt;0,Tabela3[[#This Row],[Ativo Circulante]]/Tabela3[[#This Row],[Passivo Circulante]],0)</f>
        <v>0</v>
      </c>
      <c r="U111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11" s="19">
        <f>IF(Tabela3[[#This Row],[Lucro Líquido]]&gt;0,Tabela3[[#This Row],[Lucro Líquido]]/Tabela3[[#This Row],[Patrimônio Líquido]],0)</f>
        <v>0.12700014460770445</v>
      </c>
      <c r="W111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11" s="19">
        <f>IF(Tabela3[[#This Row],[Dívida]]&gt;0,Tabela3[[#This Row],[Dívida]]/Tabela3[[#This Row],[Patrimônio Líquido]],0)</f>
        <v>0</v>
      </c>
      <c r="Y111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11" s="6">
        <f>Tabela3[[#This Row],[Capital Social]]*20%</f>
        <v>222451740.19200003</v>
      </c>
      <c r="AA111" s="6">
        <f>IF((Tabela3[Lucro Líquido]*5%)&gt;Tabela3[Teto R. Legal],Tabela3[Teto R. Legal],Tabela3[Lucro Líquido]*5%)</f>
        <v>8079800</v>
      </c>
      <c r="AB111" s="6">
        <f>IF(Tabela3[Lucro Líquido]&lt;0,0,Tabela3[Lucro Líquido]-Tabela3[Reserva Legal])</f>
        <v>153516200</v>
      </c>
      <c r="AC111" s="6">
        <f>Tabela3[[#This Row],[Lucro Distribuir]]*Tabela3[%Div]</f>
        <v>38379050</v>
      </c>
      <c r="AD111" s="21">
        <f>SUMPRODUCT(N(Tabela3[Nome]=Tabela3[[#This Row],[Nome]]),Tabela3[Ações])</f>
        <v>123612756</v>
      </c>
      <c r="AE111" s="6">
        <f>Tabela3[Capital Social]/Tabela3[Total Ações]</f>
        <v>8.9979281827516253</v>
      </c>
      <c r="AF111" s="78">
        <f>Tabela3[[#This Row],[Lucro Líquido]]/Tabela3[[#This Row],[Total Ações]]</f>
        <v>1.3072760872672395</v>
      </c>
      <c r="AG111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0.31047807072596939</v>
      </c>
      <c r="AH111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11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11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0.31047807072596939</v>
      </c>
      <c r="AK111" s="6">
        <f>Tabela3[Div Base]*Tabela3[Ações]</f>
        <v>20236489.654685393</v>
      </c>
      <c r="AL111" s="6">
        <f>SUMPRODUCT(N(Tabela3[Nome]=Tabela3[[#This Row],[Nome]]),Tabela3[Div Base]*Tabela3[Ações])</f>
        <v>38379050</v>
      </c>
      <c r="AM111" s="6">
        <f>Tabela3[Patrimônio Líquido]/Tabela3[Total Ações]</f>
        <v>10.293500777541114</v>
      </c>
      <c r="AN111" s="48">
        <f>MAX(Tabela3[[#This Row],[Cotação 1]:[Cotação 5]])</f>
        <v>0</v>
      </c>
      <c r="AO111" s="44">
        <f>Tabela3[Cotação]/Tabela3[VPA]</f>
        <v>0</v>
      </c>
      <c r="AP111" s="40">
        <f>IF(Tabela3[[#This Row],[Lucro/Ação]]&gt;0,Tabela3[[#This Row],[Cotação]]/(Tabela3[[#This Row],[Lucro/Ação]]/Tabela3[Ref]*4),0)</f>
        <v>0</v>
      </c>
      <c r="AQ111" s="78">
        <f>Tabela3[Lucro Distribuir]/Tabela3[Total Ações]</f>
        <v>1.2419122829038776</v>
      </c>
      <c r="AR111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0.31047807072596939</v>
      </c>
      <c r="AS111" s="15" t="str">
        <f>IF(AND(Tabela3[% A.A.]&gt;=6%,SUMPRODUCT(N(Tabela3[Nome]=Tabela3[[#This Row],[Nome]]),Tabela3[PL])&gt;0,Tabela3[Rentabilidade s/ PL]&gt;=Tabela3[Rentabilidade s/ PL Média]),"Sim","Não")</f>
        <v>Não</v>
      </c>
      <c r="AT111" s="42">
        <f>IF(Tabela3[Cotação]&gt;0,Tabela3[[#This Row],[Lucro]]/Tabela3[[#This Row],[Cotação]],0)</f>
        <v>0</v>
      </c>
      <c r="AU111" s="19">
        <f>((1+Tabela3[[#This Row],[% Yield]])^(1/(3*Tabela3[[#This Row],[Ref]])))^(12)-1</f>
        <v>0</v>
      </c>
      <c r="AV111" s="14">
        <f>IF(Tabela3[Cotação]&gt;0,($BD$1/Tabela3[[#This Row],[Cotação]]-MOD($BD$1/Tabela3[[#This Row],[Cotação]],100)),)</f>
        <v>0</v>
      </c>
      <c r="AW111" s="17">
        <f>Tabela3[[#This Row],[Ativos]]*Tabela3[Lucro]</f>
        <v>0</v>
      </c>
      <c r="AX111" s="13">
        <f>SUMPRODUCT(N(Tabela1[Código]=Tabela3[[#This Row],[PAPEL]]),Tabela1[Fechamento])</f>
        <v>0</v>
      </c>
      <c r="AY111" s="13">
        <f>SUMPRODUCT(N(Tabela17[Código]=Tabela3[[#This Row],[PAPEL]]),Tabela17[Fechamento])</f>
        <v>0</v>
      </c>
      <c r="AZ111" s="7">
        <f>SUMPRODUCT(N(Tabela176[Código]=Tabela3[[#This Row],[PAPEL]]),Tabela176[Fechamento])</f>
        <v>0</v>
      </c>
      <c r="BA111" s="7">
        <f>SUMPRODUCT(N(Tabela1768[Código]=Tabela3[[#This Row],[PAPEL]]),Tabela1768[Fechamento])</f>
        <v>0</v>
      </c>
      <c r="BB111" s="7">
        <f>SUMPRODUCT(N(Tabela17683[Código]=Tabela3[[#This Row],[PAPEL]]),Tabela17683[Fechamento])</f>
        <v>0</v>
      </c>
    </row>
    <row r="112" spans="1:54" hidden="1" x14ac:dyDescent="0.2">
      <c r="A112" s="4" t="s">
        <v>14</v>
      </c>
      <c r="B112" s="57" t="s">
        <v>74</v>
      </c>
      <c r="C112" s="14" t="str">
        <f>LEFT(Tabela3[PAPEL],LEN(Tabela3[PAPEL])-(LEN(Tabela3[PAPEL])-4))</f>
        <v>PINE</v>
      </c>
      <c r="D112" s="15">
        <v>4</v>
      </c>
      <c r="E112" s="6">
        <v>1112258700.96</v>
      </c>
      <c r="F112" s="8">
        <v>58434273</v>
      </c>
      <c r="G112" s="81">
        <v>0.25</v>
      </c>
      <c r="H112" s="19"/>
      <c r="I112" s="19"/>
      <c r="J112" s="19"/>
      <c r="K112" s="88"/>
      <c r="L112" s="88"/>
      <c r="M112" s="55"/>
      <c r="N112" s="55"/>
      <c r="O112" s="55"/>
      <c r="P112" s="6">
        <v>1272408000</v>
      </c>
      <c r="Q112" s="6">
        <v>161596000</v>
      </c>
      <c r="R112" s="6">
        <f>IF(Tabela3[[#This Row],[Ativo || Passivo]]&gt;0,Tabela3[[#This Row],[Ativo || Passivo]]-Tabela3[[#This Row],[Patrimônio Líquido]],0)</f>
        <v>0</v>
      </c>
      <c r="S112" s="6">
        <f>Tabela3[[#This Row],[Cotação]]*Tabela3[[#This Row],[Total Ações]]</f>
        <v>909789884.16000009</v>
      </c>
      <c r="T112" s="134">
        <f>IF(Tabela3[[#This Row],[Passivo Circulante]]&gt;0,Tabela3[[#This Row],[Ativo Circulante]]/Tabela3[[#This Row],[Passivo Circulante]],0)</f>
        <v>0</v>
      </c>
      <c r="U112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12" s="19">
        <f>IF(Tabela3[[#This Row],[Lucro Líquido]]&gt;0,Tabela3[[#This Row],[Lucro Líquido]]/Tabela3[[#This Row],[Patrimônio Líquido]],0)</f>
        <v>0.12700014460770445</v>
      </c>
      <c r="W112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12" s="19">
        <f>IF(Tabela3[[#This Row],[Dívida]]&gt;0,Tabela3[[#This Row],[Dívida]]/Tabela3[[#This Row],[Patrimônio Líquido]],0)</f>
        <v>0</v>
      </c>
      <c r="Y112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12" s="6">
        <f>Tabela3[[#This Row],[Capital Social]]*20%</f>
        <v>222451740.19200003</v>
      </c>
      <c r="AA112" s="6">
        <f>IF((Tabela3[Lucro Líquido]*5%)&gt;Tabela3[Teto R. Legal],Tabela3[Teto R. Legal],Tabela3[Lucro Líquido]*5%)</f>
        <v>8079800</v>
      </c>
      <c r="AB112" s="6">
        <f>IF(Tabela3[Lucro Líquido]&lt;0,0,Tabela3[Lucro Líquido]-Tabela3[Reserva Legal])</f>
        <v>153516200</v>
      </c>
      <c r="AC112" s="6">
        <f>Tabela3[[#This Row],[Lucro Distribuir]]*Tabela3[%Div]</f>
        <v>38379050</v>
      </c>
      <c r="AD112" s="21">
        <f>SUMPRODUCT(N(Tabela3[Nome]=Tabela3[[#This Row],[Nome]]),Tabela3[Ações])</f>
        <v>123612756</v>
      </c>
      <c r="AE112" s="6">
        <f>Tabela3[Capital Social]/Tabela3[Total Ações]</f>
        <v>8.9979281827516253</v>
      </c>
      <c r="AF112" s="78">
        <f>Tabela3[[#This Row],[Lucro Líquido]]/Tabela3[[#This Row],[Total Ações]]</f>
        <v>1.3072760872672395</v>
      </c>
      <c r="AG112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0.31047807072596939</v>
      </c>
      <c r="AH112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12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12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0.31047807072596939</v>
      </c>
      <c r="AK112" s="6">
        <f>Tabela3[Div Base]*Tabela3[Ações]</f>
        <v>18142560.345314603</v>
      </c>
      <c r="AL112" s="6">
        <f>SUMPRODUCT(N(Tabela3[Nome]=Tabela3[[#This Row],[Nome]]),Tabela3[Div Base]*Tabela3[Ações])</f>
        <v>38379050</v>
      </c>
      <c r="AM112" s="6">
        <f>Tabela3[Patrimônio Líquido]/Tabela3[Total Ações]</f>
        <v>10.293500777541114</v>
      </c>
      <c r="AN112" s="48">
        <f>MAX(Tabela3[[#This Row],[Cotação 1]:[Cotação 5]])</f>
        <v>7.36</v>
      </c>
      <c r="AO112" s="44">
        <f>Tabela3[Cotação]/Tabela3[VPA]</f>
        <v>0.71501427542109142</v>
      </c>
      <c r="AP112" s="40">
        <f>IF(Tabela3[[#This Row],[Lucro/Ação]]&gt;0,Tabela3[[#This Row],[Cotação]]/(Tabela3[[#This Row],[Lucro/Ação]]/Tabela3[Ref]*4),0)</f>
        <v>5.6300272541399545</v>
      </c>
      <c r="AQ112" s="78">
        <f>Tabela3[Lucro Distribuir]/Tabela3[Total Ações]</f>
        <v>1.2419122829038776</v>
      </c>
      <c r="AR112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0.31047807072596939</v>
      </c>
      <c r="AS112" s="15" t="str">
        <f>IF(AND(Tabela3[% A.A.]&gt;=6%,SUMPRODUCT(N(Tabela3[Nome]=Tabela3[[#This Row],[Nome]]),Tabela3[PL])&gt;0,Tabela3[Rentabilidade s/ PL]&gt;=Tabela3[Rentabilidade s/ PL Média]),"Sim","Não")</f>
        <v>Não</v>
      </c>
      <c r="AT112" s="42">
        <f>IF(Tabela3[Cotação]&gt;0,Tabela3[[#This Row],[Lucro]]/Tabela3[[#This Row],[Cotação]],0)</f>
        <v>4.2184520479071924E-2</v>
      </c>
      <c r="AU112" s="19">
        <f>((1+Tabela3[[#This Row],[% Yield]])^(1/(3*Tabela3[[#This Row],[Ref]])))^(12)-1</f>
        <v>4.2184520479073395E-2</v>
      </c>
      <c r="AV112" s="14">
        <f>IF(Tabela3[Cotação]&gt;0,($BD$1/Tabela3[[#This Row],[Cotação]]-MOD($BD$1/Tabela3[[#This Row],[Cotação]],100)),)</f>
        <v>0</v>
      </c>
      <c r="AW112" s="17">
        <f>Tabela3[[#This Row],[Ativos]]*Tabela3[Lucro]</f>
        <v>0</v>
      </c>
      <c r="AX112" s="5">
        <f>SUMPRODUCT(N(Tabela1[Código]=Tabela3[[#This Row],[PAPEL]]),Tabela1[Fechamento])</f>
        <v>7.36</v>
      </c>
      <c r="AY112" s="5">
        <f>SUMPRODUCT(N(Tabela17[Código]=Tabela3[[#This Row],[PAPEL]]),Tabela17[Fechamento])</f>
        <v>0</v>
      </c>
      <c r="AZ112" s="7">
        <f>SUMPRODUCT(N(Tabela176[Código]=Tabela3[[#This Row],[PAPEL]]),Tabela176[Fechamento])</f>
        <v>0</v>
      </c>
      <c r="BA112" s="7">
        <f>SUMPRODUCT(N(Tabela1768[Código]=Tabela3[[#This Row],[PAPEL]]),Tabela1768[Fechamento])</f>
        <v>0</v>
      </c>
      <c r="BB112" s="7">
        <f>SUMPRODUCT(N(Tabela17683[Código]=Tabela3[[#This Row],[PAPEL]]),Tabela17683[Fechamento])</f>
        <v>0</v>
      </c>
    </row>
    <row r="113" spans="1:54" hidden="1" x14ac:dyDescent="0.2">
      <c r="A113" s="3" t="s">
        <v>851</v>
      </c>
      <c r="B113" s="58" t="s">
        <v>852</v>
      </c>
      <c r="C113" s="16" t="str">
        <f>LEFT(Tabela3[PAPEL],LEN(Tabela3[PAPEL])-(LEN(Tabela3[PAPEL])-4))</f>
        <v>ABEV</v>
      </c>
      <c r="D113" s="16">
        <v>3</v>
      </c>
      <c r="E113" s="5">
        <v>56983340778.779999</v>
      </c>
      <c r="F113" s="56">
        <v>15664342206</v>
      </c>
      <c r="G113" s="81">
        <v>0.4</v>
      </c>
      <c r="H113" s="87"/>
      <c r="J113" s="18"/>
      <c r="K113" s="16"/>
      <c r="L113" s="87"/>
      <c r="M113" s="54"/>
      <c r="N113" s="54"/>
      <c r="O113" s="54"/>
      <c r="P113" s="91">
        <v>38633977000</v>
      </c>
      <c r="Q113" s="73">
        <v>4869507000</v>
      </c>
      <c r="R113" s="73">
        <f>IF(Tabela3[[#This Row],[Ativo || Passivo]]&gt;0,Tabela3[[#This Row],[Ativo || Passivo]]-Tabela3[[#This Row],[Patrimônio Líquido]],0)</f>
        <v>0</v>
      </c>
      <c r="S113" s="73">
        <f>Tabela3[[#This Row],[Cotação]]*Tabela3[[#This Row],[Total Ações]]</f>
        <v>254075630581.31998</v>
      </c>
      <c r="T113" s="37">
        <f>IF(Tabela3[[#This Row],[Passivo Circulante]]&gt;0,Tabela3[[#This Row],[Ativo Circulante]]/Tabela3[[#This Row],[Passivo Circulante]],0)</f>
        <v>0</v>
      </c>
      <c r="U113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13" s="18">
        <f>IF(Tabela3[[#This Row],[Lucro Líquido]]&gt;0,Tabela3[[#This Row],[Lucro Líquido]]/Tabela3[[#This Row],[Patrimônio Líquido]],0)</f>
        <v>0.12604208466552641</v>
      </c>
      <c r="W113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13" s="18">
        <f>IF(Tabela3[[#This Row],[Dívida]]&gt;0,Tabela3[[#This Row],[Dívida]]/Tabela3[[#This Row],[Patrimônio Líquido]],0)</f>
        <v>0</v>
      </c>
      <c r="Y113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13" s="7">
        <f>Tabela3[[#This Row],[Capital Social]]*20%</f>
        <v>11396668155.756001</v>
      </c>
      <c r="AA113" s="47">
        <f>IF((Tabela3[Lucro Líquido]*5%)&gt;Tabela3[Teto R. Legal],Tabela3[Teto R. Legal],Tabela3[Lucro Líquido]*5%)</f>
        <v>243475350</v>
      </c>
      <c r="AB113" s="47">
        <f>IF(Tabela3[Lucro Líquido]&lt;0,0,Tabela3[Lucro Líquido]-Tabela3[Reserva Legal])</f>
        <v>4626031650</v>
      </c>
      <c r="AC113" s="47">
        <f>Tabela3[[#This Row],[Lucro Distribuir]]*Tabela3[%Div]</f>
        <v>1850412660</v>
      </c>
      <c r="AD113" s="56">
        <f>SUMPRODUCT(N(Tabela3[Nome]=Tabela3[[#This Row],[Nome]]),Tabela3[Ações])</f>
        <v>15664342206</v>
      </c>
      <c r="AE113" s="85">
        <f>Tabela3[Capital Social]/Tabela3[Total Ações]</f>
        <v>3.6377742537412998</v>
      </c>
      <c r="AF113" s="85">
        <f>Tabela3[[#This Row],[Lucro Líquido]]/Tabela3[[#This Row],[Total Ações]]</f>
        <v>0.31086571883847158</v>
      </c>
      <c r="AG113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0.11812897315861921</v>
      </c>
      <c r="AH113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13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13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0.11812897315861921</v>
      </c>
      <c r="AK113" s="7">
        <f>Tabela3[Div Base]*Tabela3[Ações]</f>
        <v>1850412660</v>
      </c>
      <c r="AL113" s="7">
        <f>SUMPRODUCT(N(Tabela3[Nome]=Tabela3[[#This Row],[Nome]]),Tabela3[Div Base]*Tabela3[Ações])</f>
        <v>1850412660</v>
      </c>
      <c r="AM113" s="5">
        <f>Tabela3[Patrimônio Líquido]/Tabela3[Total Ações]</f>
        <v>2.4663644659909059</v>
      </c>
      <c r="AN113" s="52">
        <f>MAX(Tabela3[[#This Row],[Cotação 1]:[Cotação 5]])</f>
        <v>16.22</v>
      </c>
      <c r="AO113" s="53">
        <f>Tabela3[Cotação]/Tabela3[VPA]</f>
        <v>6.5764813853184201</v>
      </c>
      <c r="AP113" s="37">
        <f>IF(Tabela3[[#This Row],[Lucro/Ação]]&gt;0,Tabela3[[#This Row],[Cotação]]/(Tabela3[[#This Row],[Lucro/Ação]]/Tabela3[Ref]*4),0)</f>
        <v>39.132652019185926</v>
      </c>
      <c r="AQ113" s="85">
        <f>Tabela3[Lucro Distribuir]/Tabela3[Total Ações]</f>
        <v>0.29532243289654803</v>
      </c>
      <c r="AR113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0.11812897315861921</v>
      </c>
      <c r="AS113" s="10" t="str">
        <f>IF(AND(Tabela3[% A.A.]&gt;=6%,SUMPRODUCT(N(Tabela3[Nome]=Tabela3[[#This Row],[Nome]]),Tabela3[PL])&gt;0,Tabela3[Rentabilidade s/ PL]&gt;=Tabela3[Rentabilidade s/ PL Média]),"Sim","Não")</f>
        <v>Não</v>
      </c>
      <c r="AT113" s="22">
        <f>IF(Tabela3[Cotação]&gt;0,Tabela3[[#This Row],[Lucro]]/Tabela3[[#This Row],[Cotação]],0)</f>
        <v>7.2829206632934167E-3</v>
      </c>
      <c r="AU113" s="22">
        <f>((1+Tabela3[[#This Row],[% Yield]])^(1/(3*Tabela3[[#This Row],[Ref]])))^(12)-1</f>
        <v>9.7223287399474945E-3</v>
      </c>
      <c r="AV113" s="10">
        <f>IF(Tabela3[Cotação]&gt;0,($BH$1/Tabela3[[#This Row],[Cotação]]-MOD($BH$1/Tabela3[[#This Row],[Cotação]],100)),)</f>
        <v>0</v>
      </c>
      <c r="AW113" s="7">
        <f>Tabela3[[#This Row],[Ativos]]*Tabela3[Lucro]</f>
        <v>0</v>
      </c>
      <c r="AX113" s="7">
        <f>SUMPRODUCT(N(Tabela1[Código]=Tabela3[[#This Row],[PAPEL]]),Tabela1[Fechamento])</f>
        <v>0</v>
      </c>
      <c r="AY113" s="7">
        <f>SUMPRODUCT(N(Tabela17[Código]=Tabela3[[#This Row],[PAPEL]]),Tabela17[Fechamento])</f>
        <v>0</v>
      </c>
      <c r="AZ113" s="7">
        <f>SUMPRODUCT(N(Tabela176[Código]=Tabela3[[#This Row],[PAPEL]]),Tabela176[Fechamento])</f>
        <v>16.22</v>
      </c>
      <c r="BA113" s="7">
        <f>SUMPRODUCT(N(Tabela1768[Código]=Tabela3[[#This Row],[PAPEL]]),Tabela1768[Fechamento])</f>
        <v>0</v>
      </c>
      <c r="BB113" s="7">
        <f>SUMPRODUCT(N(Tabela17683[Código]=Tabela3[[#This Row],[PAPEL]]),Tabela17683[Fechamento])</f>
        <v>0</v>
      </c>
    </row>
    <row r="114" spans="1:54" hidden="1" x14ac:dyDescent="0.2">
      <c r="A114" s="3" t="s">
        <v>1467</v>
      </c>
      <c r="B114" s="57" t="s">
        <v>1453</v>
      </c>
      <c r="C114" s="16" t="str">
        <f>LEFT(Tabela3[PAPEL],LEN(Tabela3[PAPEL])-(LEN(Tabela3[PAPEL])-4))</f>
        <v>VLID</v>
      </c>
      <c r="D114" s="16">
        <v>3</v>
      </c>
      <c r="E114" s="5">
        <v>360000000</v>
      </c>
      <c r="F114" s="56">
        <v>55750000</v>
      </c>
      <c r="G114" s="81">
        <v>0.25</v>
      </c>
      <c r="H114" s="18"/>
      <c r="J114" s="18"/>
      <c r="K114" s="16"/>
      <c r="L114" s="87"/>
      <c r="M114" s="54"/>
      <c r="N114" s="54"/>
      <c r="O114" s="54"/>
      <c r="P114" s="91">
        <v>542670000</v>
      </c>
      <c r="Q114" s="73">
        <v>67675000</v>
      </c>
      <c r="R114" s="73">
        <f>IF(Tabela3[[#This Row],[Ativo || Passivo]]&gt;0,Tabela3[[#This Row],[Ativo || Passivo]]-Tabela3[[#This Row],[Patrimônio Líquido]],0)</f>
        <v>0</v>
      </c>
      <c r="S114" s="73">
        <f>Tabela3[[#This Row],[Cotação]]*Tabela3[[#This Row],[Total Ações]]</f>
        <v>1547620000</v>
      </c>
      <c r="T114" s="37">
        <f>IF(Tabela3[[#This Row],[Passivo Circulante]]&gt;0,Tabela3[[#This Row],[Ativo Circulante]]/Tabela3[[#This Row],[Passivo Circulante]],0)</f>
        <v>0</v>
      </c>
      <c r="U114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14" s="18">
        <f>IF(Tabela3[[#This Row],[Lucro Líquido]]&gt;0,Tabela3[[#This Row],[Lucro Líquido]]/Tabela3[[#This Row],[Patrimônio Líquido]],0)</f>
        <v>0.12470746494186154</v>
      </c>
      <c r="W114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14" s="18">
        <f>IF(Tabela3[[#This Row],[Dívida]]&gt;0,Tabela3[[#This Row],[Dívida]]/Tabela3[[#This Row],[Patrimônio Líquido]],0)</f>
        <v>0</v>
      </c>
      <c r="Y114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14" s="7">
        <f>Tabela3[[#This Row],[Capital Social]]*20%</f>
        <v>72000000</v>
      </c>
      <c r="AA114" s="47">
        <f>IF((Tabela3[Lucro Líquido]*5%)&gt;Tabela3[Teto R. Legal],Tabela3[Teto R. Legal],Tabela3[Lucro Líquido]*5%)</f>
        <v>3383750</v>
      </c>
      <c r="AB114" s="47">
        <f>IF(Tabela3[Lucro Líquido]&lt;0,0,Tabela3[Lucro Líquido]-Tabela3[Reserva Legal])</f>
        <v>64291250</v>
      </c>
      <c r="AC114" s="47">
        <f>Tabela3[[#This Row],[Lucro Distribuir]]*Tabela3[%Div]</f>
        <v>16072812.5</v>
      </c>
      <c r="AD114" s="56">
        <f>SUMPRODUCT(N(Tabela3[Nome]=Tabela3[[#This Row],[Nome]]),Tabela3[Ações])</f>
        <v>55750000</v>
      </c>
      <c r="AE114" s="85">
        <f>Tabela3[Capital Social]/Tabela3[Total Ações]</f>
        <v>6.4573991031390134</v>
      </c>
      <c r="AF114" s="85">
        <f>Tabela3[[#This Row],[Lucro Líquido]]/Tabela3[[#This Row],[Total Ações]]</f>
        <v>1.2139013452914797</v>
      </c>
      <c r="AG114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0.28830156950672647</v>
      </c>
      <c r="AH114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14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14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0.28830156950672647</v>
      </c>
      <c r="AK114" s="7">
        <f>Tabela3[Div Base]*Tabela3[Ações]</f>
        <v>16072812.5</v>
      </c>
      <c r="AL114" s="121">
        <f>SUMPRODUCT(N(Tabela3[Nome]=Tabela3[[#This Row],[Nome]]),Tabela3[Div Base]*Tabela3[Ações])</f>
        <v>16072812.5</v>
      </c>
      <c r="AM114" s="5">
        <f>Tabela3[Patrimônio Líquido]/Tabela3[Total Ações]</f>
        <v>9.7339910313901346</v>
      </c>
      <c r="AN114" s="52">
        <f>MAX(Tabela3[[#This Row],[Cotação 1]:[Cotação 5]])</f>
        <v>27.76</v>
      </c>
      <c r="AO114" s="53">
        <f>Tabela3[Cotação]/Tabela3[VPA]</f>
        <v>2.8518620892992059</v>
      </c>
      <c r="AP114" s="37">
        <f>IF(Tabela3[[#This Row],[Lucro/Ação]]&gt;0,Tabela3[[#This Row],[Cotação]]/(Tabela3[[#This Row],[Lucro/Ação]]/Tabela3[Ref]*4),0)</f>
        <v>17.15131141485039</v>
      </c>
      <c r="AQ114" s="85">
        <f>Tabela3[Lucro Distribuir]/Tabela3[Total Ações]</f>
        <v>1.1532062780269059</v>
      </c>
      <c r="AR114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0.28830156950672647</v>
      </c>
      <c r="AS114" s="10" t="str">
        <f>IF(AND(Tabela3[% A.A.]&gt;=6%,SUMPRODUCT(N(Tabela3[Nome]=Tabela3[[#This Row],[Nome]]),Tabela3[PL])&gt;0,Tabela3[Rentabilidade s/ PL]&gt;=Tabela3[Rentabilidade s/ PL Média]),"Sim","Não")</f>
        <v>Não</v>
      </c>
      <c r="AT114" s="22">
        <f>IF(Tabela3[Cotação]&gt;0,Tabela3[[#This Row],[Lucro]]/Tabela3[[#This Row],[Cotação]],0)</f>
        <v>1.0385503224305708E-2</v>
      </c>
      <c r="AU114" s="22">
        <f>((1+Tabela3[[#This Row],[% Yield]])^(1/(3*Tabela3[[#This Row],[Ref]])))^(12)-1</f>
        <v>1.3871251148528829E-2</v>
      </c>
      <c r="AV114" s="10">
        <f>IF(Tabela3[Cotação]&gt;0,($BC$1/Tabela3[[#This Row],[Cotação]]-MOD($BC$1/Tabela3[[#This Row],[Cotação]],100)),)</f>
        <v>0</v>
      </c>
      <c r="AW114" s="7">
        <f>Tabela3[[#This Row],[Ativos]]*Tabela3[Lucro]</f>
        <v>0</v>
      </c>
      <c r="AX114" s="7">
        <f>SUMPRODUCT(N(Tabela1[Código]=Tabela3[[#This Row],[PAPEL]]),Tabela1[Fechamento])</f>
        <v>0</v>
      </c>
      <c r="AY114" s="7">
        <f>SUMPRODUCT(N(Tabela17[Código]=Tabela3[[#This Row],[PAPEL]]),Tabela17[Fechamento])</f>
        <v>0</v>
      </c>
      <c r="AZ114" s="7">
        <f>SUMPRODUCT(N(Tabela176[Código]=Tabela3[[#This Row],[PAPEL]]),Tabela176[Fechamento])</f>
        <v>0</v>
      </c>
      <c r="BA114" s="7">
        <f>SUMPRODUCT(N(Tabela1768[Código]=Tabela3[[#This Row],[PAPEL]]),Tabela1768[Fechamento])</f>
        <v>0</v>
      </c>
      <c r="BB114" s="7">
        <f>SUMPRODUCT(N(Tabela17683[Código]=Tabela3[[#This Row],[PAPEL]]),Tabela17683[Fechamento])</f>
        <v>27.76</v>
      </c>
    </row>
    <row r="115" spans="1:54" hidden="1" x14ac:dyDescent="0.2">
      <c r="A115" s="3" t="s">
        <v>1637</v>
      </c>
      <c r="B115" s="57" t="s">
        <v>1638</v>
      </c>
      <c r="C115" s="16" t="str">
        <f>LEFT(Tabela3[PAPEL],LEN(Tabela3[PAPEL])-(LEN(Tabela3[PAPEL])-4))</f>
        <v>SHUL</v>
      </c>
      <c r="D115" s="16">
        <v>3</v>
      </c>
      <c r="E115" s="5">
        <v>201852798.03999999</v>
      </c>
      <c r="F115" s="56">
        <v>27266565</v>
      </c>
      <c r="G115" s="81">
        <v>0.25</v>
      </c>
      <c r="H115" s="87"/>
      <c r="J115" s="18"/>
      <c r="K115" s="16"/>
      <c r="L115" s="87"/>
      <c r="M115" s="54"/>
      <c r="N115" s="54"/>
      <c r="O115" s="54"/>
      <c r="P115" s="91">
        <v>354793000</v>
      </c>
      <c r="Q115" s="73">
        <v>43344000</v>
      </c>
      <c r="R115" s="73">
        <f>IF(Tabela3[[#This Row],[Ativo || Passivo]]&gt;0,Tabela3[[#This Row],[Ativo || Passivo]]-Tabela3[[#This Row],[Patrimônio Líquido]],0)</f>
        <v>0</v>
      </c>
      <c r="S115" s="73">
        <f>Tabela3[[#This Row],[Cotação]]*Tabela3[[#This Row],[Total Ações]]</f>
        <v>0</v>
      </c>
      <c r="T115" s="37">
        <f>IF(Tabela3[[#This Row],[Passivo Circulante]]&gt;0,Tabela3[[#This Row],[Ativo Circulante]]/Tabela3[[#This Row],[Passivo Circulante]],0)</f>
        <v>0</v>
      </c>
      <c r="U115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15" s="18">
        <f>IF(Tabela3[[#This Row],[Lucro Líquido]]&gt;0,Tabela3[[#This Row],[Lucro Líquido]]/Tabela3[[#This Row],[Patrimônio Líquido]],0)</f>
        <v>0.12216701005938674</v>
      </c>
      <c r="W115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15" s="18">
        <f>IF(Tabela3[[#This Row],[Dívida]]&gt;0,Tabela3[[#This Row],[Dívida]]/Tabela3[[#This Row],[Patrimônio Líquido]],0)</f>
        <v>0</v>
      </c>
      <c r="Y115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15" s="7">
        <f>Tabela3[[#This Row],[Capital Social]]*20%</f>
        <v>40370559.608000003</v>
      </c>
      <c r="AA115" s="47">
        <f>IF((Tabela3[Lucro Líquido]*5%)&gt;Tabela3[Teto R. Legal],Tabela3[Teto R. Legal],Tabela3[Lucro Líquido]*5%)</f>
        <v>2167200</v>
      </c>
      <c r="AB115" s="47">
        <f>IF(Tabela3[Lucro Líquido]&lt;0,0,Tabela3[Lucro Líquido]-Tabela3[Reserva Legal])</f>
        <v>41176800</v>
      </c>
      <c r="AC115" s="47">
        <f>Tabela3[[#This Row],[Lucro Distribuir]]*Tabela3[%Div]</f>
        <v>10294200</v>
      </c>
      <c r="AD115" s="56">
        <f>SUMPRODUCT(N(Tabela3[Nome]=Tabela3[[#This Row],[Nome]]),Tabela3[Ações])</f>
        <v>63817490</v>
      </c>
      <c r="AE115" s="85">
        <f>Tabela3[Capital Social]/Tabela3[Total Ações]</f>
        <v>3.1629698698585607</v>
      </c>
      <c r="AF115" s="85">
        <f>Tabela3[[#This Row],[Lucro Líquido]]/Tabela3[[#This Row],[Total Ações]]</f>
        <v>0.6791868498745407</v>
      </c>
      <c r="AG115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0.15628800652101923</v>
      </c>
      <c r="AH115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15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15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0.15628800652101923</v>
      </c>
      <c r="AK115" s="7">
        <f>Tabela3[Div Base]*Tabela3[Ações]</f>
        <v>4261437.0885257944</v>
      </c>
      <c r="AL115" s="121">
        <f>SUMPRODUCT(N(Tabela3[Nome]=Tabela3[[#This Row],[Nome]]),Tabela3[Div Base]*Tabela3[Ações])</f>
        <v>10545155.422358043</v>
      </c>
      <c r="AM115" s="5">
        <f>Tabela3[Patrimônio Líquido]/Tabela3[Total Ações]</f>
        <v>5.5594947403917017</v>
      </c>
      <c r="AN115" s="52">
        <f>MAX(Tabela3[[#This Row],[Cotação 1]:[Cotação 5]])</f>
        <v>0</v>
      </c>
      <c r="AO115" s="53">
        <f>Tabela3[Cotação]/Tabela3[VPA]</f>
        <v>0</v>
      </c>
      <c r="AP115" s="37">
        <f>IF(Tabela3[[#This Row],[Lucro/Ação]]&gt;0,Tabela3[[#This Row],[Cotação]]/(Tabela3[[#This Row],[Lucro/Ação]]/Tabela3[Ref]*4),0)</f>
        <v>0</v>
      </c>
      <c r="AQ115" s="85">
        <f>Tabela3[Lucro Distribuir]/Tabela3[Total Ações]</f>
        <v>0.64522750738081358</v>
      </c>
      <c r="AR115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0.15628800652101923</v>
      </c>
      <c r="AS115" s="10" t="str">
        <f>IF(AND(Tabela3[% A.A.]&gt;=6%,SUMPRODUCT(N(Tabela3[Nome]=Tabela3[[#This Row],[Nome]]),Tabela3[PL])&gt;0,Tabela3[Rentabilidade s/ PL]&gt;=Tabela3[Rentabilidade s/ PL Média]),"Sim","Não")</f>
        <v>Não</v>
      </c>
      <c r="AT115" s="22">
        <f>IF(Tabela3[Cotação]&gt;0,Tabela3[[#This Row],[Lucro]]/Tabela3[[#This Row],[Cotação]],0)</f>
        <v>0</v>
      </c>
      <c r="AU115" s="22">
        <f>((1+Tabela3[[#This Row],[% Yield]])^(1/(3*Tabela3[[#This Row],[Ref]])))^(12)-1</f>
        <v>0</v>
      </c>
      <c r="AV115" s="10">
        <f>IF(Tabela3[Cotação]&gt;0,($BD$1/Tabela3[[#This Row],[Cotação]]-MOD($BD$1/Tabela3[[#This Row],[Cotação]],100)),)</f>
        <v>0</v>
      </c>
      <c r="AW115" s="7">
        <f>Tabela3[[#This Row],[Ativos]]*Tabela3[Lucro]</f>
        <v>0</v>
      </c>
      <c r="AX115" s="7">
        <f>SUMPRODUCT(N(Tabela1[Código]=Tabela3[[#This Row],[PAPEL]]),Tabela1[Fechamento])</f>
        <v>0</v>
      </c>
      <c r="AY115" s="7">
        <f>SUMPRODUCT(N(Tabela17[Código]=Tabela3[[#This Row],[PAPEL]]),Tabela17[Fechamento])</f>
        <v>0</v>
      </c>
      <c r="AZ115" s="7">
        <f>SUMPRODUCT(N(Tabela176[Código]=Tabela3[[#This Row],[PAPEL]]),Tabela176[Fechamento])</f>
        <v>0</v>
      </c>
      <c r="BA115" s="7">
        <f>SUMPRODUCT(N(Tabela1768[Código]=Tabela3[[#This Row],[PAPEL]]),Tabela1768[Fechamento])</f>
        <v>0</v>
      </c>
      <c r="BB115" s="7">
        <f>SUMPRODUCT(N(Tabela17683[Código]=Tabela3[[#This Row],[PAPEL]]),Tabela17683[Fechamento])</f>
        <v>0</v>
      </c>
    </row>
    <row r="116" spans="1:54" hidden="1" x14ac:dyDescent="0.2">
      <c r="A116" s="3" t="s">
        <v>1637</v>
      </c>
      <c r="B116" s="57" t="s">
        <v>1639</v>
      </c>
      <c r="C116" s="16" t="str">
        <f>LEFT(Tabela3[PAPEL],LEN(Tabela3[PAPEL])-(LEN(Tabela3[PAPEL])-4))</f>
        <v>SHUL</v>
      </c>
      <c r="D116" s="16">
        <v>3</v>
      </c>
      <c r="E116" s="5">
        <v>201852798.03999999</v>
      </c>
      <c r="F116" s="56">
        <v>36550925</v>
      </c>
      <c r="G116" s="81">
        <v>0.25</v>
      </c>
      <c r="H116" s="87"/>
      <c r="J116" s="18">
        <v>0.1</v>
      </c>
      <c r="K116" s="16"/>
      <c r="L116" s="87"/>
      <c r="M116" s="54"/>
      <c r="N116" s="54"/>
      <c r="O116" s="54"/>
      <c r="P116" s="91">
        <v>354793000</v>
      </c>
      <c r="Q116" s="73">
        <v>43344000</v>
      </c>
      <c r="R116" s="73">
        <f>IF(Tabela3[[#This Row],[Ativo || Passivo]]&gt;0,Tabela3[[#This Row],[Ativo || Passivo]]-Tabela3[[#This Row],[Patrimônio Líquido]],0)</f>
        <v>0</v>
      </c>
      <c r="S116" s="73">
        <f>Tabela3[[#This Row],[Cotação]]*Tabela3[[#This Row],[Total Ações]]</f>
        <v>637536725.10000002</v>
      </c>
      <c r="T116" s="37">
        <f>IF(Tabela3[[#This Row],[Passivo Circulante]]&gt;0,Tabela3[[#This Row],[Ativo Circulante]]/Tabela3[[#This Row],[Passivo Circulante]],0)</f>
        <v>0</v>
      </c>
      <c r="U116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16" s="18">
        <f>IF(Tabela3[[#This Row],[Lucro Líquido]]&gt;0,Tabela3[[#This Row],[Lucro Líquido]]/Tabela3[[#This Row],[Patrimônio Líquido]],0)</f>
        <v>0.12216701005938674</v>
      </c>
      <c r="W116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16" s="18">
        <f>IF(Tabela3[[#This Row],[Dívida]]&gt;0,Tabela3[[#This Row],[Dívida]]/Tabela3[[#This Row],[Patrimônio Líquido]],0)</f>
        <v>0</v>
      </c>
      <c r="Y116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16" s="7">
        <f>Tabela3[[#This Row],[Capital Social]]*20%</f>
        <v>40370559.608000003</v>
      </c>
      <c r="AA116" s="47">
        <f>IF((Tabela3[Lucro Líquido]*5%)&gt;Tabela3[Teto R. Legal],Tabela3[Teto R. Legal],Tabela3[Lucro Líquido]*5%)</f>
        <v>2167200</v>
      </c>
      <c r="AB116" s="47">
        <f>IF(Tabela3[Lucro Líquido]&lt;0,0,Tabela3[Lucro Líquido]-Tabela3[Reserva Legal])</f>
        <v>41176800</v>
      </c>
      <c r="AC116" s="47">
        <f>Tabela3[[#This Row],[Lucro Distribuir]]*Tabela3[%Div]</f>
        <v>10294200</v>
      </c>
      <c r="AD116" s="56">
        <f>SUMPRODUCT(N(Tabela3[Nome]=Tabela3[[#This Row],[Nome]]),Tabela3[Ações])</f>
        <v>63817490</v>
      </c>
      <c r="AE116" s="85">
        <f>Tabela3[Capital Social]/Tabela3[Total Ações]</f>
        <v>3.1629698698585607</v>
      </c>
      <c r="AF116" s="85">
        <f>Tabela3[[#This Row],[Lucro Líquido]]/Tabela3[[#This Row],[Total Ações]]</f>
        <v>0.6791868498745407</v>
      </c>
      <c r="AG116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0.17191680740862919</v>
      </c>
      <c r="AH116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16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16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0.17191680740862919</v>
      </c>
      <c r="AK116" s="7">
        <f>Tabela3[Div Base]*Tabela3[Ações]</f>
        <v>6283718.33383225</v>
      </c>
      <c r="AL116" s="121">
        <f>SUMPRODUCT(N(Tabela3[Nome]=Tabela3[[#This Row],[Nome]]),Tabela3[Div Base]*Tabela3[Ações])</f>
        <v>10545155.422358043</v>
      </c>
      <c r="AM116" s="5">
        <f>Tabela3[Patrimônio Líquido]/Tabela3[Total Ações]</f>
        <v>5.5594947403917017</v>
      </c>
      <c r="AN116" s="52">
        <f>MAX(Tabela3[[#This Row],[Cotação 1]:[Cotação 5]])</f>
        <v>9.99</v>
      </c>
      <c r="AO116" s="53">
        <f>Tabela3[Cotação]/Tabela3[VPA]</f>
        <v>1.7969258838252165</v>
      </c>
      <c r="AP116" s="37">
        <f>IF(Tabela3[[#This Row],[Lucro/Ação]]&gt;0,Tabela3[[#This Row],[Cotação]]/(Tabela3[[#This Row],[Lucro/Ação]]/Tabela3[Ref]*4),0)</f>
        <v>11.031574008513289</v>
      </c>
      <c r="AQ116" s="85">
        <f>Tabela3[Lucro Distribuir]/Tabela3[Total Ações]</f>
        <v>0.64522750738081358</v>
      </c>
      <c r="AR116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0.17191680740862919</v>
      </c>
      <c r="AS116" s="10" t="str">
        <f>IF(AND(Tabela3[% A.A.]&gt;=6%,SUMPRODUCT(N(Tabela3[Nome]=Tabela3[[#This Row],[Nome]]),Tabela3[PL])&gt;0,Tabela3[Rentabilidade s/ PL]&gt;=Tabela3[Rentabilidade s/ PL Média]),"Sim","Não")</f>
        <v>Não</v>
      </c>
      <c r="AT116" s="22">
        <f>IF(Tabela3[Cotação]&gt;0,Tabela3[[#This Row],[Lucro]]/Tabela3[[#This Row],[Cotação]],0)</f>
        <v>1.7208889630493412E-2</v>
      </c>
      <c r="AU116" s="22">
        <f>((1+Tabela3[[#This Row],[% Yield]])^(1/(3*Tabela3[[#This Row],[Ref]])))^(12)-1</f>
        <v>2.3010746487045264E-2</v>
      </c>
      <c r="AV116" s="10">
        <f>IF(Tabela3[Cotação]&gt;0,($BD$1/Tabela3[[#This Row],[Cotação]]-MOD($BD$1/Tabela3[[#This Row],[Cotação]],100)),)</f>
        <v>0</v>
      </c>
      <c r="AW116" s="7">
        <f>Tabela3[[#This Row],[Ativos]]*Tabela3[Lucro]</f>
        <v>0</v>
      </c>
      <c r="AX116" s="7">
        <f>SUMPRODUCT(N(Tabela1[Código]=Tabela3[[#This Row],[PAPEL]]),Tabela1[Fechamento])</f>
        <v>0</v>
      </c>
      <c r="AY116" s="7">
        <f>SUMPRODUCT(N(Tabela17[Código]=Tabela3[[#This Row],[PAPEL]]),Tabela17[Fechamento])</f>
        <v>0</v>
      </c>
      <c r="AZ116" s="7">
        <f>SUMPRODUCT(N(Tabela176[Código]=Tabela3[[#This Row],[PAPEL]]),Tabela176[Fechamento])</f>
        <v>0</v>
      </c>
      <c r="BA116" s="7">
        <f>SUMPRODUCT(N(Tabela1768[Código]=Tabela3[[#This Row],[PAPEL]]),Tabela1768[Fechamento])</f>
        <v>0</v>
      </c>
      <c r="BB116" s="7">
        <f>SUMPRODUCT(N(Tabela17683[Código]=Tabela3[[#This Row],[PAPEL]]),Tabela17683[Fechamento])</f>
        <v>9.99</v>
      </c>
    </row>
    <row r="117" spans="1:54" hidden="1" x14ac:dyDescent="0.2">
      <c r="A117" s="4" t="s">
        <v>14</v>
      </c>
      <c r="B117" s="57" t="s">
        <v>213</v>
      </c>
      <c r="C117" s="14" t="str">
        <f>LEFT(Tabela3[PAPEL],LEN(Tabela3[PAPEL])-(LEN(Tabela3[PAPEL])-4))</f>
        <v>BNBR</v>
      </c>
      <c r="D117" s="15">
        <v>3</v>
      </c>
      <c r="E117" s="6">
        <v>2437000000</v>
      </c>
      <c r="F117" s="8">
        <v>48484775</v>
      </c>
      <c r="G117" s="81">
        <v>0.25</v>
      </c>
      <c r="H117" s="15"/>
      <c r="I117" s="19"/>
      <c r="J117" s="19"/>
      <c r="K117" s="88"/>
      <c r="L117" s="88"/>
      <c r="M117" s="55"/>
      <c r="N117" s="55"/>
      <c r="O117" s="55"/>
      <c r="P117" s="6">
        <v>2513911000</v>
      </c>
      <c r="Q117" s="6">
        <v>303723000</v>
      </c>
      <c r="R117" s="6">
        <f>IF(Tabela3[[#This Row],[Ativo || Passivo]]&gt;0,Tabela3[[#This Row],[Ativo || Passivo]]-Tabela3[[#This Row],[Patrimônio Líquido]],0)</f>
        <v>0</v>
      </c>
      <c r="S117" s="6">
        <f>Tabela3[[#This Row],[Cotação]]*Tabela3[[#This Row],[Total Ações]]</f>
        <v>2349051327</v>
      </c>
      <c r="T117" s="134">
        <f>IF(Tabela3[[#This Row],[Passivo Circulante]]&gt;0,Tabela3[[#This Row],[Ativo Circulante]]/Tabela3[[#This Row],[Passivo Circulante]],0)</f>
        <v>0</v>
      </c>
      <c r="U117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17" s="19">
        <f>IF(Tabela3[[#This Row],[Lucro Líquido]]&gt;0,Tabela3[[#This Row],[Lucro Líquido]]/Tabela3[[#This Row],[Patrimônio Líquido]],0)</f>
        <v>0.12081692629532231</v>
      </c>
      <c r="W117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17" s="19">
        <f>IF(Tabela3[[#This Row],[Dívida]]&gt;0,Tabela3[[#This Row],[Dívida]]/Tabela3[[#This Row],[Patrimônio Líquido]],0)</f>
        <v>0</v>
      </c>
      <c r="Y117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17" s="6">
        <f>Tabela3[[#This Row],[Capital Social]]*20%</f>
        <v>487400000</v>
      </c>
      <c r="AA117" s="6">
        <f>IF((Tabela3[Lucro Líquido]*5%)&gt;Tabela3[Teto R. Legal],Tabela3[Teto R. Legal],Tabela3[Lucro Líquido]*5%)</f>
        <v>15186150</v>
      </c>
      <c r="AB117" s="6">
        <f>IF(Tabela3[Lucro Líquido]&lt;0,0,Tabela3[Lucro Líquido]-Tabela3[Reserva Legal])</f>
        <v>288536850</v>
      </c>
      <c r="AC117" s="6">
        <f>Tabela3[[#This Row],[Lucro Distribuir]]*Tabela3[%Div]</f>
        <v>72134212.5</v>
      </c>
      <c r="AD117" s="21">
        <f>SUMPRODUCT(N(Tabela3[Nome]=Tabela3[[#This Row],[Nome]]),Tabela3[Ações])</f>
        <v>87001901</v>
      </c>
      <c r="AE117" s="6">
        <f>Tabela3[Capital Social]/Tabela3[Total Ações]</f>
        <v>28.010882198999308</v>
      </c>
      <c r="AF117" s="78">
        <f>Tabela3[[#This Row],[Lucro Líquido]]/Tabela3[[#This Row],[Total Ações]]</f>
        <v>3.4909926853207494</v>
      </c>
      <c r="AG117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0.82911076276367801</v>
      </c>
      <c r="AH117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17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17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0.82911076276367801</v>
      </c>
      <c r="AK117" s="6">
        <f>Tabela3[Div Base]*Tabela3[Ações]</f>
        <v>40199248.782675304</v>
      </c>
      <c r="AL117" s="6">
        <f>SUMPRODUCT(N(Tabela3[Nome]=Tabela3[[#This Row],[Nome]]),Tabela3[Div Base]*Tabela3[Ações])</f>
        <v>72134212.5</v>
      </c>
      <c r="AM117" s="6">
        <f>Tabela3[Patrimônio Líquido]/Tabela3[Total Ações]</f>
        <v>28.894897365518485</v>
      </c>
      <c r="AN117" s="48">
        <f>MAX(Tabela3[[#This Row],[Cotação 1]:[Cotação 5]])</f>
        <v>27</v>
      </c>
      <c r="AO117" s="44">
        <f>Tabela3[Cotação]/Tabela3[VPA]</f>
        <v>0.93442103837407131</v>
      </c>
      <c r="AP117" s="40">
        <f>IF(Tabela3[[#This Row],[Lucro/Ação]]&gt;0,Tabela3[[#This Row],[Cotação]]/(Tabela3[[#This Row],[Lucro/Ação]]/Tabela3[Ref]*4),0)</f>
        <v>5.8006423459863097</v>
      </c>
      <c r="AQ117" s="78">
        <f>Tabela3[Lucro Distribuir]/Tabela3[Total Ações]</f>
        <v>3.316443051054712</v>
      </c>
      <c r="AR117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0.82911076276367801</v>
      </c>
      <c r="AS117" s="15" t="str">
        <f>IF(AND(Tabela3[% A.A.]&gt;=6%,SUMPRODUCT(N(Tabela3[Nome]=Tabela3[[#This Row],[Nome]]),Tabela3[PL])&gt;0,Tabela3[Rentabilidade s/ PL]&gt;=Tabela3[Rentabilidade s/ PL Média]),"Sim","Não")</f>
        <v>Não</v>
      </c>
      <c r="AT117" s="42">
        <f>IF(Tabela3[Cotação]&gt;0,Tabela3[[#This Row],[Lucro]]/Tabela3[[#This Row],[Cotação]],0)</f>
        <v>3.0707806028284372E-2</v>
      </c>
      <c r="AU117" s="19">
        <f>((1+Tabela3[[#This Row],[% Yield]])^(1/(3*Tabela3[[#This Row],[Ref]])))^(12)-1</f>
        <v>4.1151878166107103E-2</v>
      </c>
      <c r="AV117" s="14">
        <f>IF(Tabela3[Cotação]&gt;0,($BH$1/Tabela3[[#This Row],[Cotação]]-MOD($BH$1/Tabela3[[#This Row],[Cotação]],100)),)</f>
        <v>0</v>
      </c>
      <c r="AW117" s="17">
        <f>Tabela3[[#This Row],[Ativos]]*Tabela3[Lucro]</f>
        <v>0</v>
      </c>
      <c r="AX117" s="5">
        <f>SUMPRODUCT(N(Tabela1[Código]=Tabela3[[#This Row],[PAPEL]]),Tabela1[Fechamento])</f>
        <v>27</v>
      </c>
      <c r="AY117" s="5">
        <f>SUMPRODUCT(N(Tabela17[Código]=Tabela3[[#This Row],[PAPEL]]),Tabela17[Fechamento])</f>
        <v>0</v>
      </c>
      <c r="AZ117" s="7">
        <f>SUMPRODUCT(N(Tabela176[Código]=Tabela3[[#This Row],[PAPEL]]),Tabela176[Fechamento])</f>
        <v>0</v>
      </c>
      <c r="BA117" s="7">
        <f>SUMPRODUCT(N(Tabela1768[Código]=Tabela3[[#This Row],[PAPEL]]),Tabela1768[Fechamento])</f>
        <v>0</v>
      </c>
      <c r="BB117" s="7">
        <f>SUMPRODUCT(N(Tabela17683[Código]=Tabela3[[#This Row],[PAPEL]]),Tabela17683[Fechamento])</f>
        <v>0</v>
      </c>
    </row>
    <row r="118" spans="1:54" hidden="1" x14ac:dyDescent="0.2">
      <c r="A118" s="4" t="s">
        <v>14</v>
      </c>
      <c r="B118" s="57" t="s">
        <v>214</v>
      </c>
      <c r="C118" s="14" t="str">
        <f>LEFT(Tabela3[PAPEL],LEN(Tabela3[PAPEL])-(LEN(Tabela3[PAPEL])-4))</f>
        <v>BNBR</v>
      </c>
      <c r="D118" s="15">
        <v>3</v>
      </c>
      <c r="E118" s="6">
        <v>2437000000</v>
      </c>
      <c r="F118" s="8">
        <v>38517126</v>
      </c>
      <c r="G118" s="86">
        <v>0.25</v>
      </c>
      <c r="H118" s="19"/>
      <c r="I118" s="19"/>
      <c r="J118" s="19"/>
      <c r="K118" s="88"/>
      <c r="L118" s="88"/>
      <c r="M118" s="55"/>
      <c r="N118" s="55"/>
      <c r="O118" s="55"/>
      <c r="P118" s="6">
        <v>2513911000</v>
      </c>
      <c r="Q118" s="6">
        <v>303723000</v>
      </c>
      <c r="R118" s="6">
        <f>IF(Tabela3[[#This Row],[Ativo || Passivo]]&gt;0,Tabela3[[#This Row],[Ativo || Passivo]]-Tabela3[[#This Row],[Patrimônio Líquido]],0)</f>
        <v>0</v>
      </c>
      <c r="S118" s="6">
        <f>Tabela3[[#This Row],[Cotação]]*Tabela3[[#This Row],[Total Ações]]</f>
        <v>2349921346.0100002</v>
      </c>
      <c r="T118" s="134">
        <f>IF(Tabela3[[#This Row],[Passivo Circulante]]&gt;0,Tabela3[[#This Row],[Ativo Circulante]]/Tabela3[[#This Row],[Passivo Circulante]],0)</f>
        <v>0</v>
      </c>
      <c r="U118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18" s="19">
        <f>IF(Tabela3[[#This Row],[Lucro Líquido]]&gt;0,Tabela3[[#This Row],[Lucro Líquido]]/Tabela3[[#This Row],[Patrimônio Líquido]],0)</f>
        <v>0.12081692629532231</v>
      </c>
      <c r="W118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18" s="19">
        <f>IF(Tabela3[[#This Row],[Dívida]]&gt;0,Tabela3[[#This Row],[Dívida]]/Tabela3[[#This Row],[Patrimônio Líquido]],0)</f>
        <v>0</v>
      </c>
      <c r="Y118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18" s="6">
        <f>Tabela3[[#This Row],[Capital Social]]*20%</f>
        <v>487400000</v>
      </c>
      <c r="AA118" s="6">
        <f>IF((Tabela3[Lucro Líquido]*5%)&gt;Tabela3[Teto R. Legal],Tabela3[Teto R. Legal],Tabela3[Lucro Líquido]*5%)</f>
        <v>15186150</v>
      </c>
      <c r="AB118" s="6">
        <f>IF(Tabela3[Lucro Líquido]&lt;0,0,Tabela3[Lucro Líquido]-Tabela3[Reserva Legal])</f>
        <v>288536850</v>
      </c>
      <c r="AC118" s="6">
        <f>Tabela3[[#This Row],[Lucro Distribuir]]*Tabela3[%Div]</f>
        <v>72134212.5</v>
      </c>
      <c r="AD118" s="21">
        <f>SUMPRODUCT(N(Tabela3[Nome]=Tabela3[[#This Row],[Nome]]),Tabela3[Ações])</f>
        <v>87001901</v>
      </c>
      <c r="AE118" s="6">
        <f>Tabela3[Capital Social]/Tabela3[Total Ações]</f>
        <v>28.010882198999308</v>
      </c>
      <c r="AF118" s="78">
        <f>Tabela3[[#This Row],[Lucro Líquido]]/Tabela3[[#This Row],[Total Ações]]</f>
        <v>3.4909926853207494</v>
      </c>
      <c r="AG118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0.82911076276367801</v>
      </c>
      <c r="AH118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18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18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0.82911076276367801</v>
      </c>
      <c r="AK118" s="6">
        <f>Tabela3[Div Base]*Tabela3[Ações]</f>
        <v>31934963.717324693</v>
      </c>
      <c r="AL118" s="6">
        <f>SUMPRODUCT(N(Tabela3[Nome]=Tabela3[[#This Row],[Nome]]),Tabela3[Div Base]*Tabela3[Ações])</f>
        <v>72134212.5</v>
      </c>
      <c r="AM118" s="6">
        <f>Tabela3[Patrimônio Líquido]/Tabela3[Total Ações]</f>
        <v>28.894897365518485</v>
      </c>
      <c r="AN118" s="48">
        <f>MAX(Tabela3[[#This Row],[Cotação 1]:[Cotação 5]])</f>
        <v>27.01</v>
      </c>
      <c r="AO118" s="44">
        <f>Tabela3[Cotação]/Tabela3[VPA]</f>
        <v>0.93476712024013586</v>
      </c>
      <c r="AP118" s="40">
        <f>IF(Tabela3[[#This Row],[Lucro/Ação]]&gt;0,Tabela3[[#This Row],[Cotação]]/(Tabela3[[#This Row],[Lucro/Ação]]/Tabela3[Ref]*4),0)</f>
        <v>5.8027907320403793</v>
      </c>
      <c r="AQ118" s="78">
        <f>Tabela3[Lucro Distribuir]/Tabela3[Total Ações]</f>
        <v>3.316443051054712</v>
      </c>
      <c r="AR118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0.82911076276367801</v>
      </c>
      <c r="AS118" s="15" t="str">
        <f>IF(AND(Tabela3[% A.A.]&gt;=6%,SUMPRODUCT(N(Tabela3[Nome]=Tabela3[[#This Row],[Nome]]),Tabela3[PL])&gt;0,Tabela3[Rentabilidade s/ PL]&gt;=Tabela3[Rentabilidade s/ PL Média]),"Sim","Não")</f>
        <v>Não</v>
      </c>
      <c r="AT118" s="42">
        <f>IF(Tabela3[Cotação]&gt;0,Tabela3[[#This Row],[Lucro]]/Tabela3[[#This Row],[Cotação]],0)</f>
        <v>3.0696436977551943E-2</v>
      </c>
      <c r="AU118" s="19">
        <f>((1+Tabela3[[#This Row],[% Yield]])^(1/(3*Tabela3[[#This Row],[Ref]])))^(12)-1</f>
        <v>4.1136565857817553E-2</v>
      </c>
      <c r="AV118" s="14">
        <f>IF(Tabela3[Cotação]&gt;0,($BH$1/Tabela3[[#This Row],[Cotação]]-MOD($BH$1/Tabela3[[#This Row],[Cotação]],100)),)</f>
        <v>0</v>
      </c>
      <c r="AW118" s="17">
        <f>Tabela3[[#This Row],[Ativos]]*Tabela3[Lucro]</f>
        <v>0</v>
      </c>
      <c r="AX118" s="5">
        <f>SUMPRODUCT(N(Tabela1[Código]=Tabela3[[#This Row],[PAPEL]]),Tabela1[Fechamento])</f>
        <v>27.01</v>
      </c>
      <c r="AY118" s="5">
        <f>SUMPRODUCT(N(Tabela17[Código]=Tabela3[[#This Row],[PAPEL]]),Tabela17[Fechamento])</f>
        <v>0</v>
      </c>
      <c r="AZ118" s="7">
        <f>SUMPRODUCT(N(Tabela176[Código]=Tabela3[[#This Row],[PAPEL]]),Tabela176[Fechamento])</f>
        <v>0</v>
      </c>
      <c r="BA118" s="7">
        <f>SUMPRODUCT(N(Tabela1768[Código]=Tabela3[[#This Row],[PAPEL]]),Tabela1768[Fechamento])</f>
        <v>0</v>
      </c>
      <c r="BB118" s="7">
        <f>SUMPRODUCT(N(Tabela17683[Código]=Tabela3[[#This Row],[PAPEL]]),Tabela17683[Fechamento])</f>
        <v>0</v>
      </c>
    </row>
    <row r="119" spans="1:54" hidden="1" x14ac:dyDescent="0.2">
      <c r="A119" s="3" t="s">
        <v>1330</v>
      </c>
      <c r="B119" s="57" t="s">
        <v>1341</v>
      </c>
      <c r="C119" s="16" t="str">
        <f>LEFT(Tabela3[PAPEL],LEN(Tabela3[PAPEL])-(LEN(Tabela3[PAPEL])-4))</f>
        <v>DIRR</v>
      </c>
      <c r="D119" s="16">
        <v>3</v>
      </c>
      <c r="E119" s="5">
        <v>702982399</v>
      </c>
      <c r="F119" s="56">
        <v>155298749</v>
      </c>
      <c r="G119" s="81">
        <v>0.25</v>
      </c>
      <c r="H119" s="87"/>
      <c r="J119" s="18"/>
      <c r="K119" s="16"/>
      <c r="L119" s="87"/>
      <c r="M119" s="54"/>
      <c r="N119" s="54"/>
      <c r="O119" s="54"/>
      <c r="P119" s="91">
        <v>1478036000</v>
      </c>
      <c r="Q119" s="73">
        <v>177713000</v>
      </c>
      <c r="R119" s="73">
        <f>IF(Tabela3[[#This Row],[Ativo || Passivo]]&gt;0,Tabela3[[#This Row],[Ativo || Passivo]]-Tabela3[[#This Row],[Patrimônio Líquido]],0)</f>
        <v>0</v>
      </c>
      <c r="S119" s="73">
        <f>Tabela3[[#This Row],[Cotação]]*Tabela3[[#This Row],[Total Ações]]</f>
        <v>1475338115.5</v>
      </c>
      <c r="T119" s="37">
        <f>IF(Tabela3[[#This Row],[Passivo Circulante]]&gt;0,Tabela3[[#This Row],[Ativo Circulante]]/Tabela3[[#This Row],[Passivo Circulante]],0)</f>
        <v>0</v>
      </c>
      <c r="U119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19" s="18">
        <f>IF(Tabela3[[#This Row],[Lucro Líquido]]&gt;0,Tabela3[[#This Row],[Lucro Líquido]]/Tabela3[[#This Row],[Patrimônio Líquido]],0)</f>
        <v>0.12023590765042259</v>
      </c>
      <c r="W119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19" s="18">
        <f>IF(Tabela3[[#This Row],[Dívida]]&gt;0,Tabela3[[#This Row],[Dívida]]/Tabela3[[#This Row],[Patrimônio Líquido]],0)</f>
        <v>0</v>
      </c>
      <c r="Y119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19" s="7">
        <f>Tabela3[[#This Row],[Capital Social]]*20%</f>
        <v>140596479.80000001</v>
      </c>
      <c r="AA119" s="47">
        <f>IF((Tabela3[Lucro Líquido]*5%)&gt;Tabela3[Teto R. Legal],Tabela3[Teto R. Legal],Tabela3[Lucro Líquido]*5%)</f>
        <v>8885650</v>
      </c>
      <c r="AB119" s="47">
        <f>IF(Tabela3[Lucro Líquido]&lt;0,0,Tabela3[Lucro Líquido]-Tabela3[Reserva Legal])</f>
        <v>168827350</v>
      </c>
      <c r="AC119" s="47">
        <f>Tabela3[[#This Row],[Lucro Distribuir]]*Tabela3[%Div]</f>
        <v>42206837.5</v>
      </c>
      <c r="AD119" s="56">
        <f>SUMPRODUCT(N(Tabela3[Nome]=Tabela3[[#This Row],[Nome]]),Tabela3[Ações])</f>
        <v>155298749</v>
      </c>
      <c r="AE119" s="85">
        <f>Tabela3[Capital Social]/Tabela3[Total Ações]</f>
        <v>4.5266456009893554</v>
      </c>
      <c r="AF119" s="85">
        <f>Tabela3[[#This Row],[Lucro Líquido]]/Tabela3[[#This Row],[Total Ações]]</f>
        <v>1.1443298876799066</v>
      </c>
      <c r="AG119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0.27177834832397779</v>
      </c>
      <c r="AH119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19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19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0.27177834832397779</v>
      </c>
      <c r="AK119" s="7">
        <f>Tabela3[Div Base]*Tabela3[Ações]</f>
        <v>42206837.5</v>
      </c>
      <c r="AL119" s="121">
        <f>SUMPRODUCT(N(Tabela3[Nome]=Tabela3[[#This Row],[Nome]]),Tabela3[Div Base]*Tabela3[Ações])</f>
        <v>42206837.5</v>
      </c>
      <c r="AM119" s="5">
        <f>Tabela3[Patrimônio Líquido]/Tabela3[Total Ações]</f>
        <v>9.5173722230048359</v>
      </c>
      <c r="AN119" s="52">
        <f>MAX(Tabela3[[#This Row],[Cotação 1]:[Cotação 5]])</f>
        <v>9.5</v>
      </c>
      <c r="AO119" s="53">
        <f>Tabela3[Cotação]/Tabela3[VPA]</f>
        <v>0.9981746828223399</v>
      </c>
      <c r="AP119" s="37">
        <f>IF(Tabela3[[#This Row],[Lucro/Ação]]&gt;0,Tabela3[[#This Row],[Cotação]]/(Tabela3[[#This Row],[Lucro/Ação]]/Tabela3[Ref]*4),0)</f>
        <v>6.2263514015575669</v>
      </c>
      <c r="AQ119" s="85">
        <f>Tabela3[Lucro Distribuir]/Tabela3[Total Ações]</f>
        <v>1.0871133932959112</v>
      </c>
      <c r="AR119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0.27177834832397779</v>
      </c>
      <c r="AS119" s="10" t="str">
        <f>IF(AND(Tabela3[% A.A.]&gt;=6%,SUMPRODUCT(N(Tabela3[Nome]=Tabela3[[#This Row],[Nome]]),Tabela3[PL])&gt;0,Tabela3[Rentabilidade s/ PL]&gt;=Tabela3[Rentabilidade s/ PL Média]),"Sim","Não")</f>
        <v>Não</v>
      </c>
      <c r="AT119" s="22">
        <f>IF(Tabela3[Cotação]&gt;0,Tabela3[[#This Row],[Lucro]]/Tabela3[[#This Row],[Cotação]],0)</f>
        <v>2.8608247191997661E-2</v>
      </c>
      <c r="AU119" s="22">
        <f>((1+Tabela3[[#This Row],[% Yield]])^(1/(3*Tabela3[[#This Row],[Ref]])))^(12)-1</f>
        <v>3.8325060658199295E-2</v>
      </c>
      <c r="AV119" s="10">
        <f>IF(Tabela3[Cotação]&gt;0,($BH$1/Tabela3[[#This Row],[Cotação]]-MOD($BH$1/Tabela3[[#This Row],[Cotação]],100)),)</f>
        <v>0</v>
      </c>
      <c r="AW119" s="7">
        <f>Tabela3[[#This Row],[Ativos]]*Tabela3[Lucro]</f>
        <v>0</v>
      </c>
      <c r="AX119" s="7">
        <f>SUMPRODUCT(N(Tabela1[Código]=Tabela3[[#This Row],[PAPEL]]),Tabela1[Fechamento])</f>
        <v>0</v>
      </c>
      <c r="AY119" s="7">
        <f>SUMPRODUCT(N(Tabela17[Código]=Tabela3[[#This Row],[PAPEL]]),Tabela17[Fechamento])</f>
        <v>0</v>
      </c>
      <c r="AZ119" s="7">
        <f>SUMPRODUCT(N(Tabela176[Código]=Tabela3[[#This Row],[PAPEL]]),Tabela176[Fechamento])</f>
        <v>0</v>
      </c>
      <c r="BA119" s="7">
        <f>SUMPRODUCT(N(Tabela1768[Código]=Tabela3[[#This Row],[PAPEL]]),Tabela1768[Fechamento])</f>
        <v>9.5</v>
      </c>
      <c r="BB119" s="7">
        <f>SUMPRODUCT(N(Tabela17683[Código]=Tabela3[[#This Row],[PAPEL]]),Tabela17683[Fechamento])</f>
        <v>0</v>
      </c>
    </row>
    <row r="120" spans="1:54" hidden="1" x14ac:dyDescent="0.2">
      <c r="A120" s="4" t="s">
        <v>239</v>
      </c>
      <c r="B120" s="57" t="s">
        <v>608</v>
      </c>
      <c r="C120" s="15" t="str">
        <f>LEFT(Tabela3[PAPEL],LEN(Tabela3[PAPEL])-(LEN(Tabela3[PAPEL])-4))</f>
        <v>CSNA</v>
      </c>
      <c r="D120" s="15">
        <v>3</v>
      </c>
      <c r="E120" s="6">
        <v>4540000000</v>
      </c>
      <c r="F120" s="8">
        <v>1457970108</v>
      </c>
      <c r="G120" s="86">
        <v>0.25</v>
      </c>
      <c r="H120" s="15"/>
      <c r="I120" s="19"/>
      <c r="J120" s="19"/>
      <c r="K120" s="88"/>
      <c r="L120" s="88"/>
      <c r="M120" s="55"/>
      <c r="N120" s="55"/>
      <c r="O120" s="55"/>
      <c r="P120" s="92">
        <v>8507300000</v>
      </c>
      <c r="Q120" s="93">
        <v>1021477000</v>
      </c>
      <c r="R120" s="93">
        <f>IF(Tabela3[[#This Row],[Ativo || Passivo]]&gt;0,Tabela3[[#This Row],[Ativo || Passivo]]-Tabela3[[#This Row],[Patrimônio Líquido]],0)</f>
        <v>0</v>
      </c>
      <c r="S120" s="93">
        <f>Tabela3[[#This Row],[Cotação]]*Tabela3[[#This Row],[Total Ações]]</f>
        <v>16343844910.68</v>
      </c>
      <c r="T120" s="40">
        <f>IF(Tabela3[[#This Row],[Passivo Circulante]]&gt;0,Tabela3[[#This Row],[Ativo Circulante]]/Tabela3[[#This Row],[Passivo Circulante]],0)</f>
        <v>0</v>
      </c>
      <c r="U120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20" s="19">
        <f>IF(Tabela3[[#This Row],[Lucro Líquido]]&gt;0,Tabela3[[#This Row],[Lucro Líquido]]/Tabela3[[#This Row],[Patrimônio Líquido]],0)</f>
        <v>0.12007064521058385</v>
      </c>
      <c r="W120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20" s="19">
        <f>IF(Tabela3[[#This Row],[Dívida]]&gt;0,Tabela3[[#This Row],[Dívida]]/Tabela3[[#This Row],[Patrimônio Líquido]],0)</f>
        <v>0</v>
      </c>
      <c r="Y120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20" s="13">
        <f>Tabela3[[#This Row],[Capital Social]]*20%</f>
        <v>908000000</v>
      </c>
      <c r="AA120" s="13">
        <f>IF((Tabela3[Lucro Líquido]*5%)&gt;Tabela3[Teto R. Legal],Tabela3[Teto R. Legal],Tabela3[Lucro Líquido]*5%)</f>
        <v>51073850</v>
      </c>
      <c r="AB120" s="13">
        <f>IF(Tabela3[Lucro Líquido]&lt;0,0,Tabela3[Lucro Líquido]-Tabela3[Reserva Legal])</f>
        <v>970403150</v>
      </c>
      <c r="AC120" s="13">
        <f>Tabela3[[#This Row],[Lucro Distribuir]]*Tabela3[%Div]</f>
        <v>242600787.5</v>
      </c>
      <c r="AD120" s="56">
        <f>SUMPRODUCT(N(Tabela3[Nome]=Tabela3[[#This Row],[Nome]]),Tabela3[Ações])</f>
        <v>1457970108</v>
      </c>
      <c r="AE120" s="6">
        <f>Tabela3[Capital Social]/Tabela3[Total Ações]</f>
        <v>3.1139184370712765</v>
      </c>
      <c r="AF120" s="78">
        <f>Tabela3[[#This Row],[Lucro Líquido]]/Tabela3[[#This Row],[Total Ações]]</f>
        <v>0.70061587298331629</v>
      </c>
      <c r="AG120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0.16639626983353764</v>
      </c>
      <c r="AH120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20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20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0.16639626983353764</v>
      </c>
      <c r="AK120" s="13">
        <f>Tabela3[Div Base]*Tabela3[Ações]</f>
        <v>242600787.50000003</v>
      </c>
      <c r="AL120" s="13">
        <f>SUMPRODUCT(N(Tabela3[Nome]=Tabela3[[#This Row],[Nome]]),Tabela3[Div Base]*Tabela3[Ações])</f>
        <v>242600787.50000003</v>
      </c>
      <c r="AM120" s="6">
        <f>Tabela3[Patrimônio Líquido]/Tabela3[Total Ações]</f>
        <v>5.8350304668934951</v>
      </c>
      <c r="AN120" s="48">
        <f>MAX(Tabela3[[#This Row],[Cotação 1]:[Cotação 5]])</f>
        <v>11.21</v>
      </c>
      <c r="AO120" s="44">
        <f>Tabela3[Cotação]/Tabela3[VPA]</f>
        <v>1.9211553501910126</v>
      </c>
      <c r="AP120" s="40">
        <f>IF(Tabela3[[#This Row],[Lucro/Ação]]&gt;0,Tabela3[[#This Row],[Cotação]]/(Tabela3[[#This Row],[Lucro/Ação]]/Tabela3[Ref]*4),0)</f>
        <v>12.000156325604983</v>
      </c>
      <c r="AQ120" s="78">
        <f>Tabela3[Lucro Distribuir]/Tabela3[Total Ações]</f>
        <v>0.66558507933415056</v>
      </c>
      <c r="AR120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0.16639626983353764</v>
      </c>
      <c r="AS120" s="14" t="str">
        <f>IF(AND(Tabela3[% A.A.]&gt;=6%,SUMPRODUCT(N(Tabela3[Nome]=Tabela3[[#This Row],[Nome]]),Tabela3[PL])&gt;0,Tabela3[Rentabilidade s/ PL]&gt;=Tabela3[Rentabilidade s/ PL Média]),"Sim","Não")</f>
        <v>Não</v>
      </c>
      <c r="AT120" s="42">
        <f>IF(Tabela3[Cotação]&gt;0,Tabela3[[#This Row],[Lucro]]/Tabela3[[#This Row],[Cotação]],0)</f>
        <v>1.4843556631002465E-2</v>
      </c>
      <c r="AU120" s="42">
        <f>((1+Tabela3[[#This Row],[% Yield]])^(1/(3*Tabela3[[#This Row],[Ref]])))^(12)-1</f>
        <v>1.9840210809289216E-2</v>
      </c>
      <c r="AV120" s="14">
        <f>IF(Tabela3[Cotação]&gt;0,($BH$1/Tabela3[[#This Row],[Cotação]]-MOD($BH$1/Tabela3[[#This Row],[Cotação]],100)),)</f>
        <v>0</v>
      </c>
      <c r="AW120" s="17">
        <f>Tabela3[[#This Row],[Ativos]]*Tabela3[Lucro]</f>
        <v>0</v>
      </c>
      <c r="AX120" s="17">
        <f>SUMPRODUCT(N(Tabela1[Código]=Tabela3[[#This Row],[PAPEL]]),Tabela1[Fechamento])</f>
        <v>0</v>
      </c>
      <c r="AY120" s="17">
        <f>SUMPRODUCT(N(Tabela17[Código]=Tabela3[[#This Row],[PAPEL]]),Tabela17[Fechamento])</f>
        <v>0</v>
      </c>
      <c r="AZ120" s="17">
        <f>SUMPRODUCT(N(Tabela176[Código]=Tabela3[[#This Row],[PAPEL]]),Tabela176[Fechamento])</f>
        <v>11.21</v>
      </c>
      <c r="BA120" s="17">
        <f>SUMPRODUCT(N(Tabela1768[Código]=Tabela3[[#This Row],[PAPEL]]),Tabela1768[Fechamento])</f>
        <v>0</v>
      </c>
      <c r="BB120" s="7">
        <f>SUMPRODUCT(N(Tabela17683[Código]=Tabela3[[#This Row],[PAPEL]]),Tabela17683[Fechamento])</f>
        <v>0</v>
      </c>
    </row>
    <row r="121" spans="1:54" hidden="1" x14ac:dyDescent="0.2">
      <c r="A121" s="3" t="s">
        <v>1330</v>
      </c>
      <c r="B121" s="57" t="s">
        <v>1367</v>
      </c>
      <c r="C121" s="16" t="str">
        <f>LEFT(Tabela3[PAPEL],LEN(Tabela3[PAPEL])-(LEN(Tabela3[PAPEL])-4))</f>
        <v>TCSA</v>
      </c>
      <c r="D121" s="16">
        <v>3</v>
      </c>
      <c r="E121" s="5">
        <v>1072815631.8</v>
      </c>
      <c r="F121" s="56">
        <v>185966569</v>
      </c>
      <c r="G121" s="81">
        <v>0.25</v>
      </c>
      <c r="H121" s="87"/>
      <c r="J121" s="18"/>
      <c r="K121" s="16"/>
      <c r="L121" s="87"/>
      <c r="M121" s="54"/>
      <c r="N121" s="54"/>
      <c r="O121" s="54"/>
      <c r="P121" s="91">
        <v>1487733000</v>
      </c>
      <c r="Q121" s="73">
        <v>177849000</v>
      </c>
      <c r="R121" s="73">
        <f>IF(Tabela3[[#This Row],[Ativo || Passivo]]&gt;0,Tabela3[[#This Row],[Ativo || Passivo]]-Tabela3[[#This Row],[Patrimônio Líquido]],0)</f>
        <v>0</v>
      </c>
      <c r="S121" s="73">
        <f>Tabela3[[#This Row],[Cotação]]*Tabela3[[#This Row],[Total Ações]]</f>
        <v>1376152610.6000001</v>
      </c>
      <c r="T121" s="37">
        <f>IF(Tabela3[[#This Row],[Passivo Circulante]]&gt;0,Tabela3[[#This Row],[Ativo Circulante]]/Tabela3[[#This Row],[Passivo Circulante]],0)</f>
        <v>0</v>
      </c>
      <c r="U121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21" s="18">
        <f>IF(Tabela3[[#This Row],[Lucro Líquido]]&gt;0,Tabela3[[#This Row],[Lucro Líquido]]/Tabela3[[#This Row],[Patrimônio Líquido]],0)</f>
        <v>0.11954362778805068</v>
      </c>
      <c r="W121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21" s="18">
        <f>IF(Tabela3[[#This Row],[Dívida]]&gt;0,Tabela3[[#This Row],[Dívida]]/Tabela3[[#This Row],[Patrimônio Líquido]],0)</f>
        <v>0</v>
      </c>
      <c r="Y121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21" s="7">
        <f>Tabela3[[#This Row],[Capital Social]]*20%</f>
        <v>214563126.36000001</v>
      </c>
      <c r="AA121" s="47">
        <f>IF((Tabela3[Lucro Líquido]*5%)&gt;Tabela3[Teto R. Legal],Tabela3[Teto R. Legal],Tabela3[Lucro Líquido]*5%)</f>
        <v>8892450</v>
      </c>
      <c r="AB121" s="47">
        <f>IF(Tabela3[Lucro Líquido]&lt;0,0,Tabela3[Lucro Líquido]-Tabela3[Reserva Legal])</f>
        <v>168956550</v>
      </c>
      <c r="AC121" s="47">
        <f>Tabela3[[#This Row],[Lucro Distribuir]]*Tabela3[%Div]</f>
        <v>42239137.5</v>
      </c>
      <c r="AD121" s="56">
        <f>SUMPRODUCT(N(Tabela3[Nome]=Tabela3[[#This Row],[Nome]]),Tabela3[Ações])</f>
        <v>185966569</v>
      </c>
      <c r="AE121" s="85">
        <f>Tabela3[Capital Social]/Tabela3[Total Ações]</f>
        <v>5.7688628529786987</v>
      </c>
      <c r="AF121" s="85">
        <f>Tabela3[[#This Row],[Lucro Líquido]]/Tabela3[[#This Row],[Total Ações]]</f>
        <v>0.95634931028920578</v>
      </c>
      <c r="AG121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0.22713296119368637</v>
      </c>
      <c r="AH121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21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21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0.22713296119368637</v>
      </c>
      <c r="AK121" s="7">
        <f>Tabela3[Div Base]*Tabela3[Ações]</f>
        <v>42239137.5</v>
      </c>
      <c r="AL121" s="121">
        <f>SUMPRODUCT(N(Tabela3[Nome]=Tabela3[[#This Row],[Nome]]),Tabela3[Div Base]*Tabela3[Ações])</f>
        <v>42239137.5</v>
      </c>
      <c r="AM121" s="5">
        <f>Tabela3[Patrimônio Líquido]/Tabela3[Total Ações]</f>
        <v>8.000002409035142</v>
      </c>
      <c r="AN121" s="52">
        <f>MAX(Tabela3[[#This Row],[Cotação 1]:[Cotação 5]])</f>
        <v>7.4</v>
      </c>
      <c r="AO121" s="53">
        <f>Tabela3[Cotação]/Tabela3[VPA]</f>
        <v>0.92499972145539566</v>
      </c>
      <c r="AP121" s="37">
        <f>IF(Tabela3[[#This Row],[Lucro/Ação]]&gt;0,Tabela3[[#This Row],[Cotação]]/(Tabela3[[#This Row],[Lucro/Ação]]/Tabela3[Ref]*4),0)</f>
        <v>5.8033188713459172</v>
      </c>
      <c r="AQ121" s="85">
        <f>Tabela3[Lucro Distribuir]/Tabela3[Total Ações]</f>
        <v>0.90853184477474547</v>
      </c>
      <c r="AR121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0.22713296119368637</v>
      </c>
      <c r="AS121" s="10" t="str">
        <f>IF(AND(Tabela3[% A.A.]&gt;=6%,SUMPRODUCT(N(Tabela3[Nome]=Tabela3[[#This Row],[Nome]]),Tabela3[PL])&gt;0,Tabela3[Rentabilidade s/ PL]&gt;=Tabela3[Rentabilidade s/ PL Média]),"Sim","Não")</f>
        <v>Não</v>
      </c>
      <c r="AT121" s="22">
        <f>IF(Tabela3[Cotação]&gt;0,Tabela3[[#This Row],[Lucro]]/Tabela3[[#This Row],[Cotação]],0)</f>
        <v>3.0693643404552211E-2</v>
      </c>
      <c r="AU121" s="22">
        <f>((1+Tabela3[[#This Row],[% Yield]])^(1/(3*Tabela3[[#This Row],[Ref]])))^(12)-1</f>
        <v>4.11328033666436E-2</v>
      </c>
      <c r="AV121" s="10">
        <f>IF(Tabela3[Cotação]&gt;0,($BD$1/Tabela3[[#This Row],[Cotação]]-MOD($BD$1/Tabela3[[#This Row],[Cotação]],100)),)</f>
        <v>0</v>
      </c>
      <c r="AW121" s="7">
        <f>Tabela3[[#This Row],[Ativos]]*Tabela3[Lucro]</f>
        <v>0</v>
      </c>
      <c r="AX121" s="7">
        <f>SUMPRODUCT(N(Tabela1[Código]=Tabela3[[#This Row],[PAPEL]]),Tabela1[Fechamento])</f>
        <v>0</v>
      </c>
      <c r="AY121" s="7">
        <f>SUMPRODUCT(N(Tabela17[Código]=Tabela3[[#This Row],[PAPEL]]),Tabela17[Fechamento])</f>
        <v>0</v>
      </c>
      <c r="AZ121" s="7">
        <f>SUMPRODUCT(N(Tabela176[Código]=Tabela3[[#This Row],[PAPEL]]),Tabela176[Fechamento])</f>
        <v>0</v>
      </c>
      <c r="BA121" s="7">
        <f>SUMPRODUCT(N(Tabela1768[Código]=Tabela3[[#This Row],[PAPEL]]),Tabela1768[Fechamento])</f>
        <v>7.4</v>
      </c>
      <c r="BB121" s="7">
        <f>SUMPRODUCT(N(Tabela17683[Código]=Tabela3[[#This Row],[PAPEL]]),Tabela17683[Fechamento])</f>
        <v>0</v>
      </c>
    </row>
    <row r="122" spans="1:54" hidden="1" x14ac:dyDescent="0.2">
      <c r="A122" s="4" t="s">
        <v>320</v>
      </c>
      <c r="B122" s="57" t="s">
        <v>319</v>
      </c>
      <c r="C122" s="82" t="str">
        <f>LEFT(Tabela3[PAPEL],LEN(Tabela3[PAPEL])-(LEN(Tabela3[PAPEL])-4))</f>
        <v>DTEX</v>
      </c>
      <c r="D122" s="15">
        <v>4</v>
      </c>
      <c r="E122" s="6">
        <v>1705271709.4400001</v>
      </c>
      <c r="F122" s="38">
        <v>605059489</v>
      </c>
      <c r="G122" s="86">
        <v>0.3</v>
      </c>
      <c r="H122" s="15"/>
      <c r="I122" s="19"/>
      <c r="J122" s="19"/>
      <c r="K122" s="88"/>
      <c r="L122" s="88"/>
      <c r="M122" s="55"/>
      <c r="N122" s="55"/>
      <c r="O122" s="55"/>
      <c r="P122" s="6">
        <v>4365005000</v>
      </c>
      <c r="Q122" s="6">
        <v>519920000</v>
      </c>
      <c r="R122" s="6">
        <f>IF(Tabela3[[#This Row],[Ativo || Passivo]]&gt;0,Tabela3[[#This Row],[Ativo || Passivo]]-Tabela3[[#This Row],[Patrimônio Líquido]],0)</f>
        <v>0</v>
      </c>
      <c r="S122" s="6">
        <f>Tabela3[[#This Row],[Cotação]]*Tabela3[[#This Row],[Total Ações]]</f>
        <v>6570946050.54</v>
      </c>
      <c r="T122" s="134">
        <f>IF(Tabela3[[#This Row],[Passivo Circulante]]&gt;0,Tabela3[[#This Row],[Ativo Circulante]]/Tabela3[[#This Row],[Passivo Circulante]],0)</f>
        <v>0</v>
      </c>
      <c r="U122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22" s="19">
        <f>IF(Tabela3[[#This Row],[Lucro Líquido]]&gt;0,Tabela3[[#This Row],[Lucro Líquido]]/Tabela3[[#This Row],[Patrimônio Líquido]],0)</f>
        <v>0.11911097467242306</v>
      </c>
      <c r="W122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22" s="19">
        <f>IF(Tabela3[[#This Row],[Dívida]]&gt;0,Tabela3[[#This Row],[Dívida]]/Tabela3[[#This Row],[Patrimônio Líquido]],0)</f>
        <v>0</v>
      </c>
      <c r="Y122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22" s="6">
        <f>Tabela3[[#This Row],[Capital Social]]*20%</f>
        <v>341054341.88800001</v>
      </c>
      <c r="AA122" s="6">
        <f>IF((Tabela3[Lucro Líquido]*5%)&gt;Tabela3[Teto R. Legal],Tabela3[Teto R. Legal],Tabela3[Lucro Líquido]*5%)</f>
        <v>25996000</v>
      </c>
      <c r="AB122" s="6">
        <f>IF(Tabela3[Lucro Líquido]&lt;0,0,Tabela3[Lucro Líquido]-Tabela3[Reserva Legal])</f>
        <v>493924000</v>
      </c>
      <c r="AC122" s="6">
        <f>Tabela3[[#This Row],[Lucro Distribuir]]*Tabela3[%Div]</f>
        <v>148177200</v>
      </c>
      <c r="AD122" s="38">
        <f>SUMPRODUCT(N(Tabela3[Nome]=Tabela3[[#This Row],[Nome]]),Tabela3[Ações])</f>
        <v>605059489</v>
      </c>
      <c r="AE122" s="6">
        <f>Tabela3[Capital Social]/Tabela3[Total Ações]</f>
        <v>2.8183537989931433</v>
      </c>
      <c r="AF122" s="78">
        <f>Tabela3[[#This Row],[Lucro Líquido]]/Tabela3[[#This Row],[Total Ações]]</f>
        <v>0.85928740801881709</v>
      </c>
      <c r="AG122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0.24489691128536289</v>
      </c>
      <c r="AH122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22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22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0.24489691128536289</v>
      </c>
      <c r="AK122" s="6">
        <f>Tabela3[Div Base]*Tabela3[Ações]</f>
        <v>148177200</v>
      </c>
      <c r="AL122" s="6">
        <f>SUMPRODUCT(N(Tabela3[Nome]=Tabela3[[#This Row],[Nome]]),Tabela3[Div Base]*Tabela3[Ações])</f>
        <v>148177200</v>
      </c>
      <c r="AM122" s="6">
        <f>Tabela3[Patrimônio Líquido]/Tabela3[Total Ações]</f>
        <v>7.2141749354500249</v>
      </c>
      <c r="AN122" s="48">
        <f>MAX(Tabela3[[#This Row],[Cotação 1]:[Cotação 5]])</f>
        <v>10.86</v>
      </c>
      <c r="AO122" s="44">
        <f>Tabela3[Cotação]/Tabela3[VPA]</f>
        <v>1.5053696503302973</v>
      </c>
      <c r="AP122" s="40">
        <f>IF(Tabela3[[#This Row],[Lucro/Ação]]&gt;0,Tabela3[[#This Row],[Cotação]]/(Tabela3[[#This Row],[Lucro/Ação]]/Tabela3[Ref]*4),0)</f>
        <v>12.638379078589013</v>
      </c>
      <c r="AQ122" s="78">
        <f>Tabela3[Lucro Distribuir]/Tabela3[Total Ações]</f>
        <v>0.81632303761787628</v>
      </c>
      <c r="AR122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0.24489691128536289</v>
      </c>
      <c r="AS122" s="15" t="str">
        <f>IF(AND(Tabela3[% A.A.]&gt;=6%,SUMPRODUCT(N(Tabela3[Nome]=Tabela3[[#This Row],[Nome]]),Tabela3[PL])&gt;0,Tabela3[Rentabilidade s/ PL]&gt;=Tabela3[Rentabilidade s/ PL Média]),"Sim","Não")</f>
        <v>Não</v>
      </c>
      <c r="AT122" s="42">
        <f>IF(Tabela3[Cotação]&gt;0,Tabela3[[#This Row],[Lucro]]/Tabela3[[#This Row],[Cotação]],0)</f>
        <v>2.2550360155189953E-2</v>
      </c>
      <c r="AU122" s="19">
        <f>((1+Tabela3[[#This Row],[% Yield]])^(1/(3*Tabela3[[#This Row],[Ref]])))^(12)-1</f>
        <v>2.2550360155189519E-2</v>
      </c>
      <c r="AV122" s="14">
        <f>IF(Tabela3[Cotação]&gt;0,($BH$1/Tabela3[[#This Row],[Cotação]]-MOD($BH$1/Tabela3[[#This Row],[Cotação]],100)),)</f>
        <v>0</v>
      </c>
      <c r="AW122" s="17">
        <f>Tabela3[[#This Row],[Ativos]]*Tabela3[Lucro]</f>
        <v>0</v>
      </c>
      <c r="AX122" s="13">
        <f>SUMPRODUCT(N(Tabela1[Código]=Tabela3[[#This Row],[PAPEL]]),Tabela1[Fechamento])</f>
        <v>0</v>
      </c>
      <c r="AY122" s="55">
        <f>SUMPRODUCT(N(Tabela17[Código]=Tabela3[[#This Row],[PAPEL]]),Tabela17[Fechamento])</f>
        <v>10.86</v>
      </c>
      <c r="AZ122" s="7">
        <f>SUMPRODUCT(N(Tabela176[Código]=Tabela3[[#This Row],[PAPEL]]),Tabela176[Fechamento])</f>
        <v>0</v>
      </c>
      <c r="BA122" s="7">
        <f>SUMPRODUCT(N(Tabela1768[Código]=Tabela3[[#This Row],[PAPEL]]),Tabela1768[Fechamento])</f>
        <v>0</v>
      </c>
      <c r="BB122" s="7">
        <f>SUMPRODUCT(N(Tabela17683[Código]=Tabela3[[#This Row],[PAPEL]]),Tabela17683[Fechamento])</f>
        <v>0</v>
      </c>
    </row>
    <row r="123" spans="1:54" hidden="1" x14ac:dyDescent="0.2">
      <c r="A123" s="3" t="s">
        <v>1709</v>
      </c>
      <c r="B123" s="57" t="s">
        <v>1664</v>
      </c>
      <c r="C123" s="16" t="str">
        <f>LEFT(Tabela3[PAPEL],LEN(Tabela3[PAPEL])-(LEN(Tabela3[PAPEL])-4))</f>
        <v>LEVE</v>
      </c>
      <c r="D123" s="16">
        <v>3</v>
      </c>
      <c r="E123" s="5">
        <v>966254684</v>
      </c>
      <c r="F123" s="56">
        <v>128308500</v>
      </c>
      <c r="G123" s="81">
        <v>0.25</v>
      </c>
      <c r="H123" s="87"/>
      <c r="J123" s="18"/>
      <c r="K123" s="16"/>
      <c r="L123" s="87"/>
      <c r="M123" s="54"/>
      <c r="N123" s="54"/>
      <c r="O123" s="54"/>
      <c r="P123" s="91">
        <v>1437472000</v>
      </c>
      <c r="Q123" s="73">
        <v>170191000</v>
      </c>
      <c r="R123" s="73">
        <f>IF(Tabela3[[#This Row],[Ativo || Passivo]]&gt;0,Tabela3[[#This Row],[Ativo || Passivo]]-Tabela3[[#This Row],[Patrimônio Líquido]],0)</f>
        <v>0</v>
      </c>
      <c r="S123" s="73">
        <f>Tabela3[[#This Row],[Cotação]]*Tabela3[[#This Row],[Total Ações]]</f>
        <v>2862562635</v>
      </c>
      <c r="T123" s="37">
        <f>IF(Tabela3[[#This Row],[Passivo Circulante]]&gt;0,Tabela3[[#This Row],[Ativo Circulante]]/Tabela3[[#This Row],[Passivo Circulante]],0)</f>
        <v>0</v>
      </c>
      <c r="U123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23" s="18">
        <f>IF(Tabela3[[#This Row],[Lucro Líquido]]&gt;0,Tabela3[[#This Row],[Lucro Líquido]]/Tabela3[[#This Row],[Patrimônio Líquido]],0)</f>
        <v>0.11839604527949066</v>
      </c>
      <c r="W123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23" s="18">
        <f>IF(Tabela3[[#This Row],[Dívida]]&gt;0,Tabela3[[#This Row],[Dívida]]/Tabela3[[#This Row],[Patrimônio Líquido]],0)</f>
        <v>0</v>
      </c>
      <c r="Y123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23" s="7">
        <f>Tabela3[[#This Row],[Capital Social]]*20%</f>
        <v>193250936.80000001</v>
      </c>
      <c r="AA123" s="47">
        <f>IF((Tabela3[Lucro Líquido]*5%)&gt;Tabela3[Teto R. Legal],Tabela3[Teto R. Legal],Tabela3[Lucro Líquido]*5%)</f>
        <v>8509550</v>
      </c>
      <c r="AB123" s="47">
        <f>IF(Tabela3[Lucro Líquido]&lt;0,0,Tabela3[Lucro Líquido]-Tabela3[Reserva Legal])</f>
        <v>161681450</v>
      </c>
      <c r="AC123" s="47">
        <f>Tabela3[[#This Row],[Lucro Distribuir]]*Tabela3[%Div]</f>
        <v>40420362.5</v>
      </c>
      <c r="AD123" s="56">
        <f>SUMPRODUCT(N(Tabela3[Nome]=Tabela3[[#This Row],[Nome]]),Tabela3[Ações])</f>
        <v>128308500</v>
      </c>
      <c r="AE123" s="85">
        <f>Tabela3[Capital Social]/Tabela3[Total Ações]</f>
        <v>7.5307145200824577</v>
      </c>
      <c r="AF123" s="85">
        <f>Tabela3[[#This Row],[Lucro Líquido]]/Tabela3[[#This Row],[Total Ações]]</f>
        <v>1.3264203073062191</v>
      </c>
      <c r="AG123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0.31502482298522699</v>
      </c>
      <c r="AH123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23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23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0.31502482298522699</v>
      </c>
      <c r="AK123" s="7">
        <f>Tabela3[Div Base]*Tabela3[Ações]</f>
        <v>40420362.5</v>
      </c>
      <c r="AL123" s="121">
        <f>SUMPRODUCT(N(Tabela3[Nome]=Tabela3[[#This Row],[Nome]]),Tabela3[Div Base]*Tabela3[Ações])</f>
        <v>40420362.5</v>
      </c>
      <c r="AM123" s="5">
        <f>Tabela3[Patrimônio Líquido]/Tabela3[Total Ações]</f>
        <v>11.20324842079831</v>
      </c>
      <c r="AN123" s="52">
        <f>MAX(Tabela3[[#This Row],[Cotação 1]:[Cotação 5]])</f>
        <v>22.31</v>
      </c>
      <c r="AO123" s="53">
        <f>Tabela3[Cotação]/Tabela3[VPA]</f>
        <v>1.9913867087498052</v>
      </c>
      <c r="AP123" s="37">
        <f>IF(Tabela3[[#This Row],[Lucro/Ação]]&gt;0,Tabela3[[#This Row],[Cotação]]/(Tabela3[[#This Row],[Lucro/Ação]]/Tabela3[Ref]*4),0)</f>
        <v>12.614779725426137</v>
      </c>
      <c r="AQ123" s="85">
        <f>Tabela3[Lucro Distribuir]/Tabela3[Total Ações]</f>
        <v>1.260099291940908</v>
      </c>
      <c r="AR123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0.31502482298522699</v>
      </c>
      <c r="AS123" s="10" t="str">
        <f>IF(AND(Tabela3[% A.A.]&gt;=6%,SUMPRODUCT(N(Tabela3[Nome]=Tabela3[[#This Row],[Nome]]),Tabela3[PL])&gt;0,Tabela3[Rentabilidade s/ PL]&gt;=Tabela3[Rentabilidade s/ PL Média]),"Sim","Não")</f>
        <v>Não</v>
      </c>
      <c r="AT123" s="22">
        <f>IF(Tabela3[Cotação]&gt;0,Tabela3[[#This Row],[Lucro]]/Tabela3[[#This Row],[Cotação]],0)</f>
        <v>1.4120341684680727E-2</v>
      </c>
      <c r="AU123" s="22">
        <f>((1+Tabela3[[#This Row],[% Yield]])^(1/(3*Tabela3[[#This Row],[Ref]])))^(12)-1</f>
        <v>1.8871291593963502E-2</v>
      </c>
      <c r="AV123" s="10">
        <f>IF(Tabela3[Cotação]&gt;0,($BD$1/Tabela3[[#This Row],[Cotação]]-MOD($BD$1/Tabela3[[#This Row],[Cotação]],100)),)</f>
        <v>0</v>
      </c>
      <c r="AW123" s="7">
        <f>Tabela3[[#This Row],[Ativos]]*Tabela3[Lucro]</f>
        <v>0</v>
      </c>
      <c r="AX123" s="7">
        <f>SUMPRODUCT(N(Tabela1[Código]=Tabela3[[#This Row],[PAPEL]]),Tabela1[Fechamento])</f>
        <v>0</v>
      </c>
      <c r="AY123" s="7">
        <f>SUMPRODUCT(N(Tabela17[Código]=Tabela3[[#This Row],[PAPEL]]),Tabela17[Fechamento])</f>
        <v>0</v>
      </c>
      <c r="AZ123" s="7">
        <f>SUMPRODUCT(N(Tabela176[Código]=Tabela3[[#This Row],[PAPEL]]),Tabela176[Fechamento])</f>
        <v>0</v>
      </c>
      <c r="BA123" s="7">
        <f>SUMPRODUCT(N(Tabela1768[Código]=Tabela3[[#This Row],[PAPEL]]),Tabela1768[Fechamento])</f>
        <v>0</v>
      </c>
      <c r="BB123" s="7">
        <f>SUMPRODUCT(N(Tabela17683[Código]=Tabela3[[#This Row],[PAPEL]]),Tabela17683[Fechamento])</f>
        <v>22.31</v>
      </c>
    </row>
    <row r="124" spans="1:54" hidden="1" x14ac:dyDescent="0.2">
      <c r="A124" s="3" t="s">
        <v>913</v>
      </c>
      <c r="B124" s="58" t="s">
        <v>923</v>
      </c>
      <c r="C124" s="16" t="str">
        <f>LEFT(Tabela3[PAPEL],LEN(Tabela3[PAPEL])-(LEN(Tabela3[PAPEL])-4))</f>
        <v>MGLU</v>
      </c>
      <c r="D124" s="16">
        <v>3</v>
      </c>
      <c r="E124" s="5">
        <v>626911472</v>
      </c>
      <c r="F124" s="56">
        <v>186494467</v>
      </c>
      <c r="G124" s="81">
        <v>0.15</v>
      </c>
      <c r="H124" s="87"/>
      <c r="J124" s="18"/>
      <c r="K124" s="16"/>
      <c r="L124" s="87"/>
      <c r="M124" s="54"/>
      <c r="N124" s="54"/>
      <c r="O124" s="54"/>
      <c r="P124" s="91">
        <v>697480000</v>
      </c>
      <c r="Q124" s="73">
        <v>80832000</v>
      </c>
      <c r="R124" s="73">
        <f>IF(Tabela3[[#This Row],[Ativo || Passivo]]&gt;0,Tabela3[[#This Row],[Ativo || Passivo]]-Tabela3[[#This Row],[Patrimônio Líquido]],0)</f>
        <v>0</v>
      </c>
      <c r="S124" s="73">
        <f>Tabela3[[#This Row],[Cotação]]*Tabela3[[#This Row],[Total Ações]]</f>
        <v>1396843557.8299999</v>
      </c>
      <c r="T124" s="37">
        <f>IF(Tabela3[[#This Row],[Passivo Circulante]]&gt;0,Tabela3[[#This Row],[Ativo Circulante]]/Tabela3[[#This Row],[Passivo Circulante]],0)</f>
        <v>0</v>
      </c>
      <c r="U124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24" s="18">
        <f>IF(Tabela3[[#This Row],[Lucro Líquido]]&gt;0,Tabela3[[#This Row],[Lucro Líquido]]/Tabela3[[#This Row],[Patrimônio Líquido]],0)</f>
        <v>0.1158914950966336</v>
      </c>
      <c r="W124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24" s="18">
        <f>IF(Tabela3[[#This Row],[Dívida]]&gt;0,Tabela3[[#This Row],[Dívida]]/Tabela3[[#This Row],[Patrimônio Líquido]],0)</f>
        <v>0</v>
      </c>
      <c r="Y124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24" s="7">
        <f>Tabela3[[#This Row],[Capital Social]]*20%</f>
        <v>125382294.40000001</v>
      </c>
      <c r="AA124" s="47">
        <f>IF((Tabela3[Lucro Líquido]*5%)&gt;Tabela3[Teto R. Legal],Tabela3[Teto R. Legal],Tabela3[Lucro Líquido]*5%)</f>
        <v>4041600</v>
      </c>
      <c r="AB124" s="47">
        <f>IF(Tabela3[Lucro Líquido]&lt;0,0,Tabela3[Lucro Líquido]-Tabela3[Reserva Legal])</f>
        <v>76790400</v>
      </c>
      <c r="AC124" s="47">
        <f>Tabela3[[#This Row],[Lucro Distribuir]]*Tabela3[%Div]</f>
        <v>11518560</v>
      </c>
      <c r="AD124" s="56">
        <f>SUMPRODUCT(N(Tabela3[Nome]=Tabela3[[#This Row],[Nome]]),Tabela3[Ações])</f>
        <v>186494467</v>
      </c>
      <c r="AE124" s="85">
        <f>Tabela3[Capital Social]/Tabela3[Total Ações]</f>
        <v>3.3615553430869345</v>
      </c>
      <c r="AF124" s="85">
        <f>Tabela3[[#This Row],[Lucro Líquido]]/Tabela3[[#This Row],[Total Ações]]</f>
        <v>0.43342840836130542</v>
      </c>
      <c r="AG124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6.1763548191486023E-2</v>
      </c>
      <c r="AH124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24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24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6.1763548191486023E-2</v>
      </c>
      <c r="AK124" s="7">
        <f>Tabela3[Div Base]*Tabela3[Ações]</f>
        <v>11518560</v>
      </c>
      <c r="AL124" s="7">
        <f>SUMPRODUCT(N(Tabela3[Nome]=Tabela3[[#This Row],[Nome]]),Tabela3[Div Base]*Tabela3[Ações])</f>
        <v>11518560</v>
      </c>
      <c r="AM124" s="5">
        <f>Tabela3[Patrimônio Líquido]/Tabela3[Total Ações]</f>
        <v>3.7399500972862643</v>
      </c>
      <c r="AN124" s="52">
        <f>MAX(Tabela3[[#This Row],[Cotação 1]:[Cotação 5]])</f>
        <v>7.49</v>
      </c>
      <c r="AO124" s="53">
        <f>Tabela3[Cotação]/Tabela3[VPA]</f>
        <v>2.0027005187675635</v>
      </c>
      <c r="AP124" s="37">
        <f>IF(Tabela3[[#This Row],[Lucro/Ação]]&gt;0,Tabela3[[#This Row],[Cotação]]/(Tabela3[[#This Row],[Lucro/Ação]]/Tabela3[Ref]*4),0)</f>
        <v>12.960617928202939</v>
      </c>
      <c r="AQ124" s="85">
        <f>Tabela3[Lucro Distribuir]/Tabela3[Total Ações]</f>
        <v>0.41175698794324017</v>
      </c>
      <c r="AR124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6.1763548191486023E-2</v>
      </c>
      <c r="AS124" s="10" t="str">
        <f>IF(AND(Tabela3[% A.A.]&gt;=6%,SUMPRODUCT(N(Tabela3[Nome]=Tabela3[[#This Row],[Nome]]),Tabela3[PL])&gt;0,Tabela3[Rentabilidade s/ PL]&gt;=Tabela3[Rentabilidade s/ PL Média]),"Sim","Não")</f>
        <v>Não</v>
      </c>
      <c r="AT124" s="22">
        <f>IF(Tabela3[Cotação]&gt;0,Tabela3[[#This Row],[Lucro]]/Tabela3[[#This Row],[Cotação]],0)</f>
        <v>8.2461346050048089E-3</v>
      </c>
      <c r="AU124" s="22">
        <f>((1+Tabela3[[#This Row],[% Yield]])^(1/(3*Tabela3[[#This Row],[Ref]])))^(12)-1</f>
        <v>1.1009929374727889E-2</v>
      </c>
      <c r="AV124" s="10">
        <f>IF(Tabela3[Cotação]&gt;0,($BD$1/Tabela3[[#This Row],[Cotação]]-MOD($BD$1/Tabela3[[#This Row],[Cotação]],100)),)</f>
        <v>0</v>
      </c>
      <c r="AW124" s="7">
        <f>Tabela3[[#This Row],[Ativos]]*Tabela3[Lucro]</f>
        <v>0</v>
      </c>
      <c r="AX124" s="7">
        <f>SUMPRODUCT(N(Tabela1[Código]=Tabela3[[#This Row],[PAPEL]]),Tabela1[Fechamento])</f>
        <v>0</v>
      </c>
      <c r="AY124" s="7">
        <f>SUMPRODUCT(N(Tabela17[Código]=Tabela3[[#This Row],[PAPEL]]),Tabela17[Fechamento])</f>
        <v>0</v>
      </c>
      <c r="AZ124" s="7">
        <f>SUMPRODUCT(N(Tabela176[Código]=Tabela3[[#This Row],[PAPEL]]),Tabela176[Fechamento])</f>
        <v>0</v>
      </c>
      <c r="BA124" s="7">
        <f>SUMPRODUCT(N(Tabela1768[Código]=Tabela3[[#This Row],[PAPEL]]),Tabela1768[Fechamento])</f>
        <v>7.49</v>
      </c>
      <c r="BB124" s="7">
        <f>SUMPRODUCT(N(Tabela17683[Código]=Tabela3[[#This Row],[PAPEL]]),Tabela17683[Fechamento])</f>
        <v>0</v>
      </c>
    </row>
    <row r="125" spans="1:54" hidden="1" x14ac:dyDescent="0.2">
      <c r="A125" s="3" t="s">
        <v>935</v>
      </c>
      <c r="B125" s="58" t="s">
        <v>1102</v>
      </c>
      <c r="C125" s="16" t="str">
        <f>LEFT(Tabela3[PAPEL],LEN(Tabela3[PAPEL])-(LEN(Tabela3[PAPEL])-4))</f>
        <v>CTSA</v>
      </c>
      <c r="D125" s="16">
        <v>3</v>
      </c>
      <c r="E125" s="5">
        <v>101921764.5</v>
      </c>
      <c r="F125" s="56">
        <v>38041111</v>
      </c>
      <c r="G125" s="81">
        <v>0.25</v>
      </c>
      <c r="H125" s="87"/>
      <c r="J125" s="18"/>
      <c r="K125" s="16"/>
      <c r="L125" s="87"/>
      <c r="M125" s="54"/>
      <c r="N125" s="54"/>
      <c r="O125" s="54"/>
      <c r="P125" s="91">
        <v>277004000</v>
      </c>
      <c r="Q125" s="73">
        <v>31976000</v>
      </c>
      <c r="R125" s="73">
        <f>IF(Tabela3[[#This Row],[Ativo || Passivo]]&gt;0,Tabela3[[#This Row],[Ativo || Passivo]]-Tabela3[[#This Row],[Patrimônio Líquido]],0)</f>
        <v>0</v>
      </c>
      <c r="S125" s="73">
        <f>Tabela3[[#This Row],[Cotação]]*Tabela3[[#This Row],[Total Ações]]</f>
        <v>196495900</v>
      </c>
      <c r="T125" s="37">
        <f>IF(Tabela3[[#This Row],[Passivo Circulante]]&gt;0,Tabela3[[#This Row],[Ativo Circulante]]/Tabela3[[#This Row],[Passivo Circulante]],0)</f>
        <v>0</v>
      </c>
      <c r="U125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25" s="18">
        <f>IF(Tabela3[[#This Row],[Lucro Líquido]]&gt;0,Tabela3[[#This Row],[Lucro Líquido]]/Tabela3[[#This Row],[Patrimônio Líquido]],0)</f>
        <v>0.11543515617103002</v>
      </c>
      <c r="W125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25" s="18">
        <f>IF(Tabela3[[#This Row],[Dívida]]&gt;0,Tabela3[[#This Row],[Dívida]]/Tabela3[[#This Row],[Patrimônio Líquido]],0)</f>
        <v>0</v>
      </c>
      <c r="Y125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25" s="7">
        <f>Tabela3[[#This Row],[Capital Social]]*20%</f>
        <v>20384352.900000002</v>
      </c>
      <c r="AA125" s="47">
        <f>IF((Tabela3[Lucro Líquido]*5%)&gt;Tabela3[Teto R. Legal],Tabela3[Teto R. Legal],Tabela3[Lucro Líquido]*5%)</f>
        <v>1598800</v>
      </c>
      <c r="AB125" s="47">
        <f>IF(Tabela3[Lucro Líquido]&lt;0,0,Tabela3[Lucro Líquido]-Tabela3[Reserva Legal])</f>
        <v>30377200</v>
      </c>
      <c r="AC125" s="47">
        <f>Tabela3[[#This Row],[Lucro Distribuir]]*Tabela3[%Div]</f>
        <v>7594300</v>
      </c>
      <c r="AD125" s="56">
        <f>SUMPRODUCT(N(Tabela3[Nome]=Tabela3[[#This Row],[Nome]]),Tabela3[Ações])</f>
        <v>39299180</v>
      </c>
      <c r="AE125" s="85">
        <f>Tabela3[Capital Social]/Tabela3[Total Ações]</f>
        <v>2.5934832355280695</v>
      </c>
      <c r="AF125" s="85">
        <f>Tabela3[[#This Row],[Lucro Líquido]]/Tabela3[[#This Row],[Total Ações]]</f>
        <v>0.8136556538838724</v>
      </c>
      <c r="AG125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0.18723068646508195</v>
      </c>
      <c r="AH125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25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25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0.18723068646508195</v>
      </c>
      <c r="AK125" s="7">
        <f>Tabela3[Div Base]*Tabela3[Ações]</f>
        <v>7122463.3264243798</v>
      </c>
      <c r="AL125" s="7">
        <f>SUMPRODUCT(N(Tabela3[Nome]=Tabela3[[#This Row],[Nome]]),Tabela3[Div Base]*Tabela3[Ações])</f>
        <v>7358036.3582738405</v>
      </c>
      <c r="AM125" s="5">
        <f>Tabela3[Patrimônio Líquido]/Tabela3[Total Ações]</f>
        <v>7.0485949070693081</v>
      </c>
      <c r="AN125" s="52">
        <f>MAX(Tabela3[[#This Row],[Cotação 1]:[Cotação 5]])</f>
        <v>5</v>
      </c>
      <c r="AO125" s="53">
        <f>Tabela3[Cotação]/Tabela3[VPA]</f>
        <v>0.70936123666084239</v>
      </c>
      <c r="AP125" s="37">
        <f>IF(Tabela3[[#This Row],[Lucro/Ação]]&gt;0,Tabela3[[#This Row],[Cotação]]/(Tabela3[[#This Row],[Lucro/Ação]]/Tabela3[Ref]*4),0)</f>
        <v>4.6088292782086562</v>
      </c>
      <c r="AQ125" s="85">
        <f>Tabela3[Lucro Distribuir]/Tabela3[Total Ações]</f>
        <v>0.77297287118967872</v>
      </c>
      <c r="AR125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0.18723068646508195</v>
      </c>
      <c r="AS125" s="10" t="str">
        <f>IF(AND(Tabela3[% A.A.]&gt;=6%,SUMPRODUCT(N(Tabela3[Nome]=Tabela3[[#This Row],[Nome]]),Tabela3[PL])&gt;0,Tabela3[Rentabilidade s/ PL]&gt;=Tabela3[Rentabilidade s/ PL Média]),"Sim","Não")</f>
        <v>Não</v>
      </c>
      <c r="AT125" s="22">
        <f>IF(Tabela3[Cotação]&gt;0,Tabela3[[#This Row],[Lucro]]/Tabela3[[#This Row],[Cotação]],0)</f>
        <v>3.7446137293016393E-2</v>
      </c>
      <c r="AU125" s="22">
        <f>((1+Tabela3[[#This Row],[% Yield]])^(1/(3*Tabela3[[#This Row],[Ref]])))^(12)-1</f>
        <v>5.0237232695795608E-2</v>
      </c>
      <c r="AV125" s="10">
        <f>IF(Tabela3[Cotação]&gt;0,($BD$1/Tabela3[[#This Row],[Cotação]]-MOD($BD$1/Tabela3[[#This Row],[Cotação]],100)),)</f>
        <v>0</v>
      </c>
      <c r="AW125" s="7">
        <f>Tabela3[[#This Row],[Ativos]]*Tabela3[Lucro]</f>
        <v>0</v>
      </c>
      <c r="AX125" s="7">
        <f>SUMPRODUCT(N(Tabela1[Código]=Tabela3[[#This Row],[PAPEL]]),Tabela1[Fechamento])</f>
        <v>0</v>
      </c>
      <c r="AY125" s="7">
        <f>SUMPRODUCT(N(Tabela17[Código]=Tabela3[[#This Row],[PAPEL]]),Tabela17[Fechamento])</f>
        <v>0</v>
      </c>
      <c r="AZ125" s="7">
        <f>SUMPRODUCT(N(Tabela176[Código]=Tabela3[[#This Row],[PAPEL]]),Tabela176[Fechamento])</f>
        <v>0</v>
      </c>
      <c r="BA125" s="7">
        <f>SUMPRODUCT(N(Tabela1768[Código]=Tabela3[[#This Row],[PAPEL]]),Tabela1768[Fechamento])</f>
        <v>5</v>
      </c>
      <c r="BB125" s="7">
        <f>SUMPRODUCT(N(Tabela17683[Código]=Tabela3[[#This Row],[PAPEL]]),Tabela17683[Fechamento])</f>
        <v>0</v>
      </c>
    </row>
    <row r="126" spans="1:54" hidden="1" x14ac:dyDescent="0.2">
      <c r="A126" s="3" t="s">
        <v>935</v>
      </c>
      <c r="B126" s="58" t="s">
        <v>1103</v>
      </c>
      <c r="C126" s="16" t="str">
        <f>LEFT(Tabela3[PAPEL],LEN(Tabela3[PAPEL])-(LEN(Tabela3[PAPEL])-4))</f>
        <v>CTSA</v>
      </c>
      <c r="D126" s="16">
        <v>3</v>
      </c>
      <c r="E126" s="5">
        <v>101921764.5</v>
      </c>
      <c r="F126" s="56">
        <v>1256792</v>
      </c>
      <c r="G126" s="81">
        <v>0.25</v>
      </c>
      <c r="H126" s="87"/>
      <c r="J126" s="18"/>
      <c r="K126" s="16"/>
      <c r="L126" s="87"/>
      <c r="M126" s="54"/>
      <c r="N126" s="54"/>
      <c r="O126" s="54"/>
      <c r="P126" s="91">
        <v>277004000</v>
      </c>
      <c r="Q126" s="73">
        <v>31976000</v>
      </c>
      <c r="R126" s="73">
        <f>IF(Tabela3[[#This Row],[Ativo || Passivo]]&gt;0,Tabela3[[#This Row],[Ativo || Passivo]]-Tabela3[[#This Row],[Patrimônio Líquido]],0)</f>
        <v>0</v>
      </c>
      <c r="S126" s="73">
        <f>Tabela3[[#This Row],[Cotação]]*Tabela3[[#This Row],[Total Ações]]</f>
        <v>234616104.59999999</v>
      </c>
      <c r="T126" s="37">
        <f>IF(Tabela3[[#This Row],[Passivo Circulante]]&gt;0,Tabela3[[#This Row],[Ativo Circulante]]/Tabela3[[#This Row],[Passivo Circulante]],0)</f>
        <v>0</v>
      </c>
      <c r="U126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26" s="18">
        <f>IF(Tabela3[[#This Row],[Lucro Líquido]]&gt;0,Tabela3[[#This Row],[Lucro Líquido]]/Tabela3[[#This Row],[Patrimônio Líquido]],0)</f>
        <v>0.11543515617103002</v>
      </c>
      <c r="W126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26" s="18">
        <f>IF(Tabela3[[#This Row],[Dívida]]&gt;0,Tabela3[[#This Row],[Dívida]]/Tabela3[[#This Row],[Patrimônio Líquido]],0)</f>
        <v>0</v>
      </c>
      <c r="Y126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26" s="7">
        <f>Tabela3[[#This Row],[Capital Social]]*20%</f>
        <v>20384352.900000002</v>
      </c>
      <c r="AA126" s="47">
        <f>IF((Tabela3[Lucro Líquido]*5%)&gt;Tabela3[Teto R. Legal],Tabela3[Teto R. Legal],Tabela3[Lucro Líquido]*5%)</f>
        <v>1598800</v>
      </c>
      <c r="AB126" s="47">
        <f>IF(Tabela3[Lucro Líquido]&lt;0,0,Tabela3[Lucro Líquido]-Tabela3[Reserva Legal])</f>
        <v>30377200</v>
      </c>
      <c r="AC126" s="47">
        <f>Tabela3[[#This Row],[Lucro Distribuir]]*Tabela3[%Div]</f>
        <v>7594300</v>
      </c>
      <c r="AD126" s="56">
        <f>SUMPRODUCT(N(Tabela3[Nome]=Tabela3[[#This Row],[Nome]]),Tabela3[Ações])</f>
        <v>39299180</v>
      </c>
      <c r="AE126" s="85">
        <f>Tabela3[Capital Social]/Tabela3[Total Ações]</f>
        <v>2.5934832355280695</v>
      </c>
      <c r="AF126" s="85">
        <f>Tabela3[[#This Row],[Lucro Líquido]]/Tabela3[[#This Row],[Total Ações]]</f>
        <v>0.8136556538838724</v>
      </c>
      <c r="AG126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0.18723068646508195</v>
      </c>
      <c r="AH126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26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26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0.18723068646508195</v>
      </c>
      <c r="AK126" s="7">
        <f>Tabela3[Div Base]*Tabela3[Ações]</f>
        <v>235310.02890382329</v>
      </c>
      <c r="AL126" s="7">
        <f>SUMPRODUCT(N(Tabela3[Nome]=Tabela3[[#This Row],[Nome]]),Tabela3[Div Base]*Tabela3[Ações])</f>
        <v>7358036.3582738405</v>
      </c>
      <c r="AM126" s="5">
        <f>Tabela3[Patrimônio Líquido]/Tabela3[Total Ações]</f>
        <v>7.0485949070693081</v>
      </c>
      <c r="AN126" s="52">
        <f>MAX(Tabela3[[#This Row],[Cotação 1]:[Cotação 5]])</f>
        <v>5.97</v>
      </c>
      <c r="AO126" s="53">
        <f>Tabela3[Cotação]/Tabela3[VPA]</f>
        <v>0.84697731657304576</v>
      </c>
      <c r="AP126" s="37">
        <f>IF(Tabela3[[#This Row],[Lucro/Ação]]&gt;0,Tabela3[[#This Row],[Cotação]]/(Tabela3[[#This Row],[Lucro/Ação]]/Tabela3[Ref]*4),0)</f>
        <v>5.5029421581811357</v>
      </c>
      <c r="AQ126" s="85">
        <f>Tabela3[Lucro Distribuir]/Tabela3[Total Ações]</f>
        <v>0.77297287118967872</v>
      </c>
      <c r="AR126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0.18723068646508195</v>
      </c>
      <c r="AS126" s="10" t="str">
        <f>IF(AND(Tabela3[% A.A.]&gt;=6%,SUMPRODUCT(N(Tabela3[Nome]=Tabela3[[#This Row],[Nome]]),Tabela3[PL])&gt;0,Tabela3[Rentabilidade s/ PL]&gt;=Tabela3[Rentabilidade s/ PL Média]),"Sim","Não")</f>
        <v>Não</v>
      </c>
      <c r="AT126" s="22">
        <f>IF(Tabela3[Cotação]&gt;0,Tabela3[[#This Row],[Lucro]]/Tabela3[[#This Row],[Cotação]],0)</f>
        <v>3.1361924031002006E-2</v>
      </c>
      <c r="AU126" s="22">
        <f>((1+Tabela3[[#This Row],[% Yield]])^(1/(3*Tabela3[[#This Row],[Ref]])))^(12)-1</f>
        <v>4.203296616829344E-2</v>
      </c>
      <c r="AV126" s="10">
        <f>IF(Tabela3[Cotação]&gt;0,($BH$1/Tabela3[[#This Row],[Cotação]]-MOD($BH$1/Tabela3[[#This Row],[Cotação]],100)),)</f>
        <v>0</v>
      </c>
      <c r="AW126" s="7">
        <f>Tabela3[[#This Row],[Ativos]]*Tabela3[Lucro]</f>
        <v>0</v>
      </c>
      <c r="AX126" s="7">
        <f>SUMPRODUCT(N(Tabela1[Código]=Tabela3[[#This Row],[PAPEL]]),Tabela1[Fechamento])</f>
        <v>0</v>
      </c>
      <c r="AY126" s="7">
        <f>SUMPRODUCT(N(Tabela17[Código]=Tabela3[[#This Row],[PAPEL]]),Tabela17[Fechamento])</f>
        <v>0</v>
      </c>
      <c r="AZ126" s="7">
        <f>SUMPRODUCT(N(Tabela176[Código]=Tabela3[[#This Row],[PAPEL]]),Tabela176[Fechamento])</f>
        <v>0</v>
      </c>
      <c r="BA126" s="7">
        <f>SUMPRODUCT(N(Tabela1768[Código]=Tabela3[[#This Row],[PAPEL]]),Tabela1768[Fechamento])</f>
        <v>5.97</v>
      </c>
      <c r="BB126" s="7">
        <f>SUMPRODUCT(N(Tabela17683[Código]=Tabela3[[#This Row],[PAPEL]]),Tabela17683[Fechamento])</f>
        <v>0</v>
      </c>
    </row>
    <row r="127" spans="1:54" hidden="1" x14ac:dyDescent="0.2">
      <c r="A127" s="3" t="s">
        <v>935</v>
      </c>
      <c r="B127" s="58" t="s">
        <v>1106</v>
      </c>
      <c r="C127" s="16" t="str">
        <f>LEFT(Tabela3[PAPEL],LEN(Tabela3[PAPEL])-(LEN(Tabela3[PAPEL])-4))</f>
        <v>CTSA</v>
      </c>
      <c r="D127" s="16">
        <v>3</v>
      </c>
      <c r="E127" s="5">
        <v>101921764.5</v>
      </c>
      <c r="F127" s="56">
        <v>1277</v>
      </c>
      <c r="G127" s="81">
        <v>0.25</v>
      </c>
      <c r="H127" s="87"/>
      <c r="J127" s="18">
        <v>0.1</v>
      </c>
      <c r="K127" s="16"/>
      <c r="L127" s="87"/>
      <c r="M127" s="54"/>
      <c r="N127" s="54"/>
      <c r="O127" s="54"/>
      <c r="P127" s="91">
        <v>277004000</v>
      </c>
      <c r="Q127" s="73">
        <v>31976000</v>
      </c>
      <c r="R127" s="73">
        <f>IF(Tabela3[[#This Row],[Ativo || Passivo]]&gt;0,Tabela3[[#This Row],[Ativo || Passivo]]-Tabela3[[#This Row],[Patrimônio Líquido]],0)</f>
        <v>0</v>
      </c>
      <c r="S127" s="73">
        <f>Tabela3[[#This Row],[Cotação]]*Tabela3[[#This Row],[Total Ações]]</f>
        <v>0</v>
      </c>
      <c r="T127" s="37">
        <f>IF(Tabela3[[#This Row],[Passivo Circulante]]&gt;0,Tabela3[[#This Row],[Ativo Circulante]]/Tabela3[[#This Row],[Passivo Circulante]],0)</f>
        <v>0</v>
      </c>
      <c r="U127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27" s="18">
        <f>IF(Tabela3[[#This Row],[Lucro Líquido]]&gt;0,Tabela3[[#This Row],[Lucro Líquido]]/Tabela3[[#This Row],[Patrimônio Líquido]],0)</f>
        <v>0.11543515617103002</v>
      </c>
      <c r="W127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27" s="18">
        <f>IF(Tabela3[[#This Row],[Dívida]]&gt;0,Tabela3[[#This Row],[Dívida]]/Tabela3[[#This Row],[Patrimônio Líquido]],0)</f>
        <v>0</v>
      </c>
      <c r="Y127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27" s="7">
        <f>Tabela3[[#This Row],[Capital Social]]*20%</f>
        <v>20384352.900000002</v>
      </c>
      <c r="AA127" s="47">
        <f>IF((Tabela3[Lucro Líquido]*5%)&gt;Tabela3[Teto R. Legal],Tabela3[Teto R. Legal],Tabela3[Lucro Líquido]*5%)</f>
        <v>1598800</v>
      </c>
      <c r="AB127" s="47">
        <f>IF(Tabela3[Lucro Líquido]&lt;0,0,Tabela3[Lucro Líquido]-Tabela3[Reserva Legal])</f>
        <v>30377200</v>
      </c>
      <c r="AC127" s="47">
        <f>Tabela3[[#This Row],[Lucro Distribuir]]*Tabela3[%Div]</f>
        <v>7594300</v>
      </c>
      <c r="AD127" s="56">
        <f>SUMPRODUCT(N(Tabela3[Nome]=Tabela3[[#This Row],[Nome]]),Tabela3[Ações])</f>
        <v>39299180</v>
      </c>
      <c r="AE127" s="85">
        <f>Tabela3[Capital Social]/Tabela3[Total Ações]</f>
        <v>2.5934832355280695</v>
      </c>
      <c r="AF127" s="85">
        <f>Tabela3[[#This Row],[Lucro Líquido]]/Tabela3[[#This Row],[Total Ações]]</f>
        <v>0.8136556538838724</v>
      </c>
      <c r="AG127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0.20595375539372526</v>
      </c>
      <c r="AH127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27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27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0.20595375539372526</v>
      </c>
      <c r="AK127" s="7">
        <f>Tabela3[Div Base]*Tabela3[Ações]</f>
        <v>263.00294563778715</v>
      </c>
      <c r="AL127" s="7">
        <f>SUMPRODUCT(N(Tabela3[Nome]=Tabela3[[#This Row],[Nome]]),Tabela3[Div Base]*Tabela3[Ações])</f>
        <v>7358036.3582738405</v>
      </c>
      <c r="AM127" s="5">
        <f>Tabela3[Patrimônio Líquido]/Tabela3[Total Ações]</f>
        <v>7.0485949070693081</v>
      </c>
      <c r="AN127" s="52">
        <f>MAX(Tabela3[[#This Row],[Cotação 1]:[Cotação 5]])</f>
        <v>0</v>
      </c>
      <c r="AO127" s="53">
        <f>Tabela3[Cotação]/Tabela3[VPA]</f>
        <v>0</v>
      </c>
      <c r="AP127" s="37">
        <f>IF(Tabela3[[#This Row],[Lucro/Ação]]&gt;0,Tabela3[[#This Row],[Cotação]]/(Tabela3[[#This Row],[Lucro/Ação]]/Tabela3[Ref]*4),0)</f>
        <v>0</v>
      </c>
      <c r="AQ127" s="85">
        <f>Tabela3[Lucro Distribuir]/Tabela3[Total Ações]</f>
        <v>0.77297287118967872</v>
      </c>
      <c r="AR127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0.20595375539372526</v>
      </c>
      <c r="AS127" s="10" t="str">
        <f>IF(AND(Tabela3[% A.A.]&gt;=6%,SUMPRODUCT(N(Tabela3[Nome]=Tabela3[[#This Row],[Nome]]),Tabela3[PL])&gt;0,Tabela3[Rentabilidade s/ PL]&gt;=Tabela3[Rentabilidade s/ PL Média]),"Sim","Não")</f>
        <v>Não</v>
      </c>
      <c r="AT127" s="22">
        <f>IF(Tabela3[Cotação]&gt;0,Tabela3[[#This Row],[Lucro]]/Tabela3[[#This Row],[Cotação]],0)</f>
        <v>0</v>
      </c>
      <c r="AU127" s="22">
        <f>((1+Tabela3[[#This Row],[% Yield]])^(1/(3*Tabela3[[#This Row],[Ref]])))^(12)-1</f>
        <v>0</v>
      </c>
      <c r="AV127" s="10">
        <f>IF(Tabela3[Cotação]&gt;0,($BH$1/Tabela3[[#This Row],[Cotação]]-MOD($BH$1/Tabela3[[#This Row],[Cotação]],100)),)</f>
        <v>0</v>
      </c>
      <c r="AW127" s="7">
        <f>Tabela3[[#This Row],[Ativos]]*Tabela3[Lucro]</f>
        <v>0</v>
      </c>
      <c r="AX127" s="7">
        <f>SUMPRODUCT(N(Tabela1[Código]=Tabela3[[#This Row],[PAPEL]]),Tabela1[Fechamento])</f>
        <v>0</v>
      </c>
      <c r="AY127" s="7">
        <f>SUMPRODUCT(N(Tabela17[Código]=Tabela3[[#This Row],[PAPEL]]),Tabela17[Fechamento])</f>
        <v>0</v>
      </c>
      <c r="AZ127" s="7">
        <f>SUMPRODUCT(N(Tabela176[Código]=Tabela3[[#This Row],[PAPEL]]),Tabela176[Fechamento])</f>
        <v>0</v>
      </c>
      <c r="BA127" s="7">
        <f>SUMPRODUCT(N(Tabela1768[Código]=Tabela3[[#This Row],[PAPEL]]),Tabela1768[Fechamento])</f>
        <v>0</v>
      </c>
      <c r="BB127" s="7">
        <f>SUMPRODUCT(N(Tabela17683[Código]=Tabela3[[#This Row],[PAPEL]]),Tabela17683[Fechamento])</f>
        <v>0</v>
      </c>
    </row>
    <row r="128" spans="1:54" hidden="1" x14ac:dyDescent="0.2">
      <c r="A128" s="4" t="s">
        <v>365</v>
      </c>
      <c r="B128" s="57" t="s">
        <v>363</v>
      </c>
      <c r="C128" s="14" t="str">
        <f>LEFT(Tabela3[PAPEL],LEN(Tabela3[PAPEL])-(LEN(Tabela3[PAPEL])-4))</f>
        <v>MERC</v>
      </c>
      <c r="D128" s="15">
        <v>3</v>
      </c>
      <c r="E128" s="6">
        <v>126070000</v>
      </c>
      <c r="F128" s="8">
        <v>10179565</v>
      </c>
      <c r="G128" s="86">
        <v>0.25</v>
      </c>
      <c r="H128" s="15"/>
      <c r="I128" s="19"/>
      <c r="J128" s="19"/>
      <c r="K128" s="88"/>
      <c r="L128" s="88"/>
      <c r="M128" s="55">
        <v>1222248000</v>
      </c>
      <c r="N128" s="55">
        <v>470754000</v>
      </c>
      <c r="O128" s="55">
        <v>1043815000</v>
      </c>
      <c r="P128" s="5">
        <v>162348000</v>
      </c>
      <c r="Q128" s="5">
        <v>18569000</v>
      </c>
      <c r="R128" s="5">
        <f>IF(Tabela3[[#This Row],[Ativo || Passivo]]&gt;0,Tabela3[[#This Row],[Ativo || Passivo]]-Tabela3[[#This Row],[Patrimônio Líquido]],0)</f>
        <v>1059900000</v>
      </c>
      <c r="S128" s="5">
        <f>Tabela3[[#This Row],[Cotação]]*Tabela3[[#This Row],[Total Ações]]</f>
        <v>1511219100</v>
      </c>
      <c r="T128" s="132">
        <f>IF(Tabela3[[#This Row],[Passivo Circulante]]&gt;0,Tabela3[[#This Row],[Ativo Circulante]]/Tabela3[[#This Row],[Passivo Circulante]],0)</f>
        <v>0.45099371057131771</v>
      </c>
      <c r="U128" s="132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28" s="18">
        <f>IF(Tabela3[[#This Row],[Lucro Líquido]]&gt;0,Tabela3[[#This Row],[Lucro Líquido]]/Tabela3[[#This Row],[Patrimônio Líquido]],0)</f>
        <v>0.11437775642447089</v>
      </c>
      <c r="W128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28" s="18">
        <f>IF(Tabela3[[#This Row],[Dívida]]&gt;0,Tabela3[[#This Row],[Dívida]]/Tabela3[[#This Row],[Patrimônio Líquido]],0)</f>
        <v>6.5285682607731541</v>
      </c>
      <c r="Y128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28" s="6">
        <f>Tabela3[[#This Row],[Capital Social]]*20%</f>
        <v>25214000</v>
      </c>
      <c r="AA128" s="6">
        <f>IF((Tabela3[Lucro Líquido]*5%)&gt;Tabela3[Teto R. Legal],Tabela3[Teto R. Legal],Tabela3[Lucro Líquido]*5%)</f>
        <v>928450</v>
      </c>
      <c r="AB128" s="6">
        <f>IF(Tabela3[Lucro Líquido]&lt;0,0,Tabela3[Lucro Líquido]-Tabela3[Reserva Legal])</f>
        <v>17640550</v>
      </c>
      <c r="AC128" s="6">
        <f>Tabela3[[#This Row],[Lucro Distribuir]]*Tabela3[%Div]</f>
        <v>4410137.5</v>
      </c>
      <c r="AD128" s="56">
        <f>SUMPRODUCT(N(Tabela3[Nome]=Tabela3[[#This Row],[Nome]]),Tabela3[Ações])</f>
        <v>18010000</v>
      </c>
      <c r="AE128" s="6">
        <f>Tabela3[Capital Social]/Tabela3[Total Ações]</f>
        <v>7</v>
      </c>
      <c r="AF128" s="78">
        <f>Tabela3[[#This Row],[Lucro Líquido]]/Tabela3[[#This Row],[Total Ações]]</f>
        <v>1.0310383120488618</v>
      </c>
      <c r="AG128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0.23725271251449986</v>
      </c>
      <c r="AH128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28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0.11015743796517831</v>
      </c>
      <c r="AJ128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0.11015743796517831</v>
      </c>
      <c r="AK128" s="6">
        <f>Tabela3[Div Base]*Tabela3[Ações]</f>
        <v>1121354.8000000003</v>
      </c>
      <c r="AL128" s="6">
        <f>SUMPRODUCT(N(Tabela3[Nome]=Tabela3[[#This Row],[Nome]]),Tabela3[Div Base]*Tabela3[Ações])</f>
        <v>4410137.5</v>
      </c>
      <c r="AM128" s="6">
        <f>Tabela3[Patrimônio Líquido]/Tabela3[Total Ações]</f>
        <v>9.0143253747917829</v>
      </c>
      <c r="AN128" s="48">
        <f>MAX(Tabela3[[#This Row],[Cotação 1]:[Cotação 5]])</f>
        <v>83.91</v>
      </c>
      <c r="AO128" s="44">
        <f>Tabela3[Cotação]/Tabela3[VPA]</f>
        <v>9.3085168896444657</v>
      </c>
      <c r="AP128" s="40">
        <f>IF(Tabela3[[#This Row],[Lucro/Ação]]&gt;0,Tabela3[[#This Row],[Cotação]]/(Tabela3[[#This Row],[Lucro/Ação]]/Tabela3[Ref]*4),0)</f>
        <v>61.037984005600727</v>
      </c>
      <c r="AQ128" s="78">
        <f>Tabela3[Lucro Distribuir]/Tabela3[Total Ações]</f>
        <v>0.97948639644641866</v>
      </c>
      <c r="AR128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0.11015743796517831</v>
      </c>
      <c r="AS128" s="15" t="str">
        <f>IF(AND(Tabela3[% A.A.]&gt;=6%,SUMPRODUCT(N(Tabela3[Nome]=Tabela3[[#This Row],[Nome]]),Tabela3[PL])&gt;0,Tabela3[Rentabilidade s/ PL]&gt;=Tabela3[Rentabilidade s/ PL Média]),"Sim","Não")</f>
        <v>Não</v>
      </c>
      <c r="AT128" s="42">
        <f>IF(Tabela3[Cotação]&gt;0,Tabela3[[#This Row],[Lucro]]/Tabela3[[#This Row],[Cotação]],0)</f>
        <v>1.3128046474219796E-3</v>
      </c>
      <c r="AU128" s="19">
        <f>((1+Tabela3[[#This Row],[% Yield]])^(1/(3*Tabela3[[#This Row],[Ref]])))^(12)-1</f>
        <v>1.7507890751238264E-3</v>
      </c>
      <c r="AV128" s="14">
        <f>IF(Tabela3[Cotação]&gt;0,($BD$1/Tabela3[[#This Row],[Cotação]]-MOD($BD$1/Tabela3[[#This Row],[Cotação]],100)),)</f>
        <v>0</v>
      </c>
      <c r="AW128" s="17">
        <f>Tabela3[[#This Row],[Ativos]]*Tabela3[Lucro]</f>
        <v>0</v>
      </c>
      <c r="AX128" s="5">
        <f>SUMPRODUCT(N(Tabela1[Código]=Tabela3[[#This Row],[PAPEL]]),Tabela1[Fechamento])</f>
        <v>0</v>
      </c>
      <c r="AY128" s="5">
        <f>SUMPRODUCT(N(Tabela17[Código]=Tabela3[[#This Row],[PAPEL]]),Tabela17[Fechamento])</f>
        <v>83.91</v>
      </c>
      <c r="AZ128" s="7">
        <f>SUMPRODUCT(N(Tabela176[Código]=Tabela3[[#This Row],[PAPEL]]),Tabela176[Fechamento])</f>
        <v>0</v>
      </c>
      <c r="BA128" s="7">
        <f>SUMPRODUCT(N(Tabela1768[Código]=Tabela3[[#This Row],[PAPEL]]),Tabela1768[Fechamento])</f>
        <v>0</v>
      </c>
      <c r="BB128" s="7">
        <f>SUMPRODUCT(N(Tabela17683[Código]=Tabela3[[#This Row],[PAPEL]]),Tabela17683[Fechamento])</f>
        <v>0</v>
      </c>
    </row>
    <row r="129" spans="1:54" hidden="1" x14ac:dyDescent="0.2">
      <c r="A129" s="4" t="s">
        <v>365</v>
      </c>
      <c r="B129" s="57" t="s">
        <v>364</v>
      </c>
      <c r="C129" s="82" t="str">
        <f>LEFT(Tabela3[PAPEL],LEN(Tabela3[PAPEL])-(LEN(Tabela3[PAPEL])-4))</f>
        <v>MERC</v>
      </c>
      <c r="D129" s="15">
        <v>3</v>
      </c>
      <c r="E129" s="6">
        <v>126070000</v>
      </c>
      <c r="F129" s="8">
        <v>7830435</v>
      </c>
      <c r="G129" s="81">
        <v>0.25</v>
      </c>
      <c r="H129" s="19"/>
      <c r="I129" s="19">
        <v>0.06</v>
      </c>
      <c r="J129" s="19">
        <v>0.1</v>
      </c>
      <c r="K129" s="88"/>
      <c r="L129" s="88"/>
      <c r="M129" s="55">
        <v>1222248000</v>
      </c>
      <c r="N129" s="55">
        <v>470754000</v>
      </c>
      <c r="O129" s="55">
        <v>1043815000</v>
      </c>
      <c r="P129" s="5">
        <v>162348000</v>
      </c>
      <c r="Q129" s="5">
        <v>18569000</v>
      </c>
      <c r="R129" s="5">
        <f>IF(Tabela3[[#This Row],[Ativo || Passivo]]&gt;0,Tabela3[[#This Row],[Ativo || Passivo]]-Tabela3[[#This Row],[Patrimônio Líquido]],0)</f>
        <v>1059900000</v>
      </c>
      <c r="S129" s="5">
        <f>Tabela3[[#This Row],[Cotação]]*Tabela3[[#This Row],[Total Ações]]</f>
        <v>153085000</v>
      </c>
      <c r="T129" s="132">
        <f>IF(Tabela3[[#This Row],[Passivo Circulante]]&gt;0,Tabela3[[#This Row],[Ativo Circulante]]/Tabela3[[#This Row],[Passivo Circulante]],0)</f>
        <v>0.45099371057131771</v>
      </c>
      <c r="U129" s="132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29" s="18">
        <f>IF(Tabela3[[#This Row],[Lucro Líquido]]&gt;0,Tabela3[[#This Row],[Lucro Líquido]]/Tabela3[[#This Row],[Patrimônio Líquido]],0)</f>
        <v>0.11437775642447089</v>
      </c>
      <c r="W129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29" s="18">
        <f>IF(Tabela3[[#This Row],[Dívida]]&gt;0,Tabela3[[#This Row],[Dívida]]/Tabela3[[#This Row],[Patrimônio Líquido]],0)</f>
        <v>6.5285682607731541</v>
      </c>
      <c r="Y129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29" s="5">
        <f>Tabela3[[#This Row],[Capital Social]]*20%</f>
        <v>25214000</v>
      </c>
      <c r="AA129" s="5">
        <f>IF((Tabela3[Lucro Líquido]*5%)&gt;Tabela3[Teto R. Legal],Tabela3[Teto R. Legal],Tabela3[Lucro Líquido]*5%)</f>
        <v>928450</v>
      </c>
      <c r="AB129" s="5">
        <f>IF(Tabela3[Lucro Líquido]&lt;0,0,Tabela3[Lucro Líquido]-Tabela3[Reserva Legal])</f>
        <v>17640550</v>
      </c>
      <c r="AC129" s="5">
        <f>Tabela3[[#This Row],[Lucro Distribuir]]*Tabela3[%Div]</f>
        <v>4410137.5</v>
      </c>
      <c r="AD129" s="56">
        <f>SUMPRODUCT(N(Tabela3[Nome]=Tabela3[[#This Row],[Nome]]),Tabela3[Ações])</f>
        <v>18010000</v>
      </c>
      <c r="AE129" s="5">
        <f>Tabela3[Capital Social]/Tabela3[Total Ações]</f>
        <v>7</v>
      </c>
      <c r="AF129" s="78">
        <f>Tabela3[[#This Row],[Lucro Líquido]]/Tabela3[[#This Row],[Total Ações]]</f>
        <v>1.0310383120488618</v>
      </c>
      <c r="AG129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0.2609779841234624</v>
      </c>
      <c r="AH129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29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0.42</v>
      </c>
      <c r="AJ129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0.42</v>
      </c>
      <c r="AK129" s="5">
        <f>Tabela3[Div Base]*Tabela3[Ações]</f>
        <v>3288782.6999999997</v>
      </c>
      <c r="AL129" s="5">
        <f>SUMPRODUCT(N(Tabela3[Nome]=Tabela3[[#This Row],[Nome]]),Tabela3[Div Base]*Tabela3[Ações])</f>
        <v>4410137.5</v>
      </c>
      <c r="AM129" s="6">
        <f>Tabela3[Patrimônio Líquido]/Tabela3[Total Ações]</f>
        <v>9.0143253747917829</v>
      </c>
      <c r="AN129" s="48">
        <f>MAX(Tabela3[[#This Row],[Cotação 1]:[Cotação 5]])</f>
        <v>8.5</v>
      </c>
      <c r="AO129" s="44">
        <f>Tabela3[Cotação]/Tabela3[VPA]</f>
        <v>0.94294355335452229</v>
      </c>
      <c r="AP129" s="40">
        <f>IF(Tabela3[[#This Row],[Lucro/Ação]]&gt;0,Tabela3[[#This Row],[Cotação]]/(Tabela3[[#This Row],[Lucro/Ação]]/Tabela3[Ref]*4),0)</f>
        <v>6.1830874037374119</v>
      </c>
      <c r="AQ129" s="78">
        <f>Tabela3[Lucro Distribuir]/Tabela3[Total Ações]</f>
        <v>0.97948639644641866</v>
      </c>
      <c r="AR129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0.42</v>
      </c>
      <c r="AS129" s="15" t="str">
        <f>IF(AND(Tabela3[% A.A.]&gt;=6%,SUMPRODUCT(N(Tabela3[Nome]=Tabela3[[#This Row],[Nome]]),Tabela3[PL])&gt;0,Tabela3[Rentabilidade s/ PL]&gt;=Tabela3[Rentabilidade s/ PL Média]),"Sim","Não")</f>
        <v>Não</v>
      </c>
      <c r="AT129" s="42">
        <f>IF(Tabela3[Cotação]&gt;0,Tabela3[[#This Row],[Lucro]]/Tabela3[[#This Row],[Cotação]],0)</f>
        <v>4.9411764705882349E-2</v>
      </c>
      <c r="AU129" s="19">
        <f>((1+Tabela3[[#This Row],[% Yield]])^(1/(3*Tabela3[[#This Row],[Ref]])))^(12)-1</f>
        <v>6.6419075484317913E-2</v>
      </c>
      <c r="AV129" s="14">
        <f>IF(Tabela3[Cotação]&gt;0,($BH$1/Tabela3[[#This Row],[Cotação]]-MOD($BH$1/Tabela3[[#This Row],[Cotação]],100)),)</f>
        <v>0</v>
      </c>
      <c r="AW129" s="17">
        <f>Tabela3[[#This Row],[Ativos]]*Tabela3[Lucro]</f>
        <v>0</v>
      </c>
      <c r="AX129" s="13">
        <f>SUMPRODUCT(N(Tabela1[Código]=Tabela3[[#This Row],[PAPEL]]),Tabela1[Fechamento])</f>
        <v>0</v>
      </c>
      <c r="AY129" s="55">
        <f>SUMPRODUCT(N(Tabela17[Código]=Tabela3[[#This Row],[PAPEL]]),Tabela17[Fechamento])</f>
        <v>8.5</v>
      </c>
      <c r="AZ129" s="7">
        <f>SUMPRODUCT(N(Tabela176[Código]=Tabela3[[#This Row],[PAPEL]]),Tabela176[Fechamento])</f>
        <v>0</v>
      </c>
      <c r="BA129" s="7">
        <f>SUMPRODUCT(N(Tabela1768[Código]=Tabela3[[#This Row],[PAPEL]]),Tabela1768[Fechamento])</f>
        <v>0</v>
      </c>
      <c r="BB129" s="7">
        <f>SUMPRODUCT(N(Tabela17683[Código]=Tabela3[[#This Row],[PAPEL]]),Tabela17683[Fechamento])</f>
        <v>0</v>
      </c>
    </row>
    <row r="130" spans="1:54" hidden="1" x14ac:dyDescent="0.2">
      <c r="A130" s="3" t="s">
        <v>1545</v>
      </c>
      <c r="B130" s="57" t="s">
        <v>1535</v>
      </c>
      <c r="C130" s="16" t="str">
        <f>LEFT(Tabela3[PAPEL],LEN(Tabela3[PAPEL])-(LEN(Tabela3[PAPEL])-4))</f>
        <v>EALT</v>
      </c>
      <c r="D130" s="16">
        <v>3</v>
      </c>
      <c r="E130" s="5">
        <v>8594000</v>
      </c>
      <c r="F130" s="56">
        <v>975000</v>
      </c>
      <c r="G130" s="81">
        <v>0.25</v>
      </c>
      <c r="H130" s="87"/>
      <c r="J130" s="18"/>
      <c r="K130" s="16"/>
      <c r="L130" s="87"/>
      <c r="M130" s="54"/>
      <c r="N130" s="54"/>
      <c r="O130" s="54"/>
      <c r="P130" s="91">
        <v>70672000</v>
      </c>
      <c r="Q130" s="73">
        <v>8076000</v>
      </c>
      <c r="R130" s="73">
        <f>IF(Tabela3[[#This Row],[Ativo || Passivo]]&gt;0,Tabela3[[#This Row],[Ativo || Passivo]]-Tabela3[[#This Row],[Patrimônio Líquido]],0)</f>
        <v>0</v>
      </c>
      <c r="S130" s="73">
        <f>Tabela3[[#This Row],[Cotação]]*Tabela3[[#This Row],[Total Ações]]</f>
        <v>63000000</v>
      </c>
      <c r="T130" s="37">
        <f>IF(Tabela3[[#This Row],[Passivo Circulante]]&gt;0,Tabela3[[#This Row],[Ativo Circulante]]/Tabela3[[#This Row],[Passivo Circulante]],0)</f>
        <v>0</v>
      </c>
      <c r="U130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30" s="18">
        <f>IF(Tabela3[[#This Row],[Lucro Líquido]]&gt;0,Tabela3[[#This Row],[Lucro Líquido]]/Tabela3[[#This Row],[Patrimônio Líquido]],0)</f>
        <v>0.11427439438532941</v>
      </c>
      <c r="W130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30" s="18">
        <f>IF(Tabela3[[#This Row],[Dívida]]&gt;0,Tabela3[[#This Row],[Dívida]]/Tabela3[[#This Row],[Patrimônio Líquido]],0)</f>
        <v>0</v>
      </c>
      <c r="Y130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30" s="7">
        <f>Tabela3[[#This Row],[Capital Social]]*20%</f>
        <v>1718800</v>
      </c>
      <c r="AA130" s="47">
        <f>IF((Tabela3[Lucro Líquido]*5%)&gt;Tabela3[Teto R. Legal],Tabela3[Teto R. Legal],Tabela3[Lucro Líquido]*5%)</f>
        <v>403800</v>
      </c>
      <c r="AB130" s="47">
        <f>IF(Tabela3[Lucro Líquido]&lt;0,0,Tabela3[Lucro Líquido]-Tabela3[Reserva Legal])</f>
        <v>7672200</v>
      </c>
      <c r="AC130" s="47">
        <f>Tabela3[[#This Row],[Lucro Distribuir]]*Tabela3[%Div]</f>
        <v>1918050</v>
      </c>
      <c r="AD130" s="56">
        <f>SUMPRODUCT(N(Tabela3[Nome]=Tabela3[[#This Row],[Nome]]),Tabela3[Ações])</f>
        <v>2250000</v>
      </c>
      <c r="AE130" s="85">
        <f>Tabela3[Capital Social]/Tabela3[Total Ações]</f>
        <v>3.8195555555555556</v>
      </c>
      <c r="AF130" s="85">
        <f>Tabela3[[#This Row],[Lucro Líquido]]/Tabela3[[#This Row],[Total Ações]]</f>
        <v>3.5893333333333333</v>
      </c>
      <c r="AG130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0.82594318707692005</v>
      </c>
      <c r="AH130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30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30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0.82594318707692005</v>
      </c>
      <c r="AK130" s="7">
        <f>Tabela3[Div Base]*Tabela3[Ações]</f>
        <v>805294.60739999707</v>
      </c>
      <c r="AL130" s="121">
        <f>SUMPRODUCT(N(Tabela3[Nome]=Tabela3[[#This Row],[Nome]]),Tabela3[Div Base]*Tabela3[Ações])</f>
        <v>1963679.9288622441</v>
      </c>
      <c r="AM130" s="5">
        <f>Tabela3[Patrimônio Líquido]/Tabela3[Total Ações]</f>
        <v>31.409777777777776</v>
      </c>
      <c r="AN130" s="52">
        <f>MAX(Tabela3[[#This Row],[Cotação 1]:[Cotação 5]])</f>
        <v>28</v>
      </c>
      <c r="AO130" s="53">
        <f>Tabela3[Cotação]/Tabela3[VPA]</f>
        <v>0.89144215530903337</v>
      </c>
      <c r="AP130" s="37">
        <f>IF(Tabela3[[#This Row],[Lucro/Ação]]&gt;0,Tabela3[[#This Row],[Cotação]]/(Tabela3[[#This Row],[Lucro/Ação]]/Tabela3[Ref]*4),0)</f>
        <v>5.8506686478454686</v>
      </c>
      <c r="AQ130" s="85">
        <f>Tabela3[Lucro Distribuir]/Tabela3[Total Ações]</f>
        <v>3.4098666666666668</v>
      </c>
      <c r="AR130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0.82594318707692005</v>
      </c>
      <c r="AS130" s="10" t="str">
        <f>IF(AND(Tabela3[% A.A.]&gt;=6%,SUMPRODUCT(N(Tabela3[Nome]=Tabela3[[#This Row],[Nome]]),Tabela3[PL])&gt;0,Tabela3[Rentabilidade s/ PL]&gt;=Tabela3[Rentabilidade s/ PL Média]),"Sim","Não")</f>
        <v>Não</v>
      </c>
      <c r="AT130" s="22">
        <f>IF(Tabela3[Cotação]&gt;0,Tabela3[[#This Row],[Lucro]]/Tabela3[[#This Row],[Cotação]],0)</f>
        <v>2.9497970967032858E-2</v>
      </c>
      <c r="AU130" s="22">
        <f>((1+Tabela3[[#This Row],[% Yield]])^(1/(3*Tabela3[[#This Row],[Ref]])))^(12)-1</f>
        <v>3.9522738070927987E-2</v>
      </c>
      <c r="AV130" s="10">
        <f>IF(Tabela3[Cotação]&gt;0,($BH$1/Tabela3[[#This Row],[Cotação]]-MOD($BH$1/Tabela3[[#This Row],[Cotação]],100)),)</f>
        <v>0</v>
      </c>
      <c r="AW130" s="7">
        <f>Tabela3[[#This Row],[Ativos]]*Tabela3[Lucro]</f>
        <v>0</v>
      </c>
      <c r="AX130" s="7">
        <f>SUMPRODUCT(N(Tabela1[Código]=Tabela3[[#This Row],[PAPEL]]),Tabela1[Fechamento])</f>
        <v>0</v>
      </c>
      <c r="AY130" s="7">
        <f>SUMPRODUCT(N(Tabela17[Código]=Tabela3[[#This Row],[PAPEL]]),Tabela17[Fechamento])</f>
        <v>0</v>
      </c>
      <c r="AZ130" s="7">
        <f>SUMPRODUCT(N(Tabela176[Código]=Tabela3[[#This Row],[PAPEL]]),Tabela176[Fechamento])</f>
        <v>0</v>
      </c>
      <c r="BA130" s="7">
        <f>SUMPRODUCT(N(Tabela1768[Código]=Tabela3[[#This Row],[PAPEL]]),Tabela1768[Fechamento])</f>
        <v>0</v>
      </c>
      <c r="BB130" s="7">
        <f>SUMPRODUCT(N(Tabela17683[Código]=Tabela3[[#This Row],[PAPEL]]),Tabela17683[Fechamento])</f>
        <v>28</v>
      </c>
    </row>
    <row r="131" spans="1:54" hidden="1" x14ac:dyDescent="0.2">
      <c r="A131" s="3" t="s">
        <v>1545</v>
      </c>
      <c r="B131" s="57" t="s">
        <v>1536</v>
      </c>
      <c r="C131" s="16" t="str">
        <f>LEFT(Tabela3[PAPEL],LEN(Tabela3[PAPEL])-(LEN(Tabela3[PAPEL])-4))</f>
        <v>EALT</v>
      </c>
      <c r="D131" s="16">
        <v>3</v>
      </c>
      <c r="E131" s="5">
        <v>8594000</v>
      </c>
      <c r="F131" s="56">
        <v>1275000</v>
      </c>
      <c r="G131" s="81">
        <v>0.25</v>
      </c>
      <c r="H131" s="87"/>
      <c r="J131" s="18">
        <v>0.1</v>
      </c>
      <c r="K131" s="16"/>
      <c r="L131" s="87"/>
      <c r="M131" s="54"/>
      <c r="N131" s="54"/>
      <c r="O131" s="54"/>
      <c r="P131" s="91">
        <v>70672000</v>
      </c>
      <c r="Q131" s="73">
        <v>8076000</v>
      </c>
      <c r="R131" s="73">
        <f>IF(Tabela3[[#This Row],[Ativo || Passivo]]&gt;0,Tabela3[[#This Row],[Ativo || Passivo]]-Tabela3[[#This Row],[Patrimônio Líquido]],0)</f>
        <v>0</v>
      </c>
      <c r="S131" s="73">
        <f>Tabela3[[#This Row],[Cotação]]*Tabela3[[#This Row],[Total Ações]]</f>
        <v>56250000</v>
      </c>
      <c r="T131" s="37">
        <f>IF(Tabela3[[#This Row],[Passivo Circulante]]&gt;0,Tabela3[[#This Row],[Ativo Circulante]]/Tabela3[[#This Row],[Passivo Circulante]],0)</f>
        <v>0</v>
      </c>
      <c r="U131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31" s="18">
        <f>IF(Tabela3[[#This Row],[Lucro Líquido]]&gt;0,Tabela3[[#This Row],[Lucro Líquido]]/Tabela3[[#This Row],[Patrimônio Líquido]],0)</f>
        <v>0.11427439438532941</v>
      </c>
      <c r="W131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31" s="18">
        <f>IF(Tabela3[[#This Row],[Dívida]]&gt;0,Tabela3[[#This Row],[Dívida]]/Tabela3[[#This Row],[Patrimônio Líquido]],0)</f>
        <v>0</v>
      </c>
      <c r="Y131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31" s="7">
        <f>Tabela3[[#This Row],[Capital Social]]*20%</f>
        <v>1718800</v>
      </c>
      <c r="AA131" s="47">
        <f>IF((Tabela3[Lucro Líquido]*5%)&gt;Tabela3[Teto R. Legal],Tabela3[Teto R. Legal],Tabela3[Lucro Líquido]*5%)</f>
        <v>403800</v>
      </c>
      <c r="AB131" s="47">
        <f>IF(Tabela3[Lucro Líquido]&lt;0,0,Tabela3[Lucro Líquido]-Tabela3[Reserva Legal])</f>
        <v>7672200</v>
      </c>
      <c r="AC131" s="47">
        <f>Tabela3[[#This Row],[Lucro Distribuir]]*Tabela3[%Div]</f>
        <v>1918050</v>
      </c>
      <c r="AD131" s="56">
        <f>SUMPRODUCT(N(Tabela3[Nome]=Tabela3[[#This Row],[Nome]]),Tabela3[Ações])</f>
        <v>2250000</v>
      </c>
      <c r="AE131" s="85">
        <f>Tabela3[Capital Social]/Tabela3[Total Ações]</f>
        <v>3.8195555555555556</v>
      </c>
      <c r="AF131" s="85">
        <f>Tabela3[[#This Row],[Lucro Líquido]]/Tabela3[[#This Row],[Total Ações]]</f>
        <v>3.5893333333333333</v>
      </c>
      <c r="AG131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0.90853750702921343</v>
      </c>
      <c r="AH131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31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31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0.90853750702921343</v>
      </c>
      <c r="AK131" s="7">
        <f>Tabela3[Div Base]*Tabela3[Ações]</f>
        <v>1158385.3214622471</v>
      </c>
      <c r="AL131" s="121">
        <f>SUMPRODUCT(N(Tabela3[Nome]=Tabela3[[#This Row],[Nome]]),Tabela3[Div Base]*Tabela3[Ações])</f>
        <v>1963679.9288622441</v>
      </c>
      <c r="AM131" s="5">
        <f>Tabela3[Patrimônio Líquido]/Tabela3[Total Ações]</f>
        <v>31.409777777777776</v>
      </c>
      <c r="AN131" s="52">
        <f>MAX(Tabela3[[#This Row],[Cotação 1]:[Cotação 5]])</f>
        <v>25</v>
      </c>
      <c r="AO131" s="53">
        <f>Tabela3[Cotação]/Tabela3[VPA]</f>
        <v>0.79593049581163688</v>
      </c>
      <c r="AP131" s="37">
        <f>IF(Tabela3[[#This Row],[Lucro/Ação]]&gt;0,Tabela3[[#This Row],[Cotação]]/(Tabela3[[#This Row],[Lucro/Ação]]/Tabela3[Ref]*4),0)</f>
        <v>5.2238112927191684</v>
      </c>
      <c r="AQ131" s="85">
        <f>Tabela3[Lucro Distribuir]/Tabela3[Total Ações]</f>
        <v>3.4098666666666668</v>
      </c>
      <c r="AR131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0.90853750702921343</v>
      </c>
      <c r="AS131" s="10" t="str">
        <f>IF(AND(Tabela3[% A.A.]&gt;=6%,SUMPRODUCT(N(Tabela3[Nome]=Tabela3[[#This Row],[Nome]]),Tabela3[PL])&gt;0,Tabela3[Rentabilidade s/ PL]&gt;=Tabela3[Rentabilidade s/ PL Média]),"Sim","Não")</f>
        <v>Não</v>
      </c>
      <c r="AT131" s="22">
        <f>IF(Tabela3[Cotação]&gt;0,Tabela3[[#This Row],[Lucro]]/Tabela3[[#This Row],[Cotação]],0)</f>
        <v>3.6341500281168539E-2</v>
      </c>
      <c r="AU131" s="22">
        <f>((1+Tabela3[[#This Row],[% Yield]])^(1/(3*Tabela3[[#This Row],[Ref]])))^(12)-1</f>
        <v>4.874648864641018E-2</v>
      </c>
      <c r="AV131" s="10">
        <f>IF(Tabela3[Cotação]&gt;0,($BH$1/Tabela3[[#This Row],[Cotação]]-MOD($BH$1/Tabela3[[#This Row],[Cotação]],100)),)</f>
        <v>0</v>
      </c>
      <c r="AW131" s="7">
        <f>Tabela3[[#This Row],[Ativos]]*Tabela3[Lucro]</f>
        <v>0</v>
      </c>
      <c r="AX131" s="7">
        <f>SUMPRODUCT(N(Tabela1[Código]=Tabela3[[#This Row],[PAPEL]]),Tabela1[Fechamento])</f>
        <v>0</v>
      </c>
      <c r="AY131" s="7">
        <f>SUMPRODUCT(N(Tabela17[Código]=Tabela3[[#This Row],[PAPEL]]),Tabela17[Fechamento])</f>
        <v>0</v>
      </c>
      <c r="AZ131" s="7">
        <f>SUMPRODUCT(N(Tabela176[Código]=Tabela3[[#This Row],[PAPEL]]),Tabela176[Fechamento])</f>
        <v>0</v>
      </c>
      <c r="BA131" s="7">
        <f>SUMPRODUCT(N(Tabela1768[Código]=Tabela3[[#This Row],[PAPEL]]),Tabela1768[Fechamento])</f>
        <v>0</v>
      </c>
      <c r="BB131" s="7">
        <f>SUMPRODUCT(N(Tabela17683[Código]=Tabela3[[#This Row],[PAPEL]]),Tabela17683[Fechamento])</f>
        <v>25</v>
      </c>
    </row>
    <row r="132" spans="1:54" hidden="1" x14ac:dyDescent="0.2">
      <c r="A132" s="4" t="s">
        <v>14</v>
      </c>
      <c r="B132" s="57" t="s">
        <v>62</v>
      </c>
      <c r="C132" s="14" t="str">
        <f>LEFT(Tabela3[PAPEL],LEN(Tabela3[PAPEL])-(LEN(Tabela3[PAPEL])-4))</f>
        <v>BAZA</v>
      </c>
      <c r="D132" s="15">
        <v>4</v>
      </c>
      <c r="E132" s="6">
        <v>1219669840.8399999</v>
      </c>
      <c r="F132" s="8">
        <v>2964596762</v>
      </c>
      <c r="G132" s="86">
        <v>0.25</v>
      </c>
      <c r="H132" s="15"/>
      <c r="I132" s="19"/>
      <c r="J132" s="19"/>
      <c r="K132" s="88"/>
      <c r="L132" s="88"/>
      <c r="M132" s="55"/>
      <c r="N132" s="55"/>
      <c r="O132" s="55"/>
      <c r="P132" s="6">
        <v>1624994000</v>
      </c>
      <c r="Q132" s="6">
        <v>182498000</v>
      </c>
      <c r="R132" s="6">
        <f>IF(Tabela3[[#This Row],[Ativo || Passivo]]&gt;0,Tabela3[[#This Row],[Ativo || Passivo]]-Tabela3[[#This Row],[Patrimônio Líquido]],0)</f>
        <v>0</v>
      </c>
      <c r="S132" s="6">
        <f>Tabela3[[#This Row],[Cotação]]*Tabela3[[#This Row],[Total Ações]]</f>
        <v>889379028.60000002</v>
      </c>
      <c r="T132" s="134">
        <f>IF(Tabela3[[#This Row],[Passivo Circulante]]&gt;0,Tabela3[[#This Row],[Ativo Circulante]]/Tabela3[[#This Row],[Passivo Circulante]],0)</f>
        <v>0</v>
      </c>
      <c r="U132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32" s="19">
        <f>IF(Tabela3[[#This Row],[Lucro Líquido]]&gt;0,Tabela3[[#This Row],[Lucro Líquido]]/Tabela3[[#This Row],[Patrimônio Líquido]],0)</f>
        <v>0.11230687621000447</v>
      </c>
      <c r="W132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32" s="19">
        <f>IF(Tabela3[[#This Row],[Dívida]]&gt;0,Tabela3[[#This Row],[Dívida]]/Tabela3[[#This Row],[Patrimônio Líquido]],0)</f>
        <v>0</v>
      </c>
      <c r="Y132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32" s="6">
        <f>Tabela3[[#This Row],[Capital Social]]*20%</f>
        <v>243933968.16799998</v>
      </c>
      <c r="AA132" s="6">
        <f>IF((Tabela3[Lucro Líquido]*5%)&gt;Tabela3[Teto R. Legal],Tabela3[Teto R. Legal],Tabela3[Lucro Líquido]*5%)</f>
        <v>9124900</v>
      </c>
      <c r="AB132" s="6">
        <f>IF(Tabela3[Lucro Líquido]&lt;0,0,Tabela3[Lucro Líquido]-Tabela3[Reserva Legal])</f>
        <v>173373100</v>
      </c>
      <c r="AC132" s="6">
        <f>Tabela3[[#This Row],[Lucro Distribuir]]*Tabela3[%Div]</f>
        <v>43343275</v>
      </c>
      <c r="AD132" s="21">
        <f>SUMPRODUCT(N(Tabela3[Nome]=Tabela3[[#This Row],[Nome]]),Tabela3[Ações])</f>
        <v>2964596762</v>
      </c>
      <c r="AE132" s="6">
        <f>Tabela3[Capital Social]/Tabela3[Total Ações]</f>
        <v>0.4114117159114673</v>
      </c>
      <c r="AF132" s="78">
        <f>Tabela3[[#This Row],[Lucro Líquido]]/Tabela3[[#This Row],[Total Ações]]</f>
        <v>6.155913085356058E-2</v>
      </c>
      <c r="AG132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1.4620293577720638E-2</v>
      </c>
      <c r="AH132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32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32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1.4620293577720638E-2</v>
      </c>
      <c r="AK132" s="6">
        <f>Tabela3[Div Base]*Tabela3[Ações]</f>
        <v>43343275</v>
      </c>
      <c r="AL132" s="6">
        <f>SUMPRODUCT(N(Tabela3[Nome]=Tabela3[[#This Row],[Nome]]),Tabela3[Div Base]*Tabela3[Ações])</f>
        <v>43343275</v>
      </c>
      <c r="AM132" s="6">
        <f>Tabela3[Patrimônio Líquido]/Tabela3[Total Ações]</f>
        <v>0.54813323040389939</v>
      </c>
      <c r="AN132" s="48">
        <f>MAX(Tabela3[[#This Row],[Cotação 1]:[Cotação 5]])</f>
        <v>0.3</v>
      </c>
      <c r="AO132" s="44">
        <f>Tabela3[Cotação]/Tabela3[VPA]</f>
        <v>0.54731219229117145</v>
      </c>
      <c r="AP132" s="40">
        <f>IF(Tabela3[[#This Row],[Lucro/Ação]]&gt;0,Tabela3[[#This Row],[Cotação]]/(Tabela3[[#This Row],[Lucro/Ação]]/Tabela3[Ref]*4),0)</f>
        <v>4.873363152472904</v>
      </c>
      <c r="AQ132" s="78">
        <f>Tabela3[Lucro Distribuir]/Tabela3[Total Ações]</f>
        <v>5.8481174310882553E-2</v>
      </c>
      <c r="AR132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1.4620293577720638E-2</v>
      </c>
      <c r="AS132" s="15" t="str">
        <f>IF(AND(Tabela3[% A.A.]&gt;=6%,SUMPRODUCT(N(Tabela3[Nome]=Tabela3[[#This Row],[Nome]]),Tabela3[PL])&gt;0,Tabela3[Rentabilidade s/ PL]&gt;=Tabela3[Rentabilidade s/ PL Média]),"Sim","Não")</f>
        <v>Não</v>
      </c>
      <c r="AT132" s="42">
        <f>IF(Tabela3[Cotação]&gt;0,Tabela3[[#This Row],[Lucro]]/Tabela3[[#This Row],[Cotação]],0)</f>
        <v>4.8734311925735463E-2</v>
      </c>
      <c r="AU132" s="19">
        <f>((1+Tabela3[[#This Row],[% Yield]])^(1/(3*Tabela3[[#This Row],[Ref]])))^(12)-1</f>
        <v>4.8734311925736629E-2</v>
      </c>
      <c r="AV132" s="14">
        <f>IF(Tabela3[Cotação]&gt;0,($BH$1/Tabela3[[#This Row],[Cotação]]-MOD($BH$1/Tabela3[[#This Row],[Cotação]],100)),)</f>
        <v>1600</v>
      </c>
      <c r="AW132" s="17">
        <f>Tabela3[[#This Row],[Ativos]]*Tabela3[Lucro]</f>
        <v>23.39246972435302</v>
      </c>
      <c r="AX132" s="5">
        <f>SUMPRODUCT(N(Tabela1[Código]=Tabela3[[#This Row],[PAPEL]]),Tabela1[Fechamento])</f>
        <v>0.3</v>
      </c>
      <c r="AY132" s="5">
        <f>SUMPRODUCT(N(Tabela17[Código]=Tabela3[[#This Row],[PAPEL]]),Tabela17[Fechamento])</f>
        <v>0</v>
      </c>
      <c r="AZ132" s="7">
        <f>SUMPRODUCT(N(Tabela176[Código]=Tabela3[[#This Row],[PAPEL]]),Tabela176[Fechamento])</f>
        <v>0</v>
      </c>
      <c r="BA132" s="7">
        <f>SUMPRODUCT(N(Tabela1768[Código]=Tabela3[[#This Row],[PAPEL]]),Tabela1768[Fechamento])</f>
        <v>0</v>
      </c>
      <c r="BB132" s="7">
        <f>SUMPRODUCT(N(Tabela17683[Código]=Tabela3[[#This Row],[PAPEL]]),Tabela17683[Fechamento])</f>
        <v>0</v>
      </c>
    </row>
    <row r="133" spans="1:54" hidden="1" x14ac:dyDescent="0.2">
      <c r="A133" s="4" t="s">
        <v>12</v>
      </c>
      <c r="B133" s="57" t="s">
        <v>94</v>
      </c>
      <c r="C133" s="14" t="str">
        <f>LEFT(Tabela3[PAPEL],LEN(Tabela3[PAPEL])-(LEN(Tabela3[PAPEL])-4))</f>
        <v>ENMA</v>
      </c>
      <c r="D133" s="15">
        <v>3</v>
      </c>
      <c r="E133" s="6">
        <v>618549815.79999995</v>
      </c>
      <c r="F133" s="8">
        <v>161318939</v>
      </c>
      <c r="G133" s="81">
        <v>0.25</v>
      </c>
      <c r="H133" s="15"/>
      <c r="I133" s="19"/>
      <c r="J133" s="19"/>
      <c r="K133" s="88"/>
      <c r="L133" s="88"/>
      <c r="M133" s="55"/>
      <c r="N133" s="55"/>
      <c r="O133" s="55"/>
      <c r="P133" s="89">
        <v>1380983000</v>
      </c>
      <c r="Q133" s="89">
        <v>154788000</v>
      </c>
      <c r="R133" s="89">
        <f>IF(Tabela3[[#This Row],[Ativo || Passivo]]&gt;0,Tabela3[[#This Row],[Ativo || Passivo]]-Tabela3[[#This Row],[Patrimônio Líquido]],0)</f>
        <v>0</v>
      </c>
      <c r="S133" s="89">
        <f>Tabela3[[#This Row],[Cotação]]*Tabela3[[#This Row],[Total Ações]]</f>
        <v>2429921705.2000003</v>
      </c>
      <c r="T133" s="134">
        <f>IF(Tabela3[[#This Row],[Passivo Circulante]]&gt;0,Tabela3[[#This Row],[Ativo Circulante]]/Tabela3[[#This Row],[Passivo Circulante]],0)</f>
        <v>0</v>
      </c>
      <c r="U133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33" s="19">
        <f>IF(Tabela3[[#This Row],[Lucro Líquido]]&gt;0,Tabela3[[#This Row],[Lucro Líquido]]/Tabela3[[#This Row],[Patrimônio Líquido]],0)</f>
        <v>0.1120853768656095</v>
      </c>
      <c r="W133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33" s="19">
        <f>IF(Tabela3[[#This Row],[Dívida]]&gt;0,Tabela3[[#This Row],[Dívida]]/Tabela3[[#This Row],[Patrimônio Líquido]],0)</f>
        <v>0</v>
      </c>
      <c r="Y133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33" s="6">
        <f>Tabela3[[#This Row],[Capital Social]]*20%</f>
        <v>123709963.16</v>
      </c>
      <c r="AA133" s="6">
        <f>IF((Tabela3[Lucro Líquido]*5%)&gt;Tabela3[Teto R. Legal],Tabela3[Teto R. Legal],Tabela3[Lucro Líquido]*5%)</f>
        <v>7739400</v>
      </c>
      <c r="AB133" s="89">
        <f>IF(Tabela3[Lucro Líquido]&lt;0,0,Tabela3[Lucro Líquido]-Tabela3[Reserva Legal])</f>
        <v>147048600</v>
      </c>
      <c r="AC133" s="89">
        <f>Tabela3[[#This Row],[Lucro Distribuir]]*Tabela3[%Div]</f>
        <v>36762150</v>
      </c>
      <c r="AD133" s="56">
        <f>SUMPRODUCT(N(Tabela3[Nome]=Tabela3[[#This Row],[Nome]]),Tabela3[Ações])</f>
        <v>164183899</v>
      </c>
      <c r="AE133" s="6">
        <f>Tabela3[Capital Social]/Tabela3[Total Ações]</f>
        <v>3.7674206762503548</v>
      </c>
      <c r="AF133" s="78">
        <f>Tabela3[[#This Row],[Lucro Líquido]]/Tabela3[[#This Row],[Total Ações]]</f>
        <v>0.94277210458986604</v>
      </c>
      <c r="AG133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0.22390837484009318</v>
      </c>
      <c r="AH133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33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0.22235174275240552</v>
      </c>
      <c r="AJ133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0.22235174275240552</v>
      </c>
      <c r="AK133" s="6">
        <f>Tabela3[Div Base]*Tabela3[Ações]</f>
        <v>35869547.225618996</v>
      </c>
      <c r="AL133" s="6">
        <f>SUMPRODUCT(N(Tabela3[Nome]=Tabela3[[#This Row],[Nome]]),Tabela3[Div Base]*Tabela3[Ações])</f>
        <v>36762150</v>
      </c>
      <c r="AM133" s="6">
        <f>Tabela3[Patrimônio Líquido]/Tabela3[Total Ações]</f>
        <v>8.4111962769260344</v>
      </c>
      <c r="AN133" s="48">
        <f>MAX(Tabela3[[#This Row],[Cotação 1]:[Cotação 5]])</f>
        <v>14.8</v>
      </c>
      <c r="AO133" s="44">
        <f>Tabela3[Cotação]/Tabela3[VPA]</f>
        <v>1.7595594624988142</v>
      </c>
      <c r="AP133" s="40">
        <f>IF(Tabela3[[#This Row],[Lucro/Ação]]&gt;0,Tabela3[[#This Row],[Cotação]]/(Tabela3[[#This Row],[Lucro/Ação]]/Tabela3[Ref]*4),0)</f>
        <v>11.773789175517482</v>
      </c>
      <c r="AQ133" s="78">
        <f>Tabela3[Lucro Distribuir]/Tabela3[Total Ações]</f>
        <v>0.89563349936037273</v>
      </c>
      <c r="AR133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0.22235174275240552</v>
      </c>
      <c r="AS133" s="15" t="str">
        <f>IF(AND(Tabela3[% A.A.]&gt;=6%,SUMPRODUCT(N(Tabela3[Nome]=Tabela3[[#This Row],[Nome]]),Tabela3[PL])&gt;0,Tabela3[Rentabilidade s/ PL]&gt;=Tabela3[Rentabilidade s/ PL Média]),"Sim","Não")</f>
        <v>Não</v>
      </c>
      <c r="AT133" s="42">
        <f>IF(Tabela3[Cotação]&gt;0,Tabela3[[#This Row],[Lucro]]/Tabela3[[#This Row],[Cotação]],0)</f>
        <v>1.5023766402189562E-2</v>
      </c>
      <c r="AU133" s="19">
        <f>((1+Tabela3[[#This Row],[% Yield]])^(1/(3*Tabela3[[#This Row],[Ref]])))^(12)-1</f>
        <v>2.0081680684278957E-2</v>
      </c>
      <c r="AV133" s="14">
        <f>IF(Tabela3[Cotação]&gt;0,($BD$1/Tabela3[[#This Row],[Cotação]]-MOD($BD$1/Tabela3[[#This Row],[Cotação]],100)),)</f>
        <v>0</v>
      </c>
      <c r="AW133" s="17">
        <f>Tabela3[[#This Row],[Ativos]]*Tabela3[Lucro]</f>
        <v>0</v>
      </c>
      <c r="AX133" s="5">
        <f>SUMPRODUCT(N(Tabela1[Código]=Tabela3[[#This Row],[PAPEL]]),Tabela1[Fechamento])</f>
        <v>14.8</v>
      </c>
      <c r="AY133" s="5">
        <f>SUMPRODUCT(N(Tabela17[Código]=Tabela3[[#This Row],[PAPEL]]),Tabela17[Fechamento])</f>
        <v>0</v>
      </c>
      <c r="AZ133" s="7">
        <f>SUMPRODUCT(N(Tabela176[Código]=Tabela3[[#This Row],[PAPEL]]),Tabela176[Fechamento])</f>
        <v>0</v>
      </c>
      <c r="BA133" s="7">
        <f>SUMPRODUCT(N(Tabela1768[Código]=Tabela3[[#This Row],[PAPEL]]),Tabela1768[Fechamento])</f>
        <v>0</v>
      </c>
      <c r="BB133" s="7">
        <f>SUMPRODUCT(N(Tabela17683[Código]=Tabela3[[#This Row],[PAPEL]]),Tabela17683[Fechamento])</f>
        <v>0</v>
      </c>
    </row>
    <row r="134" spans="1:54" hidden="1" x14ac:dyDescent="0.2">
      <c r="A134" s="4" t="s">
        <v>12</v>
      </c>
      <c r="B134" s="57" t="s">
        <v>495</v>
      </c>
      <c r="C134" s="82" t="str">
        <f>LEFT(Tabela3[PAPEL],LEN(Tabela3[PAPEL])-(LEN(Tabela3[PAPEL])-4))</f>
        <v>ENMA</v>
      </c>
      <c r="D134" s="15">
        <v>3</v>
      </c>
      <c r="E134" s="6">
        <v>618549815.79999995</v>
      </c>
      <c r="F134" s="8">
        <v>1239231</v>
      </c>
      <c r="G134" s="81">
        <v>0.25</v>
      </c>
      <c r="H134" s="15"/>
      <c r="I134" s="19">
        <v>0.06</v>
      </c>
      <c r="J134" s="19"/>
      <c r="K134" s="88"/>
      <c r="L134" s="88"/>
      <c r="M134" s="55"/>
      <c r="N134" s="55"/>
      <c r="O134" s="55"/>
      <c r="P134" s="89">
        <v>1380983000</v>
      </c>
      <c r="Q134" s="89">
        <v>154788000</v>
      </c>
      <c r="R134" s="89">
        <f>IF(Tabela3[[#This Row],[Ativo || Passivo]]&gt;0,Tabela3[[#This Row],[Ativo || Passivo]]-Tabela3[[#This Row],[Patrimônio Líquido]],0)</f>
        <v>0</v>
      </c>
      <c r="S134" s="89">
        <f>Tabela3[[#This Row],[Cotação]]*Tabela3[[#This Row],[Total Ações]]</f>
        <v>0</v>
      </c>
      <c r="T134" s="134">
        <f>IF(Tabela3[[#This Row],[Passivo Circulante]]&gt;0,Tabela3[[#This Row],[Ativo Circulante]]/Tabela3[[#This Row],[Passivo Circulante]],0)</f>
        <v>0</v>
      </c>
      <c r="U134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34" s="19">
        <f>IF(Tabela3[[#This Row],[Lucro Líquido]]&gt;0,Tabela3[[#This Row],[Lucro Líquido]]/Tabela3[[#This Row],[Patrimônio Líquido]],0)</f>
        <v>0.1120853768656095</v>
      </c>
      <c r="W134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34" s="19">
        <f>IF(Tabela3[[#This Row],[Dívida]]&gt;0,Tabela3[[#This Row],[Dívida]]/Tabela3[[#This Row],[Patrimônio Líquido]],0)</f>
        <v>0</v>
      </c>
      <c r="Y134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34" s="6">
        <f>Tabela3[[#This Row],[Capital Social]]*20%</f>
        <v>123709963.16</v>
      </c>
      <c r="AA134" s="6">
        <f>IF((Tabela3[Lucro Líquido]*5%)&gt;Tabela3[Teto R. Legal],Tabela3[Teto R. Legal],Tabela3[Lucro Líquido]*5%)</f>
        <v>7739400</v>
      </c>
      <c r="AB134" s="6">
        <f>IF(Tabela3[Lucro Líquido]&lt;0,0,Tabela3[Lucro Líquido]-Tabela3[Reserva Legal])</f>
        <v>147048600</v>
      </c>
      <c r="AC134" s="6">
        <f>Tabela3[[#This Row],[Lucro Distribuir]]*Tabela3[%Div]</f>
        <v>36762150</v>
      </c>
      <c r="AD134" s="56">
        <f>SUMPRODUCT(N(Tabela3[Nome]=Tabela3[[#This Row],[Nome]]),Tabela3[Ações])</f>
        <v>164183899</v>
      </c>
      <c r="AE134" s="6">
        <f>Tabela3[Capital Social]/Tabela3[Total Ações]</f>
        <v>3.7674206762503548</v>
      </c>
      <c r="AF134" s="78">
        <f>Tabela3[[#This Row],[Lucro Líquido]]/Tabela3[[#This Row],[Total Ações]]</f>
        <v>0.94277210458986604</v>
      </c>
      <c r="AG134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0.22390837484009318</v>
      </c>
      <c r="AH134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34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0.22604524057502129</v>
      </c>
      <c r="AJ134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0.22604524057502129</v>
      </c>
      <c r="AK134" s="6">
        <f>Tabela3[Div Base]*Tabela3[Ações]</f>
        <v>280122.26952302421</v>
      </c>
      <c r="AL134" s="6">
        <f>SUMPRODUCT(N(Tabela3[Nome]=Tabela3[[#This Row],[Nome]]),Tabela3[Div Base]*Tabela3[Ações])</f>
        <v>36762150</v>
      </c>
      <c r="AM134" s="6">
        <f>Tabela3[Patrimônio Líquido]/Tabela3[Total Ações]</f>
        <v>8.4111962769260344</v>
      </c>
      <c r="AN134" s="48">
        <f>MAX(Tabela3[[#This Row],[Cotação 1]:[Cotação 5]])</f>
        <v>0</v>
      </c>
      <c r="AO134" s="44">
        <f>Tabela3[Cotação]/Tabela3[VPA]</f>
        <v>0</v>
      </c>
      <c r="AP134" s="40">
        <f>IF(Tabela3[[#This Row],[Lucro/Ação]]&gt;0,Tabela3[[#This Row],[Cotação]]/(Tabela3[[#This Row],[Lucro/Ação]]/Tabela3[Ref]*4),0)</f>
        <v>0</v>
      </c>
      <c r="AQ134" s="78">
        <f>Tabela3[Lucro Distribuir]/Tabela3[Total Ações]</f>
        <v>0.89563349936037273</v>
      </c>
      <c r="AR134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0.22604524057502129</v>
      </c>
      <c r="AS134" s="15" t="str">
        <f>IF(AND(Tabela3[% A.A.]&gt;=6%,SUMPRODUCT(N(Tabela3[Nome]=Tabela3[[#This Row],[Nome]]),Tabela3[PL])&gt;0,Tabela3[Rentabilidade s/ PL]&gt;=Tabela3[Rentabilidade s/ PL Média]),"Sim","Não")</f>
        <v>Não</v>
      </c>
      <c r="AT134" s="42">
        <f>IF(Tabela3[Cotação]&gt;0,Tabela3[[#This Row],[Lucro]]/Tabela3[[#This Row],[Cotação]],0)</f>
        <v>0</v>
      </c>
      <c r="AU134" s="19">
        <f>((1+Tabela3[[#This Row],[% Yield]])^(1/(3*Tabela3[[#This Row],[Ref]])))^(12)-1</f>
        <v>0</v>
      </c>
      <c r="AV134" s="14">
        <f>IF(Tabela3[Cotação]&gt;0,($BD$1/Tabela3[[#This Row],[Cotação]]-MOD($BD$1/Tabela3[[#This Row],[Cotação]],100)),)</f>
        <v>0</v>
      </c>
      <c r="AW134" s="17">
        <f>Tabela3[[#This Row],[Ativos]]*Tabela3[Lucro]</f>
        <v>0</v>
      </c>
      <c r="AX134" s="13">
        <f>SUMPRODUCT(N(Tabela1[Código]=Tabela3[[#This Row],[PAPEL]]),Tabela1[Fechamento])</f>
        <v>0</v>
      </c>
      <c r="AY134" s="55">
        <f>SUMPRODUCT(N(Tabela17[Código]=Tabela3[[#This Row],[PAPEL]]),Tabela17[Fechamento])</f>
        <v>0</v>
      </c>
      <c r="AZ134" s="7">
        <f>SUMPRODUCT(N(Tabela176[Código]=Tabela3[[#This Row],[PAPEL]]),Tabela176[Fechamento])</f>
        <v>0</v>
      </c>
      <c r="BA134" s="7">
        <f>SUMPRODUCT(N(Tabela1768[Código]=Tabela3[[#This Row],[PAPEL]]),Tabela1768[Fechamento])</f>
        <v>0</v>
      </c>
      <c r="BB134" s="7">
        <f>SUMPRODUCT(N(Tabela17683[Código]=Tabela3[[#This Row],[PAPEL]]),Tabela17683[Fechamento])</f>
        <v>0</v>
      </c>
    </row>
    <row r="135" spans="1:54" hidden="1" x14ac:dyDescent="0.2">
      <c r="A135" s="4" t="s">
        <v>12</v>
      </c>
      <c r="B135" s="57" t="s">
        <v>496</v>
      </c>
      <c r="C135" s="82" t="str">
        <f>LEFT(Tabela3[PAPEL],LEN(Tabela3[PAPEL])-(LEN(Tabela3[PAPEL])-4))</f>
        <v>ENMA</v>
      </c>
      <c r="D135" s="15">
        <v>3</v>
      </c>
      <c r="E135" s="6">
        <v>618549815.79999995</v>
      </c>
      <c r="F135" s="8">
        <v>1625729</v>
      </c>
      <c r="G135" s="81">
        <v>0.25</v>
      </c>
      <c r="H135" s="15"/>
      <c r="I135" s="19">
        <v>0.1</v>
      </c>
      <c r="J135" s="19"/>
      <c r="K135" s="88"/>
      <c r="L135" s="88"/>
      <c r="M135" s="55"/>
      <c r="N135" s="55"/>
      <c r="O135" s="55"/>
      <c r="P135" s="89">
        <v>1380983000</v>
      </c>
      <c r="Q135" s="89">
        <v>154788000</v>
      </c>
      <c r="R135" s="89">
        <f>IF(Tabela3[[#This Row],[Ativo || Passivo]]&gt;0,Tabela3[[#This Row],[Ativo || Passivo]]-Tabela3[[#This Row],[Patrimônio Líquido]],0)</f>
        <v>0</v>
      </c>
      <c r="S135" s="89">
        <f>Tabela3[[#This Row],[Cotação]]*Tabela3[[#This Row],[Total Ações]]</f>
        <v>0</v>
      </c>
      <c r="T135" s="134">
        <f>IF(Tabela3[[#This Row],[Passivo Circulante]]&gt;0,Tabela3[[#This Row],[Ativo Circulante]]/Tabela3[[#This Row],[Passivo Circulante]],0)</f>
        <v>0</v>
      </c>
      <c r="U135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35" s="19">
        <f>IF(Tabela3[[#This Row],[Lucro Líquido]]&gt;0,Tabela3[[#This Row],[Lucro Líquido]]/Tabela3[[#This Row],[Patrimônio Líquido]],0)</f>
        <v>0.1120853768656095</v>
      </c>
      <c r="W135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35" s="19">
        <f>IF(Tabela3[[#This Row],[Dívida]]&gt;0,Tabela3[[#This Row],[Dívida]]/Tabela3[[#This Row],[Patrimônio Líquido]],0)</f>
        <v>0</v>
      </c>
      <c r="Y135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35" s="6">
        <f>Tabela3[[#This Row],[Capital Social]]*20%</f>
        <v>123709963.16</v>
      </c>
      <c r="AA135" s="6">
        <f>IF((Tabela3[Lucro Líquido]*5%)&gt;Tabela3[Teto R. Legal],Tabela3[Teto R. Legal],Tabela3[Lucro Líquido]*5%)</f>
        <v>7739400</v>
      </c>
      <c r="AB135" s="6">
        <f>IF(Tabela3[Lucro Líquido]&lt;0,0,Tabela3[Lucro Líquido]-Tabela3[Reserva Legal])</f>
        <v>147048600</v>
      </c>
      <c r="AC135" s="6">
        <f>Tabela3[[#This Row],[Lucro Distribuir]]*Tabela3[%Div]</f>
        <v>36762150</v>
      </c>
      <c r="AD135" s="56">
        <f>SUMPRODUCT(N(Tabela3[Nome]=Tabela3[[#This Row],[Nome]]),Tabela3[Ações])</f>
        <v>164183899</v>
      </c>
      <c r="AE135" s="6">
        <f>Tabela3[Capital Social]/Tabela3[Total Ações]</f>
        <v>3.7674206762503548</v>
      </c>
      <c r="AF135" s="78">
        <f>Tabela3[[#This Row],[Lucro Líquido]]/Tabela3[[#This Row],[Total Ações]]</f>
        <v>0.94277210458986604</v>
      </c>
      <c r="AG135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0.22390837484009318</v>
      </c>
      <c r="AH135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35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0.37674206762503548</v>
      </c>
      <c r="AJ135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0.37674206762503548</v>
      </c>
      <c r="AK135" s="6">
        <f>Tabela3[Div Base]*Tabela3[Ações]</f>
        <v>612480.50485798134</v>
      </c>
      <c r="AL135" s="6">
        <f>SUMPRODUCT(N(Tabela3[Nome]=Tabela3[[#This Row],[Nome]]),Tabela3[Div Base]*Tabela3[Ações])</f>
        <v>36762150</v>
      </c>
      <c r="AM135" s="6">
        <f>Tabela3[Patrimônio Líquido]/Tabela3[Total Ações]</f>
        <v>8.4111962769260344</v>
      </c>
      <c r="AN135" s="48">
        <f>MAX(Tabela3[[#This Row],[Cotação 1]:[Cotação 5]])</f>
        <v>0</v>
      </c>
      <c r="AO135" s="44">
        <f>Tabela3[Cotação]/Tabela3[VPA]</f>
        <v>0</v>
      </c>
      <c r="AP135" s="40">
        <f>IF(Tabela3[[#This Row],[Lucro/Ação]]&gt;0,Tabela3[[#This Row],[Cotação]]/(Tabela3[[#This Row],[Lucro/Ação]]/Tabela3[Ref]*4),0)</f>
        <v>0</v>
      </c>
      <c r="AQ135" s="78">
        <f>Tabela3[Lucro Distribuir]/Tabela3[Total Ações]</f>
        <v>0.89563349936037273</v>
      </c>
      <c r="AR135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0.37674206762503548</v>
      </c>
      <c r="AS135" s="15" t="str">
        <f>IF(AND(Tabela3[% A.A.]&gt;=6%,SUMPRODUCT(N(Tabela3[Nome]=Tabela3[[#This Row],[Nome]]),Tabela3[PL])&gt;0,Tabela3[Rentabilidade s/ PL]&gt;=Tabela3[Rentabilidade s/ PL Média]),"Sim","Não")</f>
        <v>Não</v>
      </c>
      <c r="AT135" s="42">
        <f>IF(Tabela3[Cotação]&gt;0,Tabela3[[#This Row],[Lucro]]/Tabela3[[#This Row],[Cotação]],0)</f>
        <v>0</v>
      </c>
      <c r="AU135" s="19">
        <f>((1+Tabela3[[#This Row],[% Yield]])^(1/(3*Tabela3[[#This Row],[Ref]])))^(12)-1</f>
        <v>0</v>
      </c>
      <c r="AV135" s="14">
        <f>IF(Tabela3[Cotação]&gt;0,($BD$1/Tabela3[[#This Row],[Cotação]]-MOD($BD$1/Tabela3[[#This Row],[Cotação]],100)),)</f>
        <v>0</v>
      </c>
      <c r="AW135" s="17">
        <f>Tabela3[[#This Row],[Ativos]]*Tabela3[Lucro]</f>
        <v>0</v>
      </c>
      <c r="AX135" s="13">
        <f>SUMPRODUCT(N(Tabela1[Código]=Tabela3[[#This Row],[PAPEL]]),Tabela1[Fechamento])</f>
        <v>0</v>
      </c>
      <c r="AY135" s="55">
        <f>SUMPRODUCT(N(Tabela17[Código]=Tabela3[[#This Row],[PAPEL]]),Tabela17[Fechamento])</f>
        <v>0</v>
      </c>
      <c r="AZ135" s="7">
        <f>SUMPRODUCT(N(Tabela176[Código]=Tabela3[[#This Row],[PAPEL]]),Tabela176[Fechamento])</f>
        <v>0</v>
      </c>
      <c r="BA135" s="7">
        <f>SUMPRODUCT(N(Tabela1768[Código]=Tabela3[[#This Row],[PAPEL]]),Tabela1768[Fechamento])</f>
        <v>0</v>
      </c>
      <c r="BB135" s="7">
        <f>SUMPRODUCT(N(Tabela17683[Código]=Tabela3[[#This Row],[PAPEL]]),Tabela17683[Fechamento])</f>
        <v>0</v>
      </c>
    </row>
    <row r="136" spans="1:54" hidden="1" x14ac:dyDescent="0.2">
      <c r="A136" s="3" t="s">
        <v>845</v>
      </c>
      <c r="B136" s="58" t="s">
        <v>846</v>
      </c>
      <c r="C136" s="16" t="str">
        <f>LEFT(Tabela3[PAPEL],LEN(Tabela3[PAPEL])-(LEN(Tabela3[PAPEL])-4))</f>
        <v>PCAR</v>
      </c>
      <c r="D136" s="16">
        <v>4</v>
      </c>
      <c r="E136" s="5">
        <v>6779822380.8500004</v>
      </c>
      <c r="F136" s="56">
        <v>99679851</v>
      </c>
      <c r="G136" s="81">
        <v>0.25</v>
      </c>
      <c r="H136" s="87"/>
      <c r="J136" s="18"/>
      <c r="K136" s="16"/>
      <c r="L136" s="87"/>
      <c r="M136" s="54"/>
      <c r="N136" s="54"/>
      <c r="O136" s="54"/>
      <c r="P136" s="91">
        <v>9483190000</v>
      </c>
      <c r="Q136" s="73">
        <v>1052495000</v>
      </c>
      <c r="R136" s="73">
        <f>IF(Tabela3[[#This Row],[Ativo || Passivo]]&gt;0,Tabela3[[#This Row],[Ativo || Passivo]]-Tabela3[[#This Row],[Patrimônio Líquido]],0)</f>
        <v>0</v>
      </c>
      <c r="S136" s="73">
        <f>Tabela3[[#This Row],[Cotação]]*Tabela3[[#This Row],[Total Ações]]</f>
        <v>19866607490.77</v>
      </c>
      <c r="T136" s="37">
        <f>IF(Tabela3[[#This Row],[Passivo Circulante]]&gt;0,Tabela3[[#This Row],[Ativo Circulante]]/Tabela3[[#This Row],[Passivo Circulante]],0)</f>
        <v>0</v>
      </c>
      <c r="U136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36" s="18">
        <f>IF(Tabela3[[#This Row],[Lucro Líquido]]&gt;0,Tabela3[[#This Row],[Lucro Líquido]]/Tabela3[[#This Row],[Patrimônio Líquido]],0)</f>
        <v>0.11098533299448814</v>
      </c>
      <c r="W136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36" s="18">
        <f>IF(Tabela3[[#This Row],[Dívida]]&gt;0,Tabela3[[#This Row],[Dívida]]/Tabela3[[#This Row],[Patrimônio Líquido]],0)</f>
        <v>0</v>
      </c>
      <c r="Y136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36" s="7">
        <f>Tabela3[[#This Row],[Capital Social]]*20%</f>
        <v>1355964476.1700001</v>
      </c>
      <c r="AA136" s="47">
        <f>IF((Tabela3[Lucro Líquido]*5%)&gt;Tabela3[Teto R. Legal],Tabela3[Teto R. Legal],Tabela3[Lucro Líquido]*5%)</f>
        <v>52624750</v>
      </c>
      <c r="AB136" s="47">
        <f>IF(Tabela3[Lucro Líquido]&lt;0,0,Tabela3[Lucro Líquido]-Tabela3[Reserva Legal])</f>
        <v>999870250</v>
      </c>
      <c r="AC136" s="47">
        <f>Tabela3[[#This Row],[Lucro Distribuir]]*Tabela3[%Div]</f>
        <v>249967562.5</v>
      </c>
      <c r="AD136" s="56">
        <f>SUMPRODUCT(N(Tabela3[Nome]=Tabela3[[#This Row],[Nome]]),Tabela3[Ações])</f>
        <v>264923423</v>
      </c>
      <c r="AE136" s="85">
        <f>Tabela3[Capital Social]/Tabela3[Total Ações]</f>
        <v>25.591630608102179</v>
      </c>
      <c r="AF136" s="85">
        <f>Tabela3[[#This Row],[Lucro Líquido]]/Tabela3[[#This Row],[Total Ações]]</f>
        <v>3.9728272724303428</v>
      </c>
      <c r="AG136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0.91418915836661163</v>
      </c>
      <c r="AH136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36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36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0.91418915836661163</v>
      </c>
      <c r="AK136" s="7">
        <f>Tabela3[Div Base]*Tabela3[Ações]</f>
        <v>91126239.091799244</v>
      </c>
      <c r="AL136" s="7">
        <f>SUMPRODUCT(N(Tabela3[Nome]=Tabela3[[#This Row],[Nome]]),Tabela3[Div Base]*Tabela3[Ações])</f>
        <v>257296509.53282493</v>
      </c>
      <c r="AM136" s="5">
        <f>Tabela3[Patrimônio Líquido]/Tabela3[Total Ações]</f>
        <v>35.795966595222502</v>
      </c>
      <c r="AN136" s="52">
        <f>MAX(Tabela3[[#This Row],[Cotação 1]:[Cotação 5]])</f>
        <v>74.989999999999995</v>
      </c>
      <c r="AO136" s="53">
        <f>Tabela3[Cotação]/Tabela3[VPA]</f>
        <v>2.0949287624491335</v>
      </c>
      <c r="AP136" s="37">
        <f>IF(Tabela3[[#This Row],[Lucro/Ação]]&gt;0,Tabela3[[#This Row],[Cotação]]/(Tabela3[[#This Row],[Lucro/Ação]]/Tabela3[Ref]*4),0)</f>
        <v>18.875726241711362</v>
      </c>
      <c r="AQ136" s="85">
        <f>Tabela3[Lucro Distribuir]/Tabela3[Total Ações]</f>
        <v>3.7741859088088257</v>
      </c>
      <c r="AR136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0.91418915836661163</v>
      </c>
      <c r="AS136" s="10" t="str">
        <f>IF(AND(Tabela3[% A.A.]&gt;=6%,SUMPRODUCT(N(Tabela3[Nome]=Tabela3[[#This Row],[Nome]]),Tabela3[PL])&gt;0,Tabela3[Rentabilidade s/ PL]&gt;=Tabela3[Rentabilidade s/ PL Média]),"Sim","Não")</f>
        <v>Não</v>
      </c>
      <c r="AT136" s="22">
        <f>IF(Tabela3[Cotação]&gt;0,Tabela3[[#This Row],[Lucro]]/Tabela3[[#This Row],[Cotação]],0)</f>
        <v>1.2190814220117505E-2</v>
      </c>
      <c r="AU136" s="22">
        <f>((1+Tabela3[[#This Row],[% Yield]])^(1/(3*Tabela3[[#This Row],[Ref]])))^(12)-1</f>
        <v>1.2190814220116142E-2</v>
      </c>
      <c r="AV136" s="10">
        <f>IF(Tabela3[Cotação]&gt;0,($BD$1/Tabela3[[#This Row],[Cotação]]-MOD($BD$1/Tabela3[[#This Row],[Cotação]],100)),)</f>
        <v>0</v>
      </c>
      <c r="AW136" s="7">
        <f>Tabela3[[#This Row],[Ativos]]*Tabela3[Lucro]</f>
        <v>0</v>
      </c>
      <c r="AX136" s="7">
        <f>SUMPRODUCT(N(Tabela1[Código]=Tabela3[[#This Row],[PAPEL]]),Tabela1[Fechamento])</f>
        <v>0</v>
      </c>
      <c r="AY136" s="7">
        <f>SUMPRODUCT(N(Tabela17[Código]=Tabela3[[#This Row],[PAPEL]]),Tabela17[Fechamento])</f>
        <v>0</v>
      </c>
      <c r="AZ136" s="7">
        <f>SUMPRODUCT(N(Tabela176[Código]=Tabela3[[#This Row],[PAPEL]]),Tabela176[Fechamento])</f>
        <v>74.989999999999995</v>
      </c>
      <c r="BA136" s="7">
        <f>SUMPRODUCT(N(Tabela1768[Código]=Tabela3[[#This Row],[PAPEL]]),Tabela1768[Fechamento])</f>
        <v>0</v>
      </c>
      <c r="BB136" s="7">
        <f>SUMPRODUCT(N(Tabela17683[Código]=Tabela3[[#This Row],[PAPEL]]),Tabela17683[Fechamento])</f>
        <v>0</v>
      </c>
    </row>
    <row r="137" spans="1:54" hidden="1" x14ac:dyDescent="0.2">
      <c r="A137" s="3" t="s">
        <v>845</v>
      </c>
      <c r="B137" s="58" t="s">
        <v>847</v>
      </c>
      <c r="C137" s="16" t="str">
        <f>LEFT(Tabela3[PAPEL],LEN(Tabela3[PAPEL])-(LEN(Tabela3[PAPEL])-4))</f>
        <v>PCAR</v>
      </c>
      <c r="D137" s="16">
        <v>4</v>
      </c>
      <c r="E137" s="5">
        <v>6779822380.8500004</v>
      </c>
      <c r="F137" s="56">
        <v>165243572</v>
      </c>
      <c r="G137" s="81">
        <v>0.25</v>
      </c>
      <c r="H137" s="87"/>
      <c r="J137" s="18">
        <v>0.1</v>
      </c>
      <c r="K137" s="16"/>
      <c r="L137" s="87"/>
      <c r="M137" s="54"/>
      <c r="N137" s="54"/>
      <c r="O137" s="54"/>
      <c r="P137" s="91">
        <v>9483190000</v>
      </c>
      <c r="Q137" s="73">
        <v>1052495000</v>
      </c>
      <c r="R137" s="73">
        <f>IF(Tabela3[[#This Row],[Ativo || Passivo]]&gt;0,Tabela3[[#This Row],[Ativo || Passivo]]-Tabela3[[#This Row],[Patrimônio Líquido]],0)</f>
        <v>0</v>
      </c>
      <c r="S137" s="73">
        <f>Tabela3[[#This Row],[Cotação]]*Tabela3[[#This Row],[Total Ações]]</f>
        <v>25419402436.850002</v>
      </c>
      <c r="T137" s="37">
        <f>IF(Tabela3[[#This Row],[Passivo Circulante]]&gt;0,Tabela3[[#This Row],[Ativo Circulante]]/Tabela3[[#This Row],[Passivo Circulante]],0)</f>
        <v>0</v>
      </c>
      <c r="U137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37" s="18">
        <f>IF(Tabela3[[#This Row],[Lucro Líquido]]&gt;0,Tabela3[[#This Row],[Lucro Líquido]]/Tabela3[[#This Row],[Patrimônio Líquido]],0)</f>
        <v>0.11098533299448814</v>
      </c>
      <c r="W137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37" s="18">
        <f>IF(Tabela3[[#This Row],[Dívida]]&gt;0,Tabela3[[#This Row],[Dívida]]/Tabela3[[#This Row],[Patrimônio Líquido]],0)</f>
        <v>0</v>
      </c>
      <c r="Y137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37" s="7">
        <f>Tabela3[[#This Row],[Capital Social]]*20%</f>
        <v>1355964476.1700001</v>
      </c>
      <c r="AA137" s="47">
        <f>IF((Tabela3[Lucro Líquido]*5%)&gt;Tabela3[Teto R. Legal],Tabela3[Teto R. Legal],Tabela3[Lucro Líquido]*5%)</f>
        <v>52624750</v>
      </c>
      <c r="AB137" s="47">
        <f>IF(Tabela3[Lucro Líquido]&lt;0,0,Tabela3[Lucro Líquido]-Tabela3[Reserva Legal])</f>
        <v>999870250</v>
      </c>
      <c r="AC137" s="47">
        <f>Tabela3[[#This Row],[Lucro Distribuir]]*Tabela3[%Div]</f>
        <v>249967562.5</v>
      </c>
      <c r="AD137" s="56">
        <f>SUMPRODUCT(N(Tabela3[Nome]=Tabela3[[#This Row],[Nome]]),Tabela3[Ações])</f>
        <v>264923423</v>
      </c>
      <c r="AE137" s="85">
        <f>Tabela3[Capital Social]/Tabela3[Total Ações]</f>
        <v>25.591630608102179</v>
      </c>
      <c r="AF137" s="85">
        <f>Tabela3[[#This Row],[Lucro Líquido]]/Tabela3[[#This Row],[Total Ações]]</f>
        <v>3.9728272724303428</v>
      </c>
      <c r="AG137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1.0056080755808505</v>
      </c>
      <c r="AH137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37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37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1.0056080755808505</v>
      </c>
      <c r="AK137" s="7">
        <f>Tabela3[Div Base]*Tabela3[Ações]</f>
        <v>166170270.4410257</v>
      </c>
      <c r="AL137" s="7">
        <f>SUMPRODUCT(N(Tabela3[Nome]=Tabela3[[#This Row],[Nome]]),Tabela3[Div Base]*Tabela3[Ações])</f>
        <v>257296509.53282493</v>
      </c>
      <c r="AM137" s="5">
        <f>Tabela3[Patrimônio Líquido]/Tabela3[Total Ações]</f>
        <v>35.795966595222502</v>
      </c>
      <c r="AN137" s="52">
        <f>MAX(Tabela3[[#This Row],[Cotação 1]:[Cotação 5]])</f>
        <v>95.95</v>
      </c>
      <c r="AO137" s="53">
        <f>Tabela3[Cotação]/Tabela3[VPA]</f>
        <v>2.6804695927056188</v>
      </c>
      <c r="AP137" s="37">
        <f>IF(Tabela3[[#This Row],[Lucro/Ação]]&gt;0,Tabela3[[#This Row],[Cotação]]/(Tabela3[[#This Row],[Lucro/Ação]]/Tabela3[Ref]*4),0)</f>
        <v>24.151565980693498</v>
      </c>
      <c r="AQ137" s="85">
        <f>Tabela3[Lucro Distribuir]/Tabela3[Total Ações]</f>
        <v>3.7741859088088257</v>
      </c>
      <c r="AR137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1.0056080755808505</v>
      </c>
      <c r="AS137" s="10" t="str">
        <f>IF(AND(Tabela3[% A.A.]&gt;=6%,SUMPRODUCT(N(Tabela3[Nome]=Tabela3[[#This Row],[Nome]]),Tabela3[PL])&gt;0,Tabela3[Rentabilidade s/ PL]&gt;=Tabela3[Rentabilidade s/ PL Média]),"Sim","Não")</f>
        <v>Não</v>
      </c>
      <c r="AT137" s="22">
        <f>IF(Tabela3[Cotação]&gt;0,Tabela3[[#This Row],[Lucro]]/Tabela3[[#This Row],[Cotação]],0)</f>
        <v>1.0480542736642527E-2</v>
      </c>
      <c r="AU137" s="22">
        <f>((1+Tabela3[[#This Row],[% Yield]])^(1/(3*Tabela3[[#This Row],[Ref]])))^(12)-1</f>
        <v>1.0480542736640786E-2</v>
      </c>
      <c r="AV137" s="10">
        <f>IF(Tabela3[Cotação]&gt;0,($BD$1/Tabela3[[#This Row],[Cotação]]-MOD($BD$1/Tabela3[[#This Row],[Cotação]],100)),)</f>
        <v>0</v>
      </c>
      <c r="AW137" s="7">
        <f>Tabela3[[#This Row],[Ativos]]*Tabela3[Lucro]</f>
        <v>0</v>
      </c>
      <c r="AX137" s="7">
        <f>SUMPRODUCT(N(Tabela1[Código]=Tabela3[[#This Row],[PAPEL]]),Tabela1[Fechamento])</f>
        <v>0</v>
      </c>
      <c r="AY137" s="7">
        <f>SUMPRODUCT(N(Tabela17[Código]=Tabela3[[#This Row],[PAPEL]]),Tabela17[Fechamento])</f>
        <v>0</v>
      </c>
      <c r="AZ137" s="7">
        <f>SUMPRODUCT(N(Tabela176[Código]=Tabela3[[#This Row],[PAPEL]]),Tabela176[Fechamento])</f>
        <v>95.95</v>
      </c>
      <c r="BA137" s="7">
        <f>SUMPRODUCT(N(Tabela1768[Código]=Tabela3[[#This Row],[PAPEL]]),Tabela1768[Fechamento])</f>
        <v>0</v>
      </c>
      <c r="BB137" s="7">
        <f>SUMPRODUCT(N(Tabela17683[Código]=Tabela3[[#This Row],[PAPEL]]),Tabela17683[Fechamento])</f>
        <v>0</v>
      </c>
    </row>
    <row r="138" spans="1:54" hidden="1" x14ac:dyDescent="0.2">
      <c r="A138" s="4" t="s">
        <v>37</v>
      </c>
      <c r="B138" s="57" t="s">
        <v>36</v>
      </c>
      <c r="C138" s="14" t="str">
        <f>LEFT(Tabela3[PAPEL],LEN(Tabela3[PAPEL])-(LEN(Tabela3[PAPEL])-4))</f>
        <v>SBSP</v>
      </c>
      <c r="D138" s="15">
        <v>3</v>
      </c>
      <c r="E138" s="6">
        <v>6203688565.2299995</v>
      </c>
      <c r="F138" s="8">
        <v>683509869</v>
      </c>
      <c r="G138" s="81">
        <v>0.25</v>
      </c>
      <c r="H138" s="19"/>
      <c r="I138" s="19"/>
      <c r="J138" s="19"/>
      <c r="K138" s="88"/>
      <c r="L138" s="88"/>
      <c r="M138" s="55"/>
      <c r="N138" s="55"/>
      <c r="O138" s="55"/>
      <c r="P138" s="6">
        <v>12509395000</v>
      </c>
      <c r="Q138" s="6">
        <v>1332834000</v>
      </c>
      <c r="R138" s="6">
        <f>IF(Tabela3[[#This Row],[Ativo || Passivo]]&gt;0,Tabela3[[#This Row],[Ativo || Passivo]]-Tabela3[[#This Row],[Patrimônio Líquido]],0)</f>
        <v>0</v>
      </c>
      <c r="S138" s="6">
        <f>Tabela3[[#This Row],[Cotação]]*Tabela3[[#This Row],[Total Ações]]</f>
        <v>14456233729.349998</v>
      </c>
      <c r="T138" s="134">
        <f>IF(Tabela3[[#This Row],[Passivo Circulante]]&gt;0,Tabela3[[#This Row],[Ativo Circulante]]/Tabela3[[#This Row],[Passivo Circulante]],0)</f>
        <v>0</v>
      </c>
      <c r="U138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38" s="19">
        <f>IF(Tabela3[[#This Row],[Lucro Líquido]]&gt;0,Tabela3[[#This Row],[Lucro Líquido]]/Tabela3[[#This Row],[Patrimônio Líquido]],0)</f>
        <v>0.10654663954571744</v>
      </c>
      <c r="W138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38" s="19">
        <f>IF(Tabela3[[#This Row],[Dívida]]&gt;0,Tabela3[[#This Row],[Dívida]]/Tabela3[[#This Row],[Patrimônio Líquido]],0)</f>
        <v>0</v>
      </c>
      <c r="Y138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38" s="6">
        <f>Tabela3[[#This Row],[Capital Social]]*20%</f>
        <v>1240737713.046</v>
      </c>
      <c r="AA138" s="6">
        <f>IF((Tabela3[Lucro Líquido]*5%)&gt;Tabela3[Teto R. Legal],Tabela3[Teto R. Legal],Tabela3[Lucro Líquido]*5%)</f>
        <v>66641700</v>
      </c>
      <c r="AB138" s="6">
        <f>IF(Tabela3[Lucro Líquido]&lt;0,0,Tabela3[Lucro Líquido]-Tabela3[Reserva Legal])</f>
        <v>1266192300</v>
      </c>
      <c r="AC138" s="6">
        <f>Tabela3[[#This Row],[Lucro Distribuir]]*Tabela3[%Div]</f>
        <v>316548075</v>
      </c>
      <c r="AD138" s="21">
        <f>SUMPRODUCT(N(Tabela3[Nome]=Tabela3[[#This Row],[Nome]]),Tabela3[Ações])</f>
        <v>683509869</v>
      </c>
      <c r="AE138" s="6">
        <f>Tabela3[Capital Social]/Tabela3[Total Ações]</f>
        <v>9.0762238361038197</v>
      </c>
      <c r="AF138" s="78">
        <f>Tabela3[[#This Row],[Lucro Líquido]]/Tabela3[[#This Row],[Total Ações]]</f>
        <v>1.9499850118477222</v>
      </c>
      <c r="AG138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0.46312144031383401</v>
      </c>
      <c r="AH138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38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38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0.46312144031383401</v>
      </c>
      <c r="AK138" s="6">
        <f>Tabela3[Div Base]*Tabela3[Ações]</f>
        <v>316548075</v>
      </c>
      <c r="AL138" s="6">
        <f>SUMPRODUCT(N(Tabela3[Nome]=Tabela3[[#This Row],[Nome]]),Tabela3[Div Base]*Tabela3[Ações])</f>
        <v>316548075</v>
      </c>
      <c r="AM138" s="6">
        <f>Tabela3[Patrimônio Líquido]/Tabela3[Total Ações]</f>
        <v>18.301703555943828</v>
      </c>
      <c r="AN138" s="48">
        <f>MAX(Tabela3[[#This Row],[Cotação 1]:[Cotação 5]])</f>
        <v>21.15</v>
      </c>
      <c r="AO138" s="44">
        <f>Tabela3[Cotação]/Tabela3[VPA]</f>
        <v>1.1556301267447386</v>
      </c>
      <c r="AP138" s="40">
        <f>IF(Tabela3[[#This Row],[Lucro/Ação]]&gt;0,Tabela3[[#This Row],[Cotação]]/(Tabela3[[#This Row],[Lucro/Ação]]/Tabela3[Ref]*4),0)</f>
        <v>8.1346779096365331</v>
      </c>
      <c r="AQ138" s="78">
        <f>Tabela3[Lucro Distribuir]/Tabela3[Total Ações]</f>
        <v>1.852485761255336</v>
      </c>
      <c r="AR138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0.46312144031383401</v>
      </c>
      <c r="AS138" s="15" t="str">
        <f>IF(AND(Tabela3[% A.A.]&gt;=6%,SUMPRODUCT(N(Tabela3[Nome]=Tabela3[[#This Row],[Nome]]),Tabela3[PL])&gt;0,Tabela3[Rentabilidade s/ PL]&gt;=Tabela3[Rentabilidade s/ PL Média]),"Sim","Não")</f>
        <v>Não</v>
      </c>
      <c r="AT138" s="42">
        <f>IF(Tabela3[Cotação]&gt;0,Tabela3[[#This Row],[Lucro]]/Tabela3[[#This Row],[Cotação]],0)</f>
        <v>2.1896994813892862E-2</v>
      </c>
      <c r="AU138" s="19">
        <f>((1+Tabela3[[#This Row],[% Yield]])^(1/(3*Tabela3[[#This Row],[Ref]])))^(12)-1</f>
        <v>2.9302030036813864E-2</v>
      </c>
      <c r="AV138" s="14">
        <f>IF(Tabela3[Cotação]&gt;0,($BD$1/Tabela3[[#This Row],[Cotação]]-MOD($BD$1/Tabela3[[#This Row],[Cotação]],100)),)</f>
        <v>0</v>
      </c>
      <c r="AW138" s="17">
        <f>Tabela3[[#This Row],[Ativos]]*Tabela3[Lucro]</f>
        <v>0</v>
      </c>
      <c r="AX138" s="5">
        <f>SUMPRODUCT(N(Tabela1[Código]=Tabela3[[#This Row],[PAPEL]]),Tabela1[Fechamento])</f>
        <v>21.15</v>
      </c>
      <c r="AY138" s="5">
        <f>SUMPRODUCT(N(Tabela17[Código]=Tabela3[[#This Row],[PAPEL]]),Tabela17[Fechamento])</f>
        <v>0</v>
      </c>
      <c r="AZ138" s="7">
        <f>SUMPRODUCT(N(Tabela176[Código]=Tabela3[[#This Row],[PAPEL]]),Tabela176[Fechamento])</f>
        <v>0</v>
      </c>
      <c r="BA138" s="7">
        <f>SUMPRODUCT(N(Tabela1768[Código]=Tabela3[[#This Row],[PAPEL]]),Tabela1768[Fechamento])</f>
        <v>0</v>
      </c>
      <c r="BB138" s="7">
        <f>SUMPRODUCT(N(Tabela17683[Código]=Tabela3[[#This Row],[PAPEL]]),Tabela17683[Fechamento])</f>
        <v>0</v>
      </c>
    </row>
    <row r="139" spans="1:54" hidden="1" x14ac:dyDescent="0.2">
      <c r="A139" s="4" t="s">
        <v>583</v>
      </c>
      <c r="B139" s="57" t="s">
        <v>584</v>
      </c>
      <c r="C139" s="15" t="str">
        <f>LEFT(Tabela3[PAPEL],LEN(Tabela3[PAPEL])-(LEN(Tabela3[PAPEL])-4))</f>
        <v>LINX</v>
      </c>
      <c r="D139" s="15">
        <v>4</v>
      </c>
      <c r="E139" s="6">
        <v>346482097.77999997</v>
      </c>
      <c r="F139" s="8">
        <v>46556463</v>
      </c>
      <c r="G139" s="86">
        <v>0.25</v>
      </c>
      <c r="H139" s="15"/>
      <c r="I139" s="19"/>
      <c r="J139" s="19"/>
      <c r="K139" s="88"/>
      <c r="L139" s="88"/>
      <c r="M139" s="55"/>
      <c r="N139" s="55"/>
      <c r="O139" s="55"/>
      <c r="P139" s="6">
        <v>586370000</v>
      </c>
      <c r="Q139" s="93">
        <v>62410000</v>
      </c>
      <c r="R139" s="93">
        <f>IF(Tabela3[[#This Row],[Ativo || Passivo]]&gt;0,Tabela3[[#This Row],[Ativo || Passivo]]-Tabela3[[#This Row],[Patrimônio Líquido]],0)</f>
        <v>0</v>
      </c>
      <c r="S139" s="93">
        <f>Tabela3[[#This Row],[Cotação]]*Tabela3[[#This Row],[Total Ações]]</f>
        <v>1980977500.6499999</v>
      </c>
      <c r="T139" s="40">
        <f>IF(Tabela3[[#This Row],[Passivo Circulante]]&gt;0,Tabela3[[#This Row],[Ativo Circulante]]/Tabela3[[#This Row],[Passivo Circulante]],0)</f>
        <v>0</v>
      </c>
      <c r="U139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39" s="19">
        <f>IF(Tabela3[[#This Row],[Lucro Líquido]]&gt;0,Tabela3[[#This Row],[Lucro Líquido]]/Tabela3[[#This Row],[Patrimônio Líquido]],0)</f>
        <v>0.10643450381158655</v>
      </c>
      <c r="W139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39" s="19">
        <f>IF(Tabela3[[#This Row],[Dívida]]&gt;0,Tabela3[[#This Row],[Dívida]]/Tabela3[[#This Row],[Patrimônio Líquido]],0)</f>
        <v>0</v>
      </c>
      <c r="Y139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39" s="13">
        <f>Tabela3[[#This Row],[Capital Social]]*20%</f>
        <v>69296419.555999994</v>
      </c>
      <c r="AA139" s="13">
        <f>IF((Tabela3[Lucro Líquido]*5%)&gt;Tabela3[Teto R. Legal],Tabela3[Teto R. Legal],Tabela3[Lucro Líquido]*5%)</f>
        <v>3120500</v>
      </c>
      <c r="AB139" s="13">
        <f>IF(Tabela3[Lucro Líquido]&lt;0,0,Tabela3[Lucro Líquido]-Tabela3[Reserva Legal])</f>
        <v>59289500</v>
      </c>
      <c r="AC139" s="13">
        <f>Tabela3[[#This Row],[Lucro Distribuir]]*Tabela3[%Div]</f>
        <v>14822375</v>
      </c>
      <c r="AD139" s="56">
        <f>SUMPRODUCT(N(Tabela3[Nome]=Tabela3[[#This Row],[Nome]]),Tabela3[Ações])</f>
        <v>46556463</v>
      </c>
      <c r="AE139" s="6">
        <f>Tabela3[Capital Social]/Tabela3[Total Ações]</f>
        <v>7.4421911686031645</v>
      </c>
      <c r="AF139" s="78">
        <f>Tabela3[[#This Row],[Lucro Líquido]]/Tabela3[[#This Row],[Total Ações]]</f>
        <v>1.3405227970174625</v>
      </c>
      <c r="AG139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0.31837416429164733</v>
      </c>
      <c r="AH139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39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39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0.31837416429164733</v>
      </c>
      <c r="AK139" s="13">
        <f>Tabela3[Div Base]*Tabela3[Ações]</f>
        <v>14822375</v>
      </c>
      <c r="AL139" s="13">
        <f>SUMPRODUCT(N(Tabela3[Nome]=Tabela3[[#This Row],[Nome]]),Tabela3[Div Base]*Tabela3[Ações])</f>
        <v>14822375</v>
      </c>
      <c r="AM139" s="6">
        <f>Tabela3[Patrimônio Líquido]/Tabela3[Total Ações]</f>
        <v>12.594814172202042</v>
      </c>
      <c r="AN139" s="48">
        <f>MAX(Tabela3[[#This Row],[Cotação 1]:[Cotação 5]])</f>
        <v>42.55</v>
      </c>
      <c r="AO139" s="44">
        <f>Tabela3[Cotação]/Tabela3[VPA]</f>
        <v>3.3783745768883127</v>
      </c>
      <c r="AP139" s="40">
        <f>IF(Tabela3[[#This Row],[Lucro/Ação]]&gt;0,Tabela3[[#This Row],[Cotação]]/(Tabela3[[#This Row],[Lucro/Ação]]/Tabela3[Ref]*4),0)</f>
        <v>31.741347550873254</v>
      </c>
      <c r="AQ139" s="78">
        <f>Tabela3[Lucro Distribuir]/Tabela3[Total Ações]</f>
        <v>1.2734966571665893</v>
      </c>
      <c r="AR139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0.31837416429164733</v>
      </c>
      <c r="AS139" s="14" t="str">
        <f>IF(AND(Tabela3[% A.A.]&gt;=6%,SUMPRODUCT(N(Tabela3[Nome]=Tabela3[[#This Row],[Nome]]),Tabela3[PL])&gt;0,Tabela3[Rentabilidade s/ PL]&gt;=Tabela3[Rentabilidade s/ PL Média]),"Sim","Não")</f>
        <v>Não</v>
      </c>
      <c r="AT139" s="42">
        <f>IF(Tabela3[Cotação]&gt;0,Tabela3[[#This Row],[Lucro]]/Tabela3[[#This Row],[Cotação]],0)</f>
        <v>7.4823540374065181E-3</v>
      </c>
      <c r="AU139" s="42">
        <f>((1+Tabela3[[#This Row],[% Yield]])^(1/(3*Tabela3[[#This Row],[Ref]])))^(12)-1</f>
        <v>7.4823540374058251E-3</v>
      </c>
      <c r="AV139" s="14">
        <f>IF(Tabela3[Cotação]&gt;0,($BD$1/Tabela3[[#This Row],[Cotação]]-MOD($BD$1/Tabela3[[#This Row],[Cotação]],100)),)</f>
        <v>0</v>
      </c>
      <c r="AW139" s="17">
        <f>Tabela3[[#This Row],[Ativos]]*Tabela3[Lucro]</f>
        <v>0</v>
      </c>
      <c r="AX139" s="17">
        <f>SUMPRODUCT(N(Tabela1[Código]=Tabela3[[#This Row],[PAPEL]]),Tabela1[Fechamento])</f>
        <v>0</v>
      </c>
      <c r="AY139" s="17">
        <f>SUMPRODUCT(N(Tabela17[Código]=Tabela3[[#This Row],[PAPEL]]),Tabela17[Fechamento])</f>
        <v>0</v>
      </c>
      <c r="AZ139" s="17">
        <f>SUMPRODUCT(N(Tabela176[Código]=Tabela3[[#This Row],[PAPEL]]),Tabela176[Fechamento])</f>
        <v>42.55</v>
      </c>
      <c r="BA139" s="17">
        <f>SUMPRODUCT(N(Tabela1768[Código]=Tabela3[[#This Row],[PAPEL]]),Tabela1768[Fechamento])</f>
        <v>0</v>
      </c>
      <c r="BB139" s="7">
        <f>SUMPRODUCT(N(Tabela17683[Código]=Tabela3[[#This Row],[PAPEL]]),Tabela17683[Fechamento])</f>
        <v>0</v>
      </c>
    </row>
    <row r="140" spans="1:54" hidden="1" x14ac:dyDescent="0.2">
      <c r="A140" s="3" t="s">
        <v>1636</v>
      </c>
      <c r="B140" s="57" t="s">
        <v>1603</v>
      </c>
      <c r="C140" s="16" t="str">
        <f>LEFT(Tabela3[PAPEL],LEN(Tabela3[PAPEL])-(LEN(Tabela3[PAPEL])-4))</f>
        <v>KEPL</v>
      </c>
      <c r="D140" s="16">
        <v>3</v>
      </c>
      <c r="E140" s="5">
        <v>230635729.90000001</v>
      </c>
      <c r="F140" s="56">
        <v>26185106</v>
      </c>
      <c r="G140" s="81">
        <v>0.25</v>
      </c>
      <c r="H140" s="87"/>
      <c r="J140" s="18"/>
      <c r="K140" s="16"/>
      <c r="L140" s="87"/>
      <c r="M140" s="54"/>
      <c r="N140" s="54"/>
      <c r="O140" s="54"/>
      <c r="P140" s="91">
        <v>351730000</v>
      </c>
      <c r="Q140" s="73">
        <v>37050000</v>
      </c>
      <c r="R140" s="73">
        <f>IF(Tabela3[[#This Row],[Ativo || Passivo]]&gt;0,Tabela3[[#This Row],[Ativo || Passivo]]-Tabela3[[#This Row],[Patrimônio Líquido]],0)</f>
        <v>0</v>
      </c>
      <c r="S140" s="73">
        <f>Tabela3[[#This Row],[Cotação]]*Tabela3[[#This Row],[Total Ações]]</f>
        <v>1002104006.6200001</v>
      </c>
      <c r="T140" s="37">
        <f>IF(Tabela3[[#This Row],[Passivo Circulante]]&gt;0,Tabela3[[#This Row],[Ativo Circulante]]/Tabela3[[#This Row],[Passivo Circulante]],0)</f>
        <v>0</v>
      </c>
      <c r="U140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40" s="18">
        <f>IF(Tabela3[[#This Row],[Lucro Líquido]]&gt;0,Tabela3[[#This Row],[Lucro Líquido]]/Tabela3[[#This Row],[Patrimônio Líquido]],0)</f>
        <v>0.10533647968612288</v>
      </c>
      <c r="W140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40" s="18">
        <f>IF(Tabela3[[#This Row],[Dívida]]&gt;0,Tabela3[[#This Row],[Dívida]]/Tabela3[[#This Row],[Patrimônio Líquido]],0)</f>
        <v>0</v>
      </c>
      <c r="Y140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40" s="7">
        <f>Tabela3[[#This Row],[Capital Social]]*20%</f>
        <v>46127145.980000004</v>
      </c>
      <c r="AA140" s="47">
        <f>IF((Tabela3[Lucro Líquido]*5%)&gt;Tabela3[Teto R. Legal],Tabela3[Teto R. Legal],Tabela3[Lucro Líquido]*5%)</f>
        <v>1852500</v>
      </c>
      <c r="AB140" s="47">
        <f>IF(Tabela3[Lucro Líquido]&lt;0,0,Tabela3[Lucro Líquido]-Tabela3[Reserva Legal])</f>
        <v>35197500</v>
      </c>
      <c r="AC140" s="47">
        <f>Tabela3[[#This Row],[Lucro Distribuir]]*Tabela3[%Div]</f>
        <v>8799375</v>
      </c>
      <c r="AD140" s="56">
        <f>SUMPRODUCT(N(Tabela3[Nome]=Tabela3[[#This Row],[Nome]]),Tabela3[Ações])</f>
        <v>26185106</v>
      </c>
      <c r="AE140" s="85">
        <f>Tabela3[Capital Social]/Tabela3[Total Ações]</f>
        <v>8.8078975086066098</v>
      </c>
      <c r="AF140" s="85">
        <f>Tabela3[[#This Row],[Lucro Líquido]]/Tabela3[[#This Row],[Total Ações]]</f>
        <v>1.4149264853080985</v>
      </c>
      <c r="AG140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0.33604504026067339</v>
      </c>
      <c r="AH140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40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40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0.33604504026067339</v>
      </c>
      <c r="AK140" s="7">
        <f>Tabela3[Div Base]*Tabela3[Ações]</f>
        <v>8799375</v>
      </c>
      <c r="AL140" s="121">
        <f>SUMPRODUCT(N(Tabela3[Nome]=Tabela3[[#This Row],[Nome]]),Tabela3[Div Base]*Tabela3[Ações])</f>
        <v>8799375</v>
      </c>
      <c r="AM140" s="5">
        <f>Tabela3[Patrimônio Líquido]/Tabela3[Total Ações]</f>
        <v>13.432445146489</v>
      </c>
      <c r="AN140" s="52">
        <f>MAX(Tabela3[[#This Row],[Cotação 1]:[Cotação 5]])</f>
        <v>38.270000000000003</v>
      </c>
      <c r="AO140" s="53">
        <f>Tabela3[Cotação]/Tabela3[VPA]</f>
        <v>2.8490717499786773</v>
      </c>
      <c r="AP140" s="37">
        <f>IF(Tabela3[[#This Row],[Lucro/Ação]]&gt;0,Tabela3[[#This Row],[Cotação]]/(Tabela3[[#This Row],[Lucro/Ação]]/Tabela3[Ref]*4),0)</f>
        <v>20.285506206882591</v>
      </c>
      <c r="AQ140" s="85">
        <f>Tabela3[Lucro Distribuir]/Tabela3[Total Ações]</f>
        <v>1.3441801610426936</v>
      </c>
      <c r="AR140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0.33604504026067339</v>
      </c>
      <c r="AS140" s="10" t="str">
        <f>IF(AND(Tabela3[% A.A.]&gt;=6%,SUMPRODUCT(N(Tabela3[Nome]=Tabela3[[#This Row],[Nome]]),Tabela3[PL])&gt;0,Tabela3[Rentabilidade s/ PL]&gt;=Tabela3[Rentabilidade s/ PL Média]),"Sim","Não")</f>
        <v>Não</v>
      </c>
      <c r="AT140" s="22">
        <f>IF(Tabela3[Cotação]&gt;0,Tabela3[[#This Row],[Lucro]]/Tabela3[[#This Row],[Cotação]],0)</f>
        <v>8.7808999284210449E-3</v>
      </c>
      <c r="AU140" s="22">
        <f>((1+Tabela3[[#This Row],[% Yield]])^(1/(3*Tabela3[[#This Row],[Ref]])))^(12)-1</f>
        <v>1.1724967526154595E-2</v>
      </c>
      <c r="AV140" s="10">
        <f>IF(Tabela3[Cotação]&gt;0,($BD$1/Tabela3[[#This Row],[Cotação]]-MOD($BD$1/Tabela3[[#This Row],[Cotação]],100)),)</f>
        <v>0</v>
      </c>
      <c r="AW140" s="7">
        <f>Tabela3[[#This Row],[Ativos]]*Tabela3[Lucro]</f>
        <v>0</v>
      </c>
      <c r="AX140" s="7">
        <f>SUMPRODUCT(N(Tabela1[Código]=Tabela3[[#This Row],[PAPEL]]),Tabela1[Fechamento])</f>
        <v>0</v>
      </c>
      <c r="AY140" s="7">
        <f>SUMPRODUCT(N(Tabela17[Código]=Tabela3[[#This Row],[PAPEL]]),Tabela17[Fechamento])</f>
        <v>0</v>
      </c>
      <c r="AZ140" s="7">
        <f>SUMPRODUCT(N(Tabela176[Código]=Tabela3[[#This Row],[PAPEL]]),Tabela176[Fechamento])</f>
        <v>0</v>
      </c>
      <c r="BA140" s="7">
        <f>SUMPRODUCT(N(Tabela1768[Código]=Tabela3[[#This Row],[PAPEL]]),Tabela1768[Fechamento])</f>
        <v>0</v>
      </c>
      <c r="BB140" s="7">
        <f>SUMPRODUCT(N(Tabela17683[Código]=Tabela3[[#This Row],[PAPEL]]),Tabela17683[Fechamento])</f>
        <v>38.270000000000003</v>
      </c>
    </row>
    <row r="141" spans="1:54" hidden="1" x14ac:dyDescent="0.2">
      <c r="A141" s="4" t="s">
        <v>12</v>
      </c>
      <c r="B141" s="57" t="s">
        <v>167</v>
      </c>
      <c r="C141" s="84" t="str">
        <f>LEFT(Tabela3[PAPEL],LEN(Tabela3[PAPEL])-(LEN(Tabela3[PAPEL])-4))</f>
        <v>ELPL</v>
      </c>
      <c r="D141" s="15">
        <v>3</v>
      </c>
      <c r="E141" s="5">
        <v>1257629316.47</v>
      </c>
      <c r="F141" s="8">
        <v>66604817</v>
      </c>
      <c r="G141" s="86">
        <v>0.25</v>
      </c>
      <c r="H141" s="15"/>
      <c r="I141" s="19"/>
      <c r="J141" s="19"/>
      <c r="K141" s="88"/>
      <c r="L141" s="88"/>
      <c r="M141" s="54">
        <v>11031692000</v>
      </c>
      <c r="N141" s="54">
        <v>3005937000</v>
      </c>
      <c r="O141" s="54">
        <v>2196938000</v>
      </c>
      <c r="P141" s="89">
        <v>2577741000</v>
      </c>
      <c r="Q141" s="89">
        <v>271448000</v>
      </c>
      <c r="R141" s="89">
        <f>IF(Tabela3[[#This Row],[Ativo || Passivo]]&gt;0,Tabela3[[#This Row],[Ativo || Passivo]]-Tabela3[[#This Row],[Patrimônio Líquido]],0)</f>
        <v>8453951000</v>
      </c>
      <c r="S141" s="89">
        <f>Tabela3[[#This Row],[Cotação]]*Tabela3[[#This Row],[Total Ações]]</f>
        <v>1723642036.1000001</v>
      </c>
      <c r="T141" s="134">
        <f>IF(Tabela3[[#This Row],[Passivo Circulante]]&gt;0,Tabela3[[#This Row],[Ativo Circulante]]/Tabela3[[#This Row],[Passivo Circulante]],0)</f>
        <v>1.3682393403910351</v>
      </c>
      <c r="U141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41" s="19">
        <f>IF(Tabela3[[#This Row],[Lucro Líquido]]&gt;0,Tabela3[[#This Row],[Lucro Líquido]]/Tabela3[[#This Row],[Patrimônio Líquido]],0)</f>
        <v>0.10530460585450595</v>
      </c>
      <c r="W141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41" s="19">
        <f>IF(Tabela3[[#This Row],[Dívida]]&gt;0,Tabela3[[#This Row],[Dívida]]/Tabela3[[#This Row],[Patrimônio Líquido]],0)</f>
        <v>3.2795967476949781</v>
      </c>
      <c r="Y141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41" s="13">
        <f>Tabela3[[#This Row],[Capital Social]]*20%</f>
        <v>251525863.29400003</v>
      </c>
      <c r="AA141" s="13">
        <f>IF((Tabela3[Lucro Líquido]*5%)&gt;Tabela3[Teto R. Legal],Tabela3[Teto R. Legal],Tabela3[Lucro Líquido]*5%)</f>
        <v>13572400</v>
      </c>
      <c r="AB141" s="89">
        <f>IF(Tabela3[Lucro Líquido]&lt;0,0,Tabela3[Lucro Líquido]-Tabela3[Reserva Legal])</f>
        <v>257875600</v>
      </c>
      <c r="AC141" s="89">
        <f>Tabela3[[#This Row],[Lucro Distribuir]]*Tabela3[%Div]</f>
        <v>64468900</v>
      </c>
      <c r="AD141" s="56">
        <f>SUMPRODUCT(N(Tabela3[Nome]=Tabela3[[#This Row],[Nome]]),Tabela3[Ações])</f>
        <v>167343887</v>
      </c>
      <c r="AE141" s="5">
        <f>Tabela3[Capital Social]/Tabela3[Total Ações]</f>
        <v>7.5152390626016716</v>
      </c>
      <c r="AF141" s="78">
        <f>Tabela3[[#This Row],[Lucro Líquido]]/Tabela3[[#This Row],[Total Ações]]</f>
        <v>1.6220968979882724</v>
      </c>
      <c r="AG141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0.37326148263522085</v>
      </c>
      <c r="AH141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41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41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0.37326148263522085</v>
      </c>
      <c r="AK141" s="13">
        <f>Tabela3[Div Base]*Tabela3[Ações]</f>
        <v>24861012.744067561</v>
      </c>
      <c r="AL141" s="13">
        <f>SUMPRODUCT(N(Tabela3[Nome]=Tabela3[[#This Row],[Nome]]),Tabela3[Div Base]*Tabela3[Ações])</f>
        <v>66223228.890972093</v>
      </c>
      <c r="AM141" s="6">
        <f>Tabela3[Patrimônio Líquido]/Tabela3[Total Ações]</f>
        <v>15.403855176377013</v>
      </c>
      <c r="AN141" s="48">
        <f>MAX(Tabela3[[#This Row],[Cotação 1]:[Cotação 5]])</f>
        <v>10.3</v>
      </c>
      <c r="AO141" s="44">
        <f>Tabela3[Cotação]/Tabela3[VPA]</f>
        <v>0.66866377812976563</v>
      </c>
      <c r="AP141" s="40">
        <f>IF(Tabela3[[#This Row],[Lucro/Ação]]&gt;0,Tabela3[[#This Row],[Cotação]]/(Tabela3[[#This Row],[Lucro/Ação]]/Tabela3[Ref]*4),0)</f>
        <v>4.762354215448263</v>
      </c>
      <c r="AQ141" s="78">
        <f>Tabela3[Lucro Distribuir]/Tabela3[Total Ações]</f>
        <v>1.5409920530888588</v>
      </c>
      <c r="AR141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0.37326148263522085</v>
      </c>
      <c r="AS141" s="14" t="str">
        <f>IF(AND(Tabela3[% A.A.]&gt;=6%,SUMPRODUCT(N(Tabela3[Nome]=Tabela3[[#This Row],[Nome]]),Tabela3[PL])&gt;0,Tabela3[Rentabilidade s/ PL]&gt;=Tabela3[Rentabilidade s/ PL Média]),"Sim","Não")</f>
        <v>Não</v>
      </c>
      <c r="AT141" s="42">
        <f>IF(Tabela3[Cotação]&gt;0,Tabela3[[#This Row],[Lucro]]/Tabela3[[#This Row],[Cotação]],0)</f>
        <v>3.6238978896623385E-2</v>
      </c>
      <c r="AU141" s="19">
        <f>((1+Tabela3[[#This Row],[% Yield]])^(1/(3*Tabela3[[#This Row],[Ref]])))^(12)-1</f>
        <v>4.8608159509095916E-2</v>
      </c>
      <c r="AV141" s="14">
        <f>IF(Tabela3[Cotação]&gt;0,($BD$1/Tabela3[[#This Row],[Cotação]]-MOD($BD$1/Tabela3[[#This Row],[Cotação]],100)),)</f>
        <v>0</v>
      </c>
      <c r="AW141" s="17">
        <f>Tabela3[[#This Row],[Ativos]]*Tabela3[Lucro]</f>
        <v>0</v>
      </c>
      <c r="AX141" s="17">
        <f>SUMPRODUCT(N(Tabela1[Código]=Tabela3[[#This Row],[PAPEL]]),Tabela1[Fechamento])</f>
        <v>10.3</v>
      </c>
      <c r="AY141" s="17">
        <f>SUMPRODUCT(N(Tabela17[Código]=Tabela3[[#This Row],[PAPEL]]),Tabela17[Fechamento])</f>
        <v>0</v>
      </c>
      <c r="AZ141" s="7">
        <f>SUMPRODUCT(N(Tabela176[Código]=Tabela3[[#This Row],[PAPEL]]),Tabela176[Fechamento])</f>
        <v>0</v>
      </c>
      <c r="BA141" s="7">
        <f>SUMPRODUCT(N(Tabela1768[Código]=Tabela3[[#This Row],[PAPEL]]),Tabela1768[Fechamento])</f>
        <v>0</v>
      </c>
      <c r="BB141" s="7">
        <f>SUMPRODUCT(N(Tabela17683[Código]=Tabela3[[#This Row],[PAPEL]]),Tabela17683[Fechamento])</f>
        <v>0</v>
      </c>
    </row>
    <row r="142" spans="1:54" hidden="1" x14ac:dyDescent="0.2">
      <c r="A142" s="4" t="s">
        <v>12</v>
      </c>
      <c r="B142" s="57" t="s">
        <v>1</v>
      </c>
      <c r="C142" s="82" t="str">
        <f>LEFT(Tabela3[PAPEL],LEN(Tabela3[PAPEL])-(LEN(Tabela3[PAPEL])-4))</f>
        <v>ELPL</v>
      </c>
      <c r="D142" s="16">
        <v>3</v>
      </c>
      <c r="E142" s="5">
        <v>1257629316.47</v>
      </c>
      <c r="F142" s="56">
        <v>100739070</v>
      </c>
      <c r="G142" s="81">
        <v>0.25</v>
      </c>
      <c r="H142" s="18"/>
      <c r="J142" s="18">
        <v>0.1</v>
      </c>
      <c r="K142" s="87"/>
      <c r="L142" s="87"/>
      <c r="M142" s="54">
        <v>11031692000</v>
      </c>
      <c r="N142" s="54">
        <v>3005937000</v>
      </c>
      <c r="O142" s="54">
        <v>2196938000</v>
      </c>
      <c r="P142" s="89">
        <v>2577741000</v>
      </c>
      <c r="Q142" s="89">
        <v>271448000</v>
      </c>
      <c r="R142" s="89">
        <f>IF(Tabela3[[#This Row],[Ativo || Passivo]]&gt;0,Tabela3[[#This Row],[Ativo || Passivo]]-Tabela3[[#This Row],[Patrimônio Líquido]],0)</f>
        <v>8453951000</v>
      </c>
      <c r="S142" s="89">
        <f>Tabela3[[#This Row],[Cotação]]*Tabela3[[#This Row],[Total Ações]]</f>
        <v>1353812045.8299999</v>
      </c>
      <c r="T142" s="134">
        <f>IF(Tabela3[[#This Row],[Passivo Circulante]]&gt;0,Tabela3[[#This Row],[Ativo Circulante]]/Tabela3[[#This Row],[Passivo Circulante]],0)</f>
        <v>1.3682393403910351</v>
      </c>
      <c r="U142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42" s="19">
        <f>IF(Tabela3[[#This Row],[Lucro Líquido]]&gt;0,Tabela3[[#This Row],[Lucro Líquido]]/Tabela3[[#This Row],[Patrimônio Líquido]],0)</f>
        <v>0.10530460585450595</v>
      </c>
      <c r="W142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42" s="19">
        <f>IF(Tabela3[[#This Row],[Dívida]]&gt;0,Tabela3[[#This Row],[Dívida]]/Tabela3[[#This Row],[Patrimônio Líquido]],0)</f>
        <v>3.2795967476949781</v>
      </c>
      <c r="Y142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42" s="6">
        <f>Tabela3[[#This Row],[Capital Social]]*20%</f>
        <v>251525863.29400003</v>
      </c>
      <c r="AA142" s="6">
        <f>IF((Tabela3[Lucro Líquido]*5%)&gt;Tabela3[Teto R. Legal],Tabela3[Teto R. Legal],Tabela3[Lucro Líquido]*5%)</f>
        <v>13572400</v>
      </c>
      <c r="AB142" s="89">
        <f>IF(Tabela3[Lucro Líquido]&lt;0,0,Tabela3[Lucro Líquido]-Tabela3[Reserva Legal])</f>
        <v>257875600</v>
      </c>
      <c r="AC142" s="89">
        <f>Tabela3[[#This Row],[Lucro Distribuir]]*Tabela3[%Div]</f>
        <v>64468900</v>
      </c>
      <c r="AD142" s="56">
        <f>SUMPRODUCT(N(Tabela3[Nome]=Tabela3[[#This Row],[Nome]]),Tabela3[Ações])</f>
        <v>167343887</v>
      </c>
      <c r="AE142" s="6">
        <f>Tabela3[Capital Social]/Tabela3[Total Ações]</f>
        <v>7.5152390626016716</v>
      </c>
      <c r="AF142" s="78">
        <f>Tabela3[[#This Row],[Lucro Líquido]]/Tabela3[[#This Row],[Total Ações]]</f>
        <v>1.6220968979882724</v>
      </c>
      <c r="AG142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0.41058763146120503</v>
      </c>
      <c r="AH142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42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42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0.41058763146120503</v>
      </c>
      <c r="AK142" s="6">
        <f>Tabela3[Div Base]*Tabela3[Ações]</f>
        <v>41362216.146904536</v>
      </c>
      <c r="AL142" s="6">
        <f>SUMPRODUCT(N(Tabela3[Nome]=Tabela3[[#This Row],[Nome]]),Tabela3[Div Base]*Tabela3[Ações])</f>
        <v>66223228.890972093</v>
      </c>
      <c r="AM142" s="6">
        <f>Tabela3[Patrimônio Líquido]/Tabela3[Total Ações]</f>
        <v>15.403855176377013</v>
      </c>
      <c r="AN142" s="11">
        <f>MAX(Tabela3[[#This Row],[Cotação 1]:[Cotação 5]])</f>
        <v>8.09</v>
      </c>
      <c r="AO142" s="9">
        <f>Tabela3[Cotação]/Tabela3[VPA]</f>
        <v>0.52519320049221396</v>
      </c>
      <c r="AP142" s="36">
        <f>IF(Tabela3[[#This Row],[Lucro/Ação]]&gt;0,Tabela3[[#This Row],[Cotação]]/(Tabela3[[#This Row],[Lucro/Ação]]/Tabela3[Ref]*4),0)</f>
        <v>3.7405286993181015</v>
      </c>
      <c r="AQ142" s="78">
        <f>Tabela3[Lucro Distribuir]/Tabela3[Total Ações]</f>
        <v>1.5409920530888588</v>
      </c>
      <c r="AR142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0.41058763146120503</v>
      </c>
      <c r="AS142" s="14" t="str">
        <f>IF(AND(Tabela3[% A.A.]&gt;=6%,SUMPRODUCT(N(Tabela3[Nome]=Tabela3[[#This Row],[Nome]]),Tabela3[PL])&gt;0,Tabela3[Rentabilidade s/ PL]&gt;=Tabela3[Rentabilidade s/ PL Média]),"Sim","Não")</f>
        <v>Não</v>
      </c>
      <c r="AT142" s="19">
        <f>IF(Tabela3[Cotação]&gt;0,Tabela3[[#This Row],[Lucro]]/Tabela3[[#This Row],[Cotação]],0)</f>
        <v>5.0752488437726208E-2</v>
      </c>
      <c r="AU142" s="19">
        <f>((1+Tabela3[[#This Row],[% Yield]])^(1/(3*Tabela3[[#This Row],[Ref]])))^(12)-1</f>
        <v>6.8236065115569566E-2</v>
      </c>
      <c r="AV142" s="10">
        <f>IF(Tabela3[Cotação]&gt;0,($BD$1/Tabela3[[#This Row],[Cotação]]-MOD($BD$1/Tabela3[[#This Row],[Cotação]],100)),)</f>
        <v>0</v>
      </c>
      <c r="AW142" s="5">
        <f>Tabela3[[#This Row],[Ativos]]*Tabela3[Lucro]</f>
        <v>0</v>
      </c>
      <c r="AX142" s="5">
        <f>SUMPRODUCT(N(Tabela1[Código]=Tabela3[[#This Row],[PAPEL]]),Tabela1[Fechamento])</f>
        <v>8.09</v>
      </c>
      <c r="AY142" s="5">
        <f>SUMPRODUCT(N(Tabela17[Código]=Tabela3[[#This Row],[PAPEL]]),Tabela17[Fechamento])</f>
        <v>0</v>
      </c>
      <c r="AZ142" s="7">
        <f>SUMPRODUCT(N(Tabela176[Código]=Tabela3[[#This Row],[PAPEL]]),Tabela176[Fechamento])</f>
        <v>0</v>
      </c>
      <c r="BA142" s="7">
        <f>SUMPRODUCT(N(Tabela1768[Código]=Tabela3[[#This Row],[PAPEL]]),Tabela1768[Fechamento])</f>
        <v>0</v>
      </c>
      <c r="BB142" s="7">
        <f>SUMPRODUCT(N(Tabela17683[Código]=Tabela3[[#This Row],[PAPEL]]),Tabela17683[Fechamento])</f>
        <v>0</v>
      </c>
    </row>
    <row r="143" spans="1:54" hidden="1" x14ac:dyDescent="0.2">
      <c r="A143" s="3" t="s">
        <v>886</v>
      </c>
      <c r="B143" s="58" t="s">
        <v>888</v>
      </c>
      <c r="C143" s="16" t="str">
        <f>LEFT(Tabela3[PAPEL],LEN(Tabela3[PAPEL])-(LEN(Tabela3[PAPEL])-4))</f>
        <v>RNAR</v>
      </c>
      <c r="D143" s="16">
        <v>3</v>
      </c>
      <c r="E143" s="5">
        <v>126986000</v>
      </c>
      <c r="F143" s="56">
        <v>150000000</v>
      </c>
      <c r="G143" s="81">
        <v>0.3</v>
      </c>
      <c r="H143" s="87"/>
      <c r="J143" s="18"/>
      <c r="K143" s="16"/>
      <c r="L143" s="87"/>
      <c r="M143" s="54"/>
      <c r="N143" s="54"/>
      <c r="O143" s="54"/>
      <c r="P143" s="91">
        <v>34621000</v>
      </c>
      <c r="Q143" s="73">
        <v>3617000</v>
      </c>
      <c r="R143" s="73">
        <f>IF(Tabela3[[#This Row],[Ativo || Passivo]]&gt;0,Tabela3[[#This Row],[Ativo || Passivo]]-Tabela3[[#This Row],[Patrimônio Líquido]],0)</f>
        <v>0</v>
      </c>
      <c r="S143" s="73">
        <f>Tabela3[[#This Row],[Cotação]]*Tabela3[[#This Row],[Total Ações]]</f>
        <v>25500000</v>
      </c>
      <c r="T143" s="37">
        <f>IF(Tabela3[[#This Row],[Passivo Circulante]]&gt;0,Tabela3[[#This Row],[Ativo Circulante]]/Tabela3[[#This Row],[Passivo Circulante]],0)</f>
        <v>0</v>
      </c>
      <c r="U143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43" s="18">
        <f>IF(Tabela3[[#This Row],[Lucro Líquido]]&gt;0,Tabela3[[#This Row],[Lucro Líquido]]/Tabela3[[#This Row],[Patrimônio Líquido]],0)</f>
        <v>0.10447416308021143</v>
      </c>
      <c r="W143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43" s="18">
        <f>IF(Tabela3[[#This Row],[Dívida]]&gt;0,Tabela3[[#This Row],[Dívida]]/Tabela3[[#This Row],[Patrimônio Líquido]],0)</f>
        <v>0</v>
      </c>
      <c r="Y143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43" s="7">
        <f>Tabela3[[#This Row],[Capital Social]]*20%</f>
        <v>25397200</v>
      </c>
      <c r="AA143" s="47">
        <f>IF((Tabela3[Lucro Líquido]*5%)&gt;Tabela3[Teto R. Legal],Tabela3[Teto R. Legal],Tabela3[Lucro Líquido]*5%)</f>
        <v>180850</v>
      </c>
      <c r="AB143" s="47">
        <f>IF(Tabela3[Lucro Líquido]&lt;0,0,Tabela3[Lucro Líquido]-Tabela3[Reserva Legal])</f>
        <v>3436150</v>
      </c>
      <c r="AC143" s="47">
        <f>Tabela3[[#This Row],[Lucro Distribuir]]*Tabela3[%Div]</f>
        <v>1030845</v>
      </c>
      <c r="AD143" s="56">
        <f>SUMPRODUCT(N(Tabela3[Nome]=Tabela3[[#This Row],[Nome]]),Tabela3[Ações])</f>
        <v>150000000</v>
      </c>
      <c r="AE143" s="85">
        <f>Tabela3[Capital Social]/Tabela3[Total Ações]</f>
        <v>0.84657333333333329</v>
      </c>
      <c r="AF143" s="85">
        <f>Tabela3[[#This Row],[Lucro Líquido]]/Tabela3[[#This Row],[Total Ações]]</f>
        <v>2.4113333333333334E-2</v>
      </c>
      <c r="AG143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6.8722999999999996E-3</v>
      </c>
      <c r="AH143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43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43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6.8722999999999996E-3</v>
      </c>
      <c r="AK143" s="7">
        <f>Tabela3[Div Base]*Tabela3[Ações]</f>
        <v>1030844.9999999999</v>
      </c>
      <c r="AL143" s="7">
        <f>SUMPRODUCT(N(Tabela3[Nome]=Tabela3[[#This Row],[Nome]]),Tabela3[Div Base]*Tabela3[Ações])</f>
        <v>1030844.9999999999</v>
      </c>
      <c r="AM143" s="5">
        <f>Tabela3[Patrimônio Líquido]/Tabela3[Total Ações]</f>
        <v>0.23080666666666666</v>
      </c>
      <c r="AN143" s="52">
        <f>MAX(Tabela3[[#This Row],[Cotação 1]:[Cotação 5]])</f>
        <v>0.17</v>
      </c>
      <c r="AO143" s="53">
        <f>Tabela3[Cotação]/Tabela3[VPA]</f>
        <v>0.73654718234597505</v>
      </c>
      <c r="AP143" s="37">
        <f>IF(Tabela3[[#This Row],[Lucro/Ação]]&gt;0,Tabela3[[#This Row],[Cotação]]/(Tabela3[[#This Row],[Lucro/Ação]]/Tabela3[Ref]*4),0)</f>
        <v>5.2875311031241363</v>
      </c>
      <c r="AQ143" s="85">
        <f>Tabela3[Lucro Distribuir]/Tabela3[Total Ações]</f>
        <v>2.2907666666666666E-2</v>
      </c>
      <c r="AR143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6.8722999999999996E-3</v>
      </c>
      <c r="AS143" s="10" t="str">
        <f>IF(AND(Tabela3[% A.A.]&gt;=6%,SUMPRODUCT(N(Tabela3[Nome]=Tabela3[[#This Row],[Nome]]),Tabela3[PL])&gt;0,Tabela3[Rentabilidade s/ PL]&gt;=Tabela3[Rentabilidade s/ PL Média]),"Sim","Não")</f>
        <v>Não</v>
      </c>
      <c r="AT143" s="22">
        <f>IF(Tabela3[Cotação]&gt;0,Tabela3[[#This Row],[Lucro]]/Tabela3[[#This Row],[Cotação]],0)</f>
        <v>4.0425294117647052E-2</v>
      </c>
      <c r="AU143" s="22">
        <f>((1+Tabela3[[#This Row],[% Yield]])^(1/(3*Tabela3[[#This Row],[Ref]])))^(12)-1</f>
        <v>5.4260340106119909E-2</v>
      </c>
      <c r="AV143" s="10">
        <f>IF(Tabela3[Cotação]&gt;0,($BD$1/Tabela3[[#This Row],[Cotação]]-MOD($BD$1/Tabela3[[#This Row],[Cotação]],100)),)</f>
        <v>0</v>
      </c>
      <c r="AW143" s="7">
        <f>Tabela3[[#This Row],[Ativos]]*Tabela3[Lucro]</f>
        <v>0</v>
      </c>
      <c r="AX143" s="7">
        <f>SUMPRODUCT(N(Tabela1[Código]=Tabela3[[#This Row],[PAPEL]]),Tabela1[Fechamento])</f>
        <v>0</v>
      </c>
      <c r="AY143" s="7">
        <f>SUMPRODUCT(N(Tabela17[Código]=Tabela3[[#This Row],[PAPEL]]),Tabela17[Fechamento])</f>
        <v>0</v>
      </c>
      <c r="AZ143" s="7">
        <f>SUMPRODUCT(N(Tabela176[Código]=Tabela3[[#This Row],[PAPEL]]),Tabela176[Fechamento])</f>
        <v>0</v>
      </c>
      <c r="BA143" s="7">
        <f>SUMPRODUCT(N(Tabela1768[Código]=Tabela3[[#This Row],[PAPEL]]),Tabela1768[Fechamento])</f>
        <v>0.17</v>
      </c>
      <c r="BB143" s="7">
        <f>SUMPRODUCT(N(Tabela17683[Código]=Tabela3[[#This Row],[PAPEL]]),Tabela17683[Fechamento])</f>
        <v>0</v>
      </c>
    </row>
    <row r="144" spans="1:54" hidden="1" x14ac:dyDescent="0.2">
      <c r="A144" s="4" t="s">
        <v>12</v>
      </c>
      <c r="B144" s="57" t="s">
        <v>171</v>
      </c>
      <c r="C144" s="14" t="str">
        <f>LEFT(Tabela3[PAPEL],LEN(Tabela3[PAPEL])-(LEN(Tabela3[PAPEL])-4))</f>
        <v>ENGI</v>
      </c>
      <c r="D144" s="15">
        <v>3</v>
      </c>
      <c r="E144" s="6">
        <v>1010000001.6</v>
      </c>
      <c r="F144" s="8">
        <v>592714397</v>
      </c>
      <c r="G144" s="81">
        <v>0.25</v>
      </c>
      <c r="H144" s="15"/>
      <c r="I144" s="19"/>
      <c r="J144" s="19"/>
      <c r="K144" s="88"/>
      <c r="L144" s="88"/>
      <c r="M144" s="55"/>
      <c r="N144" s="55"/>
      <c r="O144" s="55"/>
      <c r="P144" s="89">
        <v>1825587000</v>
      </c>
      <c r="Q144" s="89">
        <v>190026000</v>
      </c>
      <c r="R144" s="89">
        <f>IF(Tabela3[[#This Row],[Ativo || Passivo]]&gt;0,Tabela3[[#This Row],[Ativo || Passivo]]-Tabela3[[#This Row],[Patrimônio Líquido]],0)</f>
        <v>0</v>
      </c>
      <c r="S144" s="89">
        <f>Tabela3[[#This Row],[Cotação]]*Tabela3[[#This Row],[Total Ações]]</f>
        <v>3425649944.75</v>
      </c>
      <c r="T144" s="134">
        <f>IF(Tabela3[[#This Row],[Passivo Circulante]]&gt;0,Tabela3[[#This Row],[Ativo Circulante]]/Tabela3[[#This Row],[Passivo Circulante]],0)</f>
        <v>0</v>
      </c>
      <c r="U144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44" s="19">
        <f>IF(Tabela3[[#This Row],[Lucro Líquido]]&gt;0,Tabela3[[#This Row],[Lucro Líquido]]/Tabela3[[#This Row],[Patrimônio Líquido]],0)</f>
        <v>0.10409035559521403</v>
      </c>
      <c r="W144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44" s="19">
        <f>IF(Tabela3[[#This Row],[Dívida]]&gt;0,Tabela3[[#This Row],[Dívida]]/Tabela3[[#This Row],[Patrimônio Líquido]],0)</f>
        <v>0</v>
      </c>
      <c r="Y144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44" s="6">
        <f>Tabela3[[#This Row],[Capital Social]]*20%</f>
        <v>202000000.32000002</v>
      </c>
      <c r="AA144" s="6">
        <f>IF((Tabela3[Lucro Líquido]*5%)&gt;Tabela3[Teto R. Legal],Tabela3[Teto R. Legal],Tabela3[Lucro Líquido]*5%)</f>
        <v>9501300</v>
      </c>
      <c r="AB144" s="89">
        <f>IF(Tabela3[Lucro Líquido]&lt;0,0,Tabela3[Lucro Líquido]-Tabela3[Reserva Legal])</f>
        <v>180524700</v>
      </c>
      <c r="AC144" s="89">
        <f>Tabela3[[#This Row],[Lucro Distribuir]]*Tabela3[%Div]</f>
        <v>45131175</v>
      </c>
      <c r="AD144" s="56">
        <f>SUMPRODUCT(N(Tabela3[Nome]=Tabela3[[#This Row],[Nome]]),Tabela3[Ações])</f>
        <v>1245690889</v>
      </c>
      <c r="AE144" s="6">
        <f>Tabela3[Capital Social]/Tabela3[Total Ações]</f>
        <v>0.81079504596103702</v>
      </c>
      <c r="AF144" s="78">
        <f>Tabela3[[#This Row],[Lucro Líquido]]/Tabela3[[#This Row],[Total Ações]]</f>
        <v>0.15254667243536371</v>
      </c>
      <c r="AG144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3.6229834703398876E-2</v>
      </c>
      <c r="AH144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44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44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3.6229834703398876E-2</v>
      </c>
      <c r="AK144" s="6">
        <f>Tabela3[Div Base]*Tabela3[Ações]</f>
        <v>21473944.629634738</v>
      </c>
      <c r="AL144" s="6">
        <f>SUMPRODUCT(N(Tabela3[Nome]=Tabela3[[#This Row],[Nome]]),Tabela3[Div Base]*Tabela3[Ações])</f>
        <v>45131175</v>
      </c>
      <c r="AM144" s="6">
        <f>Tabela3[Patrimônio Líquido]/Tabela3[Total Ações]</f>
        <v>1.4655216764614227</v>
      </c>
      <c r="AN144" s="48">
        <f>MAX(Tabela3[[#This Row],[Cotação 1]:[Cotação 5]])</f>
        <v>2.75</v>
      </c>
      <c r="AO144" s="44">
        <f>Tabela3[Cotação]/Tabela3[VPA]</f>
        <v>1.8764649095058192</v>
      </c>
      <c r="AP144" s="40">
        <f>IF(Tabela3[[#This Row],[Lucro/Ação]]&gt;0,Tabela3[[#This Row],[Cotação]]/(Tabela3[[#This Row],[Lucro/Ação]]/Tabela3[Ref]*4),0)</f>
        <v>13.520452246337342</v>
      </c>
      <c r="AQ144" s="78">
        <f>Tabela3[Lucro Distribuir]/Tabela3[Total Ações]</f>
        <v>0.14491933881359551</v>
      </c>
      <c r="AR144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3.6229834703398876E-2</v>
      </c>
      <c r="AS144" s="15" t="str">
        <f>IF(AND(Tabela3[% A.A.]&gt;=6%,SUMPRODUCT(N(Tabela3[Nome]=Tabela3[[#This Row],[Nome]]),Tabela3[PL])&gt;0,Tabela3[Rentabilidade s/ PL]&gt;=Tabela3[Rentabilidade s/ PL Média]),"Sim","Não")</f>
        <v>Não</v>
      </c>
      <c r="AT144" s="42">
        <f>IF(Tabela3[Cotação]&gt;0,Tabela3[[#This Row],[Lucro]]/Tabela3[[#This Row],[Cotação]],0)</f>
        <v>1.3174485346690501E-2</v>
      </c>
      <c r="AU144" s="19">
        <f>((1+Tabela3[[#This Row],[% Yield]])^(1/(3*Tabela3[[#This Row],[Ref]])))^(12)-1</f>
        <v>1.7604438615180573E-2</v>
      </c>
      <c r="AV144" s="14">
        <f>IF(Tabela3[Cotação]&gt;0,($BD$1/Tabela3[[#This Row],[Cotação]]-MOD($BD$1/Tabela3[[#This Row],[Cotação]],100)),)</f>
        <v>0</v>
      </c>
      <c r="AW144" s="17">
        <f>Tabela3[[#This Row],[Ativos]]*Tabela3[Lucro]</f>
        <v>0</v>
      </c>
      <c r="AX144" s="5">
        <f>SUMPRODUCT(N(Tabela1[Código]=Tabela3[[#This Row],[PAPEL]]),Tabela1[Fechamento])</f>
        <v>2.75</v>
      </c>
      <c r="AY144" s="5">
        <f>SUMPRODUCT(N(Tabela17[Código]=Tabela3[[#This Row],[PAPEL]]),Tabela17[Fechamento])</f>
        <v>0</v>
      </c>
      <c r="AZ144" s="7">
        <f>SUMPRODUCT(N(Tabela176[Código]=Tabela3[[#This Row],[PAPEL]]),Tabela176[Fechamento])</f>
        <v>0</v>
      </c>
      <c r="BA144" s="7">
        <f>SUMPRODUCT(N(Tabela1768[Código]=Tabela3[[#This Row],[PAPEL]]),Tabela1768[Fechamento])</f>
        <v>0</v>
      </c>
      <c r="BB144" s="7">
        <f>SUMPRODUCT(N(Tabela17683[Código]=Tabela3[[#This Row],[PAPEL]]),Tabela17683[Fechamento])</f>
        <v>0</v>
      </c>
    </row>
    <row r="145" spans="1:54" hidden="1" x14ac:dyDescent="0.2">
      <c r="A145" s="4" t="s">
        <v>12</v>
      </c>
      <c r="B145" s="57" t="s">
        <v>64</v>
      </c>
      <c r="C145" s="14" t="str">
        <f>LEFT(Tabela3[PAPEL],LEN(Tabela3[PAPEL])-(LEN(Tabela3[PAPEL])-4))</f>
        <v>ENGI</v>
      </c>
      <c r="D145" s="15">
        <v>3</v>
      </c>
      <c r="E145" s="6">
        <v>1010000001.6</v>
      </c>
      <c r="F145" s="8">
        <v>652976492</v>
      </c>
      <c r="G145" s="86">
        <v>0.25</v>
      </c>
      <c r="H145" s="15"/>
      <c r="I145" s="19"/>
      <c r="J145" s="19"/>
      <c r="K145" s="88"/>
      <c r="L145" s="88"/>
      <c r="M145" s="55"/>
      <c r="N145" s="55"/>
      <c r="O145" s="55"/>
      <c r="P145" s="89">
        <v>1825587000</v>
      </c>
      <c r="Q145" s="89">
        <v>190026000</v>
      </c>
      <c r="R145" s="89">
        <f>IF(Tabela3[[#This Row],[Ativo || Passivo]]&gt;0,Tabela3[[#This Row],[Ativo || Passivo]]-Tabela3[[#This Row],[Patrimônio Líquido]],0)</f>
        <v>0</v>
      </c>
      <c r="S145" s="89">
        <f>Tabela3[[#This Row],[Cotação]]*Tabela3[[#This Row],[Total Ações]]</f>
        <v>2491381778</v>
      </c>
      <c r="T145" s="134">
        <f>IF(Tabela3[[#This Row],[Passivo Circulante]]&gt;0,Tabela3[[#This Row],[Ativo Circulante]]/Tabela3[[#This Row],[Passivo Circulante]],0)</f>
        <v>0</v>
      </c>
      <c r="U145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45" s="19">
        <f>IF(Tabela3[[#This Row],[Lucro Líquido]]&gt;0,Tabela3[[#This Row],[Lucro Líquido]]/Tabela3[[#This Row],[Patrimônio Líquido]],0)</f>
        <v>0.10409035559521403</v>
      </c>
      <c r="W145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45" s="19">
        <f>IF(Tabela3[[#This Row],[Dívida]]&gt;0,Tabela3[[#This Row],[Dívida]]/Tabela3[[#This Row],[Patrimônio Líquido]],0)</f>
        <v>0</v>
      </c>
      <c r="Y145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45" s="6">
        <f>Tabela3[[#This Row],[Capital Social]]*20%</f>
        <v>202000000.32000002</v>
      </c>
      <c r="AA145" s="6">
        <f>IF((Tabela3[Lucro Líquido]*5%)&gt;Tabela3[Teto R. Legal],Tabela3[Teto R. Legal],Tabela3[Lucro Líquido]*5%)</f>
        <v>9501300</v>
      </c>
      <c r="AB145" s="89">
        <f>IF(Tabela3[Lucro Líquido]&lt;0,0,Tabela3[Lucro Líquido]-Tabela3[Reserva Legal])</f>
        <v>180524700</v>
      </c>
      <c r="AC145" s="89">
        <f>Tabela3[[#This Row],[Lucro Distribuir]]*Tabela3[%Div]</f>
        <v>45131175</v>
      </c>
      <c r="AD145" s="56">
        <f>SUMPRODUCT(N(Tabela3[Nome]=Tabela3[[#This Row],[Nome]]),Tabela3[Ações])</f>
        <v>1245690889</v>
      </c>
      <c r="AE145" s="6">
        <f>Tabela3[Capital Social]/Tabela3[Total Ações]</f>
        <v>0.81079504596103702</v>
      </c>
      <c r="AF145" s="78">
        <f>Tabela3[[#This Row],[Lucro Líquido]]/Tabela3[[#This Row],[Total Ações]]</f>
        <v>0.15254667243536371</v>
      </c>
      <c r="AG145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3.6229834703398876E-2</v>
      </c>
      <c r="AH145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45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45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3.6229834703398876E-2</v>
      </c>
      <c r="AK145" s="6">
        <f>Tabela3[Div Base]*Tabela3[Ações]</f>
        <v>23657230.370365258</v>
      </c>
      <c r="AL145" s="6">
        <f>SUMPRODUCT(N(Tabela3[Nome]=Tabela3[[#This Row],[Nome]]),Tabela3[Div Base]*Tabela3[Ações])</f>
        <v>45131175</v>
      </c>
      <c r="AM145" s="6">
        <f>Tabela3[Patrimônio Líquido]/Tabela3[Total Ações]</f>
        <v>1.4655216764614227</v>
      </c>
      <c r="AN145" s="48">
        <f>MAX(Tabela3[[#This Row],[Cotação 1]:[Cotação 5]])</f>
        <v>2</v>
      </c>
      <c r="AO145" s="44">
        <f>Tabela3[Cotação]/Tabela3[VPA]</f>
        <v>1.3647017523678684</v>
      </c>
      <c r="AP145" s="40">
        <f>IF(Tabela3[[#This Row],[Lucro/Ação]]&gt;0,Tabela3[[#This Row],[Cotação]]/(Tabela3[[#This Row],[Lucro/Ação]]/Tabela3[Ref]*4),0)</f>
        <v>9.8330561791544309</v>
      </c>
      <c r="AQ145" s="78">
        <f>Tabela3[Lucro Distribuir]/Tabela3[Total Ações]</f>
        <v>0.14491933881359551</v>
      </c>
      <c r="AR145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3.6229834703398876E-2</v>
      </c>
      <c r="AS145" s="14" t="str">
        <f>IF(AND(Tabela3[% A.A.]&gt;=6%,SUMPRODUCT(N(Tabela3[Nome]=Tabela3[[#This Row],[Nome]]),Tabela3[PL])&gt;0,Tabela3[Rentabilidade s/ PL]&gt;=Tabela3[Rentabilidade s/ PL Média]),"Sim","Não")</f>
        <v>Não</v>
      </c>
      <c r="AT145" s="42">
        <f>IF(Tabela3[Cotação]&gt;0,Tabela3[[#This Row],[Lucro]]/Tabela3[[#This Row],[Cotação]],0)</f>
        <v>1.8114917351699438E-2</v>
      </c>
      <c r="AU145" s="19">
        <f>((1+Tabela3[[#This Row],[% Yield]])^(1/(3*Tabela3[[#This Row],[Ref]])))^(12)-1</f>
        <v>2.4225854052274842E-2</v>
      </c>
      <c r="AV145" s="14">
        <f>IF(Tabela3[Cotação]&gt;0,($BD$1/Tabela3[[#This Row],[Cotação]]-MOD($BD$1/Tabela3[[#This Row],[Cotação]],100)),)</f>
        <v>0</v>
      </c>
      <c r="AW145" s="17">
        <f>Tabela3[[#This Row],[Ativos]]*Tabela3[Lucro]</f>
        <v>0</v>
      </c>
      <c r="AX145" s="5">
        <f>SUMPRODUCT(N(Tabela1[Código]=Tabela3[[#This Row],[PAPEL]]),Tabela1[Fechamento])</f>
        <v>2</v>
      </c>
      <c r="AY145" s="5">
        <f>SUMPRODUCT(N(Tabela17[Código]=Tabela3[[#This Row],[PAPEL]]),Tabela17[Fechamento])</f>
        <v>0</v>
      </c>
      <c r="AZ145" s="7">
        <f>SUMPRODUCT(N(Tabela176[Código]=Tabela3[[#This Row],[PAPEL]]),Tabela176[Fechamento])</f>
        <v>0</v>
      </c>
      <c r="BA145" s="7">
        <f>SUMPRODUCT(N(Tabela1768[Código]=Tabela3[[#This Row],[PAPEL]]),Tabela1768[Fechamento])</f>
        <v>0</v>
      </c>
      <c r="BB145" s="7">
        <f>SUMPRODUCT(N(Tabela17683[Código]=Tabela3[[#This Row],[PAPEL]]),Tabela17683[Fechamento])</f>
        <v>0</v>
      </c>
    </row>
    <row r="146" spans="1:54" hidden="1" x14ac:dyDescent="0.2">
      <c r="A146" s="3" t="s">
        <v>287</v>
      </c>
      <c r="B146" s="58" t="s">
        <v>286</v>
      </c>
      <c r="C146" s="83" t="str">
        <f>LEFT(Tabela3[PAPEL],LEN(Tabela3[PAPEL])-(LEN(Tabela3[PAPEL])-4))</f>
        <v>TIMP</v>
      </c>
      <c r="D146" s="16">
        <v>4</v>
      </c>
      <c r="E146" s="5">
        <v>9886886593.4599991</v>
      </c>
      <c r="F146" s="56">
        <v>2417632647</v>
      </c>
      <c r="G146" s="86">
        <v>0.25</v>
      </c>
      <c r="H146" s="18"/>
      <c r="J146" s="18"/>
      <c r="K146" s="87"/>
      <c r="L146" s="87"/>
      <c r="M146" s="54"/>
      <c r="N146" s="54"/>
      <c r="O146" s="54"/>
      <c r="P146" s="5">
        <v>14594640000</v>
      </c>
      <c r="Q146" s="5">
        <v>1505614000</v>
      </c>
      <c r="R146" s="5">
        <f>IF(Tabela3[[#This Row],[Ativo || Passivo]]&gt;0,Tabela3[[#This Row],[Ativo || Passivo]]-Tabela3[[#This Row],[Patrimônio Líquido]],0)</f>
        <v>0</v>
      </c>
      <c r="S146" s="5">
        <f>Tabela3[[#This Row],[Cotação]]*Tabela3[[#This Row],[Total Ações]]</f>
        <v>29422589313.990002</v>
      </c>
      <c r="T146" s="132">
        <f>IF(Tabela3[[#This Row],[Passivo Circulante]]&gt;0,Tabela3[[#This Row],[Ativo Circulante]]/Tabela3[[#This Row],[Passivo Circulante]],0)</f>
        <v>0</v>
      </c>
      <c r="U146" s="132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46" s="18">
        <f>IF(Tabela3[[#This Row],[Lucro Líquido]]&gt;0,Tabela3[[#This Row],[Lucro Líquido]]/Tabela3[[#This Row],[Patrimônio Líquido]],0)</f>
        <v>0.10316211979192361</v>
      </c>
      <c r="W146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46" s="18">
        <f>IF(Tabela3[[#This Row],[Dívida]]&gt;0,Tabela3[[#This Row],[Dívida]]/Tabela3[[#This Row],[Patrimônio Líquido]],0)</f>
        <v>0</v>
      </c>
      <c r="Y146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46" s="5">
        <f>Tabela3[[#This Row],[Capital Social]]*20%</f>
        <v>1977377318.6919999</v>
      </c>
      <c r="AA146" s="5">
        <f>IF((Tabela3[Lucro Líquido]*5%)&gt;Tabela3[Teto R. Legal],Tabela3[Teto R. Legal],Tabela3[Lucro Líquido]*5%)</f>
        <v>75280700</v>
      </c>
      <c r="AB146" s="5">
        <f>IF(Tabela3[Lucro Líquido]&lt;0,0,Tabela3[Lucro Líquido]-Tabela3[Reserva Legal])</f>
        <v>1430333300</v>
      </c>
      <c r="AC146" s="5">
        <f>Tabela3[[#This Row],[Lucro Distribuir]]*Tabela3[%Div]</f>
        <v>357583325</v>
      </c>
      <c r="AD146" s="56">
        <f>SUMPRODUCT(N(Tabela3[Nome]=Tabela3[[#This Row],[Nome]]),Tabela3[Ações])</f>
        <v>2417632647</v>
      </c>
      <c r="AE146" s="5">
        <f>Tabela3[Capital Social]/Tabela3[Total Ações]</f>
        <v>4.089490852023558</v>
      </c>
      <c r="AF146" s="77">
        <f>Tabela3[[#This Row],[Lucro Líquido]]/Tabela3[[#This Row],[Total Ações]]</f>
        <v>0.62276376101567432</v>
      </c>
      <c r="AG146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0.14790639324122265</v>
      </c>
      <c r="AH146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46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46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0.14790639324122265</v>
      </c>
      <c r="AK146" s="5">
        <f>Tabela3[Div Base]*Tabela3[Ações]</f>
        <v>357583325</v>
      </c>
      <c r="AL146" s="5">
        <f>SUMPRODUCT(N(Tabela3[Nome]=Tabela3[[#This Row],[Nome]]),Tabela3[Div Base]*Tabela3[Ações])</f>
        <v>357583325</v>
      </c>
      <c r="AM146" s="5">
        <f>Tabela3[Patrimônio Líquido]/Tabela3[Total Ações]</f>
        <v>6.0367483943891331</v>
      </c>
      <c r="AN146" s="52">
        <f>MAX(Tabela3[[#This Row],[Cotação 1]:[Cotação 5]])</f>
        <v>12.17</v>
      </c>
      <c r="AO146" s="53">
        <f>Tabela3[Cotação]/Tabela3[VPA]</f>
        <v>2.0159859588170725</v>
      </c>
      <c r="AP146" s="37">
        <f>IF(Tabela3[[#This Row],[Lucro/Ação]]&gt;0,Tabela3[[#This Row],[Cotação]]/(Tabela3[[#This Row],[Lucro/Ação]]/Tabela3[Ref]*4),0)</f>
        <v>19.541920647649395</v>
      </c>
      <c r="AQ146" s="77">
        <f>Tabela3[Lucro Distribuir]/Tabela3[Total Ações]</f>
        <v>0.5916255729648906</v>
      </c>
      <c r="AR146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0.14790639324122265</v>
      </c>
      <c r="AS146" s="16" t="str">
        <f>IF(AND(Tabela3[% A.A.]&gt;=6%,SUMPRODUCT(N(Tabela3[Nome]=Tabela3[[#This Row],[Nome]]),Tabela3[PL])&gt;0,Tabela3[Rentabilidade s/ PL]&gt;=Tabela3[Rentabilidade s/ PL Média]),"Sim","Não")</f>
        <v>Não</v>
      </c>
      <c r="AT146" s="22">
        <f>IF(Tabela3[Cotação]&gt;0,Tabela3[[#This Row],[Lucro]]/Tabela3[[#This Row],[Cotação]],0)</f>
        <v>1.2153360167725773E-2</v>
      </c>
      <c r="AU146" s="18">
        <f>((1+Tabela3[[#This Row],[% Yield]])^(1/(3*Tabela3[[#This Row],[Ref]])))^(12)-1</f>
        <v>1.2153360167724836E-2</v>
      </c>
      <c r="AV146" s="10">
        <f>IF(Tabela3[Cotação]&gt;0,($BD$1/Tabela3[[#This Row],[Cotação]]-MOD($BD$1/Tabela3[[#This Row],[Cotação]],100)),)</f>
        <v>0</v>
      </c>
      <c r="AW146" s="7">
        <f>Tabela3[[#This Row],[Ativos]]*Tabela3[Lucro]</f>
        <v>0</v>
      </c>
      <c r="AX146" s="47">
        <f>SUMPRODUCT(N(Tabela1[Código]=Tabela3[[#This Row],[PAPEL]]),Tabela1[Fechamento])</f>
        <v>0</v>
      </c>
      <c r="AY146" s="54">
        <f>SUMPRODUCT(N(Tabela17[Código]=Tabela3[[#This Row],[PAPEL]]),Tabela17[Fechamento])</f>
        <v>12.17</v>
      </c>
      <c r="AZ146" s="7">
        <f>SUMPRODUCT(N(Tabela176[Código]=Tabela3[[#This Row],[PAPEL]]),Tabela176[Fechamento])</f>
        <v>0</v>
      </c>
      <c r="BA146" s="7">
        <f>SUMPRODUCT(N(Tabela1768[Código]=Tabela3[[#This Row],[PAPEL]]),Tabela1768[Fechamento])</f>
        <v>0</v>
      </c>
      <c r="BB146" s="7">
        <f>SUMPRODUCT(N(Tabela17683[Código]=Tabela3[[#This Row],[PAPEL]]),Tabela17683[Fechamento])</f>
        <v>0</v>
      </c>
    </row>
    <row r="147" spans="1:54" hidden="1" x14ac:dyDescent="0.2">
      <c r="A147" s="3" t="s">
        <v>1514</v>
      </c>
      <c r="B147" s="58" t="s">
        <v>1516</v>
      </c>
      <c r="C147" s="16" t="str">
        <f>LEFT(Tabela3[PAPEL],LEN(Tabela3[PAPEL])-(LEN(Tabela3[PAPEL])-4))</f>
        <v>TGMA</v>
      </c>
      <c r="D147" s="16">
        <v>3</v>
      </c>
      <c r="E147" s="5">
        <v>144469396</v>
      </c>
      <c r="F147" s="56">
        <v>66002915</v>
      </c>
      <c r="G147" s="81">
        <v>0.25</v>
      </c>
      <c r="H147" s="87"/>
      <c r="J147" s="18"/>
      <c r="K147" s="16"/>
      <c r="L147" s="87"/>
      <c r="M147" s="54"/>
      <c r="N147" s="54"/>
      <c r="O147" s="54"/>
      <c r="P147" s="91">
        <v>422689000</v>
      </c>
      <c r="Q147" s="73">
        <v>43227000</v>
      </c>
      <c r="R147" s="73">
        <f>IF(Tabela3[[#This Row],[Ativo || Passivo]]&gt;0,Tabela3[[#This Row],[Ativo || Passivo]]-Tabela3[[#This Row],[Patrimônio Líquido]],0)</f>
        <v>0</v>
      </c>
      <c r="S147" s="73">
        <f>Tabela3[[#This Row],[Cotação]]*Tabela3[[#This Row],[Total Ações]]</f>
        <v>1255375443.3</v>
      </c>
      <c r="T147" s="37">
        <f>IF(Tabela3[[#This Row],[Passivo Circulante]]&gt;0,Tabela3[[#This Row],[Ativo Circulante]]/Tabela3[[#This Row],[Passivo Circulante]],0)</f>
        <v>0</v>
      </c>
      <c r="U147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47" s="18">
        <f>IF(Tabela3[[#This Row],[Lucro Líquido]]&gt;0,Tabela3[[#This Row],[Lucro Líquido]]/Tabela3[[#This Row],[Patrimônio Líquido]],0)</f>
        <v>0.10226667833797426</v>
      </c>
      <c r="W147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47" s="18">
        <f>IF(Tabela3[[#This Row],[Dívida]]&gt;0,Tabela3[[#This Row],[Dívida]]/Tabela3[[#This Row],[Patrimônio Líquido]],0)</f>
        <v>0</v>
      </c>
      <c r="Y147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47" s="7">
        <f>Tabela3[[#This Row],[Capital Social]]*20%</f>
        <v>28893879.200000003</v>
      </c>
      <c r="AA147" s="47">
        <f>IF((Tabela3[Lucro Líquido]*5%)&gt;Tabela3[Teto R. Legal],Tabela3[Teto R. Legal],Tabela3[Lucro Líquido]*5%)</f>
        <v>2161350</v>
      </c>
      <c r="AB147" s="47">
        <f>IF(Tabela3[Lucro Líquido]&lt;0,0,Tabela3[Lucro Líquido]-Tabela3[Reserva Legal])</f>
        <v>41065650</v>
      </c>
      <c r="AC147" s="47">
        <f>Tabela3[[#This Row],[Lucro Distribuir]]*Tabela3[%Div]</f>
        <v>10266412.5</v>
      </c>
      <c r="AD147" s="56">
        <f>SUMPRODUCT(N(Tabela3[Nome]=Tabela3[[#This Row],[Nome]]),Tabela3[Ações])</f>
        <v>66002915</v>
      </c>
      <c r="AE147" s="85">
        <f>Tabela3[Capital Social]/Tabela3[Total Ações]</f>
        <v>2.1888335689416141</v>
      </c>
      <c r="AF147" s="85">
        <f>Tabela3[[#This Row],[Lucro Líquido]]/Tabela3[[#This Row],[Total Ações]]</f>
        <v>0.65492561957301432</v>
      </c>
      <c r="AG147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0.1555448346485909</v>
      </c>
      <c r="AH147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47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47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0.1555448346485909</v>
      </c>
      <c r="AK147" s="7">
        <f>Tabela3[Div Base]*Tabela3[Ações]</f>
        <v>10266412.5</v>
      </c>
      <c r="AL147" s="121">
        <f>SUMPRODUCT(N(Tabela3[Nome]=Tabela3[[#This Row],[Nome]]),Tabela3[Div Base]*Tabela3[Ações])</f>
        <v>10266412.5</v>
      </c>
      <c r="AM147" s="5">
        <f>Tabela3[Patrimônio Líquido]/Tabela3[Total Ações]</f>
        <v>6.4040959403080908</v>
      </c>
      <c r="AN147" s="52">
        <f>MAX(Tabela3[[#This Row],[Cotação 1]:[Cotação 5]])</f>
        <v>19.02</v>
      </c>
      <c r="AO147" s="53">
        <f>Tabela3[Cotação]/Tabela3[VPA]</f>
        <v>2.9699742441842583</v>
      </c>
      <c r="AP147" s="37">
        <f>IF(Tabela3[[#This Row],[Lucro/Ação]]&gt;0,Tabela3[[#This Row],[Cotação]]/(Tabela3[[#This Row],[Lucro/Ação]]/Tabela3[Ref]*4),0)</f>
        <v>21.781099370185302</v>
      </c>
      <c r="AQ147" s="85">
        <f>Tabela3[Lucro Distribuir]/Tabela3[Total Ações]</f>
        <v>0.62217933859436358</v>
      </c>
      <c r="AR147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0.1555448346485909</v>
      </c>
      <c r="AS147" s="10" t="str">
        <f>IF(AND(Tabela3[% A.A.]&gt;=6%,SUMPRODUCT(N(Tabela3[Nome]=Tabela3[[#This Row],[Nome]]),Tabela3[PL])&gt;0,Tabela3[Rentabilidade s/ PL]&gt;=Tabela3[Rentabilidade s/ PL Média]),"Sim","Não")</f>
        <v>Não</v>
      </c>
      <c r="AT147" s="22">
        <f>IF(Tabela3[Cotação]&gt;0,Tabela3[[#This Row],[Lucro]]/Tabela3[[#This Row],[Cotação]],0)</f>
        <v>8.1779618637534655E-3</v>
      </c>
      <c r="AU147" s="22">
        <f>((1+Tabela3[[#This Row],[% Yield]])^(1/(3*Tabela3[[#This Row],[Ref]])))^(12)-1</f>
        <v>1.0918784247587077E-2</v>
      </c>
      <c r="AV147" s="10">
        <f>IF(Tabela3[Cotação]&gt;0,($BD$1/Tabela3[[#This Row],[Cotação]]-MOD($BD$1/Tabela3[[#This Row],[Cotação]],100)),)</f>
        <v>0</v>
      </c>
      <c r="AW147" s="7">
        <f>Tabela3[[#This Row],[Ativos]]*Tabela3[Lucro]</f>
        <v>0</v>
      </c>
      <c r="AX147" s="7">
        <f>SUMPRODUCT(N(Tabela1[Código]=Tabela3[[#This Row],[PAPEL]]),Tabela1[Fechamento])</f>
        <v>0</v>
      </c>
      <c r="AY147" s="7">
        <f>SUMPRODUCT(N(Tabela17[Código]=Tabela3[[#This Row],[PAPEL]]),Tabela17[Fechamento])</f>
        <v>0</v>
      </c>
      <c r="AZ147" s="7">
        <f>SUMPRODUCT(N(Tabela176[Código]=Tabela3[[#This Row],[PAPEL]]),Tabela176[Fechamento])</f>
        <v>0</v>
      </c>
      <c r="BA147" s="7">
        <f>SUMPRODUCT(N(Tabela1768[Código]=Tabela3[[#This Row],[PAPEL]]),Tabela1768[Fechamento])</f>
        <v>0</v>
      </c>
      <c r="BB147" s="7">
        <f>SUMPRODUCT(N(Tabela17683[Código]=Tabela3[[#This Row],[PAPEL]]),Tabela17683[Fechamento])</f>
        <v>19.02</v>
      </c>
    </row>
    <row r="148" spans="1:54" hidden="1" x14ac:dyDescent="0.2">
      <c r="A148" s="4" t="s">
        <v>12</v>
      </c>
      <c r="B148" s="60" t="s">
        <v>162</v>
      </c>
      <c r="C148" s="14" t="str">
        <f>LEFT(Tabela3[PAPEL],LEN(Tabela3[PAPEL])-(LEN(Tabela3[PAPEL])-4))</f>
        <v>GEPA</v>
      </c>
      <c r="D148" s="15">
        <v>3</v>
      </c>
      <c r="E148" s="6">
        <v>1339137503.8</v>
      </c>
      <c r="F148" s="8">
        <v>31477761</v>
      </c>
      <c r="G148" s="81">
        <v>0.25</v>
      </c>
      <c r="H148" s="15"/>
      <c r="I148" s="19"/>
      <c r="J148" s="19"/>
      <c r="K148" s="88"/>
      <c r="L148" s="88"/>
      <c r="M148" s="55"/>
      <c r="N148" s="55"/>
      <c r="O148" s="55"/>
      <c r="P148" s="89">
        <v>2745488000</v>
      </c>
      <c r="Q148" s="89">
        <v>276732000</v>
      </c>
      <c r="R148" s="89">
        <f>IF(Tabela3[[#This Row],[Ativo || Passivo]]&gt;0,Tabela3[[#This Row],[Ativo || Passivo]]-Tabela3[[#This Row],[Patrimônio Líquido]],0)</f>
        <v>0</v>
      </c>
      <c r="S148" s="89">
        <f>Tabela3[[#This Row],[Cotação]]*Tabela3[[#This Row],[Total Ações]]</f>
        <v>5858640877.3199997</v>
      </c>
      <c r="T148" s="134">
        <f>IF(Tabela3[[#This Row],[Passivo Circulante]]&gt;0,Tabela3[[#This Row],[Ativo Circulante]]/Tabela3[[#This Row],[Passivo Circulante]],0)</f>
        <v>0</v>
      </c>
      <c r="U148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48" s="19">
        <f>IF(Tabela3[[#This Row],[Lucro Líquido]]&gt;0,Tabela3[[#This Row],[Lucro Líquido]]/Tabela3[[#This Row],[Patrimônio Líquido]],0)</f>
        <v>0.10079519560821246</v>
      </c>
      <c r="W148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48" s="19">
        <f>IF(Tabela3[[#This Row],[Dívida]]&gt;0,Tabela3[[#This Row],[Dívida]]/Tabela3[[#This Row],[Patrimônio Líquido]],0)</f>
        <v>0</v>
      </c>
      <c r="Y148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48" s="6">
        <f>Tabela3[[#This Row],[Capital Social]]*20%</f>
        <v>267827500.75999999</v>
      </c>
      <c r="AA148" s="6">
        <f>IF((Tabela3[Lucro Líquido]*5%)&gt;Tabela3[Teto R. Legal],Tabela3[Teto R. Legal],Tabela3[Lucro Líquido]*5%)</f>
        <v>13836600</v>
      </c>
      <c r="AB148" s="89">
        <f>IF(Tabela3[Lucro Líquido]&lt;0,0,Tabela3[Lucro Líquido]-Tabela3[Reserva Legal])</f>
        <v>262895400</v>
      </c>
      <c r="AC148" s="89">
        <f>Tabela3[[#This Row],[Lucro Distribuir]]*Tabela3[%Div]</f>
        <v>65723850</v>
      </c>
      <c r="AD148" s="56">
        <f>SUMPRODUCT(N(Tabela3[Nome]=Tabela3[[#This Row],[Nome]]),Tabela3[Ações])</f>
        <v>94433283</v>
      </c>
      <c r="AE148" s="6">
        <f>Tabela3[Capital Social]/Tabela3[Total Ações]</f>
        <v>14.180778865858132</v>
      </c>
      <c r="AF148" s="78">
        <f>Tabela3[[#This Row],[Lucro Líquido]]/Tabela3[[#This Row],[Total Ações]]</f>
        <v>2.9304498499750347</v>
      </c>
      <c r="AG148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0.69598183936907076</v>
      </c>
      <c r="AH148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48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48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148" s="6">
        <f>Tabela3[Div Base]*Tabela3[Ações]</f>
        <v>0</v>
      </c>
      <c r="AL148" s="6">
        <f>SUMPRODUCT(N(Tabela3[Nome]=Tabela3[[#This Row],[Nome]]),Tabela3[Div Base]*Tabela3[Ações])</f>
        <v>89275833.586666673</v>
      </c>
      <c r="AM148" s="6">
        <f>Tabela3[Patrimônio Líquido]/Tabela3[Total Ações]</f>
        <v>29.073308824813388</v>
      </c>
      <c r="AN148" s="48">
        <f>MAX(Tabela3[[#This Row],[Cotação 1]:[Cotação 5]])</f>
        <v>62.04</v>
      </c>
      <c r="AO148" s="44">
        <f>Tabela3[Cotação]/Tabela3[VPA]</f>
        <v>2.1339160387224418</v>
      </c>
      <c r="AP148" s="40">
        <f>IF(Tabela3[[#This Row],[Lucro/Ação]]&gt;0,Tabela3[[#This Row],[Cotação]]/(Tabela3[[#This Row],[Lucro/Ação]]/Tabela3[Ref]*4),0)</f>
        <v>15.878108270781841</v>
      </c>
      <c r="AQ148" s="78">
        <f>Tabela3[Lucro Distribuir]/Tabela3[Total Ações]</f>
        <v>2.7839273574762831</v>
      </c>
      <c r="AR148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148" s="15" t="str">
        <f>IF(AND(Tabela3[% A.A.]&gt;=6%,SUMPRODUCT(N(Tabela3[Nome]=Tabela3[[#This Row],[Nome]]),Tabela3[PL])&gt;0,Tabela3[Rentabilidade s/ PL]&gt;=Tabela3[Rentabilidade s/ PL Média]),"Sim","Não")</f>
        <v>Não</v>
      </c>
      <c r="AT148" s="42">
        <f>IF(Tabela3[Cotação]&gt;0,Tabela3[[#This Row],[Lucro]]/Tabela3[[#This Row],[Cotação]],0)</f>
        <v>0</v>
      </c>
      <c r="AU148" s="19">
        <f>((1+Tabela3[[#This Row],[% Yield]])^(1/(3*Tabela3[[#This Row],[Ref]])))^(12)-1</f>
        <v>0</v>
      </c>
      <c r="AV148" s="14">
        <f>IF(Tabela3[Cotação]&gt;0,($BD$1/Tabela3[[#This Row],[Cotação]]-MOD($BD$1/Tabela3[[#This Row],[Cotação]],100)),)</f>
        <v>0</v>
      </c>
      <c r="AW148" s="17">
        <f>Tabela3[[#This Row],[Ativos]]*Tabela3[Lucro]</f>
        <v>0</v>
      </c>
      <c r="AX148" s="5">
        <f>SUMPRODUCT(N(Tabela1[Código]=Tabela3[[#This Row],[PAPEL]]),Tabela1[Fechamento])</f>
        <v>62.04</v>
      </c>
      <c r="AY148" s="5">
        <f>SUMPRODUCT(N(Tabela17[Código]=Tabela3[[#This Row],[PAPEL]]),Tabela17[Fechamento])</f>
        <v>0</v>
      </c>
      <c r="AZ148" s="7">
        <f>SUMPRODUCT(N(Tabela176[Código]=Tabela3[[#This Row],[PAPEL]]),Tabela176[Fechamento])</f>
        <v>0</v>
      </c>
      <c r="BA148" s="7">
        <f>SUMPRODUCT(N(Tabela1768[Código]=Tabela3[[#This Row],[PAPEL]]),Tabela1768[Fechamento])</f>
        <v>0</v>
      </c>
      <c r="BB148" s="7">
        <f>SUMPRODUCT(N(Tabela17683[Código]=Tabela3[[#This Row],[PAPEL]]),Tabela17683[Fechamento])</f>
        <v>0</v>
      </c>
    </row>
    <row r="149" spans="1:54" hidden="1" x14ac:dyDescent="0.2">
      <c r="A149" s="24" t="s">
        <v>12</v>
      </c>
      <c r="B149" s="60" t="s">
        <v>38</v>
      </c>
      <c r="C149" s="15" t="str">
        <f>LEFT(Tabela3[PAPEL],LEN(Tabela3[PAPEL])-(LEN(Tabela3[PAPEL])-4))</f>
        <v>GEPA</v>
      </c>
      <c r="D149" s="15">
        <v>3</v>
      </c>
      <c r="E149" s="6">
        <v>1339137503.8</v>
      </c>
      <c r="F149" s="8">
        <v>62955522</v>
      </c>
      <c r="G149" s="86">
        <v>0.25</v>
      </c>
      <c r="H149" s="15"/>
      <c r="I149" s="19">
        <v>0.1</v>
      </c>
      <c r="J149" s="19"/>
      <c r="K149" s="88"/>
      <c r="L149" s="88"/>
      <c r="M149" s="55"/>
      <c r="N149" s="55"/>
      <c r="O149" s="55"/>
      <c r="P149" s="90">
        <v>2745488000</v>
      </c>
      <c r="Q149" s="90">
        <v>276732000</v>
      </c>
      <c r="R149" s="90">
        <f>IF(Tabela3[[#This Row],[Ativo || Passivo]]&gt;0,Tabela3[[#This Row],[Ativo || Passivo]]-Tabela3[[#This Row],[Patrimônio Líquido]],0)</f>
        <v>0</v>
      </c>
      <c r="S149" s="90">
        <f>Tabela3[[#This Row],[Cotação]]*Tabela3[[#This Row],[Total Ações]]</f>
        <v>5382697131</v>
      </c>
      <c r="T149" s="133">
        <f>IF(Tabela3[[#This Row],[Passivo Circulante]]&gt;0,Tabela3[[#This Row],[Ativo Circulante]]/Tabela3[[#This Row],[Passivo Circulante]],0)</f>
        <v>0</v>
      </c>
      <c r="U149" s="133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49" s="49">
        <f>IF(Tabela3[[#This Row],[Lucro Líquido]]&gt;0,Tabela3[[#This Row],[Lucro Líquido]]/Tabela3[[#This Row],[Patrimônio Líquido]],0)</f>
        <v>0.10079519560821246</v>
      </c>
      <c r="W149" s="4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49" s="49">
        <f>IF(Tabela3[[#This Row],[Dívida]]&gt;0,Tabela3[[#This Row],[Dívida]]/Tabela3[[#This Row],[Patrimônio Líquido]],0)</f>
        <v>0</v>
      </c>
      <c r="Y149" s="4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49" s="28">
        <f>Tabela3[[#This Row],[Capital Social]]*20%</f>
        <v>267827500.75999999</v>
      </c>
      <c r="AA149" s="28">
        <f>IF((Tabela3[Lucro Líquido]*5%)&gt;Tabela3[Teto R. Legal],Tabela3[Teto R. Legal],Tabela3[Lucro Líquido]*5%)</f>
        <v>13836600</v>
      </c>
      <c r="AB149" s="90">
        <f>IF(Tabela3[Lucro Líquido]&lt;0,0,Tabela3[Lucro Líquido]-Tabela3[Reserva Legal])</f>
        <v>262895400</v>
      </c>
      <c r="AC149" s="90">
        <f>Tabela3[[#This Row],[Lucro Distribuir]]*Tabela3[%Div]</f>
        <v>65723850</v>
      </c>
      <c r="AD149" s="56">
        <f>SUMPRODUCT(N(Tabela3[Nome]=Tabela3[[#This Row],[Nome]]),Tabela3[Ações])</f>
        <v>94433283</v>
      </c>
      <c r="AE149" s="28">
        <f>Tabela3[Capital Social]/Tabela3[Total Ações]</f>
        <v>14.180778865858132</v>
      </c>
      <c r="AF149" s="79">
        <f>Tabela3[[#This Row],[Lucro Líquido]]/Tabela3[[#This Row],[Total Ações]]</f>
        <v>2.9304498499750347</v>
      </c>
      <c r="AG149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0.69598183936907076</v>
      </c>
      <c r="AH149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49" s="79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1.4180778865858132</v>
      </c>
      <c r="AJ149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1.4180778865858132</v>
      </c>
      <c r="AK149" s="28">
        <f>Tabela3[Div Base]*Tabela3[Ações]</f>
        <v>89275833.586666673</v>
      </c>
      <c r="AL149" s="28">
        <f>SUMPRODUCT(N(Tabela3[Nome]=Tabela3[[#This Row],[Nome]]),Tabela3[Div Base]*Tabela3[Ações])</f>
        <v>89275833.586666673</v>
      </c>
      <c r="AM149" s="28">
        <f>Tabela3[Patrimônio Líquido]/Tabela3[Total Ações]</f>
        <v>29.073308824813388</v>
      </c>
      <c r="AN149" s="29">
        <f>MAX(Tabela3[[#This Row],[Cotação 1]:[Cotação 5]])</f>
        <v>57</v>
      </c>
      <c r="AO149" s="30">
        <f>Tabela3[Cotação]/Tabela3[VPA]</f>
        <v>1.9605611574335782</v>
      </c>
      <c r="AP149" s="35">
        <f>IF(Tabela3[[#This Row],[Lucro/Ação]]&gt;0,Tabela3[[#This Row],[Cotação]]/(Tabela3[[#This Row],[Lucro/Ação]]/Tabela3[Ref]*4),0)</f>
        <v>14.588203923832445</v>
      </c>
      <c r="AQ149" s="78">
        <f>Tabela3[Lucro Distribuir]/Tabela3[Total Ações]</f>
        <v>2.7839273574762831</v>
      </c>
      <c r="AR149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1.4180778865858132</v>
      </c>
      <c r="AS149" s="25" t="str">
        <f>IF(AND(Tabela3[% A.A.]&gt;=6%,SUMPRODUCT(N(Tabela3[Nome]=Tabela3[[#This Row],[Nome]]),Tabela3[PL])&gt;0,Tabela3[Rentabilidade s/ PL]&gt;=Tabela3[Rentabilidade s/ PL Média]),"Sim","Não")</f>
        <v>Não</v>
      </c>
      <c r="AT149" s="27">
        <f>IF(Tabela3[Cotação]&gt;0,Tabela3[[#This Row],[Lucro]]/Tabela3[[#This Row],[Cotação]],0)</f>
        <v>2.4878559413786198E-2</v>
      </c>
      <c r="AU149" s="49">
        <f>((1+Tabela3[[#This Row],[% Yield]])^(1/(3*Tabela3[[#This Row],[Ref]])))^(12)-1</f>
        <v>3.3308202742564186E-2</v>
      </c>
      <c r="AV149" s="10">
        <f>IF(Tabela3[Cotação]&gt;0,($BD$1/Tabela3[[#This Row],[Cotação]]-MOD($BD$1/Tabela3[[#This Row],[Cotação]],100)),)</f>
        <v>0</v>
      </c>
      <c r="AW149" s="7">
        <f>Tabela3[[#This Row],[Ativos]]*Tabela3[Lucro]</f>
        <v>0</v>
      </c>
      <c r="AX149" s="5">
        <f>SUMPRODUCT(N(Tabela1[Código]=Tabela3[[#This Row],[PAPEL]]),Tabela1[Fechamento])</f>
        <v>57</v>
      </c>
      <c r="AY149" s="5">
        <f>SUMPRODUCT(N(Tabela17[Código]=Tabela3[[#This Row],[PAPEL]]),Tabela17[Fechamento])</f>
        <v>0</v>
      </c>
      <c r="AZ149" s="7">
        <f>SUMPRODUCT(N(Tabela176[Código]=Tabela3[[#This Row],[PAPEL]]),Tabela176[Fechamento])</f>
        <v>0</v>
      </c>
      <c r="BA149" s="7">
        <f>SUMPRODUCT(N(Tabela1768[Código]=Tabela3[[#This Row],[PAPEL]]),Tabela1768[Fechamento])</f>
        <v>0</v>
      </c>
      <c r="BB149" s="7">
        <f>SUMPRODUCT(N(Tabela17683[Código]=Tabela3[[#This Row],[PAPEL]]),Tabela17683[Fechamento])</f>
        <v>0</v>
      </c>
    </row>
    <row r="150" spans="1:54" hidden="1" x14ac:dyDescent="0.2">
      <c r="A150" s="4" t="s">
        <v>12</v>
      </c>
      <c r="B150" s="57" t="s">
        <v>93</v>
      </c>
      <c r="C150" s="14" t="str">
        <f>LEFT(Tabela3[PAPEL],LEN(Tabela3[PAPEL])-(LEN(Tabela3[PAPEL])-4))</f>
        <v>COCE</v>
      </c>
      <c r="D150" s="15">
        <v>4</v>
      </c>
      <c r="E150" s="6">
        <v>442946885.76999998</v>
      </c>
      <c r="F150" s="8">
        <v>48067937</v>
      </c>
      <c r="G150" s="81">
        <v>0.25</v>
      </c>
      <c r="H150" s="15"/>
      <c r="I150" s="19"/>
      <c r="J150" s="19"/>
      <c r="K150" s="88"/>
      <c r="L150" s="88"/>
      <c r="M150" s="55"/>
      <c r="N150" s="55"/>
      <c r="O150" s="55"/>
      <c r="P150" s="72">
        <v>1566323000</v>
      </c>
      <c r="Q150" s="89">
        <v>156556000</v>
      </c>
      <c r="R150" s="89">
        <f>IF(Tabela3[[#This Row],[Ativo || Passivo]]&gt;0,Tabela3[[#This Row],[Ativo || Passivo]]-Tabela3[[#This Row],[Patrimônio Líquido]],0)</f>
        <v>0</v>
      </c>
      <c r="S150" s="89">
        <f>Tabela3[[#This Row],[Cotação]]*Tabela3[[#This Row],[Total Ações]]</f>
        <v>3787660296.3499999</v>
      </c>
      <c r="T150" s="134">
        <f>IF(Tabela3[[#This Row],[Passivo Circulante]]&gt;0,Tabela3[[#This Row],[Ativo Circulante]]/Tabela3[[#This Row],[Passivo Circulante]],0)</f>
        <v>0</v>
      </c>
      <c r="U150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50" s="19">
        <f>IF(Tabela3[[#This Row],[Lucro Líquido]]&gt;0,Tabela3[[#This Row],[Lucro Líquido]]/Tabela3[[#This Row],[Patrimônio Líquido]],0)</f>
        <v>9.9951287186614765E-2</v>
      </c>
      <c r="W150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50" s="19">
        <f>IF(Tabela3[[#This Row],[Dívida]]&gt;0,Tabela3[[#This Row],[Dívida]]/Tabela3[[#This Row],[Patrimônio Líquido]],0)</f>
        <v>0</v>
      </c>
      <c r="Y150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50" s="5">
        <f>Tabela3[[#This Row],[Capital Social]]*20%</f>
        <v>88589377.153999999</v>
      </c>
      <c r="AA150" s="5">
        <f>IF((Tabela3[Lucro Líquido]*5%)&gt;Tabela3[Teto R. Legal],Tabela3[Teto R. Legal],Tabela3[Lucro Líquido]*5%)</f>
        <v>7827800</v>
      </c>
      <c r="AB150" s="72">
        <f>IF(Tabela3[Lucro Líquido]&lt;0,0,Tabela3[Lucro Líquido]-Tabela3[Reserva Legal])</f>
        <v>148728200</v>
      </c>
      <c r="AC150" s="72">
        <f>Tabela3[[#This Row],[Lucro Distribuir]]*Tabela3[%Div]</f>
        <v>37182050</v>
      </c>
      <c r="AD150" s="56">
        <f>SUMPRODUCT(N(Tabela3[Nome]=Tabela3[[#This Row],[Nome]]),Tabela3[Ações])</f>
        <v>77855299</v>
      </c>
      <c r="AE150" s="5">
        <f>Tabela3[Capital Social]/Tabela3[Total Ações]</f>
        <v>5.6893607944399518</v>
      </c>
      <c r="AF150" s="78">
        <f>Tabela3[[#This Row],[Lucro Líquido]]/Tabela3[[#This Row],[Total Ações]]</f>
        <v>2.0108586314722134</v>
      </c>
      <c r="AG150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0.47757892497465071</v>
      </c>
      <c r="AH150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50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0.55430842392191571</v>
      </c>
      <c r="AJ150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0.47757892497465071</v>
      </c>
      <c r="AK150" s="5">
        <f>Tabela3[Div Base]*Tabela3[Ações]</f>
        <v>22956233.678209238</v>
      </c>
      <c r="AL150" s="5">
        <f>SUMPRODUCT(N(Tabela3[Nome]=Tabela3[[#This Row],[Nome]]),Tabela3[Div Base]*Tabela3[Ações])</f>
        <v>37182050</v>
      </c>
      <c r="AM150" s="6">
        <f>Tabela3[Patrimônio Líquido]/Tabela3[Total Ações]</f>
        <v>20.118386546816808</v>
      </c>
      <c r="AN150" s="48">
        <f>MAX(Tabela3[[#This Row],[Cotação 1]:[Cotação 5]])</f>
        <v>48.65</v>
      </c>
      <c r="AO150" s="44">
        <f>Tabela3[Cotação]/Tabela3[VPA]</f>
        <v>2.4181859656980071</v>
      </c>
      <c r="AP150" s="40">
        <f>IF(Tabela3[[#This Row],[Lucro/Ação]]&gt;0,Tabela3[[#This Row],[Cotação]]/(Tabela3[[#This Row],[Lucro/Ação]]/Tabela3[Ref]*4),0)</f>
        <v>24.193645062150285</v>
      </c>
      <c r="AQ150" s="78">
        <f>Tabela3[Lucro Distribuir]/Tabela3[Total Ações]</f>
        <v>1.9103156998986028</v>
      </c>
      <c r="AR150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0.47757892497465071</v>
      </c>
      <c r="AS150" s="15" t="str">
        <f>IF(AND(Tabela3[% A.A.]&gt;=6%,SUMPRODUCT(N(Tabela3[Nome]=Tabela3[[#This Row],[Nome]]),Tabela3[PL])&gt;0,Tabela3[Rentabilidade s/ PL]&gt;=Tabela3[Rentabilidade s/ PL Média]),"Sim","Não")</f>
        <v>Não</v>
      </c>
      <c r="AT150" s="42">
        <f>IF(Tabela3[Cotação]&gt;0,Tabela3[[#This Row],[Lucro]]/Tabela3[[#This Row],[Cotação]],0)</f>
        <v>9.8166274403833648E-3</v>
      </c>
      <c r="AU150" s="19">
        <f>((1+Tabela3[[#This Row],[% Yield]])^(1/(3*Tabela3[[#This Row],[Ref]])))^(12)-1</f>
        <v>9.816627440382808E-3</v>
      </c>
      <c r="AV150" s="14">
        <f>IF(Tabela3[Cotação]&gt;0,($BH$1/Tabela3[[#This Row],[Cotação]]-MOD($BH$1/Tabela3[[#This Row],[Cotação]],100)),)</f>
        <v>0</v>
      </c>
      <c r="AW150" s="17">
        <f>Tabela3[[#This Row],[Ativos]]*Tabela3[Lucro]</f>
        <v>0</v>
      </c>
      <c r="AX150" s="5">
        <f>SUMPRODUCT(N(Tabela1[Código]=Tabela3[[#This Row],[PAPEL]]),Tabela1[Fechamento])</f>
        <v>48.65</v>
      </c>
      <c r="AY150" s="5">
        <f>SUMPRODUCT(N(Tabela17[Código]=Tabela3[[#This Row],[PAPEL]]),Tabela17[Fechamento])</f>
        <v>0</v>
      </c>
      <c r="AZ150" s="7">
        <f>SUMPRODUCT(N(Tabela176[Código]=Tabela3[[#This Row],[PAPEL]]),Tabela176[Fechamento])</f>
        <v>0</v>
      </c>
      <c r="BA150" s="7">
        <f>SUMPRODUCT(N(Tabela1768[Código]=Tabela3[[#This Row],[PAPEL]]),Tabela1768[Fechamento])</f>
        <v>0</v>
      </c>
      <c r="BB150" s="7">
        <f>SUMPRODUCT(N(Tabela17683[Código]=Tabela3[[#This Row],[PAPEL]]),Tabela17683[Fechamento])</f>
        <v>0</v>
      </c>
    </row>
    <row r="151" spans="1:54" hidden="1" x14ac:dyDescent="0.2">
      <c r="A151" s="3" t="s">
        <v>12</v>
      </c>
      <c r="B151" s="58" t="s">
        <v>81</v>
      </c>
      <c r="C151" s="10" t="str">
        <f>LEFT(Tabela3[PAPEL],LEN(Tabela3[PAPEL])-(LEN(Tabela3[PAPEL])-4))</f>
        <v>COCE</v>
      </c>
      <c r="D151" s="16">
        <v>4</v>
      </c>
      <c r="E151" s="6">
        <v>442946885.76999998</v>
      </c>
      <c r="F151" s="56">
        <v>28164488</v>
      </c>
      <c r="G151" s="86">
        <v>0.25</v>
      </c>
      <c r="H151" s="16"/>
      <c r="I151" s="18">
        <v>0.06</v>
      </c>
      <c r="J151" s="18"/>
      <c r="K151" s="87"/>
      <c r="L151" s="87"/>
      <c r="M151" s="54"/>
      <c r="N151" s="54"/>
      <c r="O151" s="54"/>
      <c r="P151" s="72">
        <v>1566323000</v>
      </c>
      <c r="Q151" s="89">
        <v>156556000</v>
      </c>
      <c r="R151" s="89">
        <f>IF(Tabela3[[#This Row],[Ativo || Passivo]]&gt;0,Tabela3[[#This Row],[Ativo || Passivo]]-Tabela3[[#This Row],[Patrimônio Líquido]],0)</f>
        <v>0</v>
      </c>
      <c r="S151" s="89">
        <f>Tabela3[[#This Row],[Cotação]]*Tabela3[[#This Row],[Total Ações]]</f>
        <v>2996650458.5100002</v>
      </c>
      <c r="T151" s="134">
        <f>IF(Tabela3[[#This Row],[Passivo Circulante]]&gt;0,Tabela3[[#This Row],[Ativo Circulante]]/Tabela3[[#This Row],[Passivo Circulante]],0)</f>
        <v>0</v>
      </c>
      <c r="U151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51" s="19">
        <f>IF(Tabela3[[#This Row],[Lucro Líquido]]&gt;0,Tabela3[[#This Row],[Lucro Líquido]]/Tabela3[[#This Row],[Patrimônio Líquido]],0)</f>
        <v>9.9951287186614765E-2</v>
      </c>
      <c r="W151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51" s="19">
        <f>IF(Tabela3[[#This Row],[Dívida]]&gt;0,Tabela3[[#This Row],[Dívida]]/Tabela3[[#This Row],[Patrimônio Líquido]],0)</f>
        <v>0</v>
      </c>
      <c r="Y151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51" s="5">
        <f>Tabela3[[#This Row],[Capital Social]]*20%</f>
        <v>88589377.153999999</v>
      </c>
      <c r="AA151" s="5">
        <f>IF((Tabela3[Lucro Líquido]*5%)&gt;Tabela3[Teto R. Legal],Tabela3[Teto R. Legal],Tabela3[Lucro Líquido]*5%)</f>
        <v>7827800</v>
      </c>
      <c r="AB151" s="72">
        <f>IF(Tabela3[Lucro Líquido]&lt;0,0,Tabela3[Lucro Líquido]-Tabela3[Reserva Legal])</f>
        <v>148728200</v>
      </c>
      <c r="AC151" s="72">
        <f>Tabela3[[#This Row],[Lucro Distribuir]]*Tabela3[%Div]</f>
        <v>37182050</v>
      </c>
      <c r="AD151" s="56">
        <f>SUMPRODUCT(N(Tabela3[Nome]=Tabela3[[#This Row],[Nome]]),Tabela3[Ações])</f>
        <v>77855299</v>
      </c>
      <c r="AE151" s="5">
        <f>Tabela3[Capital Social]/Tabela3[Total Ações]</f>
        <v>5.6893607944399518</v>
      </c>
      <c r="AF151" s="77">
        <f>Tabela3[[#This Row],[Lucro Líquido]]/Tabela3[[#This Row],[Total Ações]]</f>
        <v>2.0108586314722134</v>
      </c>
      <c r="AG151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0.47757892497465071</v>
      </c>
      <c r="AH151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51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0.34136164766639709</v>
      </c>
      <c r="AJ151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0.47757892497465071</v>
      </c>
      <c r="AK151" s="5">
        <f>Tabela3[Div Base]*Tabela3[Ações]</f>
        <v>13450765.901501451</v>
      </c>
      <c r="AL151" s="5">
        <f>SUMPRODUCT(N(Tabela3[Nome]=Tabela3[[#This Row],[Nome]]),Tabela3[Div Base]*Tabela3[Ações])</f>
        <v>37182050</v>
      </c>
      <c r="AM151" s="5">
        <f>Tabela3[Patrimônio Líquido]/Tabela3[Total Ações]</f>
        <v>20.118386546816808</v>
      </c>
      <c r="AN151" s="52">
        <f>MAX(Tabela3[[#This Row],[Cotação 1]:[Cotação 5]])</f>
        <v>38.49</v>
      </c>
      <c r="AO151" s="53">
        <f>Tabela3[Cotação]/Tabela3[VPA]</f>
        <v>1.9131752892028018</v>
      </c>
      <c r="AP151" s="37">
        <f>IF(Tabela3[[#This Row],[Lucro/Ação]]&gt;0,Tabela3[[#This Row],[Cotação]]/(Tabela3[[#This Row],[Lucro/Ação]]/Tabela3[Ref]*4),0)</f>
        <v>19.141077049170907</v>
      </c>
      <c r="AQ151" s="77">
        <f>Tabela3[Lucro Distribuir]/Tabela3[Total Ações]</f>
        <v>1.9103156998986028</v>
      </c>
      <c r="AR151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0.47757892497465071</v>
      </c>
      <c r="AS151" s="10" t="str">
        <f>IF(AND(Tabela3[% A.A.]&gt;=6%,SUMPRODUCT(N(Tabela3[Nome]=Tabela3[[#This Row],[Nome]]),Tabela3[PL])&gt;0,Tabela3[Rentabilidade s/ PL]&gt;=Tabela3[Rentabilidade s/ PL Média]),"Sim","Não")</f>
        <v>Não</v>
      </c>
      <c r="AT151" s="22">
        <f>IF(Tabela3[Cotação]&gt;0,Tabela3[[#This Row],[Lucro]]/Tabela3[[#This Row],[Cotação]],0)</f>
        <v>1.2407870225374141E-2</v>
      </c>
      <c r="AU151" s="18">
        <f>((1+Tabela3[[#This Row],[% Yield]])^(1/(3*Tabela3[[#This Row],[Ref]])))^(12)-1</f>
        <v>1.240787022537404E-2</v>
      </c>
      <c r="AV151" s="10">
        <f>IF(Tabela3[Cotação]&gt;0,($BH$1/Tabela3[[#This Row],[Cotação]]-MOD($BH$1/Tabela3[[#This Row],[Cotação]],100)),)</f>
        <v>0</v>
      </c>
      <c r="AW151" s="7">
        <f>Tabela3[[#This Row],[Ativos]]*Tabela3[Lucro]</f>
        <v>0</v>
      </c>
      <c r="AX151" s="5">
        <f>SUMPRODUCT(N(Tabela1[Código]=Tabela3[[#This Row],[PAPEL]]),Tabela1[Fechamento])</f>
        <v>38.49</v>
      </c>
      <c r="AY151" s="5">
        <f>SUMPRODUCT(N(Tabela17[Código]=Tabela3[[#This Row],[PAPEL]]),Tabela17[Fechamento])</f>
        <v>0</v>
      </c>
      <c r="AZ151" s="7">
        <f>SUMPRODUCT(N(Tabela176[Código]=Tabela3[[#This Row],[PAPEL]]),Tabela176[Fechamento])</f>
        <v>0</v>
      </c>
      <c r="BA151" s="7">
        <f>SUMPRODUCT(N(Tabela1768[Código]=Tabela3[[#This Row],[PAPEL]]),Tabela1768[Fechamento])</f>
        <v>0</v>
      </c>
      <c r="BB151" s="7">
        <f>SUMPRODUCT(N(Tabela17683[Código]=Tabela3[[#This Row],[PAPEL]]),Tabela17683[Fechamento])</f>
        <v>0</v>
      </c>
    </row>
    <row r="152" spans="1:54" hidden="1" x14ac:dyDescent="0.2">
      <c r="A152" s="3" t="s">
        <v>12</v>
      </c>
      <c r="B152" s="58" t="s">
        <v>492</v>
      </c>
      <c r="C152" s="10" t="str">
        <f>LEFT(Tabela3[PAPEL],LEN(Tabela3[PAPEL])-(LEN(Tabela3[PAPEL])-4))</f>
        <v>COCE</v>
      </c>
      <c r="D152" s="16">
        <v>4</v>
      </c>
      <c r="E152" s="6">
        <v>442946885.76999998</v>
      </c>
      <c r="F152" s="56">
        <v>1622874</v>
      </c>
      <c r="G152" s="86">
        <v>0.25</v>
      </c>
      <c r="H152" s="16"/>
      <c r="I152" s="18">
        <v>0.1</v>
      </c>
      <c r="J152" s="18"/>
      <c r="K152" s="87"/>
      <c r="L152" s="87"/>
      <c r="M152" s="54"/>
      <c r="N152" s="54"/>
      <c r="O152" s="54"/>
      <c r="P152" s="72">
        <v>1566323000</v>
      </c>
      <c r="Q152" s="89">
        <v>156556000</v>
      </c>
      <c r="R152" s="89">
        <f>IF(Tabela3[[#This Row],[Ativo || Passivo]]&gt;0,Tabela3[[#This Row],[Ativo || Passivo]]-Tabela3[[#This Row],[Patrimônio Líquido]],0)</f>
        <v>0</v>
      </c>
      <c r="S152" s="89">
        <f>Tabela3[[#This Row],[Cotação]]*Tabela3[[#This Row],[Total Ações]]</f>
        <v>2724935465</v>
      </c>
      <c r="T152" s="134">
        <f>IF(Tabela3[[#This Row],[Passivo Circulante]]&gt;0,Tabela3[[#This Row],[Ativo Circulante]]/Tabela3[[#This Row],[Passivo Circulante]],0)</f>
        <v>0</v>
      </c>
      <c r="U152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52" s="19">
        <f>IF(Tabela3[[#This Row],[Lucro Líquido]]&gt;0,Tabela3[[#This Row],[Lucro Líquido]]/Tabela3[[#This Row],[Patrimônio Líquido]],0)</f>
        <v>9.9951287186614765E-2</v>
      </c>
      <c r="W152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52" s="19">
        <f>IF(Tabela3[[#This Row],[Dívida]]&gt;0,Tabela3[[#This Row],[Dívida]]/Tabela3[[#This Row],[Patrimônio Líquido]],0)</f>
        <v>0</v>
      </c>
      <c r="Y152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52" s="5">
        <f>Tabela3[[#This Row],[Capital Social]]*20%</f>
        <v>88589377.153999999</v>
      </c>
      <c r="AA152" s="5">
        <f>IF((Tabela3[Lucro Líquido]*5%)&gt;Tabela3[Teto R. Legal],Tabela3[Teto R. Legal],Tabela3[Lucro Líquido]*5%)</f>
        <v>7827800</v>
      </c>
      <c r="AB152" s="72">
        <f>IF(Tabela3[Lucro Líquido]&lt;0,0,Tabela3[Lucro Líquido]-Tabela3[Reserva Legal])</f>
        <v>148728200</v>
      </c>
      <c r="AC152" s="72">
        <f>Tabela3[[#This Row],[Lucro Distribuir]]*Tabela3[%Div]</f>
        <v>37182050</v>
      </c>
      <c r="AD152" s="56">
        <f>SUMPRODUCT(N(Tabela3[Nome]=Tabela3[[#This Row],[Nome]]),Tabela3[Ações])</f>
        <v>77855299</v>
      </c>
      <c r="AE152" s="5">
        <f>Tabela3[Capital Social]/Tabela3[Total Ações]</f>
        <v>5.6893607944399518</v>
      </c>
      <c r="AF152" s="77">
        <f>Tabela3[[#This Row],[Lucro Líquido]]/Tabela3[[#This Row],[Total Ações]]</f>
        <v>2.0108586314722134</v>
      </c>
      <c r="AG152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0.47757892497465071</v>
      </c>
      <c r="AH152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52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0.56893607944399516</v>
      </c>
      <c r="AJ152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0.47757892497465071</v>
      </c>
      <c r="AK152" s="5">
        <f>Tabela3[Div Base]*Tabela3[Ações]</f>
        <v>775050.42028931133</v>
      </c>
      <c r="AL152" s="5">
        <f>SUMPRODUCT(N(Tabela3[Nome]=Tabela3[[#This Row],[Nome]]),Tabela3[Div Base]*Tabela3[Ações])</f>
        <v>37182050</v>
      </c>
      <c r="AM152" s="5">
        <f>Tabela3[Patrimônio Líquido]/Tabela3[Total Ações]</f>
        <v>20.118386546816808</v>
      </c>
      <c r="AN152" s="52">
        <f>MAX(Tabela3[[#This Row],[Cotação 1]:[Cotação 5]])</f>
        <v>35</v>
      </c>
      <c r="AO152" s="53">
        <f>Tabela3[Cotação]/Tabela3[VPA]</f>
        <v>1.7397021335956886</v>
      </c>
      <c r="AP152" s="37">
        <f>IF(Tabela3[[#This Row],[Lucro/Ação]]&gt;0,Tabela3[[#This Row],[Cotação]]/(Tabela3[[#This Row],[Lucro/Ação]]/Tabela3[Ref]*4),0)</f>
        <v>17.405500044712436</v>
      </c>
      <c r="AQ152" s="77">
        <f>Tabela3[Lucro Distribuir]/Tabela3[Total Ações]</f>
        <v>1.9103156998986028</v>
      </c>
      <c r="AR152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0.47757892497465071</v>
      </c>
      <c r="AS152" s="10" t="str">
        <f>IF(AND(Tabela3[% A.A.]&gt;=6%,SUMPRODUCT(N(Tabela3[Nome]=Tabela3[[#This Row],[Nome]]),Tabela3[PL])&gt;0,Tabela3[Rentabilidade s/ PL]&gt;=Tabela3[Rentabilidade s/ PL Média]),"Sim","Não")</f>
        <v>Não</v>
      </c>
      <c r="AT152" s="22">
        <f>IF(Tabela3[Cotação]&gt;0,Tabela3[[#This Row],[Lucro]]/Tabela3[[#This Row],[Cotação]],0)</f>
        <v>1.3645112142132878E-2</v>
      </c>
      <c r="AU152" s="18">
        <f>((1+Tabela3[[#This Row],[% Yield]])^(1/(3*Tabela3[[#This Row],[Ref]])))^(12)-1</f>
        <v>1.364511214213171E-2</v>
      </c>
      <c r="AV152" s="10">
        <f>IF(Tabela3[Cotação]&gt;0,($BH$1/Tabela3[[#This Row],[Cotação]]-MOD($BH$1/Tabela3[[#This Row],[Cotação]],100)),)</f>
        <v>0</v>
      </c>
      <c r="AW152" s="7">
        <f>Tabela3[[#This Row],[Ativos]]*Tabela3[Lucro]</f>
        <v>0</v>
      </c>
      <c r="AX152" s="5">
        <f>SUMPRODUCT(N(Tabela1[Código]=Tabela3[[#This Row],[PAPEL]]),Tabela1[Fechamento])</f>
        <v>0</v>
      </c>
      <c r="AY152" s="5">
        <f>SUMPRODUCT(N(Tabela17[Código]=Tabela3[[#This Row],[PAPEL]]),Tabela17[Fechamento])</f>
        <v>35</v>
      </c>
      <c r="AZ152" s="7">
        <f>SUMPRODUCT(N(Tabela176[Código]=Tabela3[[#This Row],[PAPEL]]),Tabela176[Fechamento])</f>
        <v>0</v>
      </c>
      <c r="BA152" s="7">
        <f>SUMPRODUCT(N(Tabela1768[Código]=Tabela3[[#This Row],[PAPEL]]),Tabela1768[Fechamento])</f>
        <v>0</v>
      </c>
      <c r="BB152" s="7">
        <f>SUMPRODUCT(N(Tabela17683[Código]=Tabela3[[#This Row],[PAPEL]]),Tabela17683[Fechamento])</f>
        <v>0</v>
      </c>
    </row>
    <row r="153" spans="1:54" hidden="1" x14ac:dyDescent="0.2">
      <c r="A153" s="3" t="s">
        <v>1330</v>
      </c>
      <c r="B153" s="57" t="s">
        <v>1342</v>
      </c>
      <c r="C153" s="16" t="str">
        <f>LEFT(Tabela3[PAPEL],LEN(Tabela3[PAPEL])-(LEN(Tabela3[PAPEL])-4))</f>
        <v>EVEN</v>
      </c>
      <c r="D153" s="16">
        <v>3</v>
      </c>
      <c r="E153" s="5">
        <v>1083266389.5</v>
      </c>
      <c r="F153" s="56">
        <v>233293408</v>
      </c>
      <c r="G153" s="81">
        <v>0.25</v>
      </c>
      <c r="H153" s="87"/>
      <c r="J153" s="18"/>
      <c r="K153" s="16"/>
      <c r="L153" s="87"/>
      <c r="M153" s="54"/>
      <c r="N153" s="54"/>
      <c r="O153" s="54"/>
      <c r="P153" s="91">
        <v>1967466000</v>
      </c>
      <c r="Q153" s="73">
        <v>196335000</v>
      </c>
      <c r="R153" s="73">
        <f>IF(Tabela3[[#This Row],[Ativo || Passivo]]&gt;0,Tabela3[[#This Row],[Ativo || Passivo]]-Tabela3[[#This Row],[Patrimônio Líquido]],0)</f>
        <v>0</v>
      </c>
      <c r="S153" s="73">
        <f>Tabela3[[#This Row],[Cotação]]*Tabela3[[#This Row],[Total Ações]]</f>
        <v>1614390383.3599999</v>
      </c>
      <c r="T153" s="37">
        <f>IF(Tabela3[[#This Row],[Passivo Circulante]]&gt;0,Tabela3[[#This Row],[Ativo Circulante]]/Tabela3[[#This Row],[Passivo Circulante]],0)</f>
        <v>0</v>
      </c>
      <c r="U153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53" s="18">
        <f>IF(Tabela3[[#This Row],[Lucro Líquido]]&gt;0,Tabela3[[#This Row],[Lucro Líquido]]/Tabela3[[#This Row],[Patrimônio Líquido]],0)</f>
        <v>9.9790796893059391E-2</v>
      </c>
      <c r="W153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53" s="18">
        <f>IF(Tabela3[[#This Row],[Dívida]]&gt;0,Tabela3[[#This Row],[Dívida]]/Tabela3[[#This Row],[Patrimônio Líquido]],0)</f>
        <v>0</v>
      </c>
      <c r="Y153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53" s="7">
        <f>Tabela3[[#This Row],[Capital Social]]*20%</f>
        <v>216653277.90000001</v>
      </c>
      <c r="AA153" s="47">
        <f>IF((Tabela3[Lucro Líquido]*5%)&gt;Tabela3[Teto R. Legal],Tabela3[Teto R. Legal],Tabela3[Lucro Líquido]*5%)</f>
        <v>9816750</v>
      </c>
      <c r="AB153" s="47">
        <f>IF(Tabela3[Lucro Líquido]&lt;0,0,Tabela3[Lucro Líquido]-Tabela3[Reserva Legal])</f>
        <v>186518250</v>
      </c>
      <c r="AC153" s="47">
        <f>Tabela3[[#This Row],[Lucro Distribuir]]*Tabela3[%Div]</f>
        <v>46629562.5</v>
      </c>
      <c r="AD153" s="56">
        <f>SUMPRODUCT(N(Tabela3[Nome]=Tabela3[[#This Row],[Nome]]),Tabela3[Ações])</f>
        <v>233293408</v>
      </c>
      <c r="AE153" s="85">
        <f>Tabela3[Capital Social]/Tabela3[Total Ações]</f>
        <v>4.6433647602250296</v>
      </c>
      <c r="AF153" s="85">
        <f>Tabela3[[#This Row],[Lucro Líquido]]/Tabela3[[#This Row],[Total Ações]]</f>
        <v>0.84157971578862611</v>
      </c>
      <c r="AG153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0.19987518249979871</v>
      </c>
      <c r="AH153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53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53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0.19987518249979871</v>
      </c>
      <c r="AK153" s="7">
        <f>Tabela3[Div Base]*Tabela3[Ações]</f>
        <v>46629562.5</v>
      </c>
      <c r="AL153" s="121">
        <f>SUMPRODUCT(N(Tabela3[Nome]=Tabela3[[#This Row],[Nome]]),Tabela3[Div Base]*Tabela3[Ações])</f>
        <v>46629562.5</v>
      </c>
      <c r="AM153" s="5">
        <f>Tabela3[Patrimônio Líquido]/Tabela3[Total Ações]</f>
        <v>8.4334401767580154</v>
      </c>
      <c r="AN153" s="52">
        <f>MAX(Tabela3[[#This Row],[Cotação 1]:[Cotação 5]])</f>
        <v>6.92</v>
      </c>
      <c r="AO153" s="53">
        <f>Tabela3[Cotação]/Tabela3[VPA]</f>
        <v>0.82054296407663474</v>
      </c>
      <c r="AP153" s="37">
        <f>IF(Tabela3[[#This Row],[Lucro/Ação]]&gt;0,Tabela3[[#This Row],[Cotação]]/(Tabela3[[#This Row],[Lucro/Ação]]/Tabela3[Ref]*4),0)</f>
        <v>6.1669737312246919</v>
      </c>
      <c r="AQ153" s="85">
        <f>Tabela3[Lucro Distribuir]/Tabela3[Total Ações]</f>
        <v>0.79950072999919486</v>
      </c>
      <c r="AR153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0.19987518249979871</v>
      </c>
      <c r="AS153" s="10" t="str">
        <f>IF(AND(Tabela3[% A.A.]&gt;=6%,SUMPRODUCT(N(Tabela3[Nome]=Tabela3[[#This Row],[Nome]]),Tabela3[PL])&gt;0,Tabela3[Rentabilidade s/ PL]&gt;=Tabela3[Rentabilidade s/ PL Média]),"Sim","Não")</f>
        <v>Não</v>
      </c>
      <c r="AT153" s="22">
        <f>IF(Tabela3[Cotação]&gt;0,Tabela3[[#This Row],[Lucro]]/Tabela3[[#This Row],[Cotação]],0)</f>
        <v>2.8883696893034497E-2</v>
      </c>
      <c r="AU153" s="22">
        <f>((1+Tabela3[[#This Row],[% Yield]])^(1/(3*Tabela3[[#This Row],[Ref]])))^(12)-1</f>
        <v>3.8695812875982449E-2</v>
      </c>
      <c r="AV153" s="10">
        <f>IF(Tabela3[Cotação]&gt;0,($BD$1/Tabela3[[#This Row],[Cotação]]-MOD($BD$1/Tabela3[[#This Row],[Cotação]],100)),)</f>
        <v>0</v>
      </c>
      <c r="AW153" s="7">
        <f>Tabela3[[#This Row],[Ativos]]*Tabela3[Lucro]</f>
        <v>0</v>
      </c>
      <c r="AX153" s="7">
        <f>SUMPRODUCT(N(Tabela1[Código]=Tabela3[[#This Row],[PAPEL]]),Tabela1[Fechamento])</f>
        <v>0</v>
      </c>
      <c r="AY153" s="7">
        <f>SUMPRODUCT(N(Tabela17[Código]=Tabela3[[#This Row],[PAPEL]]),Tabela17[Fechamento])</f>
        <v>0</v>
      </c>
      <c r="AZ153" s="7">
        <f>SUMPRODUCT(N(Tabela176[Código]=Tabela3[[#This Row],[PAPEL]]),Tabela176[Fechamento])</f>
        <v>0</v>
      </c>
      <c r="BA153" s="7">
        <f>SUMPRODUCT(N(Tabela1768[Código]=Tabela3[[#This Row],[PAPEL]]),Tabela1768[Fechamento])</f>
        <v>6.92</v>
      </c>
      <c r="BB153" s="7">
        <f>SUMPRODUCT(N(Tabela17683[Código]=Tabela3[[#This Row],[PAPEL]]),Tabela17683[Fechamento])</f>
        <v>0</v>
      </c>
    </row>
    <row r="154" spans="1:54" hidden="1" x14ac:dyDescent="0.2">
      <c r="A154" s="3" t="s">
        <v>1330</v>
      </c>
      <c r="B154" s="57" t="s">
        <v>1340</v>
      </c>
      <c r="C154" s="16" t="str">
        <f>LEFT(Tabela3[PAPEL],LEN(Tabela3[PAPEL])-(LEN(Tabela3[PAPEL])-4))</f>
        <v>CYRE</v>
      </c>
      <c r="D154" s="16">
        <v>3</v>
      </c>
      <c r="E154" s="5">
        <v>2583576445.8200002</v>
      </c>
      <c r="F154" s="56">
        <v>416658829</v>
      </c>
      <c r="G154" s="81">
        <v>0.25</v>
      </c>
      <c r="H154" s="87"/>
      <c r="J154" s="18"/>
      <c r="K154" s="16"/>
      <c r="L154" s="87"/>
      <c r="M154" s="54"/>
      <c r="N154" s="54"/>
      <c r="O154" s="54"/>
      <c r="P154" s="91">
        <v>5554561000</v>
      </c>
      <c r="Q154" s="73">
        <v>536310000</v>
      </c>
      <c r="R154" s="73">
        <f>IF(Tabela3[[#This Row],[Ativo || Passivo]]&gt;0,Tabela3[[#This Row],[Ativo || Passivo]]-Tabela3[[#This Row],[Patrimônio Líquido]],0)</f>
        <v>0</v>
      </c>
      <c r="S154" s="73">
        <f>Tabela3[[#This Row],[Cotação]]*Tabela3[[#This Row],[Total Ações]]</f>
        <v>5595728073.4700003</v>
      </c>
      <c r="T154" s="37">
        <f>IF(Tabela3[[#This Row],[Passivo Circulante]]&gt;0,Tabela3[[#This Row],[Ativo Circulante]]/Tabela3[[#This Row],[Passivo Circulante]],0)</f>
        <v>0</v>
      </c>
      <c r="U154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54" s="18">
        <f>IF(Tabela3[[#This Row],[Lucro Líquido]]&gt;0,Tabela3[[#This Row],[Lucro Líquido]]/Tabela3[[#This Row],[Patrimônio Líquido]],0)</f>
        <v>9.6553084933264754E-2</v>
      </c>
      <c r="W154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54" s="18">
        <f>IF(Tabela3[[#This Row],[Dívida]]&gt;0,Tabela3[[#This Row],[Dívida]]/Tabela3[[#This Row],[Patrimônio Líquido]],0)</f>
        <v>0</v>
      </c>
      <c r="Y154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54" s="7">
        <f>Tabela3[[#This Row],[Capital Social]]*20%</f>
        <v>516715289.16400003</v>
      </c>
      <c r="AA154" s="47">
        <f>IF((Tabela3[Lucro Líquido]*5%)&gt;Tabela3[Teto R. Legal],Tabela3[Teto R. Legal],Tabela3[Lucro Líquido]*5%)</f>
        <v>26815500</v>
      </c>
      <c r="AB154" s="47">
        <f>IF(Tabela3[Lucro Líquido]&lt;0,0,Tabela3[Lucro Líquido]-Tabela3[Reserva Legal])</f>
        <v>509494500</v>
      </c>
      <c r="AC154" s="47">
        <f>Tabela3[[#This Row],[Lucro Distribuir]]*Tabela3[%Div]</f>
        <v>127373625</v>
      </c>
      <c r="AD154" s="56">
        <f>SUMPRODUCT(N(Tabela3[Nome]=Tabela3[[#This Row],[Nome]]),Tabela3[Ações])</f>
        <v>416658829</v>
      </c>
      <c r="AE154" s="85">
        <f>Tabela3[Capital Social]/Tabela3[Total Ações]</f>
        <v>6.2007001076173047</v>
      </c>
      <c r="AF154" s="85">
        <f>Tabela3[[#This Row],[Lucro Líquido]]/Tabela3[[#This Row],[Total Ações]]</f>
        <v>1.2871682121489378</v>
      </c>
      <c r="AG154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0.30570245038537275</v>
      </c>
      <c r="AH154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54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54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0.30570245038537275</v>
      </c>
      <c r="AK154" s="7">
        <f>Tabela3[Div Base]*Tabela3[Ações]</f>
        <v>127373625.00000001</v>
      </c>
      <c r="AL154" s="121">
        <f>SUMPRODUCT(N(Tabela3[Nome]=Tabela3[[#This Row],[Nome]]),Tabela3[Div Base]*Tabela3[Ações])</f>
        <v>127373625.00000001</v>
      </c>
      <c r="AM154" s="5">
        <f>Tabela3[Patrimônio Líquido]/Tabela3[Total Ações]</f>
        <v>13.331197165151154</v>
      </c>
      <c r="AN154" s="52">
        <f>MAX(Tabela3[[#This Row],[Cotação 1]:[Cotação 5]])</f>
        <v>13.43</v>
      </c>
      <c r="AO154" s="53">
        <f>Tabela3[Cotação]/Tabela3[VPA]</f>
        <v>1.0074114000134304</v>
      </c>
      <c r="AP154" s="37">
        <f>IF(Tabela3[[#This Row],[Lucro/Ação]]&gt;0,Tabela3[[#This Row],[Cotação]]/(Tabela3[[#This Row],[Lucro/Ação]]/Tabela3[Ref]*4),0)</f>
        <v>7.8253175497426852</v>
      </c>
      <c r="AQ154" s="85">
        <f>Tabela3[Lucro Distribuir]/Tabela3[Total Ações]</f>
        <v>1.222809801541491</v>
      </c>
      <c r="AR154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0.30570245038537275</v>
      </c>
      <c r="AS154" s="10" t="str">
        <f>IF(AND(Tabela3[% A.A.]&gt;=6%,SUMPRODUCT(N(Tabela3[Nome]=Tabela3[[#This Row],[Nome]]),Tabela3[PL])&gt;0,Tabela3[Rentabilidade s/ PL]&gt;=Tabela3[Rentabilidade s/ PL Média]),"Sim","Não")</f>
        <v>Não</v>
      </c>
      <c r="AT154" s="22">
        <f>IF(Tabela3[Cotação]&gt;0,Tabela3[[#This Row],[Lucro]]/Tabela3[[#This Row],[Cotação]],0)</f>
        <v>2.2762654533534828E-2</v>
      </c>
      <c r="AU154" s="22">
        <f>((1+Tabela3[[#This Row],[% Yield]])^(1/(3*Tabela3[[#This Row],[Ref]])))^(12)-1</f>
        <v>3.0464770948518183E-2</v>
      </c>
      <c r="AV154" s="10">
        <f>IF(Tabela3[Cotação]&gt;0,($BH$1/Tabela3[[#This Row],[Cotação]]-MOD($BH$1/Tabela3[[#This Row],[Cotação]],100)),)</f>
        <v>0</v>
      </c>
      <c r="AW154" s="7">
        <f>Tabela3[[#This Row],[Ativos]]*Tabela3[Lucro]</f>
        <v>0</v>
      </c>
      <c r="AX154" s="7">
        <f>SUMPRODUCT(N(Tabela1[Código]=Tabela3[[#This Row],[PAPEL]]),Tabela1[Fechamento])</f>
        <v>0</v>
      </c>
      <c r="AY154" s="7">
        <f>SUMPRODUCT(N(Tabela17[Código]=Tabela3[[#This Row],[PAPEL]]),Tabela17[Fechamento])</f>
        <v>0</v>
      </c>
      <c r="AZ154" s="7">
        <f>SUMPRODUCT(N(Tabela176[Código]=Tabela3[[#This Row],[PAPEL]]),Tabela176[Fechamento])</f>
        <v>0</v>
      </c>
      <c r="BA154" s="7">
        <f>SUMPRODUCT(N(Tabela1768[Código]=Tabela3[[#This Row],[PAPEL]]),Tabela1768[Fechamento])</f>
        <v>13.43</v>
      </c>
      <c r="BB154" s="7">
        <f>SUMPRODUCT(N(Tabela17683[Código]=Tabela3[[#This Row],[PAPEL]]),Tabela17683[Fechamento])</f>
        <v>0</v>
      </c>
    </row>
    <row r="155" spans="1:54" hidden="1" x14ac:dyDescent="0.2">
      <c r="A155" s="4" t="s">
        <v>771</v>
      </c>
      <c r="B155" s="57" t="s">
        <v>769</v>
      </c>
      <c r="C155" s="15" t="str">
        <f>LEFT(Tabela3[PAPEL],LEN(Tabela3[PAPEL])-(LEN(Tabela3[PAPEL])-4))</f>
        <v>CREM</v>
      </c>
      <c r="D155" s="15">
        <v>3</v>
      </c>
      <c r="E155" s="6">
        <v>98407570.090000004</v>
      </c>
      <c r="F155" s="8">
        <v>29286632</v>
      </c>
      <c r="G155" s="86">
        <v>0.35</v>
      </c>
      <c r="H155" s="15"/>
      <c r="I155" s="19"/>
      <c r="J155" s="19"/>
      <c r="K155" s="88"/>
      <c r="L155" s="88"/>
      <c r="M155" s="55"/>
      <c r="N155" s="55"/>
      <c r="O155" s="55"/>
      <c r="P155" s="92">
        <v>285071000</v>
      </c>
      <c r="Q155" s="93">
        <v>27479000</v>
      </c>
      <c r="R155" s="93">
        <f>IF(Tabela3[[#This Row],[Ativo || Passivo]]&gt;0,Tabela3[[#This Row],[Ativo || Passivo]]-Tabela3[[#This Row],[Patrimônio Líquido]],0)</f>
        <v>0</v>
      </c>
      <c r="S155" s="93">
        <f>Tabela3[[#This Row],[Cotação]]*Tabela3[[#This Row],[Total Ações]]</f>
        <v>398883927.83999997</v>
      </c>
      <c r="T155" s="40">
        <f>IF(Tabela3[[#This Row],[Passivo Circulante]]&gt;0,Tabela3[[#This Row],[Ativo Circulante]]/Tabela3[[#This Row],[Passivo Circulante]],0)</f>
        <v>0</v>
      </c>
      <c r="U155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55" s="19">
        <f>IF(Tabela3[[#This Row],[Lucro Líquido]]&gt;0,Tabela3[[#This Row],[Lucro Líquido]]/Tabela3[[#This Row],[Patrimônio Líquido]],0)</f>
        <v>9.6393530032869004E-2</v>
      </c>
      <c r="W155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55" s="19">
        <f>IF(Tabela3[[#This Row],[Dívida]]&gt;0,Tabela3[[#This Row],[Dívida]]/Tabela3[[#This Row],[Patrimônio Líquido]],0)</f>
        <v>0</v>
      </c>
      <c r="Y155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55" s="13">
        <f>Tabela3[[#This Row],[Capital Social]]*20%</f>
        <v>19681514.018000003</v>
      </c>
      <c r="AA155" s="13">
        <f>IF((Tabela3[Lucro Líquido]*5%)&gt;Tabela3[Teto R. Legal],Tabela3[Teto R. Legal],Tabela3[Lucro Líquido]*5%)</f>
        <v>1373950</v>
      </c>
      <c r="AB155" s="13">
        <f>IF(Tabela3[Lucro Líquido]&lt;0,0,Tabela3[Lucro Líquido]-Tabela3[Reserva Legal])</f>
        <v>26105050</v>
      </c>
      <c r="AC155" s="13">
        <f>Tabela3[[#This Row],[Lucro Distribuir]]*Tabela3[%Div]</f>
        <v>9136767.5</v>
      </c>
      <c r="AD155" s="56">
        <f>SUMPRODUCT(N(Tabela3[Nome]=Tabela3[[#This Row],[Nome]]),Tabela3[Ações])</f>
        <v>29286632</v>
      </c>
      <c r="AE155" s="6">
        <f>Tabela3[Capital Social]/Tabela3[Total Ações]</f>
        <v>3.3601531951506067</v>
      </c>
      <c r="AF155" s="78">
        <f>Tabela3[[#This Row],[Lucro Líquido]]/Tabela3[[#This Row],[Total Ações]]</f>
        <v>0.93827791464720145</v>
      </c>
      <c r="AG155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0.31197740662019452</v>
      </c>
      <c r="AH155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55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55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0.31197740662019452</v>
      </c>
      <c r="AK155" s="13">
        <f>Tabela3[Div Base]*Tabela3[Ações]</f>
        <v>9136767.5</v>
      </c>
      <c r="AL155" s="13">
        <f>SUMPRODUCT(N(Tabela3[Nome]=Tabela3[[#This Row],[Nome]]),Tabela3[Div Base]*Tabela3[Ações])</f>
        <v>9136767.5</v>
      </c>
      <c r="AM155" s="6">
        <f>Tabela3[Patrimônio Líquido]/Tabela3[Total Ações]</f>
        <v>9.7338266824263027</v>
      </c>
      <c r="AN155" s="48">
        <f>MAX(Tabela3[[#This Row],[Cotação 1]:[Cotação 5]])</f>
        <v>13.62</v>
      </c>
      <c r="AO155" s="44">
        <f>Tabela3[Cotação]/Tabela3[VPA]</f>
        <v>1.3992441456338947</v>
      </c>
      <c r="AP155" s="40">
        <f>IF(Tabela3[[#This Row],[Lucro/Ação]]&gt;0,Tabela3[[#This Row],[Cotação]]/(Tabela3[[#This Row],[Lucro/Ação]]/Tabela3[Ref]*4),0)</f>
        <v>10.886966260780959</v>
      </c>
      <c r="AQ155" s="78">
        <f>Tabela3[Lucro Distribuir]/Tabela3[Total Ações]</f>
        <v>0.89136401891484141</v>
      </c>
      <c r="AR155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0.31197740662019452</v>
      </c>
      <c r="AS155" s="14" t="str">
        <f>IF(AND(Tabela3[% A.A.]&gt;=6%,SUMPRODUCT(N(Tabela3[Nome]=Tabela3[[#This Row],[Nome]]),Tabela3[PL])&gt;0,Tabela3[Rentabilidade s/ PL]&gt;=Tabela3[Rentabilidade s/ PL Média]),"Sim","Não")</f>
        <v>Não</v>
      </c>
      <c r="AT155" s="42">
        <f>IF(Tabela3[Cotação]&gt;0,Tabela3[[#This Row],[Lucro]]/Tabela3[[#This Row],[Cotação]],0)</f>
        <v>2.290583014832559E-2</v>
      </c>
      <c r="AU155" s="42">
        <f>((1+Tabela3[[#This Row],[% Yield]])^(1/(3*Tabela3[[#This Row],[Ref]])))^(12)-1</f>
        <v>3.0657113872020414E-2</v>
      </c>
      <c r="AV155" s="14">
        <f>IF(Tabela3[Cotação]&gt;0,($BH$1/Tabela3[[#This Row],[Cotação]]-MOD($BH$1/Tabela3[[#This Row],[Cotação]],100)),)</f>
        <v>0</v>
      </c>
      <c r="AW155" s="17">
        <f>Tabela3[[#This Row],[Ativos]]*Tabela3[Lucro]</f>
        <v>0</v>
      </c>
      <c r="AX155" s="17">
        <f>SUMPRODUCT(N(Tabela1[Código]=Tabela3[[#This Row],[PAPEL]]),Tabela1[Fechamento])</f>
        <v>0</v>
      </c>
      <c r="AY155" s="17">
        <f>SUMPRODUCT(N(Tabela17[Código]=Tabela3[[#This Row],[PAPEL]]),Tabela17[Fechamento])</f>
        <v>0</v>
      </c>
      <c r="AZ155" s="17">
        <f>SUMPRODUCT(N(Tabela176[Código]=Tabela3[[#This Row],[PAPEL]]),Tabela176[Fechamento])</f>
        <v>13.62</v>
      </c>
      <c r="BA155" s="17">
        <f>SUMPRODUCT(N(Tabela1768[Código]=Tabela3[[#This Row],[PAPEL]]),Tabela1768[Fechamento])</f>
        <v>0</v>
      </c>
      <c r="BB155" s="7">
        <f>SUMPRODUCT(N(Tabela17683[Código]=Tabela3[[#This Row],[PAPEL]]),Tabela17683[Fechamento])</f>
        <v>0</v>
      </c>
    </row>
    <row r="156" spans="1:54" hidden="1" x14ac:dyDescent="0.2">
      <c r="A156" s="3" t="s">
        <v>346</v>
      </c>
      <c r="B156" s="57" t="s">
        <v>360</v>
      </c>
      <c r="C156" s="82" t="str">
        <f>LEFT(Tabela3[PAPEL],LEN(Tabela3[PAPEL])-(LEN(Tabela3[PAPEL])-4))</f>
        <v>SCAR</v>
      </c>
      <c r="D156" s="16">
        <v>3</v>
      </c>
      <c r="E156" s="5">
        <v>473911676.48000002</v>
      </c>
      <c r="F156" s="21">
        <v>57737317</v>
      </c>
      <c r="G156" s="86">
        <v>0.25</v>
      </c>
      <c r="H156" s="16"/>
      <c r="J156" s="18"/>
      <c r="K156" s="87"/>
      <c r="L156" s="87"/>
      <c r="M156" s="54"/>
      <c r="N156" s="54"/>
      <c r="O156" s="54"/>
      <c r="P156" s="5">
        <v>984644000</v>
      </c>
      <c r="Q156" s="5">
        <v>94588000</v>
      </c>
      <c r="R156" s="5">
        <f>IF(Tabela3[[#This Row],[Ativo || Passivo]]&gt;0,Tabela3[[#This Row],[Ativo || Passivo]]-Tabela3[[#This Row],[Patrimônio Líquido]],0)</f>
        <v>0</v>
      </c>
      <c r="S156" s="5">
        <f>Tabela3[[#This Row],[Cotação]]*Tabela3[[#This Row],[Total Ações]]</f>
        <v>1919765790.25</v>
      </c>
      <c r="T156" s="132">
        <f>IF(Tabela3[[#This Row],[Passivo Circulante]]&gt;0,Tabela3[[#This Row],[Ativo Circulante]]/Tabela3[[#This Row],[Passivo Circulante]],0)</f>
        <v>0</v>
      </c>
      <c r="U156" s="132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56" s="18">
        <f>IF(Tabela3[[#This Row],[Lucro Líquido]]&gt;0,Tabela3[[#This Row],[Lucro Líquido]]/Tabela3[[#This Row],[Patrimônio Líquido]],0)</f>
        <v>9.6063145664829111E-2</v>
      </c>
      <c r="W156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56" s="18">
        <f>IF(Tabela3[[#This Row],[Dívida]]&gt;0,Tabela3[[#This Row],[Dívida]]/Tabela3[[#This Row],[Patrimônio Líquido]],0)</f>
        <v>0</v>
      </c>
      <c r="Y156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56" s="5">
        <f>Tabela3[[#This Row],[Capital Social]]*20%</f>
        <v>94782335.296000004</v>
      </c>
      <c r="AA156" s="5">
        <f>IF((Tabela3[Lucro Líquido]*5%)&gt;Tabela3[Teto R. Legal],Tabela3[Teto R. Legal],Tabela3[Lucro Líquido]*5%)</f>
        <v>4729400</v>
      </c>
      <c r="AB156" s="5">
        <f>IF(Tabela3[Lucro Líquido]&lt;0,0,Tabela3[Lucro Líquido]-Tabela3[Reserva Legal])</f>
        <v>89858600</v>
      </c>
      <c r="AC156" s="5">
        <f>Tabela3[[#This Row],[Lucro Distribuir]]*Tabela3[%Div]</f>
        <v>22464650</v>
      </c>
      <c r="AD156" s="21">
        <f>SUMPRODUCT(N(Tabela3[Nome]=Tabela3[[#This Row],[Nome]]),Tabela3[Ações])</f>
        <v>57737317</v>
      </c>
      <c r="AE156" s="5">
        <f>Tabela3[Capital Social]/Tabela3[Total Ações]</f>
        <v>8.2080654437060172</v>
      </c>
      <c r="AF156" s="77">
        <f>Tabela3[[#This Row],[Lucro Líquido]]/Tabela3[[#This Row],[Total Ações]]</f>
        <v>1.6382472361852214</v>
      </c>
      <c r="AG156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0.3890837185939901</v>
      </c>
      <c r="AH156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56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56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0.3890837185939901</v>
      </c>
      <c r="AK156" s="5">
        <f>Tabela3[Div Base]*Tabela3[Ações]</f>
        <v>22464650</v>
      </c>
      <c r="AL156" s="5">
        <f>SUMPRODUCT(N(Tabela3[Nome]=Tabela3[[#This Row],[Nome]]),Tabela3[Div Base]*Tabela3[Ações])</f>
        <v>22464650</v>
      </c>
      <c r="AM156" s="5">
        <f>Tabela3[Patrimônio Líquido]/Tabela3[Total Ações]</f>
        <v>17.053857906144131</v>
      </c>
      <c r="AN156" s="52">
        <f>MAX(Tabela3[[#This Row],[Cotação 1]:[Cotação 5]])</f>
        <v>33.25</v>
      </c>
      <c r="AO156" s="53">
        <f>Tabela3[Cotação]/Tabela3[VPA]</f>
        <v>1.9497054674075098</v>
      </c>
      <c r="AP156" s="37">
        <f>IF(Tabela3[[#This Row],[Lucro/Ação]]&gt;0,Tabela3[[#This Row],[Cotação]]/(Tabela3[[#This Row],[Lucro/Ação]]/Tabela3[Ref]*4),0)</f>
        <v>15.222061389261851</v>
      </c>
      <c r="AQ156" s="77">
        <f>Tabela3[Lucro Distribuir]/Tabela3[Total Ações]</f>
        <v>1.5563348743759604</v>
      </c>
      <c r="AR156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0.3890837185939901</v>
      </c>
      <c r="AS156" s="16" t="str">
        <f>IF(AND(Tabela3[% A.A.]&gt;=6%,SUMPRODUCT(N(Tabela3[Nome]=Tabela3[[#This Row],[Nome]]),Tabela3[PL])&gt;0,Tabela3[Rentabilidade s/ PL]&gt;=Tabela3[Rentabilidade s/ PL Média]),"Sim","Não")</f>
        <v>Não</v>
      </c>
      <c r="AT156" s="22">
        <f>IF(Tabela3[Cotação]&gt;0,Tabela3[[#This Row],[Lucro]]/Tabela3[[#This Row],[Cotação]],0)</f>
        <v>1.1701765972751582E-2</v>
      </c>
      <c r="AU156" s="18">
        <f>((1+Tabela3[[#This Row],[% Yield]])^(1/(3*Tabela3[[#This Row],[Ref]])))^(12)-1</f>
        <v>1.5632705069684061E-2</v>
      </c>
      <c r="AV156" s="10">
        <f>IF(Tabela3[Cotação]&gt;0,($BD$1/Tabela3[[#This Row],[Cotação]]-MOD($BD$1/Tabela3[[#This Row],[Cotação]],100)),)</f>
        <v>0</v>
      </c>
      <c r="AW156" s="7">
        <f>Tabela3[[#This Row],[Ativos]]*Tabela3[Lucro]</f>
        <v>0</v>
      </c>
      <c r="AX156" s="47">
        <f>SUMPRODUCT(N(Tabela1[Código]=Tabela3[[#This Row],[PAPEL]]),Tabela1[Fechamento])</f>
        <v>0</v>
      </c>
      <c r="AY156" s="54">
        <f>SUMPRODUCT(N(Tabela17[Código]=Tabela3[[#This Row],[PAPEL]]),Tabela17[Fechamento])</f>
        <v>33.25</v>
      </c>
      <c r="AZ156" s="7">
        <f>SUMPRODUCT(N(Tabela176[Código]=Tabela3[[#This Row],[PAPEL]]),Tabela176[Fechamento])</f>
        <v>0</v>
      </c>
      <c r="BA156" s="7">
        <f>SUMPRODUCT(N(Tabela1768[Código]=Tabela3[[#This Row],[PAPEL]]),Tabela1768[Fechamento])</f>
        <v>0</v>
      </c>
      <c r="BB156" s="7">
        <f>SUMPRODUCT(N(Tabela17683[Código]=Tabela3[[#This Row],[PAPEL]]),Tabela17683[Fechamento])</f>
        <v>0</v>
      </c>
    </row>
    <row r="157" spans="1:54" hidden="1" x14ac:dyDescent="0.2">
      <c r="A157" s="3" t="s">
        <v>1709</v>
      </c>
      <c r="B157" s="57" t="s">
        <v>1660</v>
      </c>
      <c r="C157" s="16" t="str">
        <f>LEFT(Tabela3[PAPEL],LEN(Tabela3[PAPEL])-(LEN(Tabela3[PAPEL])-4))</f>
        <v>AUTM</v>
      </c>
      <c r="D157" s="16">
        <v>3</v>
      </c>
      <c r="E157" s="5">
        <v>921993251.75</v>
      </c>
      <c r="F157" s="56">
        <v>125907641</v>
      </c>
      <c r="G157" s="81">
        <v>0.25</v>
      </c>
      <c r="H157" s="87"/>
      <c r="J157" s="18"/>
      <c r="K157" s="16"/>
      <c r="L157" s="87"/>
      <c r="M157" s="54"/>
      <c r="N157" s="54"/>
      <c r="O157" s="54"/>
      <c r="P157" s="91">
        <v>1247789000</v>
      </c>
      <c r="Q157" s="73">
        <v>119687000</v>
      </c>
      <c r="R157" s="73">
        <f>IF(Tabela3[[#This Row],[Ativo || Passivo]]&gt;0,Tabela3[[#This Row],[Ativo || Passivo]]-Tabela3[[#This Row],[Patrimônio Líquido]],0)</f>
        <v>0</v>
      </c>
      <c r="S157" s="73">
        <f>Tabela3[[#This Row],[Cotação]]*Tabela3[[#This Row],[Total Ações]]</f>
        <v>1959122893.96</v>
      </c>
      <c r="T157" s="37">
        <f>IF(Tabela3[[#This Row],[Passivo Circulante]]&gt;0,Tabela3[[#This Row],[Ativo Circulante]]/Tabela3[[#This Row],[Passivo Circulante]],0)</f>
        <v>0</v>
      </c>
      <c r="U157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57" s="18">
        <f>IF(Tabela3[[#This Row],[Lucro Líquido]]&gt;0,Tabela3[[#This Row],[Lucro Líquido]]/Tabela3[[#This Row],[Patrimônio Líquido]],0)</f>
        <v>9.5919261990608989E-2</v>
      </c>
      <c r="W157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57" s="18">
        <f>IF(Tabela3[[#This Row],[Dívida]]&gt;0,Tabela3[[#This Row],[Dívida]]/Tabela3[[#This Row],[Patrimônio Líquido]],0)</f>
        <v>0</v>
      </c>
      <c r="Y157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57" s="7">
        <f>Tabela3[[#This Row],[Capital Social]]*20%</f>
        <v>184398650.35000002</v>
      </c>
      <c r="AA157" s="47">
        <f>IF((Tabela3[Lucro Líquido]*5%)&gt;Tabela3[Teto R. Legal],Tabela3[Teto R. Legal],Tabela3[Lucro Líquido]*5%)</f>
        <v>5984350</v>
      </c>
      <c r="AB157" s="47">
        <f>IF(Tabela3[Lucro Líquido]&lt;0,0,Tabela3[Lucro Líquido]-Tabela3[Reserva Legal])</f>
        <v>113702650</v>
      </c>
      <c r="AC157" s="47">
        <f>Tabela3[[#This Row],[Lucro Distribuir]]*Tabela3[%Div]</f>
        <v>28425662.5</v>
      </c>
      <c r="AD157" s="56">
        <f>SUMPRODUCT(N(Tabela3[Nome]=Tabela3[[#This Row],[Nome]]),Tabela3[Ações])</f>
        <v>125907641</v>
      </c>
      <c r="AE157" s="85">
        <f>Tabela3[Capital Social]/Tabela3[Total Ações]</f>
        <v>7.3227744116816549</v>
      </c>
      <c r="AF157" s="85">
        <f>Tabela3[[#This Row],[Lucro Líquido]]/Tabela3[[#This Row],[Total Ações]]</f>
        <v>0.95059361806325959</v>
      </c>
      <c r="AG157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0.22576598429002415</v>
      </c>
      <c r="AH157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57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57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0.22576598429002415</v>
      </c>
      <c r="AK157" s="7">
        <f>Tabela3[Div Base]*Tabela3[Ações]</f>
        <v>28425662.5</v>
      </c>
      <c r="AL157" s="121">
        <f>SUMPRODUCT(N(Tabela3[Nome]=Tabela3[[#This Row],[Nome]]),Tabela3[Div Base]*Tabela3[Ações])</f>
        <v>28425662.5</v>
      </c>
      <c r="AM157" s="5">
        <f>Tabela3[Patrimônio Líquido]/Tabela3[Total Ações]</f>
        <v>9.9103516680135399</v>
      </c>
      <c r="AN157" s="52">
        <f>MAX(Tabela3[[#This Row],[Cotação 1]:[Cotação 5]])</f>
        <v>15.56</v>
      </c>
      <c r="AO157" s="53">
        <f>Tabela3[Cotação]/Tabela3[VPA]</f>
        <v>1.5700754646498727</v>
      </c>
      <c r="AP157" s="37">
        <f>IF(Tabela3[[#This Row],[Lucro/Ação]]&gt;0,Tabela3[[#This Row],[Cotação]]/(Tabela3[[#This Row],[Lucro/Ação]]/Tabela3[Ref]*4),0)</f>
        <v>12.276539394169792</v>
      </c>
      <c r="AQ157" s="85">
        <f>Tabela3[Lucro Distribuir]/Tabela3[Total Ações]</f>
        <v>0.90306393716009659</v>
      </c>
      <c r="AR157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0.22576598429002415</v>
      </c>
      <c r="AS157" s="10" t="str">
        <f>IF(AND(Tabela3[% A.A.]&gt;=6%,SUMPRODUCT(N(Tabela3[Nome]=Tabela3[[#This Row],[Nome]]),Tabela3[PL])&gt;0,Tabela3[Rentabilidade s/ PL]&gt;=Tabela3[Rentabilidade s/ PL Média]),"Sim","Não")</f>
        <v>Não</v>
      </c>
      <c r="AT157" s="22">
        <f>IF(Tabela3[Cotação]&gt;0,Tabela3[[#This Row],[Lucro]]/Tabela3[[#This Row],[Cotação]],0)</f>
        <v>1.4509382023780472E-2</v>
      </c>
      <c r="AU157" s="22">
        <f>((1+Tabela3[[#This Row],[% Yield]])^(1/(3*Tabela3[[#This Row],[Ref]])))^(12)-1</f>
        <v>1.9392475465215053E-2</v>
      </c>
      <c r="AV157" s="10">
        <f>IF(Tabela3[Cotação]&gt;0,($BH$1/Tabela3[[#This Row],[Cotação]]-MOD($BH$1/Tabela3[[#This Row],[Cotação]],100)),)</f>
        <v>0</v>
      </c>
      <c r="AW157" s="7">
        <f>Tabela3[[#This Row],[Ativos]]*Tabela3[Lucro]</f>
        <v>0</v>
      </c>
      <c r="AX157" s="7">
        <f>SUMPRODUCT(N(Tabela1[Código]=Tabela3[[#This Row],[PAPEL]]),Tabela1[Fechamento])</f>
        <v>0</v>
      </c>
      <c r="AY157" s="7">
        <f>SUMPRODUCT(N(Tabela17[Código]=Tabela3[[#This Row],[PAPEL]]),Tabela17[Fechamento])</f>
        <v>0</v>
      </c>
      <c r="AZ157" s="7">
        <f>SUMPRODUCT(N(Tabela176[Código]=Tabela3[[#This Row],[PAPEL]]),Tabela176[Fechamento])</f>
        <v>0</v>
      </c>
      <c r="BA157" s="7">
        <f>SUMPRODUCT(N(Tabela1768[Código]=Tabela3[[#This Row],[PAPEL]]),Tabela1768[Fechamento])</f>
        <v>0</v>
      </c>
      <c r="BB157" s="7">
        <f>SUMPRODUCT(N(Tabela17683[Código]=Tabela3[[#This Row],[PAPEL]]),Tabela17683[Fechamento])</f>
        <v>15.56</v>
      </c>
    </row>
    <row r="158" spans="1:54" hidden="1" x14ac:dyDescent="0.2">
      <c r="A158" s="24" t="s">
        <v>12</v>
      </c>
      <c r="B158" s="57" t="s">
        <v>32</v>
      </c>
      <c r="C158" s="15" t="str">
        <f>LEFT(Tabela3[PAPEL],LEN(Tabela3[PAPEL])-(LEN(Tabela3[PAPEL])-4))</f>
        <v>CPFE</v>
      </c>
      <c r="D158" s="16">
        <v>3</v>
      </c>
      <c r="E158" s="5">
        <v>4793424356.6199999</v>
      </c>
      <c r="F158" s="56">
        <v>962274260</v>
      </c>
      <c r="G158" s="81">
        <v>0.25</v>
      </c>
      <c r="H158" s="16"/>
      <c r="J158" s="18"/>
      <c r="K158" s="87"/>
      <c r="L158" s="87"/>
      <c r="M158" s="54"/>
      <c r="N158" s="54"/>
      <c r="O158" s="54"/>
      <c r="P158" s="90">
        <v>6763474000</v>
      </c>
      <c r="Q158" s="90">
        <v>636489000</v>
      </c>
      <c r="R158" s="90">
        <f>IF(Tabela3[[#This Row],[Ativo || Passivo]]&gt;0,Tabela3[[#This Row],[Ativo || Passivo]]-Tabela3[[#This Row],[Patrimônio Líquido]],0)</f>
        <v>0</v>
      </c>
      <c r="S158" s="90">
        <f>Tabela3[[#This Row],[Cotação]]*Tabela3[[#This Row],[Total Ações]]</f>
        <v>15569597526.799999</v>
      </c>
      <c r="T158" s="133">
        <f>IF(Tabela3[[#This Row],[Passivo Circulante]]&gt;0,Tabela3[[#This Row],[Ativo Circulante]]/Tabela3[[#This Row],[Passivo Circulante]],0)</f>
        <v>0</v>
      </c>
      <c r="U158" s="133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58" s="49">
        <f>IF(Tabela3[[#This Row],[Lucro Líquido]]&gt;0,Tabela3[[#This Row],[Lucro Líquido]]/Tabela3[[#This Row],[Patrimônio Líquido]],0)</f>
        <v>9.4106815521136034E-2</v>
      </c>
      <c r="W158" s="4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58" s="49">
        <f>IF(Tabela3[[#This Row],[Dívida]]&gt;0,Tabela3[[#This Row],[Dívida]]/Tabela3[[#This Row],[Patrimônio Líquido]],0)</f>
        <v>0</v>
      </c>
      <c r="Y158" s="4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58" s="28">
        <f>Tabela3[[#This Row],[Capital Social]]*20%</f>
        <v>958684871.324</v>
      </c>
      <c r="AA158" s="28">
        <f>IF((Tabela3[Lucro Líquido]*5%)&gt;Tabela3[Teto R. Legal],Tabela3[Teto R. Legal],Tabela3[Lucro Líquido]*5%)</f>
        <v>31824450</v>
      </c>
      <c r="AB158" s="90">
        <f>IF(Tabela3[Lucro Líquido]&lt;0,0,Tabela3[Lucro Líquido]-Tabela3[Reserva Legal])</f>
        <v>604664550</v>
      </c>
      <c r="AC158" s="90">
        <f>Tabela3[[#This Row],[Lucro Distribuir]]*Tabela3[%Div]</f>
        <v>151166137.5</v>
      </c>
      <c r="AD158" s="56">
        <f>SUMPRODUCT(N(Tabela3[Nome]=Tabela3[[#This Row],[Nome]]),Tabela3[Ações])</f>
        <v>962274260</v>
      </c>
      <c r="AE158" s="28">
        <f>Tabela3[Capital Social]/Tabela3[Total Ações]</f>
        <v>4.9813494508519849</v>
      </c>
      <c r="AF158" s="79">
        <f>Tabela3[[#This Row],[Lucro Líquido]]/Tabela3[[#This Row],[Total Ações]]</f>
        <v>0.6614424041644843</v>
      </c>
      <c r="AG158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0.15709257098906501</v>
      </c>
      <c r="AH158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58" s="79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58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0.15709257098906501</v>
      </c>
      <c r="AK158" s="28">
        <f>Tabela3[Div Base]*Tabela3[Ações]</f>
        <v>151166137.5</v>
      </c>
      <c r="AL158" s="28">
        <f>SUMPRODUCT(N(Tabela3[Nome]=Tabela3[[#This Row],[Nome]]),Tabela3[Div Base]*Tabela3[Ações])</f>
        <v>151166137.5</v>
      </c>
      <c r="AM158" s="28">
        <f>Tabela3[Patrimônio Líquido]/Tabela3[Total Ações]</f>
        <v>7.0286344352596526</v>
      </c>
      <c r="AN158" s="29">
        <f>MAX(Tabela3[[#This Row],[Cotação 1]:[Cotação 5]])</f>
        <v>16.18</v>
      </c>
      <c r="AO158" s="30">
        <f>Tabela3[Cotação]/Tabela3[VPA]</f>
        <v>2.3020118842476514</v>
      </c>
      <c r="AP158" s="35">
        <f>IF(Tabela3[[#This Row],[Lucro/Ação]]&gt;0,Tabela3[[#This Row],[Cotação]]/(Tabela3[[#This Row],[Lucro/Ação]]/Tabela3[Ref]*4),0)</f>
        <v>18.346268584531703</v>
      </c>
      <c r="AQ158" s="78">
        <f>Tabela3[Lucro Distribuir]/Tabela3[Total Ações]</f>
        <v>0.62837028395626005</v>
      </c>
      <c r="AR158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0.15709257098906501</v>
      </c>
      <c r="AS158" s="25" t="str">
        <f>IF(AND(Tabela3[% A.A.]&gt;=6%,SUMPRODUCT(N(Tabela3[Nome]=Tabela3[[#This Row],[Nome]]),Tabela3[PL])&gt;0,Tabela3[Rentabilidade s/ PL]&gt;=Tabela3[Rentabilidade s/ PL Média]),"Sim","Não")</f>
        <v>Não</v>
      </c>
      <c r="AT158" s="27">
        <f>IF(Tabela3[Cotação]&gt;0,Tabela3[[#This Row],[Lucro]]/Tabela3[[#This Row],[Cotação]],0)</f>
        <v>9.7090587755911621E-3</v>
      </c>
      <c r="AU158" s="49">
        <f>((1+Tabela3[[#This Row],[% Yield]])^(1/(3*Tabela3[[#This Row],[Ref]])))^(12)-1</f>
        <v>1.2966314646537747E-2</v>
      </c>
      <c r="AV158" s="10">
        <f>IF(Tabela3[Cotação]&gt;0,($BH$1/Tabela3[[#This Row],[Cotação]]-MOD($BH$1/Tabela3[[#This Row],[Cotação]],100)),)</f>
        <v>0</v>
      </c>
      <c r="AW158" s="7">
        <f>Tabela3[[#This Row],[Ativos]]*Tabela3[Lucro]</f>
        <v>0</v>
      </c>
      <c r="AX158" s="5">
        <f>SUMPRODUCT(N(Tabela1[Código]=Tabela3[[#This Row],[PAPEL]]),Tabela1[Fechamento])</f>
        <v>16.18</v>
      </c>
      <c r="AY158" s="5">
        <f>SUMPRODUCT(N(Tabela17[Código]=Tabela3[[#This Row],[PAPEL]]),Tabela17[Fechamento])</f>
        <v>0</v>
      </c>
      <c r="AZ158" s="7">
        <f>SUMPRODUCT(N(Tabela176[Código]=Tabela3[[#This Row],[PAPEL]]),Tabela176[Fechamento])</f>
        <v>0</v>
      </c>
      <c r="BA158" s="7">
        <f>SUMPRODUCT(N(Tabela1768[Código]=Tabela3[[#This Row],[PAPEL]]),Tabela1768[Fechamento])</f>
        <v>0</v>
      </c>
      <c r="BB158" s="7">
        <f>SUMPRODUCT(N(Tabela17683[Código]=Tabela3[[#This Row],[PAPEL]]),Tabela17683[Fechamento])</f>
        <v>0</v>
      </c>
    </row>
    <row r="159" spans="1:54" hidden="1" x14ac:dyDescent="0.2">
      <c r="A159" s="4" t="s">
        <v>37</v>
      </c>
      <c r="B159" s="57" t="s">
        <v>183</v>
      </c>
      <c r="C159" s="14" t="str">
        <f>LEFT(Tabela3[PAPEL],LEN(Tabela3[PAPEL])-(LEN(Tabela3[PAPEL])-4))</f>
        <v>SAPR</v>
      </c>
      <c r="D159" s="15">
        <v>3</v>
      </c>
      <c r="E159" s="6">
        <v>2597359806</v>
      </c>
      <c r="F159" s="8">
        <v>289836870</v>
      </c>
      <c r="G159" s="81">
        <v>0.25</v>
      </c>
      <c r="H159" s="15"/>
      <c r="I159" s="19"/>
      <c r="J159" s="19"/>
      <c r="K159" s="88"/>
      <c r="L159" s="88"/>
      <c r="M159" s="55"/>
      <c r="N159" s="55"/>
      <c r="O159" s="55"/>
      <c r="P159" s="6">
        <v>3403126000</v>
      </c>
      <c r="Q159" s="6">
        <v>314887000</v>
      </c>
      <c r="R159" s="6">
        <f>IF(Tabela3[[#This Row],[Ativo || Passivo]]&gt;0,Tabela3[[#This Row],[Ativo || Passivo]]-Tabela3[[#This Row],[Patrimônio Líquido]],0)</f>
        <v>0</v>
      </c>
      <c r="S159" s="6">
        <f>Tabela3[[#This Row],[Cotação]]*Tabela3[[#This Row],[Total Ações]]</f>
        <v>3903519487.1399999</v>
      </c>
      <c r="T159" s="134">
        <f>IF(Tabela3[[#This Row],[Passivo Circulante]]&gt;0,Tabela3[[#This Row],[Ativo Circulante]]/Tabela3[[#This Row],[Passivo Circulante]],0)</f>
        <v>0</v>
      </c>
      <c r="U159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59" s="19">
        <f>IF(Tabela3[[#This Row],[Lucro Líquido]]&gt;0,Tabela3[[#This Row],[Lucro Líquido]]/Tabela3[[#This Row],[Patrimônio Líquido]],0)</f>
        <v>9.252875150670295E-2</v>
      </c>
      <c r="W159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59" s="19">
        <f>IF(Tabela3[[#This Row],[Dívida]]&gt;0,Tabela3[[#This Row],[Dívida]]/Tabela3[[#This Row],[Patrimônio Líquido]],0)</f>
        <v>0</v>
      </c>
      <c r="Y159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59" s="6">
        <f>Tabela3[[#This Row],[Capital Social]]*20%</f>
        <v>519471961.20000005</v>
      </c>
      <c r="AA159" s="6">
        <f>IF((Tabela3[Lucro Líquido]*5%)&gt;Tabela3[Teto R. Legal],Tabela3[Teto R. Legal],Tabela3[Lucro Líquido]*5%)</f>
        <v>15744350</v>
      </c>
      <c r="AB159" s="6">
        <f>IF(Tabela3[Lucro Líquido]&lt;0,0,Tabela3[Lucro Líquido]-Tabela3[Reserva Legal])</f>
        <v>299142650</v>
      </c>
      <c r="AC159" s="6">
        <f>Tabela3[[#This Row],[Lucro Distribuir]]*Tabela3[%Div]</f>
        <v>74785662.5</v>
      </c>
      <c r="AD159" s="21">
        <f>SUMPRODUCT(N(Tabela3[Nome]=Tabela3[[#This Row],[Nome]]),Tabela3[Ações])</f>
        <v>476620206</v>
      </c>
      <c r="AE159" s="6">
        <f>Tabela3[Capital Social]/Tabela3[Total Ações]</f>
        <v>5.4495377520775943</v>
      </c>
      <c r="AF159" s="78">
        <f>Tabela3[[#This Row],[Lucro Líquido]]/Tabela3[[#This Row],[Total Ações]]</f>
        <v>0.66066649301897196</v>
      </c>
      <c r="AG159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0.15202627846555206</v>
      </c>
      <c r="AH159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59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59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0.15202627846555206</v>
      </c>
      <c r="AK159" s="6">
        <f>Tabela3[Div Base]*Tabela3[Ações]</f>
        <v>44062820.708204009</v>
      </c>
      <c r="AL159" s="6">
        <f>SUMPRODUCT(N(Tabela3[Nome]=Tabela3[[#This Row],[Nome]]),Tabela3[Div Base]*Tabela3[Ações])</f>
        <v>75298393.747600317</v>
      </c>
      <c r="AM159" s="6">
        <f>Tabela3[Patrimônio Líquido]/Tabela3[Total Ações]</f>
        <v>7.1401211219316201</v>
      </c>
      <c r="AN159" s="48">
        <f>MAX(Tabela3[[#This Row],[Cotação 1]:[Cotação 5]])</f>
        <v>8.19</v>
      </c>
      <c r="AO159" s="44">
        <f>Tabela3[Cotação]/Tabela3[VPA]</f>
        <v>1.1470393653188273</v>
      </c>
      <c r="AP159" s="40">
        <f>IF(Tabela3[[#This Row],[Lucro/Ação]]&gt;0,Tabela3[[#This Row],[Cotação]]/(Tabela3[[#This Row],[Lucro/Ação]]/Tabela3[Ref]*4),0)</f>
        <v>9.2974292852832914</v>
      </c>
      <c r="AQ159" s="78">
        <f>Tabela3[Lucro Distribuir]/Tabela3[Total Ações]</f>
        <v>0.62763316836802341</v>
      </c>
      <c r="AR159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0.15202627846555206</v>
      </c>
      <c r="AS159" s="15" t="str">
        <f>IF(AND(Tabela3[% A.A.]&gt;=6%,SUMPRODUCT(N(Tabela3[Nome]=Tabela3[[#This Row],[Nome]]),Tabela3[PL])&gt;0,Tabela3[Rentabilidade s/ PL]&gt;=Tabela3[Rentabilidade s/ PL Média]),"Sim","Não")</f>
        <v>Não</v>
      </c>
      <c r="AT159" s="42">
        <f>IF(Tabela3[Cotação]&gt;0,Tabela3[[#This Row],[Lucro]]/Tabela3[[#This Row],[Cotação]],0)</f>
        <v>1.856242716307107E-2</v>
      </c>
      <c r="AU159" s="19">
        <f>((1+Tabela3[[#This Row],[% Yield]])^(1/(3*Tabela3[[#This Row],[Ref]])))^(12)-1</f>
        <v>2.4826159165840522E-2</v>
      </c>
      <c r="AV159" s="14">
        <f>IF(Tabela3[Cotação]&gt;0,($BD$1/Tabela3[[#This Row],[Cotação]]-MOD($BD$1/Tabela3[[#This Row],[Cotação]],100)),)</f>
        <v>0</v>
      </c>
      <c r="AW159" s="17">
        <f>Tabela3[[#This Row],[Ativos]]*Tabela3[Lucro]</f>
        <v>0</v>
      </c>
      <c r="AX159" s="5">
        <f>SUMPRODUCT(N(Tabela1[Código]=Tabela3[[#This Row],[PAPEL]]),Tabela1[Fechamento])</f>
        <v>8.19</v>
      </c>
      <c r="AY159" s="5">
        <f>SUMPRODUCT(N(Tabela17[Código]=Tabela3[[#This Row],[PAPEL]]),Tabela17[Fechamento])</f>
        <v>0</v>
      </c>
      <c r="AZ159" s="7">
        <f>SUMPRODUCT(N(Tabela176[Código]=Tabela3[[#This Row],[PAPEL]]),Tabela176[Fechamento])</f>
        <v>0</v>
      </c>
      <c r="BA159" s="7">
        <f>SUMPRODUCT(N(Tabela1768[Código]=Tabela3[[#This Row],[PAPEL]]),Tabela1768[Fechamento])</f>
        <v>0</v>
      </c>
      <c r="BB159" s="7">
        <f>SUMPRODUCT(N(Tabela17683[Código]=Tabela3[[#This Row],[PAPEL]]),Tabela17683[Fechamento])</f>
        <v>0</v>
      </c>
    </row>
    <row r="160" spans="1:54" hidden="1" x14ac:dyDescent="0.2">
      <c r="A160" s="4" t="s">
        <v>37</v>
      </c>
      <c r="B160" s="57" t="s">
        <v>66</v>
      </c>
      <c r="C160" s="14" t="str">
        <f>LEFT(Tabela3[PAPEL],LEN(Tabela3[PAPEL])-(LEN(Tabela3[PAPEL])-4))</f>
        <v>SAPR</v>
      </c>
      <c r="D160" s="15">
        <v>3</v>
      </c>
      <c r="E160" s="6">
        <v>2597359806</v>
      </c>
      <c r="F160" s="8">
        <v>186783336</v>
      </c>
      <c r="G160" s="86">
        <v>0.25</v>
      </c>
      <c r="H160" s="15"/>
      <c r="I160" s="19"/>
      <c r="J160" s="19">
        <v>0.1</v>
      </c>
      <c r="K160" s="88"/>
      <c r="L160" s="88"/>
      <c r="M160" s="55"/>
      <c r="N160" s="55"/>
      <c r="O160" s="55"/>
      <c r="P160" s="6">
        <v>3403126000</v>
      </c>
      <c r="Q160" s="6">
        <v>314887000</v>
      </c>
      <c r="R160" s="6">
        <f>IF(Tabela3[[#This Row],[Ativo || Passivo]]&gt;0,Tabela3[[#This Row],[Ativo || Passivo]]-Tabela3[[#This Row],[Patrimônio Líquido]],0)</f>
        <v>0</v>
      </c>
      <c r="S160" s="6">
        <f>Tabela3[[#This Row],[Cotação]]*Tabela3[[#This Row],[Total Ações]]</f>
        <v>2430763050.5999999</v>
      </c>
      <c r="T160" s="134">
        <f>IF(Tabela3[[#This Row],[Passivo Circulante]]&gt;0,Tabela3[[#This Row],[Ativo Circulante]]/Tabela3[[#This Row],[Passivo Circulante]],0)</f>
        <v>0</v>
      </c>
      <c r="U160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60" s="19">
        <f>IF(Tabela3[[#This Row],[Lucro Líquido]]&gt;0,Tabela3[[#This Row],[Lucro Líquido]]/Tabela3[[#This Row],[Patrimônio Líquido]],0)</f>
        <v>9.252875150670295E-2</v>
      </c>
      <c r="W160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60" s="19">
        <f>IF(Tabela3[[#This Row],[Dívida]]&gt;0,Tabela3[[#This Row],[Dívida]]/Tabela3[[#This Row],[Patrimônio Líquido]],0)</f>
        <v>0</v>
      </c>
      <c r="Y160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60" s="6">
        <f>Tabela3[[#This Row],[Capital Social]]*20%</f>
        <v>519471961.20000005</v>
      </c>
      <c r="AA160" s="6">
        <f>IF((Tabela3[Lucro Líquido]*5%)&gt;Tabela3[Teto R. Legal],Tabela3[Teto R. Legal],Tabela3[Lucro Líquido]*5%)</f>
        <v>15744350</v>
      </c>
      <c r="AB160" s="6">
        <f>IF(Tabela3[Lucro Líquido]&lt;0,0,Tabela3[Lucro Líquido]-Tabela3[Reserva Legal])</f>
        <v>299142650</v>
      </c>
      <c r="AC160" s="6">
        <f>Tabela3[[#This Row],[Lucro Distribuir]]*Tabela3[%Div]</f>
        <v>74785662.5</v>
      </c>
      <c r="AD160" s="21">
        <f>SUMPRODUCT(N(Tabela3[Nome]=Tabela3[[#This Row],[Nome]]),Tabela3[Ações])</f>
        <v>476620206</v>
      </c>
      <c r="AE160" s="6">
        <f>Tabela3[Capital Social]/Tabela3[Total Ações]</f>
        <v>5.4495377520775943</v>
      </c>
      <c r="AF160" s="78">
        <f>Tabela3[[#This Row],[Lucro Líquido]]/Tabela3[[#This Row],[Total Ações]]</f>
        <v>0.66066649301897196</v>
      </c>
      <c r="AG160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0.16722890654119335</v>
      </c>
      <c r="AH160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60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60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0.16722890654119335</v>
      </c>
      <c r="AK160" s="6">
        <f>Tabela3[Div Base]*Tabela3[Ações]</f>
        <v>31235573.039396316</v>
      </c>
      <c r="AL160" s="6">
        <f>SUMPRODUCT(N(Tabela3[Nome]=Tabela3[[#This Row],[Nome]]),Tabela3[Div Base]*Tabela3[Ações])</f>
        <v>75298393.747600317</v>
      </c>
      <c r="AM160" s="6">
        <f>Tabela3[Patrimônio Líquido]/Tabela3[Total Ações]</f>
        <v>7.1401211219316201</v>
      </c>
      <c r="AN160" s="48">
        <f>MAX(Tabela3[[#This Row],[Cotação 1]:[Cotação 5]])</f>
        <v>5.0999999999999996</v>
      </c>
      <c r="AO160" s="44">
        <f>Tabela3[Cotação]/Tabela3[VPA]</f>
        <v>0.71427359745128449</v>
      </c>
      <c r="AP160" s="40">
        <f>IF(Tabela3[[#This Row],[Lucro/Ação]]&gt;0,Tabela3[[#This Row],[Cotação]]/(Tabela3[[#This Row],[Lucro/Ação]]/Tabela3[Ref]*4),0)</f>
        <v>5.7896079798467381</v>
      </c>
      <c r="AQ160" s="78">
        <f>Tabela3[Lucro Distribuir]/Tabela3[Total Ações]</f>
        <v>0.62763316836802341</v>
      </c>
      <c r="AR160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0.16722890654119335</v>
      </c>
      <c r="AS160" s="15" t="str">
        <f>IF(AND(Tabela3[% A.A.]&gt;=6%,SUMPRODUCT(N(Tabela3[Nome]=Tabela3[[#This Row],[Nome]]),Tabela3[PL])&gt;0,Tabela3[Rentabilidade s/ PL]&gt;=Tabela3[Rentabilidade s/ PL Média]),"Sim","Não")</f>
        <v>Não</v>
      </c>
      <c r="AT160" s="42">
        <f>IF(Tabela3[Cotação]&gt;0,Tabela3[[#This Row],[Lucro]]/Tabela3[[#This Row],[Cotação]],0)</f>
        <v>3.2789981674743798E-2</v>
      </c>
      <c r="AU160" s="19">
        <f>((1+Tabela3[[#This Row],[% Yield]])^(1/(3*Tabela3[[#This Row],[Ref]])))^(12)-1</f>
        <v>4.3957187478939064E-2</v>
      </c>
      <c r="AV160" s="14">
        <f>IF(Tabela3[Cotação]&gt;0,($BD$1/Tabela3[[#This Row],[Cotação]]-MOD($BD$1/Tabela3[[#This Row],[Cotação]],100)),)</f>
        <v>0</v>
      </c>
      <c r="AW160" s="17">
        <f>Tabela3[[#This Row],[Ativos]]*Tabela3[Lucro]</f>
        <v>0</v>
      </c>
      <c r="AX160" s="5">
        <f>SUMPRODUCT(N(Tabela1[Código]=Tabela3[[#This Row],[PAPEL]]),Tabela1[Fechamento])</f>
        <v>5.0999999999999996</v>
      </c>
      <c r="AY160" s="5">
        <f>SUMPRODUCT(N(Tabela17[Código]=Tabela3[[#This Row],[PAPEL]]),Tabela17[Fechamento])</f>
        <v>0</v>
      </c>
      <c r="AZ160" s="7">
        <f>SUMPRODUCT(N(Tabela176[Código]=Tabela3[[#This Row],[PAPEL]]),Tabela176[Fechamento])</f>
        <v>0</v>
      </c>
      <c r="BA160" s="7">
        <f>SUMPRODUCT(N(Tabela1768[Código]=Tabela3[[#This Row],[PAPEL]]),Tabela1768[Fechamento])</f>
        <v>0</v>
      </c>
      <c r="BB160" s="7">
        <f>SUMPRODUCT(N(Tabela17683[Código]=Tabela3[[#This Row],[PAPEL]]),Tabela17683[Fechamento])</f>
        <v>0</v>
      </c>
    </row>
    <row r="161" spans="1:54" hidden="1" x14ac:dyDescent="0.2">
      <c r="A161" s="4" t="s">
        <v>329</v>
      </c>
      <c r="B161" s="57" t="s">
        <v>676</v>
      </c>
      <c r="C161" s="82" t="str">
        <f>LEFT(Tabela3[PAPEL],LEN(Tabela3[PAPEL])-(LEN(Tabela3[PAPEL])-4))</f>
        <v>VALE</v>
      </c>
      <c r="D161" s="15">
        <v>3</v>
      </c>
      <c r="E161" s="6">
        <v>75000000000</v>
      </c>
      <c r="F161" s="8">
        <v>3256724482</v>
      </c>
      <c r="G161" s="81">
        <v>0.25</v>
      </c>
      <c r="H161" s="9"/>
      <c r="I161" s="19"/>
      <c r="J161" s="19"/>
      <c r="K161" s="88"/>
      <c r="L161" s="88"/>
      <c r="M161" s="55"/>
      <c r="N161" s="55"/>
      <c r="O161" s="55"/>
      <c r="P161" s="6">
        <v>165456334000</v>
      </c>
      <c r="Q161" s="5">
        <v>14982201000</v>
      </c>
      <c r="R161" s="5">
        <f>IF(Tabela3[[#This Row],[Ativo || Passivo]]&gt;0,Tabela3[[#This Row],[Ativo || Passivo]]-Tabela3[[#This Row],[Patrimônio Líquido]],0)</f>
        <v>0</v>
      </c>
      <c r="S161" s="5">
        <f>Tabela3[[#This Row],[Cotação]]*Tabela3[[#This Row],[Total Ações]]</f>
        <v>0</v>
      </c>
      <c r="T161" s="132">
        <f>IF(Tabela3[[#This Row],[Passivo Circulante]]&gt;0,Tabela3[[#This Row],[Ativo Circulante]]/Tabela3[[#This Row],[Passivo Circulante]],0)</f>
        <v>0</v>
      </c>
      <c r="U161" s="132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61" s="18">
        <f>IF(Tabela3[[#This Row],[Lucro Líquido]]&gt;0,Tabela3[[#This Row],[Lucro Líquido]]/Tabela3[[#This Row],[Patrimônio Líquido]],0)</f>
        <v>9.0550785441674303E-2</v>
      </c>
      <c r="W161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61" s="18">
        <f>IF(Tabela3[[#This Row],[Dívida]]&gt;0,Tabela3[[#This Row],[Dívida]]/Tabela3[[#This Row],[Patrimônio Líquido]],0)</f>
        <v>0</v>
      </c>
      <c r="Y161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61" s="28">
        <f>Tabela3[[#This Row],[Capital Social]]*20%</f>
        <v>15000000000</v>
      </c>
      <c r="AA161" s="28">
        <f>IF((Tabela3[Lucro Líquido]*5%)&gt;Tabela3[Teto R. Legal],Tabela3[Teto R. Legal],Tabela3[Lucro Líquido]*5%)</f>
        <v>749110050</v>
      </c>
      <c r="AB161" s="28">
        <f>IF(Tabela3[Lucro Líquido]&lt;0,0,Tabela3[Lucro Líquido]-Tabela3[Reserva Legal])</f>
        <v>14233090950</v>
      </c>
      <c r="AC161" s="28">
        <f>Tabela3[[#This Row],[Lucro Distribuir]]*Tabela3[%Div]</f>
        <v>3558272737.5</v>
      </c>
      <c r="AD161" s="56">
        <f>SUMPRODUCT(N(Tabela3[Nome]=Tabela3[[#This Row],[Nome]]),Tabela3[Ações])</f>
        <v>5365304100</v>
      </c>
      <c r="AE161" s="5">
        <f>Tabela3[Capital Social]/Tabela3[Total Ações]</f>
        <v>13.97870439440702</v>
      </c>
      <c r="AF161" s="78">
        <f>Tabela3[[#This Row],[Lucro Líquido]]/Tabela3[[#This Row],[Total Ações]]</f>
        <v>2.7924234527545231</v>
      </c>
      <c r="AG161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0.6632005700291993</v>
      </c>
      <c r="AH161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0.4936028800166139</v>
      </c>
      <c r="AI161" s="79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0.5495583298699136</v>
      </c>
      <c r="AJ161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0.4936028800166139</v>
      </c>
      <c r="AK161" s="28">
        <f>Tabela3[Div Base]*Tabela3[Ações]</f>
        <v>1607528583.735815</v>
      </c>
      <c r="AL161" s="28">
        <f>SUMPRODUCT(N(Tabela3[Nome]=Tabela3[[#This Row],[Nome]]),Tabela3[Div Base]*Tabela3[Ações])</f>
        <v>3558272737.5</v>
      </c>
      <c r="AM161" s="6">
        <f>Tabela3[Patrimônio Líquido]/Tabela3[Total Ações]</f>
        <v>30.838202442243674</v>
      </c>
      <c r="AN161" s="48">
        <f>MAX(Tabela3[[#This Row],[Cotação 1]:[Cotação 5]])</f>
        <v>0</v>
      </c>
      <c r="AO161" s="44">
        <f>Tabela3[Cotação]/Tabela3[VPA]</f>
        <v>0</v>
      </c>
      <c r="AP161" s="40">
        <f>IF(Tabela3[[#This Row],[Lucro/Ação]]&gt;0,Tabela3[[#This Row],[Cotação]]/(Tabela3[[#This Row],[Lucro/Ação]]/Tabela3[Ref]*4),0)</f>
        <v>0</v>
      </c>
      <c r="AQ161" s="78">
        <f>Tabela3[Lucro Distribuir]/Tabela3[Total Ações]</f>
        <v>2.6528022801167972</v>
      </c>
      <c r="AR161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0.4936028800166139</v>
      </c>
      <c r="AS161" s="14" t="str">
        <f>IF(AND(Tabela3[% A.A.]&gt;=6%,SUMPRODUCT(N(Tabela3[Nome]=Tabela3[[#This Row],[Nome]]),Tabela3[PL])&gt;0,Tabela3[Rentabilidade s/ PL]&gt;=Tabela3[Rentabilidade s/ PL Média]),"Sim","Não")</f>
        <v>Não</v>
      </c>
      <c r="AT161" s="42">
        <f>IF(Tabela3[Cotação]&gt;0,Tabela3[[#This Row],[Lucro]]/Tabela3[[#This Row],[Cotação]],0)</f>
        <v>0</v>
      </c>
      <c r="AU161" s="19">
        <f>((1+Tabela3[[#This Row],[% Yield]])^(1/(3*Tabela3[[#This Row],[Ref]])))^(12)-1</f>
        <v>0</v>
      </c>
      <c r="AV161" s="14">
        <f>IF(Tabela3[Cotação]&gt;0,($BC$1/Tabela3[[#This Row],[Cotação]]-MOD($BC$1/Tabela3[[#This Row],[Cotação]],100)),)</f>
        <v>0</v>
      </c>
      <c r="AW161" s="17">
        <f>Tabela3[[#This Row],[Ativos]]*Tabela3[Lucro]</f>
        <v>0</v>
      </c>
      <c r="AX161" s="17">
        <f>SUMPRODUCT(N(Tabela1[Código]=Tabela3[[#This Row],[PAPEL]]),Tabela1[Fechamento])</f>
        <v>0</v>
      </c>
      <c r="AY161" s="17">
        <f>SUMPRODUCT(N(Tabela17[Código]=Tabela3[[#This Row],[PAPEL]]),Tabela17[Fechamento])</f>
        <v>0</v>
      </c>
      <c r="AZ161" s="7">
        <f>SUMPRODUCT(N(Tabela176[Código]=Tabela3[[#This Row],[PAPEL]]),Tabela176[Fechamento])</f>
        <v>0</v>
      </c>
      <c r="BA161" s="7">
        <f>SUMPRODUCT(N(Tabela1768[Código]=Tabela3[[#This Row],[PAPEL]]),Tabela1768[Fechamento])</f>
        <v>0</v>
      </c>
      <c r="BB161" s="7">
        <f>SUMPRODUCT(N(Tabela17683[Código]=Tabela3[[#This Row],[PAPEL]]),Tabela17683[Fechamento])</f>
        <v>0</v>
      </c>
    </row>
    <row r="162" spans="1:54" hidden="1" x14ac:dyDescent="0.2">
      <c r="A162" s="4" t="s">
        <v>329</v>
      </c>
      <c r="B162" s="57" t="s">
        <v>330</v>
      </c>
      <c r="C162" s="82" t="str">
        <f>LEFT(Tabela3[PAPEL],LEN(Tabela3[PAPEL])-(LEN(Tabela3[PAPEL])-4))</f>
        <v>VALE</v>
      </c>
      <c r="D162" s="15">
        <v>3</v>
      </c>
      <c r="E162" s="6">
        <v>75000000000</v>
      </c>
      <c r="F162" s="8">
        <v>2108579618</v>
      </c>
      <c r="G162" s="81">
        <v>0.25</v>
      </c>
      <c r="H162" s="9">
        <v>0.03</v>
      </c>
      <c r="I162" s="19">
        <v>0.06</v>
      </c>
      <c r="J162" s="19"/>
      <c r="K162" s="88"/>
      <c r="L162" s="88"/>
      <c r="M162" s="55"/>
      <c r="N162" s="55"/>
      <c r="O162" s="55"/>
      <c r="P162" s="6">
        <v>165456334000</v>
      </c>
      <c r="Q162" s="5">
        <v>14982201000</v>
      </c>
      <c r="R162" s="5">
        <f>IF(Tabela3[[#This Row],[Ativo || Passivo]]&gt;0,Tabela3[[#This Row],[Ativo || Passivo]]-Tabela3[[#This Row],[Patrimônio Líquido]],0)</f>
        <v>0</v>
      </c>
      <c r="S162" s="5">
        <f>Tabela3[[#This Row],[Cotação]]*Tabela3[[#This Row],[Total Ações]]</f>
        <v>165197713239</v>
      </c>
      <c r="T162" s="132">
        <f>IF(Tabela3[[#This Row],[Passivo Circulante]]&gt;0,Tabela3[[#This Row],[Ativo Circulante]]/Tabela3[[#This Row],[Passivo Circulante]],0)</f>
        <v>0</v>
      </c>
      <c r="U162" s="132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62" s="18">
        <f>IF(Tabela3[[#This Row],[Lucro Líquido]]&gt;0,Tabela3[[#This Row],[Lucro Líquido]]/Tabela3[[#This Row],[Patrimônio Líquido]],0)</f>
        <v>9.0550785441674303E-2</v>
      </c>
      <c r="W162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62" s="18">
        <f>IF(Tabela3[[#This Row],[Dívida]]&gt;0,Tabela3[[#This Row],[Dívida]]/Tabela3[[#This Row],[Patrimônio Líquido]],0)</f>
        <v>0</v>
      </c>
      <c r="Y162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62" s="6">
        <f>Tabela3[[#This Row],[Capital Social]]*20%</f>
        <v>15000000000</v>
      </c>
      <c r="AA162" s="6">
        <f>IF((Tabela3[Lucro Líquido]*5%)&gt;Tabela3[Teto R. Legal],Tabela3[Teto R. Legal],Tabela3[Lucro Líquido]*5%)</f>
        <v>749110050</v>
      </c>
      <c r="AB162" s="6">
        <f>IF(Tabela3[Lucro Líquido]&lt;0,0,Tabela3[Lucro Líquido]-Tabela3[Reserva Legal])</f>
        <v>14233090950</v>
      </c>
      <c r="AC162" s="6">
        <f>Tabela3[[#This Row],[Lucro Distribuir]]*Tabela3[%Div]</f>
        <v>3558272737.5</v>
      </c>
      <c r="AD162" s="56">
        <f>SUMPRODUCT(N(Tabela3[Nome]=Tabela3[[#This Row],[Nome]]),Tabela3[Ações])</f>
        <v>5365304100</v>
      </c>
      <c r="AE162" s="6">
        <f>Tabela3[Capital Social]/Tabela3[Total Ações]</f>
        <v>13.97870439440702</v>
      </c>
      <c r="AF162" s="78">
        <f>Tabela3[[#This Row],[Lucro Líquido]]/Tabela3[[#This Row],[Total Ações]]</f>
        <v>2.7924234527545231</v>
      </c>
      <c r="AG162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0.6632005700291993</v>
      </c>
      <c r="AH162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0.92514607326731024</v>
      </c>
      <c r="AI162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0.83872226366442115</v>
      </c>
      <c r="AJ162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0.92514607326731024</v>
      </c>
      <c r="AK162" s="6">
        <f>Tabela3[Div Base]*Tabela3[Ações]</f>
        <v>1950744153.764185</v>
      </c>
      <c r="AL162" s="6">
        <f>SUMPRODUCT(N(Tabela3[Nome]=Tabela3[[#This Row],[Nome]]),Tabela3[Div Base]*Tabela3[Ações])</f>
        <v>3558272737.5</v>
      </c>
      <c r="AM162" s="6">
        <f>Tabela3[Patrimônio Líquido]/Tabela3[Total Ações]</f>
        <v>30.838202442243674</v>
      </c>
      <c r="AN162" s="48">
        <f>MAX(Tabela3[[#This Row],[Cotação 1]:[Cotação 5]])</f>
        <v>30.79</v>
      </c>
      <c r="AO162" s="44">
        <f>Tabela3[Cotação]/Tabela3[VPA]</f>
        <v>0.9984369243851372</v>
      </c>
      <c r="AP162" s="40">
        <f>IF(Tabela3[[#This Row],[Lucro/Ação]]&gt;0,Tabela3[[#This Row],[Cotação]]/(Tabela3[[#This Row],[Lucro/Ação]]/Tabela3[Ref]*4),0)</f>
        <v>8.2696984861736951</v>
      </c>
      <c r="AQ162" s="78">
        <f>Tabela3[Lucro Distribuir]/Tabela3[Total Ações]</f>
        <v>2.6528022801167972</v>
      </c>
      <c r="AR162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0.92514607326731024</v>
      </c>
      <c r="AS162" s="15" t="str">
        <f>IF(AND(Tabela3[% A.A.]&gt;=6%,SUMPRODUCT(N(Tabela3[Nome]=Tabela3[[#This Row],[Nome]]),Tabela3[PL])&gt;0,Tabela3[Rentabilidade s/ PL]&gt;=Tabela3[Rentabilidade s/ PL Média]),"Sim","Não")</f>
        <v>Não</v>
      </c>
      <c r="AT162" s="42">
        <f>IF(Tabela3[Cotação]&gt;0,Tabela3[[#This Row],[Lucro]]/Tabela3[[#This Row],[Cotação]],0)</f>
        <v>3.0046965679354019E-2</v>
      </c>
      <c r="AU162" s="19">
        <f>((1+Tabela3[[#This Row],[% Yield]])^(1/(3*Tabela3[[#This Row],[Ref]])))^(12)-1</f>
        <v>4.0261924507160707E-2</v>
      </c>
      <c r="AV162" s="14">
        <f>IF(Tabela3[Cotação]&gt;0,($BC$1/Tabela3[[#This Row],[Cotação]]-MOD($BC$1/Tabela3[[#This Row],[Cotação]],100)),)</f>
        <v>0</v>
      </c>
      <c r="AW162" s="17">
        <f>Tabela3[[#This Row],[Ativos]]*Tabela3[Lucro]</f>
        <v>0</v>
      </c>
      <c r="AX162" s="13">
        <f>SUMPRODUCT(N(Tabela1[Código]=Tabela3[[#This Row],[PAPEL]]),Tabela1[Fechamento])</f>
        <v>0</v>
      </c>
      <c r="AY162" s="55">
        <f>SUMPRODUCT(N(Tabela17[Código]=Tabela3[[#This Row],[PAPEL]]),Tabela17[Fechamento])</f>
        <v>30.79</v>
      </c>
      <c r="AZ162" s="7">
        <f>SUMPRODUCT(N(Tabela176[Código]=Tabela3[[#This Row],[PAPEL]]),Tabela176[Fechamento])</f>
        <v>0</v>
      </c>
      <c r="BA162" s="7">
        <f>SUMPRODUCT(N(Tabela1768[Código]=Tabela3[[#This Row],[PAPEL]]),Tabela1768[Fechamento])</f>
        <v>0</v>
      </c>
      <c r="BB162" s="7">
        <f>SUMPRODUCT(N(Tabela17683[Código]=Tabela3[[#This Row],[PAPEL]]),Tabela17683[Fechamento])</f>
        <v>0</v>
      </c>
    </row>
    <row r="163" spans="1:54" hidden="1" x14ac:dyDescent="0.2">
      <c r="A163" s="4" t="s">
        <v>26</v>
      </c>
      <c r="B163" s="57" t="s">
        <v>57</v>
      </c>
      <c r="C163" s="82" t="str">
        <f>LEFT(Tabela3[PAPEL],LEN(Tabela3[PAPEL])-(LEN(Tabela3[PAPEL])-4))</f>
        <v>SULA</v>
      </c>
      <c r="D163" s="16">
        <v>3</v>
      </c>
      <c r="E163" s="5"/>
      <c r="F163" s="56"/>
      <c r="G163" s="86"/>
      <c r="H163" s="16"/>
      <c r="J163" s="18"/>
      <c r="K163" s="87">
        <v>1</v>
      </c>
      <c r="L163" s="87">
        <v>2</v>
      </c>
      <c r="M163" s="54"/>
      <c r="N163" s="54"/>
      <c r="O163" s="54"/>
      <c r="P163" s="6">
        <v>5318159000</v>
      </c>
      <c r="Q163" s="6">
        <v>472452000</v>
      </c>
      <c r="R163" s="6">
        <f>IF(Tabela3[[#This Row],[Ativo || Passivo]]&gt;0,Tabela3[[#This Row],[Ativo || Passivo]]-Tabela3[[#This Row],[Patrimônio Líquido]],0)</f>
        <v>0</v>
      </c>
      <c r="S163" s="6">
        <f>Tabela3[[#This Row],[Cotação]]*Tabela3[[#This Row],[Total Ações]]</f>
        <v>14832201703.43</v>
      </c>
      <c r="T163" s="134">
        <f>IF(Tabela3[[#This Row],[Passivo Circulante]]&gt;0,Tabela3[[#This Row],[Ativo Circulante]]/Tabela3[[#This Row],[Passivo Circulante]],0)</f>
        <v>0</v>
      </c>
      <c r="U163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63" s="19">
        <f>IF(Tabela3[[#This Row],[Lucro Líquido]]&gt;0,Tabela3[[#This Row],[Lucro Líquido]]/Tabela3[[#This Row],[Patrimônio Líquido]],0)</f>
        <v>8.8837509371194057E-2</v>
      </c>
      <c r="W163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63" s="19">
        <f>IF(Tabela3[[#This Row],[Dívida]]&gt;0,Tabela3[[#This Row],[Dívida]]/Tabela3[[#This Row],[Patrimônio Líquido]],0)</f>
        <v>0</v>
      </c>
      <c r="Y163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63" s="5">
        <f>Tabela3[[#This Row],[Capital Social]]*20%</f>
        <v>0</v>
      </c>
      <c r="AA163" s="5">
        <f>IF((Tabela3[Lucro Líquido]*5%)&gt;Tabela3[Teto R. Legal],Tabela3[Teto R. Legal],Tabela3[Lucro Líquido]*5%)</f>
        <v>0</v>
      </c>
      <c r="AB163" s="5">
        <f>IF(Tabela3[Lucro Líquido]&lt;0,0,Tabela3[Lucro Líquido]-Tabela3[Reserva Legal])</f>
        <v>472452000</v>
      </c>
      <c r="AC163" s="5">
        <f>Tabela3[[#This Row],[Lucro Distribuir]]*Tabela3[%Div]</f>
        <v>0</v>
      </c>
      <c r="AD163" s="56">
        <f>SUMPRODUCT(N(Tabela3[Nome]=Tabela3[[#This Row],[Nome]]),Tabela3[Ações])</f>
        <v>1022205493</v>
      </c>
      <c r="AE163" s="5">
        <f>Tabela3[Capital Social]/Tabela3[Total Ações]</f>
        <v>0</v>
      </c>
      <c r="AF163" s="77">
        <f>Tabela3[[#This Row],[Lucro Líquido]]/Tabela3[[#This Row],[Total Ações]]</f>
        <v>0.46218886831984574</v>
      </c>
      <c r="AG163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163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63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63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163" s="5">
        <f>Tabela3[Div Base]*Tabela3[Ações]</f>
        <v>0</v>
      </c>
      <c r="AL163" s="5">
        <f>SUMPRODUCT(N(Tabela3[Nome]=Tabela3[[#This Row],[Nome]]),Tabela3[Div Base]*Tabela3[Ações])</f>
        <v>78897402.643435329</v>
      </c>
      <c r="AM163" s="5">
        <f>Tabela3[Patrimônio Líquido]/Tabela3[Total Ações]</f>
        <v>5.2026319917261485</v>
      </c>
      <c r="AN163" s="52">
        <f>MAX(Tabela3[[#This Row],[Cotação 1]:[Cotação 5]])</f>
        <v>14.51</v>
      </c>
      <c r="AO163" s="53">
        <f>Tabela3[Cotação]/Tabela3[VPA]</f>
        <v>2.7889729704264203</v>
      </c>
      <c r="AP163" s="37">
        <f>IF(Tabela3[[#This Row],[Lucro/Ação]]&gt;0,Tabela3[[#This Row],[Cotação]]/(Tabela3[[#This Row],[Lucro/Ação]]/Tabela3[Ref]*4),0)</f>
        <v>23.545569237874957</v>
      </c>
      <c r="AQ163" s="77">
        <f>Tabela3[Lucro Distribuir]/Tabela3[Total Ações]</f>
        <v>0.46218886831984574</v>
      </c>
      <c r="AR163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0.19864205523301759</v>
      </c>
      <c r="AS163" s="16" t="str">
        <f>IF(AND(Tabela3[% A.A.]&gt;=6%,SUMPRODUCT(N(Tabela3[Nome]=Tabela3[[#This Row],[Nome]]),Tabela3[PL])&gt;0,Tabela3[Rentabilidade s/ PL]&gt;=Tabela3[Rentabilidade s/ PL Média]),"Sim","Não")</f>
        <v>Não</v>
      </c>
      <c r="AT163" s="22">
        <f>IF(Tabela3[Cotação]&gt;0,Tabela3[[#This Row],[Lucro]]/Tabela3[[#This Row],[Cotação]],0)</f>
        <v>1.3690010698347181E-2</v>
      </c>
      <c r="AU163" s="18">
        <f>((1+Tabela3[[#This Row],[% Yield]])^(1/(3*Tabela3[[#This Row],[Ref]])))^(12)-1</f>
        <v>1.8294869699776228E-2</v>
      </c>
      <c r="AV163" s="10">
        <f>IF(Tabela3[Cotação]&gt;0,($BD$1/Tabela3[[#This Row],[Cotação]]-MOD($BD$1/Tabela3[[#This Row],[Cotação]],100)),)</f>
        <v>0</v>
      </c>
      <c r="AW163" s="7">
        <f>Tabela3[[#This Row],[Ativos]]*Tabela3[Lucro]</f>
        <v>0</v>
      </c>
      <c r="AX163" s="47">
        <f>SUMPRODUCT(N(Tabela1[Código]=Tabela3[[#This Row],[PAPEL]]),Tabela1[Fechamento])</f>
        <v>0</v>
      </c>
      <c r="AY163" s="54">
        <f>SUMPRODUCT(N(Tabela17[Código]=Tabela3[[#This Row],[PAPEL]]),Tabela17[Fechamento])</f>
        <v>14.51</v>
      </c>
      <c r="AZ163" s="7">
        <f>SUMPRODUCT(N(Tabela176[Código]=Tabela3[[#This Row],[PAPEL]]),Tabela176[Fechamento])</f>
        <v>0</v>
      </c>
      <c r="BA163" s="7">
        <f>SUMPRODUCT(N(Tabela1768[Código]=Tabela3[[#This Row],[PAPEL]]),Tabela1768[Fechamento])</f>
        <v>0</v>
      </c>
      <c r="BB163" s="7">
        <f>SUMPRODUCT(N(Tabela17683[Código]=Tabela3[[#This Row],[PAPEL]]),Tabela17683[Fechamento])</f>
        <v>0</v>
      </c>
    </row>
    <row r="164" spans="1:54" hidden="1" x14ac:dyDescent="0.2">
      <c r="A164" s="4" t="s">
        <v>26</v>
      </c>
      <c r="B164" s="57" t="s">
        <v>714</v>
      </c>
      <c r="C164" s="82" t="str">
        <f>LEFT(Tabela3[PAPEL],LEN(Tabela3[PAPEL])-(LEN(Tabela3[PAPEL])-4))</f>
        <v>SULA</v>
      </c>
      <c r="D164" s="16">
        <v>3</v>
      </c>
      <c r="E164" s="5">
        <v>2319882346.8499999</v>
      </c>
      <c r="F164" s="56">
        <v>512362664</v>
      </c>
      <c r="G164" s="86">
        <v>0.25</v>
      </c>
      <c r="H164" s="16"/>
      <c r="J164" s="18"/>
      <c r="K164" s="87"/>
      <c r="L164" s="87"/>
      <c r="M164" s="54"/>
      <c r="N164" s="54"/>
      <c r="O164" s="54"/>
      <c r="P164" s="6">
        <v>5318159000</v>
      </c>
      <c r="Q164" s="6">
        <v>472452000</v>
      </c>
      <c r="R164" s="6">
        <f>IF(Tabela3[[#This Row],[Ativo || Passivo]]&gt;0,Tabela3[[#This Row],[Ativo || Passivo]]-Tabela3[[#This Row],[Patrimônio Líquido]],0)</f>
        <v>0</v>
      </c>
      <c r="S164" s="6">
        <f>Tabela3[[#This Row],[Cotação]]*Tabela3[[#This Row],[Total Ações]]</f>
        <v>0</v>
      </c>
      <c r="T164" s="134">
        <f>IF(Tabela3[[#This Row],[Passivo Circulante]]&gt;0,Tabela3[[#This Row],[Ativo Circulante]]/Tabela3[[#This Row],[Passivo Circulante]],0)</f>
        <v>0</v>
      </c>
      <c r="U164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64" s="19">
        <f>IF(Tabela3[[#This Row],[Lucro Líquido]]&gt;0,Tabela3[[#This Row],[Lucro Líquido]]/Tabela3[[#This Row],[Patrimônio Líquido]],0)</f>
        <v>8.8837509371194057E-2</v>
      </c>
      <c r="W164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64" s="19">
        <f>IF(Tabela3[[#This Row],[Dívida]]&gt;0,Tabela3[[#This Row],[Dívida]]/Tabela3[[#This Row],[Patrimônio Líquido]],0)</f>
        <v>0</v>
      </c>
      <c r="Y164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64" s="5">
        <f>Tabela3[[#This Row],[Capital Social]]*20%</f>
        <v>463976469.37</v>
      </c>
      <c r="AA164" s="5">
        <f>IF((Tabela3[Lucro Líquido]*5%)&gt;Tabela3[Teto R. Legal],Tabela3[Teto R. Legal],Tabela3[Lucro Líquido]*5%)</f>
        <v>23622600</v>
      </c>
      <c r="AB164" s="5">
        <f>IF(Tabela3[Lucro Líquido]&lt;0,0,Tabela3[Lucro Líquido]-Tabela3[Reserva Legal])</f>
        <v>448829400</v>
      </c>
      <c r="AC164" s="5">
        <f>Tabela3[[#This Row],[Lucro Distribuir]]*Tabela3[%Div]</f>
        <v>112207350</v>
      </c>
      <c r="AD164" s="56">
        <f>SUMPRODUCT(N(Tabela3[Nome]=Tabela3[[#This Row],[Nome]]),Tabela3[Ações])</f>
        <v>1022205493</v>
      </c>
      <c r="AE164" s="5">
        <f>Tabela3[Capital Social]/Tabela3[Total Ações]</f>
        <v>2.2694872633109591</v>
      </c>
      <c r="AF164" s="77">
        <f>Tabela3[[#This Row],[Lucro Líquido]]/Tabela3[[#This Row],[Total Ações]]</f>
        <v>0.46218886831984574</v>
      </c>
      <c r="AG164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0.10976985622596336</v>
      </c>
      <c r="AH164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64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64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0.10976985622596336</v>
      </c>
      <c r="AK164" s="5">
        <f>Tabela3[Div Base]*Tabela3[Ações]</f>
        <v>56241975.962831572</v>
      </c>
      <c r="AL164" s="5">
        <f>SUMPRODUCT(N(Tabela3[Nome]=Tabela3[[#This Row],[Nome]]),Tabela3[Div Base]*Tabela3[Ações])</f>
        <v>78897402.643435329</v>
      </c>
      <c r="AM164" s="5">
        <f>Tabela3[Patrimônio Líquido]/Tabela3[Total Ações]</f>
        <v>5.2026319917261485</v>
      </c>
      <c r="AN164" s="52">
        <f>MAX(Tabela3[[#This Row],[Cotação 1]:[Cotação 5]])</f>
        <v>0</v>
      </c>
      <c r="AO164" s="53">
        <f>Tabela3[Cotação]/Tabela3[VPA]</f>
        <v>0</v>
      </c>
      <c r="AP164" s="37">
        <f>IF(Tabela3[[#This Row],[Lucro/Ação]]&gt;0,Tabela3[[#This Row],[Cotação]]/(Tabela3[[#This Row],[Lucro/Ação]]/Tabela3[Ref]*4),0)</f>
        <v>0</v>
      </c>
      <c r="AQ164" s="77">
        <f>Tabela3[Lucro Distribuir]/Tabela3[Total Ações]</f>
        <v>0.43907942490385343</v>
      </c>
      <c r="AR164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0.10976985622596336</v>
      </c>
      <c r="AS164" s="16" t="str">
        <f>IF(AND(Tabela3[% A.A.]&gt;=6%,SUMPRODUCT(N(Tabela3[Nome]=Tabela3[[#This Row],[Nome]]),Tabela3[PL])&gt;0,Tabela3[Rentabilidade s/ PL]&gt;=Tabela3[Rentabilidade s/ PL Média]),"Sim","Não")</f>
        <v>Não</v>
      </c>
      <c r="AT164" s="22">
        <f>IF(Tabela3[Cotação]&gt;0,Tabela3[[#This Row],[Lucro]]/Tabela3[[#This Row],[Cotação]],0)</f>
        <v>0</v>
      </c>
      <c r="AU164" s="18">
        <f>((1+Tabela3[[#This Row],[% Yield]])^(1/(3*Tabela3[[#This Row],[Ref]])))^(12)-1</f>
        <v>0</v>
      </c>
      <c r="AV164" s="10">
        <f>IF(Tabela3[Cotação]&gt;0,($BD$1/Tabela3[[#This Row],[Cotação]]-MOD($BD$1/Tabela3[[#This Row],[Cotação]],100)),)</f>
        <v>0</v>
      </c>
      <c r="AW164" s="7">
        <f>Tabela3[[#This Row],[Ativos]]*Tabela3[Lucro]</f>
        <v>0</v>
      </c>
      <c r="AX164" s="47">
        <f>SUMPRODUCT(N(Tabela1[Código]=Tabela3[[#This Row],[PAPEL]]),Tabela1[Fechamento])</f>
        <v>0</v>
      </c>
      <c r="AY164" s="54">
        <f>SUMPRODUCT(N(Tabela17[Código]=Tabela3[[#This Row],[PAPEL]]),Tabela17[Fechamento])</f>
        <v>0</v>
      </c>
      <c r="AZ164" s="7">
        <f>SUMPRODUCT(N(Tabela176[Código]=Tabela3[[#This Row],[PAPEL]]),Tabela176[Fechamento])</f>
        <v>0</v>
      </c>
      <c r="BA164" s="7">
        <f>SUMPRODUCT(N(Tabela1768[Código]=Tabela3[[#This Row],[PAPEL]]),Tabela1768[Fechamento])</f>
        <v>0</v>
      </c>
      <c r="BB164" s="7">
        <f>SUMPRODUCT(N(Tabela17683[Código]=Tabela3[[#This Row],[PAPEL]]),Tabela17683[Fechamento])</f>
        <v>0</v>
      </c>
    </row>
    <row r="165" spans="1:54" hidden="1" x14ac:dyDescent="0.2">
      <c r="A165" s="3" t="s">
        <v>1709</v>
      </c>
      <c r="B165" s="57" t="s">
        <v>1701</v>
      </c>
      <c r="C165" s="16" t="str">
        <f>LEFT(Tabela3[PAPEL],LEN(Tabela3[PAPEL])-(LEN(Tabela3[PAPEL])-4))</f>
        <v>MYPK</v>
      </c>
      <c r="D165" s="16">
        <v>3</v>
      </c>
      <c r="E165" s="5">
        <v>700000000</v>
      </c>
      <c r="F165" s="56">
        <v>94863372</v>
      </c>
      <c r="G165" s="81">
        <v>0.37</v>
      </c>
      <c r="H165" s="87"/>
      <c r="J165" s="18"/>
      <c r="K165" s="16"/>
      <c r="L165" s="87"/>
      <c r="M165" s="54"/>
      <c r="N165" s="54"/>
      <c r="O165" s="54"/>
      <c r="P165" s="91">
        <v>1143158000</v>
      </c>
      <c r="Q165" s="73">
        <v>101351000</v>
      </c>
      <c r="R165" s="73">
        <f>IF(Tabela3[[#This Row],[Ativo || Passivo]]&gt;0,Tabela3[[#This Row],[Ativo || Passivo]]-Tabela3[[#This Row],[Patrimônio Líquido]],0)</f>
        <v>0</v>
      </c>
      <c r="S165" s="73">
        <f>Tabela3[[#This Row],[Cotação]]*Tabela3[[#This Row],[Total Ações]]</f>
        <v>2143912207.2</v>
      </c>
      <c r="T165" s="37">
        <f>IF(Tabela3[[#This Row],[Passivo Circulante]]&gt;0,Tabela3[[#This Row],[Ativo Circulante]]/Tabela3[[#This Row],[Passivo Circulante]],0)</f>
        <v>0</v>
      </c>
      <c r="U165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65" s="18">
        <f>IF(Tabela3[[#This Row],[Lucro Líquido]]&gt;0,Tabela3[[#This Row],[Lucro Líquido]]/Tabela3[[#This Row],[Patrimônio Líquido]],0)</f>
        <v>8.865878557469746E-2</v>
      </c>
      <c r="W165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65" s="18">
        <f>IF(Tabela3[[#This Row],[Dívida]]&gt;0,Tabela3[[#This Row],[Dívida]]/Tabela3[[#This Row],[Patrimônio Líquido]],0)</f>
        <v>0</v>
      </c>
      <c r="Y165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65" s="7">
        <f>Tabela3[[#This Row],[Capital Social]]*20%</f>
        <v>140000000</v>
      </c>
      <c r="AA165" s="47">
        <f>IF((Tabela3[Lucro Líquido]*5%)&gt;Tabela3[Teto R. Legal],Tabela3[Teto R. Legal],Tabela3[Lucro Líquido]*5%)</f>
        <v>5067550</v>
      </c>
      <c r="AB165" s="47">
        <f>IF(Tabela3[Lucro Líquido]&lt;0,0,Tabela3[Lucro Líquido]-Tabela3[Reserva Legal])</f>
        <v>96283450</v>
      </c>
      <c r="AC165" s="47">
        <f>Tabela3[[#This Row],[Lucro Distribuir]]*Tabela3[%Div]</f>
        <v>35624876.5</v>
      </c>
      <c r="AD165" s="56">
        <f>SUMPRODUCT(N(Tabela3[Nome]=Tabela3[[#This Row],[Nome]]),Tabela3[Ações])</f>
        <v>94863372</v>
      </c>
      <c r="AE165" s="85">
        <f>Tabela3[Capital Social]/Tabela3[Total Ações]</f>
        <v>7.3790335009385917</v>
      </c>
      <c r="AF165" s="85">
        <f>Tabela3[[#This Row],[Lucro Líquido]]/Tabela3[[#This Row],[Total Ações]]</f>
        <v>1.068389177648039</v>
      </c>
      <c r="AG165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0.37553879594328565</v>
      </c>
      <c r="AH165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65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65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0.37553879594328565</v>
      </c>
      <c r="AK165" s="7">
        <f>Tabela3[Div Base]*Tabela3[Ações]</f>
        <v>35624876.5</v>
      </c>
      <c r="AL165" s="121">
        <f>SUMPRODUCT(N(Tabela3[Nome]=Tabela3[[#This Row],[Nome]]),Tabela3[Div Base]*Tabela3[Ações])</f>
        <v>35624876.5</v>
      </c>
      <c r="AM165" s="5">
        <f>Tabela3[Patrimônio Líquido]/Tabela3[Total Ações]</f>
        <v>12.050573112665656</v>
      </c>
      <c r="AN165" s="52">
        <f>MAX(Tabela3[[#This Row],[Cotação 1]:[Cotação 5]])</f>
        <v>22.6</v>
      </c>
      <c r="AO165" s="53">
        <f>Tabela3[Cotação]/Tabela3[VPA]</f>
        <v>1.8754294744908402</v>
      </c>
      <c r="AP165" s="37">
        <f>IF(Tabela3[[#This Row],[Lucro/Ação]]&gt;0,Tabela3[[#This Row],[Cotação]]/(Tabela3[[#This Row],[Lucro/Ação]]/Tabela3[Ref]*4),0)</f>
        <v>15.865005331965151</v>
      </c>
      <c r="AQ165" s="85">
        <f>Tabela3[Lucro Distribuir]/Tabela3[Total Ações]</f>
        <v>1.014969718765637</v>
      </c>
      <c r="AR165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0.37553879594328565</v>
      </c>
      <c r="AS165" s="10" t="str">
        <f>IF(AND(Tabela3[% A.A.]&gt;=6%,SUMPRODUCT(N(Tabela3[Nome]=Tabela3[[#This Row],[Nome]]),Tabela3[PL])&gt;0,Tabela3[Rentabilidade s/ PL]&gt;=Tabela3[Rentabilidade s/ PL Média]),"Sim","Não")</f>
        <v>Não</v>
      </c>
      <c r="AT165" s="22">
        <f>IF(Tabela3[Cotação]&gt;0,Tabela3[[#This Row],[Lucro]]/Tabela3[[#This Row],[Cotação]],0)</f>
        <v>1.6616760882446267E-2</v>
      </c>
      <c r="AU165" s="22">
        <f>((1+Tabela3[[#This Row],[% Yield]])^(1/(3*Tabela3[[#This Row],[Ref]])))^(12)-1</f>
        <v>2.2216815431520986E-2</v>
      </c>
      <c r="AV165" s="10">
        <f>IF(Tabela3[Cotação]&gt;0,($BD$1/Tabela3[[#This Row],[Cotação]]-MOD($BD$1/Tabela3[[#This Row],[Cotação]],100)),)</f>
        <v>0</v>
      </c>
      <c r="AW165" s="7">
        <f>Tabela3[[#This Row],[Ativos]]*Tabela3[Lucro]</f>
        <v>0</v>
      </c>
      <c r="AX165" s="7">
        <f>SUMPRODUCT(N(Tabela1[Código]=Tabela3[[#This Row],[PAPEL]]),Tabela1[Fechamento])</f>
        <v>0</v>
      </c>
      <c r="AY165" s="7">
        <f>SUMPRODUCT(N(Tabela17[Código]=Tabela3[[#This Row],[PAPEL]]),Tabela17[Fechamento])</f>
        <v>0</v>
      </c>
      <c r="AZ165" s="7">
        <f>SUMPRODUCT(N(Tabela176[Código]=Tabela3[[#This Row],[PAPEL]]),Tabela176[Fechamento])</f>
        <v>0</v>
      </c>
      <c r="BA165" s="7">
        <f>SUMPRODUCT(N(Tabela1768[Código]=Tabela3[[#This Row],[PAPEL]]),Tabela1768[Fechamento])</f>
        <v>0</v>
      </c>
      <c r="BB165" s="7">
        <f>SUMPRODUCT(N(Tabela17683[Código]=Tabela3[[#This Row],[PAPEL]]),Tabela17683[Fechamento])</f>
        <v>22.6</v>
      </c>
    </row>
    <row r="166" spans="1:54" hidden="1" x14ac:dyDescent="0.2">
      <c r="A166" s="3" t="s">
        <v>1297</v>
      </c>
      <c r="B166" s="58" t="s">
        <v>1300</v>
      </c>
      <c r="C166" s="16" t="str">
        <f>LEFT(Tabela3[PAPEL],LEN(Tabela3[PAPEL])-(LEN(Tabela3[PAPEL])-4))</f>
        <v>CGRA</v>
      </c>
      <c r="D166" s="16">
        <v>3</v>
      </c>
      <c r="E166" s="5">
        <v>140950811.59999999</v>
      </c>
      <c r="F166" s="56">
        <v>8759925</v>
      </c>
      <c r="G166" s="81">
        <v>0.25</v>
      </c>
      <c r="H166" s="87"/>
      <c r="J166" s="18"/>
      <c r="K166" s="16"/>
      <c r="L166" s="87"/>
      <c r="M166" s="54"/>
      <c r="N166" s="54"/>
      <c r="O166" s="54"/>
      <c r="P166" s="91">
        <v>349991830</v>
      </c>
      <c r="Q166" s="73">
        <v>30763168</v>
      </c>
      <c r="R166" s="73">
        <f>IF(Tabela3[[#This Row],[Ativo || Passivo]]&gt;0,Tabela3[[#This Row],[Ativo || Passivo]]-Tabela3[[#This Row],[Patrimônio Líquido]],0)</f>
        <v>0</v>
      </c>
      <c r="S166" s="73">
        <f>Tabela3[[#This Row],[Cotação]]*Tabela3[[#This Row],[Total Ações]]</f>
        <v>343938271</v>
      </c>
      <c r="T166" s="37">
        <f>IF(Tabela3[[#This Row],[Passivo Circulante]]&gt;0,Tabela3[[#This Row],[Ativo Circulante]]/Tabela3[[#This Row],[Passivo Circulante]],0)</f>
        <v>0</v>
      </c>
      <c r="U166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66" s="18">
        <f>IF(Tabela3[[#This Row],[Lucro Líquido]]&gt;0,Tabela3[[#This Row],[Lucro Líquido]]/Tabela3[[#This Row],[Patrimônio Líquido]],0)</f>
        <v>8.78968174771394E-2</v>
      </c>
      <c r="W166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66" s="18">
        <f>IF(Tabela3[[#This Row],[Dívida]]&gt;0,Tabela3[[#This Row],[Dívida]]/Tabela3[[#This Row],[Patrimônio Líquido]],0)</f>
        <v>0</v>
      </c>
      <c r="Y166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66" s="7">
        <f>Tabela3[[#This Row],[Capital Social]]*20%</f>
        <v>28190162.32</v>
      </c>
      <c r="AA166" s="47">
        <f>IF((Tabela3[Lucro Líquido]*5%)&gt;Tabela3[Teto R. Legal],Tabela3[Teto R. Legal],Tabela3[Lucro Líquido]*5%)</f>
        <v>1538158.4000000001</v>
      </c>
      <c r="AB166" s="47">
        <f>IF(Tabela3[Lucro Líquido]&lt;0,0,Tabela3[Lucro Líquido]-Tabela3[Reserva Legal])</f>
        <v>29225009.600000001</v>
      </c>
      <c r="AC166" s="47">
        <f>Tabela3[[#This Row],[Lucro Distribuir]]*Tabela3[%Div]</f>
        <v>7306252.4000000004</v>
      </c>
      <c r="AD166" s="56">
        <f>SUMPRODUCT(N(Tabela3[Nome]=Tabela3[[#This Row],[Nome]]),Tabela3[Ações])</f>
        <v>21768245</v>
      </c>
      <c r="AE166" s="85">
        <f>Tabela3[Capital Social]/Tabela3[Total Ações]</f>
        <v>6.4750654726644248</v>
      </c>
      <c r="AF166" s="85">
        <f>Tabela3[[#This Row],[Lucro Líquido]]/Tabela3[[#This Row],[Total Ações]]</f>
        <v>1.4132130541529646</v>
      </c>
      <c r="AG166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0.33563810036132907</v>
      </c>
      <c r="AH166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66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66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0.33563810036132907</v>
      </c>
      <c r="AK166" s="7">
        <f>Tabela3[Div Base]*Tabela3[Ações]</f>
        <v>2940164.5863077156</v>
      </c>
      <c r="AL166" s="121">
        <f>SUMPRODUCT(N(Tabela3[Nome]=Tabela3[[#This Row],[Nome]]),Tabela3[Div Base]*Tabela3[Ações])</f>
        <v>7306252.3999999994</v>
      </c>
      <c r="AM166" s="5">
        <f>Tabela3[Patrimônio Líquido]/Tabela3[Total Ações]</f>
        <v>16.078091274698533</v>
      </c>
      <c r="AN166" s="52">
        <f>MAX(Tabela3[[#This Row],[Cotação 1]:[Cotação 5]])</f>
        <v>15.8</v>
      </c>
      <c r="AO166" s="53">
        <f>Tabela3[Cotação]/Tabela3[VPA]</f>
        <v>0.98270371339811002</v>
      </c>
      <c r="AP166" s="37">
        <f>IF(Tabela3[[#This Row],[Lucro/Ação]]&gt;0,Tabela3[[#This Row],[Cotação]]/(Tabela3[[#This Row],[Lucro/Ação]]/Tabela3[Ref]*4),0)</f>
        <v>8.3851475651012279</v>
      </c>
      <c r="AQ166" s="85">
        <f>Tabela3[Lucro Distribuir]/Tabela3[Total Ações]</f>
        <v>1.3425524014453163</v>
      </c>
      <c r="AR166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0.33563810036132907</v>
      </c>
      <c r="AS166" s="10" t="str">
        <f>IF(AND(Tabela3[% A.A.]&gt;=6%,SUMPRODUCT(N(Tabela3[Nome]=Tabela3[[#This Row],[Nome]]),Tabela3[PL])&gt;0,Tabela3[Rentabilidade s/ PL]&gt;=Tabela3[Rentabilidade s/ PL Média]),"Sim","Não")</f>
        <v>Não</v>
      </c>
      <c r="AT166" s="22">
        <f>IF(Tabela3[Cotação]&gt;0,Tabela3[[#This Row],[Lucro]]/Tabela3[[#This Row],[Cotação]],0)</f>
        <v>2.1242917744387916E-2</v>
      </c>
      <c r="AU166" s="22">
        <f>((1+Tabela3[[#This Row],[% Yield]])^(1/(3*Tabela3[[#This Row],[Ref]])))^(12)-1</f>
        <v>2.8423701426195658E-2</v>
      </c>
      <c r="AV166" s="10">
        <f>IF(Tabela3[Cotação]&gt;0,($BH$1/Tabela3[[#This Row],[Cotação]]-MOD($BH$1/Tabela3[[#This Row],[Cotação]],100)),)</f>
        <v>0</v>
      </c>
      <c r="AW166" s="7">
        <f>Tabela3[[#This Row],[Ativos]]*Tabela3[Lucro]</f>
        <v>0</v>
      </c>
      <c r="AX166" s="7">
        <f>SUMPRODUCT(N(Tabela1[Código]=Tabela3[[#This Row],[PAPEL]]),Tabela1[Fechamento])</f>
        <v>0</v>
      </c>
      <c r="AY166" s="7">
        <f>SUMPRODUCT(N(Tabela17[Código]=Tabela3[[#This Row],[PAPEL]]),Tabela17[Fechamento])</f>
        <v>0</v>
      </c>
      <c r="AZ166" s="7">
        <f>SUMPRODUCT(N(Tabela176[Código]=Tabela3[[#This Row],[PAPEL]]),Tabela176[Fechamento])</f>
        <v>0</v>
      </c>
      <c r="BA166" s="7">
        <f>SUMPRODUCT(N(Tabela1768[Código]=Tabela3[[#This Row],[PAPEL]]),Tabela1768[Fechamento])</f>
        <v>15.8</v>
      </c>
      <c r="BB166" s="7">
        <f>SUMPRODUCT(N(Tabela17683[Código]=Tabela3[[#This Row],[PAPEL]]),Tabela17683[Fechamento])</f>
        <v>0</v>
      </c>
    </row>
    <row r="167" spans="1:54" hidden="1" x14ac:dyDescent="0.2">
      <c r="A167" s="3" t="s">
        <v>1297</v>
      </c>
      <c r="B167" s="58" t="s">
        <v>1301</v>
      </c>
      <c r="C167" s="16" t="str">
        <f>LEFT(Tabela3[PAPEL],LEN(Tabela3[PAPEL])-(LEN(Tabela3[PAPEL])-4))</f>
        <v>CGRA</v>
      </c>
      <c r="D167" s="16">
        <v>3</v>
      </c>
      <c r="E167" s="5">
        <v>140950811.59999999</v>
      </c>
      <c r="F167" s="56">
        <v>13008320</v>
      </c>
      <c r="G167" s="81">
        <v>0.25</v>
      </c>
      <c r="H167" s="87"/>
      <c r="J167" s="18"/>
      <c r="K167" s="16"/>
      <c r="L167" s="87"/>
      <c r="M167" s="54"/>
      <c r="N167" s="54"/>
      <c r="O167" s="54"/>
      <c r="P167" s="91">
        <v>349991830</v>
      </c>
      <c r="Q167" s="73">
        <v>30763168</v>
      </c>
      <c r="R167" s="73">
        <f>IF(Tabela3[[#This Row],[Ativo || Passivo]]&gt;0,Tabela3[[#This Row],[Ativo || Passivo]]-Tabela3[[#This Row],[Patrimônio Líquido]],0)</f>
        <v>0</v>
      </c>
      <c r="S167" s="73">
        <f>Tabela3[[#This Row],[Cotação]]*Tabela3[[#This Row],[Total Ações]]</f>
        <v>359611407.39999998</v>
      </c>
      <c r="T167" s="37">
        <f>IF(Tabela3[[#This Row],[Passivo Circulante]]&gt;0,Tabela3[[#This Row],[Ativo Circulante]]/Tabela3[[#This Row],[Passivo Circulante]],0)</f>
        <v>0</v>
      </c>
      <c r="U167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67" s="18">
        <f>IF(Tabela3[[#This Row],[Lucro Líquido]]&gt;0,Tabela3[[#This Row],[Lucro Líquido]]/Tabela3[[#This Row],[Patrimônio Líquido]],0)</f>
        <v>8.78968174771394E-2</v>
      </c>
      <c r="W167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67" s="18">
        <f>IF(Tabela3[[#This Row],[Dívida]]&gt;0,Tabela3[[#This Row],[Dívida]]/Tabela3[[#This Row],[Patrimônio Líquido]],0)</f>
        <v>0</v>
      </c>
      <c r="Y167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67" s="7">
        <f>Tabela3[[#This Row],[Capital Social]]*20%</f>
        <v>28190162.32</v>
      </c>
      <c r="AA167" s="47">
        <f>IF((Tabela3[Lucro Líquido]*5%)&gt;Tabela3[Teto R. Legal],Tabela3[Teto R. Legal],Tabela3[Lucro Líquido]*5%)</f>
        <v>1538158.4000000001</v>
      </c>
      <c r="AB167" s="47">
        <f>IF(Tabela3[Lucro Líquido]&lt;0,0,Tabela3[Lucro Líquido]-Tabela3[Reserva Legal])</f>
        <v>29225009.600000001</v>
      </c>
      <c r="AC167" s="47">
        <f>Tabela3[[#This Row],[Lucro Distribuir]]*Tabela3[%Div]</f>
        <v>7306252.4000000004</v>
      </c>
      <c r="AD167" s="56">
        <f>SUMPRODUCT(N(Tabela3[Nome]=Tabela3[[#This Row],[Nome]]),Tabela3[Ações])</f>
        <v>21768245</v>
      </c>
      <c r="AE167" s="85">
        <f>Tabela3[Capital Social]/Tabela3[Total Ações]</f>
        <v>6.4750654726644248</v>
      </c>
      <c r="AF167" s="85">
        <f>Tabela3[[#This Row],[Lucro Líquido]]/Tabela3[[#This Row],[Total Ações]]</f>
        <v>1.4132130541529646</v>
      </c>
      <c r="AG167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0.33563810036132907</v>
      </c>
      <c r="AH167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67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67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0.33563810036132907</v>
      </c>
      <c r="AK167" s="7">
        <f>Tabela3[Div Base]*Tabela3[Ações]</f>
        <v>4366087.8136922838</v>
      </c>
      <c r="AL167" s="121">
        <f>SUMPRODUCT(N(Tabela3[Nome]=Tabela3[[#This Row],[Nome]]),Tabela3[Div Base]*Tabela3[Ações])</f>
        <v>7306252.3999999994</v>
      </c>
      <c r="AM167" s="5">
        <f>Tabela3[Patrimônio Líquido]/Tabela3[Total Ações]</f>
        <v>16.078091274698533</v>
      </c>
      <c r="AN167" s="52">
        <f>MAX(Tabela3[[#This Row],[Cotação 1]:[Cotação 5]])</f>
        <v>16.52</v>
      </c>
      <c r="AO167" s="53">
        <f>Tabela3[Cotação]/Tabela3[VPA]</f>
        <v>1.0274851484390366</v>
      </c>
      <c r="AP167" s="37">
        <f>IF(Tabela3[[#This Row],[Lucro/Ação]]&gt;0,Tabela3[[#This Row],[Cotação]]/(Tabela3[[#This Row],[Lucro/Ação]]/Tabela3[Ref]*4),0)</f>
        <v>8.767255555409637</v>
      </c>
      <c r="AQ167" s="85">
        <f>Tabela3[Lucro Distribuir]/Tabela3[Total Ações]</f>
        <v>1.3425524014453163</v>
      </c>
      <c r="AR167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0.33563810036132907</v>
      </c>
      <c r="AS167" s="10" t="str">
        <f>IF(AND(Tabela3[% A.A.]&gt;=6%,SUMPRODUCT(N(Tabela3[Nome]=Tabela3[[#This Row],[Nome]]),Tabela3[PL])&gt;0,Tabela3[Rentabilidade s/ PL]&gt;=Tabela3[Rentabilidade s/ PL Média]),"Sim","Não")</f>
        <v>Não</v>
      </c>
      <c r="AT167" s="22">
        <f>IF(Tabela3[Cotação]&gt;0,Tabela3[[#This Row],[Lucro]]/Tabela3[[#This Row],[Cotação]],0)</f>
        <v>2.0317076293058661E-2</v>
      </c>
      <c r="AU167" s="22">
        <f>((1+Tabela3[[#This Row],[% Yield]])^(1/(3*Tabela3[[#This Row],[Ref]])))^(12)-1</f>
        <v>2.718075406142817E-2</v>
      </c>
      <c r="AV167" s="10">
        <f>IF(Tabela3[Cotação]&gt;0,($BH$1/Tabela3[[#This Row],[Cotação]]-MOD($BH$1/Tabela3[[#This Row],[Cotação]],100)),)</f>
        <v>0</v>
      </c>
      <c r="AW167" s="7">
        <f>Tabela3[[#This Row],[Ativos]]*Tabela3[Lucro]</f>
        <v>0</v>
      </c>
      <c r="AX167" s="7">
        <f>SUMPRODUCT(N(Tabela1[Código]=Tabela3[[#This Row],[PAPEL]]),Tabela1[Fechamento])</f>
        <v>0</v>
      </c>
      <c r="AY167" s="7">
        <f>SUMPRODUCT(N(Tabela17[Código]=Tabela3[[#This Row],[PAPEL]]),Tabela17[Fechamento])</f>
        <v>0</v>
      </c>
      <c r="AZ167" s="7">
        <f>SUMPRODUCT(N(Tabela176[Código]=Tabela3[[#This Row],[PAPEL]]),Tabela176[Fechamento])</f>
        <v>0</v>
      </c>
      <c r="BA167" s="7">
        <f>SUMPRODUCT(N(Tabela1768[Código]=Tabela3[[#This Row],[PAPEL]]),Tabela1768[Fechamento])</f>
        <v>16.52</v>
      </c>
      <c r="BB167" s="7">
        <f>SUMPRODUCT(N(Tabela17683[Código]=Tabela3[[#This Row],[PAPEL]]),Tabela17683[Fechamento])</f>
        <v>0</v>
      </c>
    </row>
    <row r="168" spans="1:54" hidden="1" x14ac:dyDescent="0.2">
      <c r="A168" s="4" t="s">
        <v>14</v>
      </c>
      <c r="B168" s="57" t="s">
        <v>58</v>
      </c>
      <c r="C168" s="14" t="str">
        <f>LEFT(Tabela3[PAPEL],LEN(Tabela3[PAPEL])-(LEN(Tabela3[PAPEL])-4))</f>
        <v>BEES</v>
      </c>
      <c r="D168" s="15">
        <v>3</v>
      </c>
      <c r="E168" s="6">
        <v>725702304.53999996</v>
      </c>
      <c r="F168" s="8">
        <v>1157732303</v>
      </c>
      <c r="G168" s="81">
        <v>0.25</v>
      </c>
      <c r="H168" s="15"/>
      <c r="I168" s="19"/>
      <c r="J168" s="19"/>
      <c r="K168" s="88"/>
      <c r="L168" s="88"/>
      <c r="M168" s="55"/>
      <c r="N168" s="55"/>
      <c r="O168" s="55"/>
      <c r="P168" s="6">
        <v>901919000</v>
      </c>
      <c r="Q168" s="6">
        <v>77892000</v>
      </c>
      <c r="R168" s="6">
        <f>IF(Tabela3[[#This Row],[Ativo || Passivo]]&gt;0,Tabela3[[#This Row],[Ativo || Passivo]]-Tabela3[[#This Row],[Patrimônio Líquido]],0)</f>
        <v>0</v>
      </c>
      <c r="S168" s="6">
        <f>Tabela3[[#This Row],[Cotação]]*Tabela3[[#This Row],[Total Ações]]</f>
        <v>710803936.35000002</v>
      </c>
      <c r="T168" s="134">
        <f>IF(Tabela3[[#This Row],[Passivo Circulante]]&gt;0,Tabela3[[#This Row],[Ativo Circulante]]/Tabela3[[#This Row],[Passivo Circulante]],0)</f>
        <v>0</v>
      </c>
      <c r="U168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68" s="19">
        <f>IF(Tabela3[[#This Row],[Lucro Líquido]]&gt;0,Tabela3[[#This Row],[Lucro Líquido]]/Tabela3[[#This Row],[Patrimônio Líquido]],0)</f>
        <v>8.6362522576861112E-2</v>
      </c>
      <c r="W168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68" s="19">
        <f>IF(Tabela3[[#This Row],[Dívida]]&gt;0,Tabela3[[#This Row],[Dívida]]/Tabela3[[#This Row],[Patrimônio Líquido]],0)</f>
        <v>0</v>
      </c>
      <c r="Y168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68" s="6">
        <f>Tabela3[[#This Row],[Capital Social]]*20%</f>
        <v>145140460.90799999</v>
      </c>
      <c r="AA168" s="6">
        <f>IF((Tabela3[Lucro Líquido]*5%)&gt;Tabela3[Teto R. Legal],Tabela3[Teto R. Legal],Tabela3[Lucro Líquido]*5%)</f>
        <v>3894600</v>
      </c>
      <c r="AB168" s="6">
        <f>IF(Tabela3[Lucro Líquido]&lt;0,0,Tabela3[Lucro Líquido]-Tabela3[Reserva Legal])</f>
        <v>73997400</v>
      </c>
      <c r="AC168" s="6">
        <f>Tabela3[[#This Row],[Lucro Distribuir]]*Tabela3[%Div]</f>
        <v>18499350</v>
      </c>
      <c r="AD168" s="21">
        <f>SUMPRODUCT(N(Tabela3[Nome]=Tabela3[[#This Row],[Nome]]),Tabela3[Ações])</f>
        <v>1579564303</v>
      </c>
      <c r="AE168" s="6">
        <f>Tabela3[Capital Social]/Tabela3[Total Ações]</f>
        <v>0.45943194788696107</v>
      </c>
      <c r="AF168" s="78">
        <f>Tabela3[[#This Row],[Lucro Líquido]]/Tabela3[[#This Row],[Total Ações]]</f>
        <v>4.931233242740609E-2</v>
      </c>
      <c r="AG168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1.1711678951508946E-2</v>
      </c>
      <c r="AH168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68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68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1.1711678951508946E-2</v>
      </c>
      <c r="AK168" s="6">
        <f>Tabela3[Div Base]*Tabela3[Ações]</f>
        <v>13558989.044527078</v>
      </c>
      <c r="AL168" s="6">
        <f>SUMPRODUCT(N(Tabela3[Nome]=Tabela3[[#This Row],[Nome]]),Tabela3[Div Base]*Tabela3[Ações])</f>
        <v>18499350</v>
      </c>
      <c r="AM168" s="6">
        <f>Tabela3[Patrimônio Líquido]/Tabela3[Total Ações]</f>
        <v>0.57099226558046623</v>
      </c>
      <c r="AN168" s="48">
        <f>MAX(Tabela3[[#This Row],[Cotação 1]:[Cotação 5]])</f>
        <v>0.45</v>
      </c>
      <c r="AO168" s="44">
        <f>Tabela3[Cotação]/Tabela3[VPA]</f>
        <v>0.78810174344924544</v>
      </c>
      <c r="AP168" s="40">
        <f>IF(Tabela3[[#This Row],[Lucro/Ação]]&gt;0,Tabela3[[#This Row],[Cotação]]/(Tabela3[[#This Row],[Lucro/Ação]]/Tabela3[Ref]*4),0)</f>
        <v>6.8441297214412273</v>
      </c>
      <c r="AQ168" s="78">
        <f>Tabela3[Lucro Distribuir]/Tabela3[Total Ações]</f>
        <v>4.6846715806035784E-2</v>
      </c>
      <c r="AR168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1.1711678951508946E-2</v>
      </c>
      <c r="AS168" s="15" t="str">
        <f>IF(AND(Tabela3[% A.A.]&gt;=6%,SUMPRODUCT(N(Tabela3[Nome]=Tabela3[[#This Row],[Nome]]),Tabela3[PL])&gt;0,Tabela3[Rentabilidade s/ PL]&gt;=Tabela3[Rentabilidade s/ PL Média]),"Sim","Não")</f>
        <v>Não</v>
      </c>
      <c r="AT168" s="42">
        <f>IF(Tabela3[Cotação]&gt;0,Tabela3[[#This Row],[Lucro]]/Tabela3[[#This Row],[Cotação]],0)</f>
        <v>2.6025953225575434E-2</v>
      </c>
      <c r="AU168" s="19">
        <f>((1+Tabela3[[#This Row],[% Yield]])^(1/(3*Tabela3[[#This Row],[Ref]])))^(12)-1</f>
        <v>3.4850932002306045E-2</v>
      </c>
      <c r="AV168" s="14">
        <f>IF(Tabela3[Cotação]&gt;0,($BH$1/Tabela3[[#This Row],[Cotação]]-MOD($BH$1/Tabela3[[#This Row],[Cotação]],100)),)</f>
        <v>1100</v>
      </c>
      <c r="AW168" s="17">
        <f>Tabela3[[#This Row],[Ativos]]*Tabela3[Lucro]</f>
        <v>12.88284684665984</v>
      </c>
      <c r="AX168" s="5">
        <f>SUMPRODUCT(N(Tabela1[Código]=Tabela3[[#This Row],[PAPEL]]),Tabela1[Fechamento])</f>
        <v>0.45</v>
      </c>
      <c r="AY168" s="5">
        <f>SUMPRODUCT(N(Tabela17[Código]=Tabela3[[#This Row],[PAPEL]]),Tabela17[Fechamento])</f>
        <v>0</v>
      </c>
      <c r="AZ168" s="7">
        <f>SUMPRODUCT(N(Tabela176[Código]=Tabela3[[#This Row],[PAPEL]]),Tabela176[Fechamento])</f>
        <v>0</v>
      </c>
      <c r="BA168" s="7">
        <f>SUMPRODUCT(N(Tabela1768[Código]=Tabela3[[#This Row],[PAPEL]]),Tabela1768[Fechamento])</f>
        <v>0</v>
      </c>
      <c r="BB168" s="7">
        <f>SUMPRODUCT(N(Tabela17683[Código]=Tabela3[[#This Row],[PAPEL]]),Tabela17683[Fechamento])</f>
        <v>0</v>
      </c>
    </row>
    <row r="169" spans="1:54" hidden="1" x14ac:dyDescent="0.2">
      <c r="A169" s="4" t="s">
        <v>14</v>
      </c>
      <c r="B169" s="57" t="s">
        <v>59</v>
      </c>
      <c r="C169" s="14" t="str">
        <f>LEFT(Tabela3[PAPEL],LEN(Tabela3[PAPEL])-(LEN(Tabela3[PAPEL])-4))</f>
        <v>BEES</v>
      </c>
      <c r="D169" s="15">
        <v>3</v>
      </c>
      <c r="E169" s="6">
        <v>725702304.53999996</v>
      </c>
      <c r="F169" s="8">
        <v>421832000</v>
      </c>
      <c r="G169" s="86">
        <v>0.25</v>
      </c>
      <c r="H169" s="15"/>
      <c r="I169" s="19"/>
      <c r="J169" s="19"/>
      <c r="K169" s="88"/>
      <c r="L169" s="88"/>
      <c r="M169" s="55"/>
      <c r="N169" s="55"/>
      <c r="O169" s="55"/>
      <c r="P169" s="6">
        <v>901919000</v>
      </c>
      <c r="Q169" s="6">
        <v>77892000</v>
      </c>
      <c r="R169" s="6">
        <f>IF(Tabela3[[#This Row],[Ativo || Passivo]]&gt;0,Tabela3[[#This Row],[Ativo || Passivo]]-Tabela3[[#This Row],[Patrimônio Líquido]],0)</f>
        <v>0</v>
      </c>
      <c r="S169" s="6">
        <f>Tabela3[[#This Row],[Cotação]]*Tabela3[[#This Row],[Total Ações]]</f>
        <v>663417007.25999999</v>
      </c>
      <c r="T169" s="134">
        <f>IF(Tabela3[[#This Row],[Passivo Circulante]]&gt;0,Tabela3[[#This Row],[Ativo Circulante]]/Tabela3[[#This Row],[Passivo Circulante]],0)</f>
        <v>0</v>
      </c>
      <c r="U169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69" s="19">
        <f>IF(Tabela3[[#This Row],[Lucro Líquido]]&gt;0,Tabela3[[#This Row],[Lucro Líquido]]/Tabela3[[#This Row],[Patrimônio Líquido]],0)</f>
        <v>8.6362522576861112E-2</v>
      </c>
      <c r="W169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69" s="19">
        <f>IF(Tabela3[[#This Row],[Dívida]]&gt;0,Tabela3[[#This Row],[Dívida]]/Tabela3[[#This Row],[Patrimônio Líquido]],0)</f>
        <v>0</v>
      </c>
      <c r="Y169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69" s="6">
        <f>Tabela3[[#This Row],[Capital Social]]*20%</f>
        <v>145140460.90799999</v>
      </c>
      <c r="AA169" s="6">
        <f>IF((Tabela3[Lucro Líquido]*5%)&gt;Tabela3[Teto R. Legal],Tabela3[Teto R. Legal],Tabela3[Lucro Líquido]*5%)</f>
        <v>3894600</v>
      </c>
      <c r="AB169" s="6">
        <f>IF(Tabela3[Lucro Líquido]&lt;0,0,Tabela3[Lucro Líquido]-Tabela3[Reserva Legal])</f>
        <v>73997400</v>
      </c>
      <c r="AC169" s="6">
        <f>Tabela3[[#This Row],[Lucro Distribuir]]*Tabela3[%Div]</f>
        <v>18499350</v>
      </c>
      <c r="AD169" s="21">
        <f>SUMPRODUCT(N(Tabela3[Nome]=Tabela3[[#This Row],[Nome]]),Tabela3[Ações])</f>
        <v>1579564303</v>
      </c>
      <c r="AE169" s="6">
        <f>Tabela3[Capital Social]/Tabela3[Total Ações]</f>
        <v>0.45943194788696107</v>
      </c>
      <c r="AF169" s="78">
        <f>Tabela3[[#This Row],[Lucro Líquido]]/Tabela3[[#This Row],[Total Ações]]</f>
        <v>4.931233242740609E-2</v>
      </c>
      <c r="AG169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1.1711678951508946E-2</v>
      </c>
      <c r="AH169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69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69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1.1711678951508946E-2</v>
      </c>
      <c r="AK169" s="6">
        <f>Tabela3[Div Base]*Tabela3[Ações]</f>
        <v>4940360.955472922</v>
      </c>
      <c r="AL169" s="6">
        <f>SUMPRODUCT(N(Tabela3[Nome]=Tabela3[[#This Row],[Nome]]),Tabela3[Div Base]*Tabela3[Ações])</f>
        <v>18499350</v>
      </c>
      <c r="AM169" s="6">
        <f>Tabela3[Patrimônio Líquido]/Tabela3[Total Ações]</f>
        <v>0.57099226558046623</v>
      </c>
      <c r="AN169" s="48">
        <f>MAX(Tabela3[[#This Row],[Cotação 1]:[Cotação 5]])</f>
        <v>0.42</v>
      </c>
      <c r="AO169" s="44">
        <f>Tabela3[Cotação]/Tabela3[VPA]</f>
        <v>0.73556162721929574</v>
      </c>
      <c r="AP169" s="40">
        <f>IF(Tabela3[[#This Row],[Lucro/Ação]]&gt;0,Tabela3[[#This Row],[Cotação]]/(Tabela3[[#This Row],[Lucro/Ação]]/Tabela3[Ref]*4),0)</f>
        <v>6.3878544066784784</v>
      </c>
      <c r="AQ169" s="78">
        <f>Tabela3[Lucro Distribuir]/Tabela3[Total Ações]</f>
        <v>4.6846715806035784E-2</v>
      </c>
      <c r="AR169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1.1711678951508946E-2</v>
      </c>
      <c r="AS169" s="15" t="str">
        <f>IF(AND(Tabela3[% A.A.]&gt;=6%,SUMPRODUCT(N(Tabela3[Nome]=Tabela3[[#This Row],[Nome]]),Tabela3[PL])&gt;0,Tabela3[Rentabilidade s/ PL]&gt;=Tabela3[Rentabilidade s/ PL Média]),"Sim","Não")</f>
        <v>Não</v>
      </c>
      <c r="AT169" s="42">
        <f>IF(Tabela3[Cotação]&gt;0,Tabela3[[#This Row],[Lucro]]/Tabela3[[#This Row],[Cotação]],0)</f>
        <v>2.788494988454511E-2</v>
      </c>
      <c r="AU169" s="19">
        <f>((1+Tabela3[[#This Row],[% Yield]])^(1/(3*Tabela3[[#This Row],[Ref]])))^(12)-1</f>
        <v>3.7351668125671589E-2</v>
      </c>
      <c r="AV169" s="14">
        <f>IF(Tabela3[Cotação]&gt;0,($BH$1/Tabela3[[#This Row],[Cotação]]-MOD($BH$1/Tabela3[[#This Row],[Cotação]],100)),)</f>
        <v>1100</v>
      </c>
      <c r="AW169" s="17">
        <f>Tabela3[[#This Row],[Ativos]]*Tabela3[Lucro]</f>
        <v>12.88284684665984</v>
      </c>
      <c r="AX169" s="5">
        <f>SUMPRODUCT(N(Tabela1[Código]=Tabela3[[#This Row],[PAPEL]]),Tabela1[Fechamento])</f>
        <v>0.42</v>
      </c>
      <c r="AY169" s="5">
        <f>SUMPRODUCT(N(Tabela17[Código]=Tabela3[[#This Row],[PAPEL]]),Tabela17[Fechamento])</f>
        <v>0</v>
      </c>
      <c r="AZ169" s="7">
        <f>SUMPRODUCT(N(Tabela176[Código]=Tabela3[[#This Row],[PAPEL]]),Tabela176[Fechamento])</f>
        <v>0</v>
      </c>
      <c r="BA169" s="7">
        <f>SUMPRODUCT(N(Tabela1768[Código]=Tabela3[[#This Row],[PAPEL]]),Tabela1768[Fechamento])</f>
        <v>0</v>
      </c>
      <c r="BB169" s="7">
        <f>SUMPRODUCT(N(Tabela17683[Código]=Tabela3[[#This Row],[PAPEL]]),Tabela17683[Fechamento])</f>
        <v>0</v>
      </c>
    </row>
    <row r="170" spans="1:54" hidden="1" x14ac:dyDescent="0.2">
      <c r="A170" s="3" t="s">
        <v>298</v>
      </c>
      <c r="B170" s="58" t="s">
        <v>296</v>
      </c>
      <c r="C170" s="83" t="str">
        <f>LEFT(Tabela3[PAPEL],LEN(Tabela3[PAPEL])-(LEN(Tabela3[PAPEL])-4))</f>
        <v>BRAP</v>
      </c>
      <c r="D170" s="16">
        <v>3</v>
      </c>
      <c r="E170" s="5">
        <v>4100000000</v>
      </c>
      <c r="F170" s="56">
        <v>122523049</v>
      </c>
      <c r="G170" s="81">
        <v>0.25</v>
      </c>
      <c r="H170" s="16"/>
      <c r="J170" s="18"/>
      <c r="K170" s="87"/>
      <c r="L170" s="87"/>
      <c r="M170" s="54"/>
      <c r="N170" s="54"/>
      <c r="O170" s="54"/>
      <c r="P170" s="5">
        <v>10031194000</v>
      </c>
      <c r="Q170" s="5">
        <v>852679000</v>
      </c>
      <c r="R170" s="5">
        <f>IF(Tabela3[[#This Row],[Ativo || Passivo]]&gt;0,Tabela3[[#This Row],[Ativo || Passivo]]-Tabela3[[#This Row],[Patrimônio Líquido]],0)</f>
        <v>0</v>
      </c>
      <c r="S170" s="5">
        <f>Tabela3[[#This Row],[Cotação]]*Tabela3[[#This Row],[Total Ações]]</f>
        <v>6515573694.8000002</v>
      </c>
      <c r="T170" s="132">
        <f>IF(Tabela3[[#This Row],[Passivo Circulante]]&gt;0,Tabela3[[#This Row],[Ativo Circulante]]/Tabela3[[#This Row],[Passivo Circulante]],0)</f>
        <v>0</v>
      </c>
      <c r="U170" s="132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70" s="18">
        <f>IF(Tabela3[[#This Row],[Lucro Líquido]]&gt;0,Tabela3[[#This Row],[Lucro Líquido]]/Tabela3[[#This Row],[Patrimônio Líquido]],0)</f>
        <v>8.5002742445216398E-2</v>
      </c>
      <c r="W170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70" s="18">
        <f>IF(Tabela3[[#This Row],[Dívida]]&gt;0,Tabela3[[#This Row],[Dívida]]/Tabela3[[#This Row],[Patrimônio Líquido]],0)</f>
        <v>0</v>
      </c>
      <c r="Y170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70" s="5">
        <f>Tabela3[[#This Row],[Capital Social]]*20%</f>
        <v>820000000</v>
      </c>
      <c r="AA170" s="5">
        <f>IF((Tabela3[Lucro Líquido]*5%)&gt;Tabela3[Teto R. Legal],Tabela3[Teto R. Legal],Tabela3[Lucro Líquido]*5%)</f>
        <v>42633950</v>
      </c>
      <c r="AB170" s="5">
        <f>IF(Tabela3[Lucro Líquido]&lt;0,0,Tabela3[Lucro Líquido]-Tabela3[Reserva Legal])</f>
        <v>810045050</v>
      </c>
      <c r="AC170" s="5">
        <f>Tabela3[[#This Row],[Lucro Distribuir]]*Tabela3[%Div]</f>
        <v>202511262.5</v>
      </c>
      <c r="AD170" s="21">
        <f>SUMPRODUCT(N(Tabela3[Nome]=Tabela3[[#This Row],[Nome]]),Tabela3[Ações])</f>
        <v>349547945</v>
      </c>
      <c r="AE170" s="5">
        <f>Tabela3[Capital Social]/Tabela3[Total Ações]</f>
        <v>11.729435285336894</v>
      </c>
      <c r="AF170" s="77">
        <f>Tabela3[[#This Row],[Lucro Líquido]]/Tabela3[[#This Row],[Total Ações]]</f>
        <v>2.439376377967263</v>
      </c>
      <c r="AG170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0.56132604943307063</v>
      </c>
      <c r="AH170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70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70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0.56132604943307063</v>
      </c>
      <c r="AK170" s="5">
        <f>Tabela3[Div Base]*Tabela3[Ações]</f>
        <v>68775379.059664533</v>
      </c>
      <c r="AL170" s="5">
        <f>SUMPRODUCT(N(Tabela3[Nome]=Tabela3[[#This Row],[Nome]]),Tabela3[Div Base]*Tabela3[Ações])</f>
        <v>208953866.04579151</v>
      </c>
      <c r="AM170" s="5">
        <f>Tabela3[Patrimônio Líquido]/Tabela3[Total Ações]</f>
        <v>28.697619721380423</v>
      </c>
      <c r="AN170" s="52">
        <f>MAX(Tabela3[[#This Row],[Cotação 1]:[Cotação 5]])</f>
        <v>18.64</v>
      </c>
      <c r="AO170" s="53">
        <f>Tabela3[Cotação]/Tabela3[VPA]</f>
        <v>0.64953122178675848</v>
      </c>
      <c r="AP170" s="37">
        <f>IF(Tabela3[[#This Row],[Lucro/Ação]]&gt;0,Tabela3[[#This Row],[Cotação]]/(Tabela3[[#This Row],[Lucro/Ação]]/Tabela3[Ref]*4),0)</f>
        <v>5.7309729348324518</v>
      </c>
      <c r="AQ170" s="77">
        <f>Tabela3[Lucro Distribuir]/Tabela3[Total Ações]</f>
        <v>2.3174075590688998</v>
      </c>
      <c r="AR170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0.56132604943307063</v>
      </c>
      <c r="AS170" s="16" t="str">
        <f>IF(AND(Tabela3[% A.A.]&gt;=6%,SUMPRODUCT(N(Tabela3[Nome]=Tabela3[[#This Row],[Nome]]),Tabela3[PL])&gt;0,Tabela3[Rentabilidade s/ PL]&gt;=Tabela3[Rentabilidade s/ PL Média]),"Sim","Não")</f>
        <v>Não</v>
      </c>
      <c r="AT170" s="22">
        <f>IF(Tabela3[Cotação]&gt;0,Tabela3[[#This Row],[Lucro]]/Tabela3[[#This Row],[Cotação]],0)</f>
        <v>3.0114058445980182E-2</v>
      </c>
      <c r="AU170" s="18">
        <f>((1+Tabela3[[#This Row],[% Yield]])^(1/(3*Tabela3[[#This Row],[Ref]])))^(12)-1</f>
        <v>4.0352269653903594E-2</v>
      </c>
      <c r="AV170" s="10">
        <f>IF(Tabela3[Cotação]&gt;0,($BH$1/Tabela3[[#This Row],[Cotação]]-MOD($BH$1/Tabela3[[#This Row],[Cotação]],100)),)</f>
        <v>0</v>
      </c>
      <c r="AW170" s="7">
        <f>Tabela3[[#This Row],[Ativos]]*Tabela3[Lucro]</f>
        <v>0</v>
      </c>
      <c r="AX170" s="47">
        <f>SUMPRODUCT(N(Tabela1[Código]=Tabela3[[#This Row],[PAPEL]]),Tabela1[Fechamento])</f>
        <v>0</v>
      </c>
      <c r="AY170" s="54">
        <f>SUMPRODUCT(N(Tabela17[Código]=Tabela3[[#This Row],[PAPEL]]),Tabela17[Fechamento])</f>
        <v>18.64</v>
      </c>
      <c r="AZ170" s="7">
        <f>SUMPRODUCT(N(Tabela176[Código]=Tabela3[[#This Row],[PAPEL]]),Tabela176[Fechamento])</f>
        <v>0</v>
      </c>
      <c r="BA170" s="7">
        <f>SUMPRODUCT(N(Tabela1768[Código]=Tabela3[[#This Row],[PAPEL]]),Tabela1768[Fechamento])</f>
        <v>0</v>
      </c>
      <c r="BB170" s="7">
        <f>SUMPRODUCT(N(Tabela17683[Código]=Tabela3[[#This Row],[PAPEL]]),Tabela17683[Fechamento])</f>
        <v>0</v>
      </c>
    </row>
    <row r="171" spans="1:54" hidden="1" x14ac:dyDescent="0.2">
      <c r="A171" s="3" t="s">
        <v>298</v>
      </c>
      <c r="B171" s="60" t="s">
        <v>297</v>
      </c>
      <c r="C171" s="83" t="str">
        <f>LEFT(Tabela3[PAPEL],LEN(Tabela3[PAPEL])-(LEN(Tabela3[PAPEL])-4))</f>
        <v>BRAP</v>
      </c>
      <c r="D171" s="16">
        <v>3</v>
      </c>
      <c r="E171" s="5">
        <v>4100000000</v>
      </c>
      <c r="F171" s="56">
        <v>227024896</v>
      </c>
      <c r="G171" s="86">
        <v>0.25</v>
      </c>
      <c r="H171" s="16"/>
      <c r="J171" s="18">
        <v>0.1</v>
      </c>
      <c r="K171" s="87"/>
      <c r="L171" s="87"/>
      <c r="M171" s="54"/>
      <c r="N171" s="54"/>
      <c r="O171" s="54"/>
      <c r="P171" s="5">
        <v>10031194000</v>
      </c>
      <c r="Q171" s="5">
        <v>852679000</v>
      </c>
      <c r="R171" s="5">
        <f>IF(Tabela3[[#This Row],[Ativo || Passivo]]&gt;0,Tabela3[[#This Row],[Ativo || Passivo]]-Tabela3[[#This Row],[Patrimônio Líquido]],0)</f>
        <v>0</v>
      </c>
      <c r="S171" s="5">
        <f>Tabela3[[#This Row],[Cotação]]*Tabela3[[#This Row],[Total Ações]]</f>
        <v>7850846844.7000008</v>
      </c>
      <c r="T171" s="132">
        <f>IF(Tabela3[[#This Row],[Passivo Circulante]]&gt;0,Tabela3[[#This Row],[Ativo Circulante]]/Tabela3[[#This Row],[Passivo Circulante]],0)</f>
        <v>0</v>
      </c>
      <c r="U171" s="132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71" s="18">
        <f>IF(Tabela3[[#This Row],[Lucro Líquido]]&gt;0,Tabela3[[#This Row],[Lucro Líquido]]/Tabela3[[#This Row],[Patrimônio Líquido]],0)</f>
        <v>8.5002742445216398E-2</v>
      </c>
      <c r="W171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71" s="18">
        <f>IF(Tabela3[[#This Row],[Dívida]]&gt;0,Tabela3[[#This Row],[Dívida]]/Tabela3[[#This Row],[Patrimônio Líquido]],0)</f>
        <v>0</v>
      </c>
      <c r="Y171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71" s="5">
        <f>Tabela3[[#This Row],[Capital Social]]*20%</f>
        <v>820000000</v>
      </c>
      <c r="AA171" s="5">
        <f>IF((Tabela3[Lucro Líquido]*5%)&gt;Tabela3[Teto R. Legal],Tabela3[Teto R. Legal],Tabela3[Lucro Líquido]*5%)</f>
        <v>42633950</v>
      </c>
      <c r="AB171" s="5">
        <f>IF(Tabela3[Lucro Líquido]&lt;0,0,Tabela3[Lucro Líquido]-Tabela3[Reserva Legal])</f>
        <v>810045050</v>
      </c>
      <c r="AC171" s="5">
        <f>Tabela3[[#This Row],[Lucro Distribuir]]*Tabela3[%Div]</f>
        <v>202511262.5</v>
      </c>
      <c r="AD171" s="21">
        <f>SUMPRODUCT(N(Tabela3[Nome]=Tabela3[[#This Row],[Nome]]),Tabela3[Ações])</f>
        <v>349547945</v>
      </c>
      <c r="AE171" s="5">
        <f>Tabela3[Capital Social]/Tabela3[Total Ações]</f>
        <v>11.729435285336894</v>
      </c>
      <c r="AF171" s="77">
        <f>Tabela3[[#This Row],[Lucro Líquido]]/Tabela3[[#This Row],[Total Ações]]</f>
        <v>2.439376377967263</v>
      </c>
      <c r="AG171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0.61745865522223142</v>
      </c>
      <c r="AH171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71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71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0.61745865522223142</v>
      </c>
      <c r="AK171" s="5">
        <f>Tabela3[Div Base]*Tabela3[Ações]</f>
        <v>140178486.98612696</v>
      </c>
      <c r="AL171" s="5">
        <f>SUMPRODUCT(N(Tabela3[Nome]=Tabela3[[#This Row],[Nome]]),Tabela3[Div Base]*Tabela3[Ações])</f>
        <v>208953866.04579151</v>
      </c>
      <c r="AM171" s="5">
        <f>Tabela3[Patrimônio Líquido]/Tabela3[Total Ações]</f>
        <v>28.697619721380423</v>
      </c>
      <c r="AN171" s="52">
        <f>MAX(Tabela3[[#This Row],[Cotação 1]:[Cotação 5]])</f>
        <v>22.46</v>
      </c>
      <c r="AO171" s="53">
        <f>Tabela3[Cotação]/Tabela3[VPA]</f>
        <v>0.78264330693833661</v>
      </c>
      <c r="AP171" s="37">
        <f>IF(Tabela3[[#This Row],[Lucro/Ação]]&gt;0,Tabela3[[#This Row],[Cotação]]/(Tabela3[[#This Row],[Lucro/Ação]]/Tabela3[Ref]*4),0)</f>
        <v>6.9054534397176432</v>
      </c>
      <c r="AQ171" s="77">
        <f>Tabela3[Lucro Distribuir]/Tabela3[Total Ações]</f>
        <v>2.3174075590688998</v>
      </c>
      <c r="AR171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0.61745865522223142</v>
      </c>
      <c r="AS171" s="16" t="str">
        <f>IF(AND(Tabela3[% A.A.]&gt;=6%,SUMPRODUCT(N(Tabela3[Nome]=Tabela3[[#This Row],[Nome]]),Tabela3[PL])&gt;0,Tabela3[Rentabilidade s/ PL]&gt;=Tabela3[Rentabilidade s/ PL Média]),"Sim","Não")</f>
        <v>Não</v>
      </c>
      <c r="AT171" s="22">
        <f>IF(Tabela3[Cotação]&gt;0,Tabela3[[#This Row],[Lucro]]/Tabela3[[#This Row],[Cotação]],0)</f>
        <v>2.7491480642129626E-2</v>
      </c>
      <c r="AU171" s="18">
        <f>((1+Tabela3[[#This Row],[% Yield]])^(1/(3*Tabela3[[#This Row],[Ref]])))^(12)-1</f>
        <v>3.6822244500773316E-2</v>
      </c>
      <c r="AV171" s="10">
        <f>IF(Tabela3[Cotação]&gt;0,($BH$1/Tabela3[[#This Row],[Cotação]]-MOD($BH$1/Tabela3[[#This Row],[Cotação]],100)),)</f>
        <v>0</v>
      </c>
      <c r="AW171" s="7">
        <f>Tabela3[[#This Row],[Ativos]]*Tabela3[Lucro]</f>
        <v>0</v>
      </c>
      <c r="AX171" s="47">
        <f>SUMPRODUCT(N(Tabela1[Código]=Tabela3[[#This Row],[PAPEL]]),Tabela1[Fechamento])</f>
        <v>0</v>
      </c>
      <c r="AY171" s="54">
        <f>SUMPRODUCT(N(Tabela17[Código]=Tabela3[[#This Row],[PAPEL]]),Tabela17[Fechamento])</f>
        <v>22.46</v>
      </c>
      <c r="AZ171" s="7">
        <f>SUMPRODUCT(N(Tabela176[Código]=Tabela3[[#This Row],[PAPEL]]),Tabela176[Fechamento])</f>
        <v>0</v>
      </c>
      <c r="BA171" s="7">
        <f>SUMPRODUCT(N(Tabela1768[Código]=Tabela3[[#This Row],[PAPEL]]),Tabela1768[Fechamento])</f>
        <v>0</v>
      </c>
      <c r="BB171" s="7">
        <f>SUMPRODUCT(N(Tabela17683[Código]=Tabela3[[#This Row],[PAPEL]]),Tabela17683[Fechamento])</f>
        <v>0</v>
      </c>
    </row>
    <row r="172" spans="1:54" hidden="1" x14ac:dyDescent="0.2">
      <c r="A172" s="3" t="s">
        <v>1330</v>
      </c>
      <c r="B172" s="57" t="s">
        <v>1361</v>
      </c>
      <c r="C172" s="16" t="str">
        <f>LEFT(Tabela3[PAPEL],LEN(Tabela3[PAPEL])-(LEN(Tabela3[PAPEL])-4))</f>
        <v>MRVE</v>
      </c>
      <c r="D172" s="16">
        <v>3</v>
      </c>
      <c r="E172" s="5">
        <v>3197736059.7600002</v>
      </c>
      <c r="F172" s="56">
        <v>477221343</v>
      </c>
      <c r="G172" s="81">
        <v>0.25</v>
      </c>
      <c r="H172" s="87"/>
      <c r="J172" s="18"/>
      <c r="K172" s="16"/>
      <c r="L172" s="87"/>
      <c r="M172" s="54"/>
      <c r="N172" s="54"/>
      <c r="O172" s="54"/>
      <c r="P172" s="91">
        <v>4129362000</v>
      </c>
      <c r="Q172" s="73">
        <v>350720000</v>
      </c>
      <c r="R172" s="73">
        <f>IF(Tabela3[[#This Row],[Ativo || Passivo]]&gt;0,Tabela3[[#This Row],[Ativo || Passivo]]-Tabela3[[#This Row],[Patrimônio Líquido]],0)</f>
        <v>0</v>
      </c>
      <c r="S172" s="73">
        <f>Tabela3[[#This Row],[Cotação]]*Tabela3[[#This Row],[Total Ações]]</f>
        <v>3870265091.7299995</v>
      </c>
      <c r="T172" s="37">
        <f>IF(Tabela3[[#This Row],[Passivo Circulante]]&gt;0,Tabela3[[#This Row],[Ativo Circulante]]/Tabela3[[#This Row],[Passivo Circulante]],0)</f>
        <v>0</v>
      </c>
      <c r="U172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72" s="18">
        <f>IF(Tabela3[[#This Row],[Lucro Líquido]]&gt;0,Tabela3[[#This Row],[Lucro Líquido]]/Tabela3[[#This Row],[Patrimônio Líquido]],0)</f>
        <v>8.4933217286350768E-2</v>
      </c>
      <c r="W172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72" s="18">
        <f>IF(Tabela3[[#This Row],[Dívida]]&gt;0,Tabela3[[#This Row],[Dívida]]/Tabela3[[#This Row],[Patrimônio Líquido]],0)</f>
        <v>0</v>
      </c>
      <c r="Y172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72" s="7">
        <f>Tabela3[[#This Row],[Capital Social]]*20%</f>
        <v>639547211.95200002</v>
      </c>
      <c r="AA172" s="47">
        <f>IF((Tabela3[Lucro Líquido]*5%)&gt;Tabela3[Teto R. Legal],Tabela3[Teto R. Legal],Tabela3[Lucro Líquido]*5%)</f>
        <v>17536000</v>
      </c>
      <c r="AB172" s="47">
        <f>IF(Tabela3[Lucro Líquido]&lt;0,0,Tabela3[Lucro Líquido]-Tabela3[Reserva Legal])</f>
        <v>333184000</v>
      </c>
      <c r="AC172" s="47">
        <f>Tabela3[[#This Row],[Lucro Distribuir]]*Tabela3[%Div]</f>
        <v>83296000</v>
      </c>
      <c r="AD172" s="56">
        <f>SUMPRODUCT(N(Tabela3[Nome]=Tabela3[[#This Row],[Nome]]),Tabela3[Ações])</f>
        <v>477221343</v>
      </c>
      <c r="AE172" s="85">
        <f>Tabela3[Capital Social]/Tabela3[Total Ações]</f>
        <v>6.700739827891562</v>
      </c>
      <c r="AF172" s="85">
        <f>Tabela3[[#This Row],[Lucro Líquido]]/Tabela3[[#This Row],[Total Ações]]</f>
        <v>0.73492102803960302</v>
      </c>
      <c r="AG172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0.17454374415940571</v>
      </c>
      <c r="AH172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72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72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0.17454374415940571</v>
      </c>
      <c r="AK172" s="7">
        <f>Tabela3[Div Base]*Tabela3[Ações]</f>
        <v>83296000</v>
      </c>
      <c r="AL172" s="121">
        <f>SUMPRODUCT(N(Tabela3[Nome]=Tabela3[[#This Row],[Nome]]),Tabela3[Div Base]*Tabela3[Ações])</f>
        <v>83296000</v>
      </c>
      <c r="AM172" s="5">
        <f>Tabela3[Patrimônio Líquido]/Tabela3[Total Ações]</f>
        <v>8.6529281654529857</v>
      </c>
      <c r="AN172" s="52">
        <f>MAX(Tabela3[[#This Row],[Cotação 1]:[Cotação 5]])</f>
        <v>8.11</v>
      </c>
      <c r="AO172" s="53">
        <f>Tabela3[Cotação]/Tabela3[VPA]</f>
        <v>0.93725497830657611</v>
      </c>
      <c r="AP172" s="37">
        <f>IF(Tabela3[[#This Row],[Lucro/Ação]]&gt;0,Tabela3[[#This Row],[Cotação]]/(Tabela3[[#This Row],[Lucro/Ação]]/Tabela3[Ref]*4),0)</f>
        <v>8.2763994605311932</v>
      </c>
      <c r="AQ172" s="85">
        <f>Tabela3[Lucro Distribuir]/Tabela3[Total Ações]</f>
        <v>0.69817497663762285</v>
      </c>
      <c r="AR172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0.17454374415940571</v>
      </c>
      <c r="AS172" s="10" t="str">
        <f>IF(AND(Tabela3[% A.A.]&gt;=6%,SUMPRODUCT(N(Tabela3[Nome]=Tabela3[[#This Row],[Nome]]),Tabela3[PL])&gt;0,Tabela3[Rentabilidade s/ PL]&gt;=Tabela3[Rentabilidade s/ PL Média]),"Sim","Não")</f>
        <v>Não</v>
      </c>
      <c r="AT172" s="22">
        <f>IF(Tabela3[Cotação]&gt;0,Tabela3[[#This Row],[Lucro]]/Tabela3[[#This Row],[Cotação]],0)</f>
        <v>2.1522039970333629E-2</v>
      </c>
      <c r="AU172" s="22">
        <f>((1+Tabela3[[#This Row],[% Yield]])^(1/(3*Tabela3[[#This Row],[Ref]])))^(12)-1</f>
        <v>2.8798498297926134E-2</v>
      </c>
      <c r="AV172" s="10">
        <f>IF(Tabela3[Cotação]&gt;0,($BD$1/Tabela3[[#This Row],[Cotação]]-MOD($BD$1/Tabela3[[#This Row],[Cotação]],100)),)</f>
        <v>0</v>
      </c>
      <c r="AW172" s="7">
        <f>Tabela3[[#This Row],[Ativos]]*Tabela3[Lucro]</f>
        <v>0</v>
      </c>
      <c r="AX172" s="7">
        <f>SUMPRODUCT(N(Tabela1[Código]=Tabela3[[#This Row],[PAPEL]]),Tabela1[Fechamento])</f>
        <v>0</v>
      </c>
      <c r="AY172" s="7">
        <f>SUMPRODUCT(N(Tabela17[Código]=Tabela3[[#This Row],[PAPEL]]),Tabela17[Fechamento])</f>
        <v>0</v>
      </c>
      <c r="AZ172" s="7">
        <f>SUMPRODUCT(N(Tabela176[Código]=Tabela3[[#This Row],[PAPEL]]),Tabela176[Fechamento])</f>
        <v>0</v>
      </c>
      <c r="BA172" s="7">
        <f>SUMPRODUCT(N(Tabela1768[Código]=Tabela3[[#This Row],[PAPEL]]),Tabela1768[Fechamento])</f>
        <v>8.11</v>
      </c>
      <c r="BB172" s="7">
        <f>SUMPRODUCT(N(Tabela17683[Código]=Tabela3[[#This Row],[PAPEL]]),Tabela17683[Fechamento])</f>
        <v>0</v>
      </c>
    </row>
    <row r="173" spans="1:54" hidden="1" x14ac:dyDescent="0.2">
      <c r="A173" s="3" t="s">
        <v>1709</v>
      </c>
      <c r="B173" s="58" t="s">
        <v>1663</v>
      </c>
      <c r="C173" s="16" t="str">
        <f>LEFT(Tabela3[PAPEL],LEN(Tabela3[PAPEL])-(LEN(Tabela3[PAPEL])-4))</f>
        <v>FRAS</v>
      </c>
      <c r="D173" s="16">
        <v>3</v>
      </c>
      <c r="E173" s="5">
        <v>170000000</v>
      </c>
      <c r="F173" s="56">
        <v>99981000</v>
      </c>
      <c r="G173" s="81">
        <v>0.25</v>
      </c>
      <c r="H173" s="87"/>
      <c r="J173" s="18"/>
      <c r="K173" s="16"/>
      <c r="L173" s="87"/>
      <c r="M173" s="54"/>
      <c r="N173" s="54"/>
      <c r="O173" s="54"/>
      <c r="P173" s="91">
        <v>393117000</v>
      </c>
      <c r="Q173" s="73">
        <v>33150000</v>
      </c>
      <c r="R173" s="73">
        <f>IF(Tabela3[[#This Row],[Ativo || Passivo]]&gt;0,Tabela3[[#This Row],[Ativo || Passivo]]-Tabela3[[#This Row],[Patrimônio Líquido]],0)</f>
        <v>0</v>
      </c>
      <c r="S173" s="73">
        <f>Tabela3[[#This Row],[Cotação]]*Tabela3[[#This Row],[Total Ações]]</f>
        <v>464911650.00000006</v>
      </c>
      <c r="T173" s="37">
        <f>IF(Tabela3[[#This Row],[Passivo Circulante]]&gt;0,Tabela3[[#This Row],[Ativo Circulante]]/Tabela3[[#This Row],[Passivo Circulante]],0)</f>
        <v>0</v>
      </c>
      <c r="U173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73" s="18">
        <f>IF(Tabela3[[#This Row],[Lucro Líquido]]&gt;0,Tabela3[[#This Row],[Lucro Líquido]]/Tabela3[[#This Row],[Patrimônio Líquido]],0)</f>
        <v>8.4326040339135683E-2</v>
      </c>
      <c r="W173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73" s="18">
        <f>IF(Tabela3[[#This Row],[Dívida]]&gt;0,Tabela3[[#This Row],[Dívida]]/Tabela3[[#This Row],[Patrimônio Líquido]],0)</f>
        <v>0</v>
      </c>
      <c r="Y173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73" s="7">
        <f>Tabela3[[#This Row],[Capital Social]]*20%</f>
        <v>34000000</v>
      </c>
      <c r="AA173" s="47">
        <f>IF((Tabela3[Lucro Líquido]*5%)&gt;Tabela3[Teto R. Legal],Tabela3[Teto R. Legal],Tabela3[Lucro Líquido]*5%)</f>
        <v>1657500</v>
      </c>
      <c r="AB173" s="47">
        <f>IF(Tabela3[Lucro Líquido]&lt;0,0,Tabela3[Lucro Líquido]-Tabela3[Reserva Legal])</f>
        <v>31492500</v>
      </c>
      <c r="AC173" s="47">
        <f>Tabela3[[#This Row],[Lucro Distribuir]]*Tabela3[%Div]</f>
        <v>7873125</v>
      </c>
      <c r="AD173" s="56">
        <f>SUMPRODUCT(N(Tabela3[Nome]=Tabela3[[#This Row],[Nome]]),Tabela3[Ações])</f>
        <v>99981000</v>
      </c>
      <c r="AE173" s="85">
        <f>Tabela3[Capital Social]/Tabela3[Total Ações]</f>
        <v>1.7003230613816624</v>
      </c>
      <c r="AF173" s="85">
        <f>Tabela3[[#This Row],[Lucro Líquido]]/Tabela3[[#This Row],[Total Ações]]</f>
        <v>0.33156299696942421</v>
      </c>
      <c r="AG173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7.8746211780238246E-2</v>
      </c>
      <c r="AH173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73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73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7.8746211780238246E-2</v>
      </c>
      <c r="AK173" s="7">
        <f>Tabela3[Div Base]*Tabela3[Ações]</f>
        <v>7873125</v>
      </c>
      <c r="AL173" s="121">
        <f>SUMPRODUCT(N(Tabela3[Nome]=Tabela3[[#This Row],[Nome]]),Tabela3[Div Base]*Tabela3[Ações])</f>
        <v>7873125</v>
      </c>
      <c r="AM173" s="5">
        <f>Tabela3[Patrimônio Líquido]/Tabela3[Total Ações]</f>
        <v>3.9319170642422061</v>
      </c>
      <c r="AN173" s="52">
        <f>MAX(Tabela3[[#This Row],[Cotação 1]:[Cotação 5]])</f>
        <v>4.6500000000000004</v>
      </c>
      <c r="AO173" s="53">
        <f>Tabela3[Cotação]/Tabela3[VPA]</f>
        <v>1.1826292172559314</v>
      </c>
      <c r="AP173" s="37">
        <f>IF(Tabela3[[#This Row],[Lucro/Ação]]&gt;0,Tabela3[[#This Row],[Cotação]]/(Tabela3[[#This Row],[Lucro/Ação]]/Tabela3[Ref]*4),0)</f>
        <v>10.518363122171946</v>
      </c>
      <c r="AQ173" s="85">
        <f>Tabela3[Lucro Distribuir]/Tabela3[Total Ações]</f>
        <v>0.31498484712095298</v>
      </c>
      <c r="AR173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7.8746211780238246E-2</v>
      </c>
      <c r="AS173" s="10" t="str">
        <f>IF(AND(Tabela3[% A.A.]&gt;=6%,SUMPRODUCT(N(Tabela3[Nome]=Tabela3[[#This Row],[Nome]]),Tabela3[PL])&gt;0,Tabela3[Rentabilidade s/ PL]&gt;=Tabela3[Rentabilidade s/ PL Média]),"Sim","Não")</f>
        <v>Não</v>
      </c>
      <c r="AT173" s="22">
        <f>IF(Tabela3[Cotação]&gt;0,Tabela3[[#This Row],[Lucro]]/Tabela3[[#This Row],[Cotação]],0)</f>
        <v>1.6934669200051235E-2</v>
      </c>
      <c r="AU173" s="22">
        <f>((1+Tabela3[[#This Row],[% Yield]])^(1/(3*Tabela3[[#This Row],[Ref]])))^(12)-1</f>
        <v>2.2643050339856474E-2</v>
      </c>
      <c r="AV173" s="10">
        <f>IF(Tabela3[Cotação]&gt;0,($BD$1/Tabela3[[#This Row],[Cotação]]-MOD($BD$1/Tabela3[[#This Row],[Cotação]],100)),)</f>
        <v>0</v>
      </c>
      <c r="AW173" s="7">
        <f>Tabela3[[#This Row],[Ativos]]*Tabela3[Lucro]</f>
        <v>0</v>
      </c>
      <c r="AX173" s="7">
        <f>SUMPRODUCT(N(Tabela1[Código]=Tabela3[[#This Row],[PAPEL]]),Tabela1[Fechamento])</f>
        <v>0</v>
      </c>
      <c r="AY173" s="7">
        <f>SUMPRODUCT(N(Tabela17[Código]=Tabela3[[#This Row],[PAPEL]]),Tabela17[Fechamento])</f>
        <v>0</v>
      </c>
      <c r="AZ173" s="7">
        <f>SUMPRODUCT(N(Tabela176[Código]=Tabela3[[#This Row],[PAPEL]]),Tabela176[Fechamento])</f>
        <v>0</v>
      </c>
      <c r="BA173" s="7">
        <f>SUMPRODUCT(N(Tabela1768[Código]=Tabela3[[#This Row],[PAPEL]]),Tabela1768[Fechamento])</f>
        <v>0</v>
      </c>
      <c r="BB173" s="7">
        <f>SUMPRODUCT(N(Tabela17683[Código]=Tabela3[[#This Row],[PAPEL]]),Tabela17683[Fechamento])</f>
        <v>4.6500000000000004</v>
      </c>
    </row>
    <row r="174" spans="1:54" hidden="1" x14ac:dyDescent="0.2">
      <c r="A174" s="4" t="s">
        <v>12</v>
      </c>
      <c r="B174" s="57" t="s">
        <v>461</v>
      </c>
      <c r="C174" s="15" t="str">
        <f>LEFT(Tabela3[PAPEL],LEN(Tabela3[PAPEL])-(LEN(Tabela3[PAPEL])-4))</f>
        <v>ALUP</v>
      </c>
      <c r="D174" s="15">
        <v>3</v>
      </c>
      <c r="E174" s="6"/>
      <c r="F174" s="8"/>
      <c r="G174" s="81">
        <v>0.5</v>
      </c>
      <c r="H174" s="15"/>
      <c r="I174" s="19"/>
      <c r="J174" s="19"/>
      <c r="K174" s="88">
        <v>1</v>
      </c>
      <c r="L174" s="88">
        <v>2</v>
      </c>
      <c r="M174" s="55"/>
      <c r="N174" s="55"/>
      <c r="O174" s="55"/>
      <c r="P174" s="92">
        <v>2637769000</v>
      </c>
      <c r="Q174" s="93">
        <v>221854000</v>
      </c>
      <c r="R174" s="93">
        <f>IF(Tabela3[[#This Row],[Ativo || Passivo]]&gt;0,Tabela3[[#This Row],[Ativo || Passivo]]-Tabela3[[#This Row],[Patrimônio Líquido]],0)</f>
        <v>0</v>
      </c>
      <c r="S174" s="93">
        <f>Tabela3[[#This Row],[Cotação]]*Tabela3[[#This Row],[Total Ações]]</f>
        <v>10460856131.999998</v>
      </c>
      <c r="T174" s="40">
        <f>IF(Tabela3[[#This Row],[Passivo Circulante]]&gt;0,Tabela3[[#This Row],[Ativo Circulante]]/Tabela3[[#This Row],[Passivo Circulante]],0)</f>
        <v>0</v>
      </c>
      <c r="U174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74" s="19">
        <f>IF(Tabela3[[#This Row],[Lucro Líquido]]&gt;0,Tabela3[[#This Row],[Lucro Líquido]]/Tabela3[[#This Row],[Patrimônio Líquido]],0)</f>
        <v>8.4106682579103781E-2</v>
      </c>
      <c r="W174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74" s="19">
        <f>IF(Tabela3[[#This Row],[Dívida]]&gt;0,Tabela3[[#This Row],[Dívida]]/Tabela3[[#This Row],[Patrimônio Líquido]],0)</f>
        <v>0</v>
      </c>
      <c r="Y174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74" s="13">
        <f>Tabela3[[#This Row],[Capital Social]]*20%</f>
        <v>0</v>
      </c>
      <c r="AA174" s="13">
        <f>IF((Tabela3[Lucro Líquido]*5%)&gt;Tabela3[Teto R. Legal],Tabela3[Teto R. Legal],Tabela3[Lucro Líquido]*5%)</f>
        <v>0</v>
      </c>
      <c r="AB174" s="13">
        <f>IF(Tabela3[Lucro Líquido]&lt;0,0,Tabela3[Lucro Líquido]-Tabela3[Reserva Legal])</f>
        <v>221854000</v>
      </c>
      <c r="AC174" s="13">
        <f>Tabela3[[#This Row],[Lucro Distribuir]]*Tabela3[%Div]</f>
        <v>110927000</v>
      </c>
      <c r="AD174" s="56">
        <f>SUMPRODUCT(N(Tabela3[Nome]=Tabela3[[#This Row],[Nome]]),Tabela3[Ações])</f>
        <v>624901800</v>
      </c>
      <c r="AE174" s="6">
        <f>Tabela3[Capital Social]/Tabela3[Total Ações]</f>
        <v>0</v>
      </c>
      <c r="AF174" s="78">
        <f>Tabela3[[#This Row],[Lucro Líquido]]/Tabela3[[#This Row],[Total Ações]]</f>
        <v>0.35502218108509209</v>
      </c>
      <c r="AG174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174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74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74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174" s="13">
        <f>Tabela3[Div Base]*Tabela3[Ações]</f>
        <v>0</v>
      </c>
      <c r="AL174" s="13">
        <f>SUMPRODUCT(N(Tabela3[Nome]=Tabela3[[#This Row],[Nome]]),Tabela3[Div Base]*Tabela3[Ações])</f>
        <v>105380650</v>
      </c>
      <c r="AM174" s="6">
        <f>Tabela3[Patrimônio Líquido]/Tabela3[Total Ações]</f>
        <v>4.221093618229296</v>
      </c>
      <c r="AN174" s="48">
        <f>MAX(Tabela3[[#This Row],[Cotação 1]:[Cotação 5]])</f>
        <v>16.739999999999998</v>
      </c>
      <c r="AO174" s="44">
        <f>Tabela3[Cotação]/Tabela3[VPA]</f>
        <v>3.9657969033679596</v>
      </c>
      <c r="AP174" s="40">
        <f>IF(Tabela3[[#This Row],[Lucro/Ação]]&gt;0,Tabela3[[#This Row],[Cotação]]/(Tabela3[[#This Row],[Lucro/Ação]]/Tabela3[Ref]*4),0)</f>
        <v>35.363987572908307</v>
      </c>
      <c r="AQ174" s="78">
        <f>Tabela3[Lucro Distribuir]/Tabela3[Total Ações]</f>
        <v>0.35502218108509209</v>
      </c>
      <c r="AR174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0.5059066080462562</v>
      </c>
      <c r="AS174" s="14" t="str">
        <f>IF(AND(Tabela3[% A.A.]&gt;=6%,SUMPRODUCT(N(Tabela3[Nome]=Tabela3[[#This Row],[Nome]]),Tabela3[PL])&gt;0,Tabela3[Rentabilidade s/ PL]&gt;=Tabela3[Rentabilidade s/ PL Média]),"Sim","Não")</f>
        <v>Não</v>
      </c>
      <c r="AT174" s="42">
        <f>IF(Tabela3[Cotação]&gt;0,Tabela3[[#This Row],[Lucro]]/Tabela3[[#This Row],[Cotação]],0)</f>
        <v>3.0221422224985438E-2</v>
      </c>
      <c r="AU174" s="42">
        <f>((1+Tabela3[[#This Row],[% Yield]])^(1/(3*Tabela3[[#This Row],[Ref]])))^(12)-1</f>
        <v>4.049684664252462E-2</v>
      </c>
      <c r="AV174" s="14">
        <f>IF(Tabela3[Cotação]&gt;0,($BH$1/Tabela3[[#This Row],[Cotação]]-MOD($BH$1/Tabela3[[#This Row],[Cotação]],100)),)</f>
        <v>0</v>
      </c>
      <c r="AW174" s="17">
        <f>Tabela3[[#This Row],[Ativos]]*Tabela3[Lucro]</f>
        <v>0</v>
      </c>
      <c r="AX174" s="17">
        <f>SUMPRODUCT(N(Tabela1[Código]=Tabela3[[#This Row],[PAPEL]]),Tabela1[Fechamento])</f>
        <v>0</v>
      </c>
      <c r="AY174" s="17">
        <f>SUMPRODUCT(N(Tabela17[Código]=Tabela3[[#This Row],[PAPEL]]),Tabela17[Fechamento])</f>
        <v>16.739999999999998</v>
      </c>
      <c r="AZ174" s="7">
        <f>SUMPRODUCT(N(Tabela176[Código]=Tabela3[[#This Row],[PAPEL]]),Tabela176[Fechamento])</f>
        <v>0</v>
      </c>
      <c r="BA174" s="7">
        <f>SUMPRODUCT(N(Tabela1768[Código]=Tabela3[[#This Row],[PAPEL]]),Tabela1768[Fechamento])</f>
        <v>0</v>
      </c>
      <c r="BB174" s="7">
        <f>SUMPRODUCT(N(Tabela17683[Código]=Tabela3[[#This Row],[PAPEL]]),Tabela17683[Fechamento])</f>
        <v>0</v>
      </c>
    </row>
    <row r="175" spans="1:54" hidden="1" x14ac:dyDescent="0.2">
      <c r="A175" s="4" t="s">
        <v>12</v>
      </c>
      <c r="B175" s="57" t="s">
        <v>462</v>
      </c>
      <c r="C175" s="15" t="str">
        <f>LEFT(Tabela3[PAPEL],LEN(Tabela3[PAPEL])-(LEN(Tabela3[PAPEL])-4))</f>
        <v>ALUP</v>
      </c>
      <c r="D175" s="15">
        <v>3</v>
      </c>
      <c r="E175" s="6">
        <v>1625227100</v>
      </c>
      <c r="F175" s="8">
        <v>461243600</v>
      </c>
      <c r="G175" s="81">
        <v>0.5</v>
      </c>
      <c r="H175" s="15"/>
      <c r="I175" s="19"/>
      <c r="J175" s="19"/>
      <c r="K175" s="88"/>
      <c r="L175" s="88"/>
      <c r="M175" s="55"/>
      <c r="N175" s="55"/>
      <c r="O175" s="55"/>
      <c r="P175" s="92">
        <v>2637769000</v>
      </c>
      <c r="Q175" s="93">
        <v>221854000</v>
      </c>
      <c r="R175" s="93">
        <f>IF(Tabela3[[#This Row],[Ativo || Passivo]]&gt;0,Tabela3[[#This Row],[Ativo || Passivo]]-Tabela3[[#This Row],[Patrimônio Líquido]],0)</f>
        <v>0</v>
      </c>
      <c r="S175" s="93">
        <f>Tabela3[[#This Row],[Cotação]]*Tabela3[[#This Row],[Total Ações]]</f>
        <v>0</v>
      </c>
      <c r="T175" s="40">
        <f>IF(Tabela3[[#This Row],[Passivo Circulante]]&gt;0,Tabela3[[#This Row],[Ativo Circulante]]/Tabela3[[#This Row],[Passivo Circulante]],0)</f>
        <v>0</v>
      </c>
      <c r="U175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75" s="19">
        <f>IF(Tabela3[[#This Row],[Lucro Líquido]]&gt;0,Tabela3[[#This Row],[Lucro Líquido]]/Tabela3[[#This Row],[Patrimônio Líquido]],0)</f>
        <v>8.4106682579103781E-2</v>
      </c>
      <c r="W175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75" s="19">
        <f>IF(Tabela3[[#This Row],[Dívida]]&gt;0,Tabela3[[#This Row],[Dívida]]/Tabela3[[#This Row],[Patrimônio Líquido]],0)</f>
        <v>0</v>
      </c>
      <c r="Y175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75" s="13">
        <f>Tabela3[[#This Row],[Capital Social]]*20%</f>
        <v>325045420</v>
      </c>
      <c r="AA175" s="13">
        <f>IF((Tabela3[Lucro Líquido]*5%)&gt;Tabela3[Teto R. Legal],Tabela3[Teto R. Legal],Tabela3[Lucro Líquido]*5%)</f>
        <v>11092700</v>
      </c>
      <c r="AB175" s="13">
        <f>IF(Tabela3[Lucro Líquido]&lt;0,0,Tabela3[Lucro Líquido]-Tabela3[Reserva Legal])</f>
        <v>210761300</v>
      </c>
      <c r="AC175" s="13">
        <f>Tabela3[[#This Row],[Lucro Distribuir]]*Tabela3[%Div]</f>
        <v>105380650</v>
      </c>
      <c r="AD175" s="56">
        <f>SUMPRODUCT(N(Tabela3[Nome]=Tabela3[[#This Row],[Nome]]),Tabela3[Ações])</f>
        <v>624901800</v>
      </c>
      <c r="AE175" s="6">
        <f>Tabela3[Capital Social]/Tabela3[Total Ações]</f>
        <v>2.6007719932955866</v>
      </c>
      <c r="AF175" s="78">
        <f>Tabela3[[#This Row],[Lucro Líquido]]/Tabela3[[#This Row],[Total Ações]]</f>
        <v>0.35502218108509209</v>
      </c>
      <c r="AG175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0.16863553601541875</v>
      </c>
      <c r="AH175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75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75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0.16863553601541875</v>
      </c>
      <c r="AK175" s="13">
        <f>Tabela3[Div Base]*Tabela3[Ações]</f>
        <v>77782061.719681397</v>
      </c>
      <c r="AL175" s="13">
        <f>SUMPRODUCT(N(Tabela3[Nome]=Tabela3[[#This Row],[Nome]]),Tabela3[Div Base]*Tabela3[Ações])</f>
        <v>105380650</v>
      </c>
      <c r="AM175" s="6">
        <f>Tabela3[Patrimônio Líquido]/Tabela3[Total Ações]</f>
        <v>4.221093618229296</v>
      </c>
      <c r="AN175" s="48">
        <f>MAX(Tabela3[[#This Row],[Cotação 1]:[Cotação 5]])</f>
        <v>0</v>
      </c>
      <c r="AO175" s="44">
        <f>Tabela3[Cotação]/Tabela3[VPA]</f>
        <v>0</v>
      </c>
      <c r="AP175" s="40">
        <f>IF(Tabela3[[#This Row],[Lucro/Ação]]&gt;0,Tabela3[[#This Row],[Cotação]]/(Tabela3[[#This Row],[Lucro/Ação]]/Tabela3[Ref]*4),0)</f>
        <v>0</v>
      </c>
      <c r="AQ175" s="78">
        <f>Tabela3[Lucro Distribuir]/Tabela3[Total Ações]</f>
        <v>0.3372710720308375</v>
      </c>
      <c r="AR175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0.16863553601541875</v>
      </c>
      <c r="AS175" s="14" t="str">
        <f>IF(AND(Tabela3[% A.A.]&gt;=6%,SUMPRODUCT(N(Tabela3[Nome]=Tabela3[[#This Row],[Nome]]),Tabela3[PL])&gt;0,Tabela3[Rentabilidade s/ PL]&gt;=Tabela3[Rentabilidade s/ PL Média]),"Sim","Não")</f>
        <v>Não</v>
      </c>
      <c r="AT175" s="42">
        <f>IF(Tabela3[Cotação]&gt;0,Tabela3[[#This Row],[Lucro]]/Tabela3[[#This Row],[Cotação]],0)</f>
        <v>0</v>
      </c>
      <c r="AU175" s="42">
        <f>((1+Tabela3[[#This Row],[% Yield]])^(1/(3*Tabela3[[#This Row],[Ref]])))^(12)-1</f>
        <v>0</v>
      </c>
      <c r="AV175" s="14">
        <f>IF(Tabela3[Cotação]&gt;0,($BH$1/Tabela3[[#This Row],[Cotação]]-MOD($BH$1/Tabela3[[#This Row],[Cotação]],100)),)</f>
        <v>0</v>
      </c>
      <c r="AW175" s="17">
        <f>Tabela3[[#This Row],[Ativos]]*Tabela3[Lucro]</f>
        <v>0</v>
      </c>
      <c r="AX175" s="17">
        <f>SUMPRODUCT(N(Tabela1[Código]=Tabela3[[#This Row],[PAPEL]]),Tabela1[Fechamento])</f>
        <v>0</v>
      </c>
      <c r="AY175" s="17">
        <f>SUMPRODUCT(N(Tabela17[Código]=Tabela3[[#This Row],[PAPEL]]),Tabela17[Fechamento])</f>
        <v>0</v>
      </c>
      <c r="AZ175" s="7">
        <f>SUMPRODUCT(N(Tabela176[Código]=Tabela3[[#This Row],[PAPEL]]),Tabela176[Fechamento])</f>
        <v>0</v>
      </c>
      <c r="BA175" s="7">
        <f>SUMPRODUCT(N(Tabela1768[Código]=Tabela3[[#This Row],[PAPEL]]),Tabela1768[Fechamento])</f>
        <v>0</v>
      </c>
      <c r="BB175" s="7">
        <f>SUMPRODUCT(N(Tabela17683[Código]=Tabela3[[#This Row],[PAPEL]]),Tabela17683[Fechamento])</f>
        <v>0</v>
      </c>
    </row>
    <row r="176" spans="1:54" hidden="1" x14ac:dyDescent="0.2">
      <c r="A176" s="4" t="s">
        <v>12</v>
      </c>
      <c r="B176" s="57" t="s">
        <v>463</v>
      </c>
      <c r="C176" s="15" t="str">
        <f>LEFT(Tabela3[PAPEL],LEN(Tabela3[PAPEL])-(LEN(Tabela3[PAPEL])-4))</f>
        <v>ALUP</v>
      </c>
      <c r="D176" s="15">
        <v>3</v>
      </c>
      <c r="E176" s="6">
        <v>1625227100</v>
      </c>
      <c r="F176" s="8">
        <v>163658200</v>
      </c>
      <c r="G176" s="81">
        <v>0.5</v>
      </c>
      <c r="H176" s="15"/>
      <c r="I176" s="19"/>
      <c r="J176" s="19"/>
      <c r="K176" s="88"/>
      <c r="L176" s="88"/>
      <c r="M176" s="55"/>
      <c r="N176" s="55"/>
      <c r="O176" s="55"/>
      <c r="P176" s="92">
        <v>2637769000</v>
      </c>
      <c r="Q176" s="93">
        <v>221854000</v>
      </c>
      <c r="R176" s="93">
        <f>IF(Tabela3[[#This Row],[Ativo || Passivo]]&gt;0,Tabela3[[#This Row],[Ativo || Passivo]]-Tabela3[[#This Row],[Patrimônio Líquido]],0)</f>
        <v>0</v>
      </c>
      <c r="S176" s="93">
        <f>Tabela3[[#This Row],[Cotação]]*Tabela3[[#This Row],[Total Ações]]</f>
        <v>0</v>
      </c>
      <c r="T176" s="40">
        <f>IF(Tabela3[[#This Row],[Passivo Circulante]]&gt;0,Tabela3[[#This Row],[Ativo Circulante]]/Tabela3[[#This Row],[Passivo Circulante]],0)</f>
        <v>0</v>
      </c>
      <c r="U176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76" s="19">
        <f>IF(Tabela3[[#This Row],[Lucro Líquido]]&gt;0,Tabela3[[#This Row],[Lucro Líquido]]/Tabela3[[#This Row],[Patrimônio Líquido]],0)</f>
        <v>8.4106682579103781E-2</v>
      </c>
      <c r="W176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76" s="19">
        <f>IF(Tabela3[[#This Row],[Dívida]]&gt;0,Tabela3[[#This Row],[Dívida]]/Tabela3[[#This Row],[Patrimônio Líquido]],0)</f>
        <v>0</v>
      </c>
      <c r="Y176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76" s="13">
        <f>Tabela3[[#This Row],[Capital Social]]*20%</f>
        <v>325045420</v>
      </c>
      <c r="AA176" s="13">
        <f>IF((Tabela3[Lucro Líquido]*5%)&gt;Tabela3[Teto R. Legal],Tabela3[Teto R. Legal],Tabela3[Lucro Líquido]*5%)</f>
        <v>11092700</v>
      </c>
      <c r="AB176" s="13">
        <f>IF(Tabela3[Lucro Líquido]&lt;0,0,Tabela3[Lucro Líquido]-Tabela3[Reserva Legal])</f>
        <v>210761300</v>
      </c>
      <c r="AC176" s="13">
        <f>Tabela3[[#This Row],[Lucro Distribuir]]*Tabela3[%Div]</f>
        <v>105380650</v>
      </c>
      <c r="AD176" s="56">
        <f>SUMPRODUCT(N(Tabela3[Nome]=Tabela3[[#This Row],[Nome]]),Tabela3[Ações])</f>
        <v>624901800</v>
      </c>
      <c r="AE176" s="6">
        <f>Tabela3[Capital Social]/Tabela3[Total Ações]</f>
        <v>2.6007719932955866</v>
      </c>
      <c r="AF176" s="78">
        <f>Tabela3[[#This Row],[Lucro Líquido]]/Tabela3[[#This Row],[Total Ações]]</f>
        <v>0.35502218108509209</v>
      </c>
      <c r="AG176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0.16863553601541875</v>
      </c>
      <c r="AH176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76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76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0.16863553601541875</v>
      </c>
      <c r="AK176" s="13">
        <f>Tabela3[Div Base]*Tabela3[Ações]</f>
        <v>27598588.280318607</v>
      </c>
      <c r="AL176" s="13">
        <f>SUMPRODUCT(N(Tabela3[Nome]=Tabela3[[#This Row],[Nome]]),Tabela3[Div Base]*Tabela3[Ações])</f>
        <v>105380650</v>
      </c>
      <c r="AM176" s="6">
        <f>Tabela3[Patrimônio Líquido]/Tabela3[Total Ações]</f>
        <v>4.221093618229296</v>
      </c>
      <c r="AN176" s="48">
        <f>MAX(Tabela3[[#This Row],[Cotação 1]:[Cotação 5]])</f>
        <v>0</v>
      </c>
      <c r="AO176" s="44">
        <f>Tabela3[Cotação]/Tabela3[VPA]</f>
        <v>0</v>
      </c>
      <c r="AP176" s="40">
        <f>IF(Tabela3[[#This Row],[Lucro/Ação]]&gt;0,Tabela3[[#This Row],[Cotação]]/(Tabela3[[#This Row],[Lucro/Ação]]/Tabela3[Ref]*4),0)</f>
        <v>0</v>
      </c>
      <c r="AQ176" s="78">
        <f>Tabela3[Lucro Distribuir]/Tabela3[Total Ações]</f>
        <v>0.3372710720308375</v>
      </c>
      <c r="AR176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0.16863553601541875</v>
      </c>
      <c r="AS176" s="14" t="str">
        <f>IF(AND(Tabela3[% A.A.]&gt;=6%,SUMPRODUCT(N(Tabela3[Nome]=Tabela3[[#This Row],[Nome]]),Tabela3[PL])&gt;0,Tabela3[Rentabilidade s/ PL]&gt;=Tabela3[Rentabilidade s/ PL Média]),"Sim","Não")</f>
        <v>Não</v>
      </c>
      <c r="AT176" s="42">
        <f>IF(Tabela3[Cotação]&gt;0,Tabela3[[#This Row],[Lucro]]/Tabela3[[#This Row],[Cotação]],0)</f>
        <v>0</v>
      </c>
      <c r="AU176" s="42">
        <f>((1+Tabela3[[#This Row],[% Yield]])^(1/(3*Tabela3[[#This Row],[Ref]])))^(12)-1</f>
        <v>0</v>
      </c>
      <c r="AV176" s="14">
        <f>IF(Tabela3[Cotação]&gt;0,($BH$1/Tabela3[[#This Row],[Cotação]]-MOD($BH$1/Tabela3[[#This Row],[Cotação]],100)),)</f>
        <v>0</v>
      </c>
      <c r="AW176" s="17">
        <f>Tabela3[[#This Row],[Ativos]]*Tabela3[Lucro]</f>
        <v>0</v>
      </c>
      <c r="AX176" s="17">
        <f>SUMPRODUCT(N(Tabela1[Código]=Tabela3[[#This Row],[PAPEL]]),Tabela1[Fechamento])</f>
        <v>0</v>
      </c>
      <c r="AY176" s="17">
        <f>SUMPRODUCT(N(Tabela17[Código]=Tabela3[[#This Row],[PAPEL]]),Tabela17[Fechamento])</f>
        <v>0</v>
      </c>
      <c r="AZ176" s="7">
        <f>SUMPRODUCT(N(Tabela176[Código]=Tabela3[[#This Row],[PAPEL]]),Tabela176[Fechamento])</f>
        <v>0</v>
      </c>
      <c r="BA176" s="7">
        <f>SUMPRODUCT(N(Tabela1768[Código]=Tabela3[[#This Row],[PAPEL]]),Tabela1768[Fechamento])</f>
        <v>0</v>
      </c>
      <c r="BB176" s="7">
        <f>SUMPRODUCT(N(Tabela17683[Código]=Tabela3[[#This Row],[PAPEL]]),Tabela17683[Fechamento])</f>
        <v>0</v>
      </c>
    </row>
    <row r="177" spans="1:54" hidden="1" x14ac:dyDescent="0.2">
      <c r="A177" s="3" t="s">
        <v>1545</v>
      </c>
      <c r="B177" s="58" t="s">
        <v>1537</v>
      </c>
      <c r="C177" s="16" t="str">
        <f>LEFT(Tabela3[PAPEL],LEN(Tabela3[PAPEL])-(LEN(Tabela3[PAPEL])-4))</f>
        <v>MTSA</v>
      </c>
      <c r="D177" s="16">
        <v>3</v>
      </c>
      <c r="E177" s="5">
        <v>100000000</v>
      </c>
      <c r="F177" s="56">
        <v>4212530</v>
      </c>
      <c r="G177" s="81">
        <v>0.25</v>
      </c>
      <c r="H177" s="87"/>
      <c r="J177" s="18"/>
      <c r="K177" s="16"/>
      <c r="L177" s="87"/>
      <c r="M177" s="54"/>
      <c r="N177" s="54"/>
      <c r="O177" s="54"/>
      <c r="P177" s="91">
        <v>187243051</v>
      </c>
      <c r="Q177" s="73">
        <v>15526375</v>
      </c>
      <c r="R177" s="73">
        <f>IF(Tabela3[[#This Row],[Ativo || Passivo]]&gt;0,Tabela3[[#This Row],[Ativo || Passivo]]-Tabela3[[#This Row],[Patrimônio Líquido]],0)</f>
        <v>0</v>
      </c>
      <c r="S177" s="73">
        <f>Tabela3[[#This Row],[Cotação]]*Tabela3[[#This Row],[Total Ações]]</f>
        <v>585868980</v>
      </c>
      <c r="T177" s="37">
        <f>IF(Tabela3[[#This Row],[Passivo Circulante]]&gt;0,Tabela3[[#This Row],[Ativo Circulante]]/Tabela3[[#This Row],[Passivo Circulante]],0)</f>
        <v>0</v>
      </c>
      <c r="U177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77" s="18">
        <f>IF(Tabela3[[#This Row],[Lucro Líquido]]&gt;0,Tabela3[[#This Row],[Lucro Líquido]]/Tabela3[[#This Row],[Patrimônio Líquido]],0)</f>
        <v>8.2920967785341207E-2</v>
      </c>
      <c r="W177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77" s="18">
        <f>IF(Tabela3[[#This Row],[Dívida]]&gt;0,Tabela3[[#This Row],[Dívida]]/Tabela3[[#This Row],[Patrimônio Líquido]],0)</f>
        <v>0</v>
      </c>
      <c r="Y177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77" s="7">
        <f>Tabela3[[#This Row],[Capital Social]]*20%</f>
        <v>20000000</v>
      </c>
      <c r="AA177" s="47">
        <f>IF((Tabela3[Lucro Líquido]*5%)&gt;Tabela3[Teto R. Legal],Tabela3[Teto R. Legal],Tabela3[Lucro Líquido]*5%)</f>
        <v>776318.75</v>
      </c>
      <c r="AB177" s="47">
        <f>IF(Tabela3[Lucro Líquido]&lt;0,0,Tabela3[Lucro Líquido]-Tabela3[Reserva Legal])</f>
        <v>14750056.25</v>
      </c>
      <c r="AC177" s="47">
        <f>Tabela3[[#This Row],[Lucro Distribuir]]*Tabela3[%Div]</f>
        <v>3687514.0625</v>
      </c>
      <c r="AD177" s="56">
        <f>SUMPRODUCT(N(Tabela3[Nome]=Tabela3[[#This Row],[Nome]]),Tabela3[Ações])</f>
        <v>9764483</v>
      </c>
      <c r="AE177" s="85">
        <f>Tabela3[Capital Social]/Tabela3[Total Ações]</f>
        <v>10.241197613841921</v>
      </c>
      <c r="AF177" s="85">
        <f>Tabela3[[#This Row],[Lucro Líquido]]/Tabela3[[#This Row],[Total Ações]]</f>
        <v>1.5900867460161485</v>
      </c>
      <c r="AG177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0.36589561145988486</v>
      </c>
      <c r="AH177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77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77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0.36589561145988486</v>
      </c>
      <c r="AK177" s="7">
        <f>Tabela3[Div Base]*Tabela3[Ações]</f>
        <v>1541346.2401431089</v>
      </c>
      <c r="AL177" s="121">
        <f>SUMPRODUCT(N(Tabela3[Nome]=Tabela3[[#This Row],[Nome]]),Tabela3[Div Base]*Tabela3[Ações])</f>
        <v>3775925.0047089439</v>
      </c>
      <c r="AM177" s="5">
        <f>Tabela3[Patrimônio Líquido]/Tabela3[Total Ações]</f>
        <v>19.17593087109681</v>
      </c>
      <c r="AN177" s="52">
        <f>MAX(Tabela3[[#This Row],[Cotação 1]:[Cotação 5]])</f>
        <v>60</v>
      </c>
      <c r="AO177" s="53">
        <f>Tabela3[Cotação]/Tabela3[VPA]</f>
        <v>3.1289224185948563</v>
      </c>
      <c r="AP177" s="37">
        <f>IF(Tabela3[[#This Row],[Lucro/Ação]]&gt;0,Tabela3[[#This Row],[Cotação]]/(Tabela3[[#This Row],[Lucro/Ação]]/Tabela3[Ref]*4),0)</f>
        <v>28.30034280377744</v>
      </c>
      <c r="AQ177" s="85">
        <f>Tabela3[Lucro Distribuir]/Tabela3[Total Ações]</f>
        <v>1.510582408715341</v>
      </c>
      <c r="AR177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0.36589561145988486</v>
      </c>
      <c r="AS177" s="10" t="str">
        <f>IF(AND(Tabela3[% A.A.]&gt;=6%,SUMPRODUCT(N(Tabela3[Nome]=Tabela3[[#This Row],[Nome]]),Tabela3[PL])&gt;0,Tabela3[Rentabilidade s/ PL]&gt;=Tabela3[Rentabilidade s/ PL Média]),"Sim","Não")</f>
        <v>Não</v>
      </c>
      <c r="AT177" s="22">
        <f>IF(Tabela3[Cotação]&gt;0,Tabela3[[#This Row],[Lucro]]/Tabela3[[#This Row],[Cotação]],0)</f>
        <v>6.0982601909980814E-3</v>
      </c>
      <c r="AU177" s="22">
        <f>((1+Tabela3[[#This Row],[% Yield]])^(1/(3*Tabela3[[#This Row],[Ref]])))^(12)-1</f>
        <v>8.1392665897594974E-3</v>
      </c>
      <c r="AV177" s="10">
        <f>IF(Tabela3[Cotação]&gt;0,($BD$1/Tabela3[[#This Row],[Cotação]]-MOD($BD$1/Tabela3[[#This Row],[Cotação]],100)),)</f>
        <v>0</v>
      </c>
      <c r="AW177" s="7">
        <f>Tabela3[[#This Row],[Ativos]]*Tabela3[Lucro]</f>
        <v>0</v>
      </c>
      <c r="AX177" s="7">
        <f>SUMPRODUCT(N(Tabela1[Código]=Tabela3[[#This Row],[PAPEL]]),Tabela1[Fechamento])</f>
        <v>0</v>
      </c>
      <c r="AY177" s="7">
        <f>SUMPRODUCT(N(Tabela17[Código]=Tabela3[[#This Row],[PAPEL]]),Tabela17[Fechamento])</f>
        <v>0</v>
      </c>
      <c r="AZ177" s="7">
        <f>SUMPRODUCT(N(Tabela176[Código]=Tabela3[[#This Row],[PAPEL]]),Tabela176[Fechamento])</f>
        <v>0</v>
      </c>
      <c r="BA177" s="7">
        <f>SUMPRODUCT(N(Tabela1768[Código]=Tabela3[[#This Row],[PAPEL]]),Tabela1768[Fechamento])</f>
        <v>0</v>
      </c>
      <c r="BB177" s="7">
        <f>SUMPRODUCT(N(Tabela17683[Código]=Tabela3[[#This Row],[PAPEL]]),Tabela17683[Fechamento])</f>
        <v>60</v>
      </c>
    </row>
    <row r="178" spans="1:54" hidden="1" x14ac:dyDescent="0.2">
      <c r="A178" s="3" t="s">
        <v>1545</v>
      </c>
      <c r="B178" s="58" t="s">
        <v>1538</v>
      </c>
      <c r="C178" s="16" t="str">
        <f>LEFT(Tabela3[PAPEL],LEN(Tabela3[PAPEL])-(LEN(Tabela3[PAPEL])-4))</f>
        <v>MTSA</v>
      </c>
      <c r="D178" s="16">
        <v>3</v>
      </c>
      <c r="E178" s="5">
        <v>100000000</v>
      </c>
      <c r="F178" s="56">
        <v>5551953</v>
      </c>
      <c r="G178" s="81">
        <v>0.25</v>
      </c>
      <c r="H178" s="87"/>
      <c r="J178" s="18">
        <v>0.1</v>
      </c>
      <c r="K178" s="16"/>
      <c r="L178" s="87"/>
      <c r="M178" s="54"/>
      <c r="N178" s="54"/>
      <c r="O178" s="54"/>
      <c r="P178" s="91">
        <v>187243051</v>
      </c>
      <c r="Q178" s="73">
        <v>15526375</v>
      </c>
      <c r="R178" s="73">
        <f>IF(Tabela3[[#This Row],[Ativo || Passivo]]&gt;0,Tabela3[[#This Row],[Ativo || Passivo]]-Tabela3[[#This Row],[Patrimônio Líquido]],0)</f>
        <v>0</v>
      </c>
      <c r="S178" s="73">
        <f>Tabela3[[#This Row],[Cotação]]*Tabela3[[#This Row],[Total Ações]]</f>
        <v>166875014.47</v>
      </c>
      <c r="T178" s="37">
        <f>IF(Tabela3[[#This Row],[Passivo Circulante]]&gt;0,Tabela3[[#This Row],[Ativo Circulante]]/Tabela3[[#This Row],[Passivo Circulante]],0)</f>
        <v>0</v>
      </c>
      <c r="U178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78" s="18">
        <f>IF(Tabela3[[#This Row],[Lucro Líquido]]&gt;0,Tabela3[[#This Row],[Lucro Líquido]]/Tabela3[[#This Row],[Patrimônio Líquido]],0)</f>
        <v>8.2920967785341207E-2</v>
      </c>
      <c r="W178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78" s="18">
        <f>IF(Tabela3[[#This Row],[Dívida]]&gt;0,Tabela3[[#This Row],[Dívida]]/Tabela3[[#This Row],[Patrimônio Líquido]],0)</f>
        <v>0</v>
      </c>
      <c r="Y178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78" s="7">
        <f>Tabela3[[#This Row],[Capital Social]]*20%</f>
        <v>20000000</v>
      </c>
      <c r="AA178" s="47">
        <f>IF((Tabela3[Lucro Líquido]*5%)&gt;Tabela3[Teto R. Legal],Tabela3[Teto R. Legal],Tabela3[Lucro Líquido]*5%)</f>
        <v>776318.75</v>
      </c>
      <c r="AB178" s="47">
        <f>IF(Tabela3[Lucro Líquido]&lt;0,0,Tabela3[Lucro Líquido]-Tabela3[Reserva Legal])</f>
        <v>14750056.25</v>
      </c>
      <c r="AC178" s="47">
        <f>Tabela3[[#This Row],[Lucro Distribuir]]*Tabela3[%Div]</f>
        <v>3687514.0625</v>
      </c>
      <c r="AD178" s="56">
        <f>SUMPRODUCT(N(Tabela3[Nome]=Tabela3[[#This Row],[Nome]]),Tabela3[Ações])</f>
        <v>9764483</v>
      </c>
      <c r="AE178" s="85">
        <f>Tabela3[Capital Social]/Tabela3[Total Ações]</f>
        <v>10.241197613841921</v>
      </c>
      <c r="AF178" s="85">
        <f>Tabela3[[#This Row],[Lucro Líquido]]/Tabela3[[#This Row],[Total Ações]]</f>
        <v>1.5900867460161485</v>
      </c>
      <c r="AG178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0.40248517315723592</v>
      </c>
      <c r="AH178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78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78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0.40248517315723592</v>
      </c>
      <c r="AK178" s="7">
        <f>Tabela3[Div Base]*Tabela3[Ações]</f>
        <v>2234578.7645658352</v>
      </c>
      <c r="AL178" s="121">
        <f>SUMPRODUCT(N(Tabela3[Nome]=Tabela3[[#This Row],[Nome]]),Tabela3[Div Base]*Tabela3[Ações])</f>
        <v>3775925.0047089439</v>
      </c>
      <c r="AM178" s="5">
        <f>Tabela3[Patrimônio Líquido]/Tabela3[Total Ações]</f>
        <v>19.17593087109681</v>
      </c>
      <c r="AN178" s="52">
        <f>MAX(Tabela3[[#This Row],[Cotação 1]:[Cotação 5]])</f>
        <v>17.09</v>
      </c>
      <c r="AO178" s="53">
        <f>Tabela3[Cotação]/Tabela3[VPA]</f>
        <v>0.8912214022297682</v>
      </c>
      <c r="AP178" s="37">
        <f>IF(Tabela3[[#This Row],[Lucro/Ação]]&gt;0,Tabela3[[#This Row],[Cotação]]/(Tabela3[[#This Row],[Lucro/Ação]]/Tabela3[Ref]*4),0)</f>
        <v>8.0608809752759409</v>
      </c>
      <c r="AQ178" s="85">
        <f>Tabela3[Lucro Distribuir]/Tabela3[Total Ações]</f>
        <v>1.510582408715341</v>
      </c>
      <c r="AR178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0.40248517315723592</v>
      </c>
      <c r="AS178" s="10" t="str">
        <f>IF(AND(Tabela3[% A.A.]&gt;=6%,SUMPRODUCT(N(Tabela3[Nome]=Tabela3[[#This Row],[Nome]]),Tabela3[PL])&gt;0,Tabela3[Rentabilidade s/ PL]&gt;=Tabela3[Rentabilidade s/ PL Média]),"Sim","Não")</f>
        <v>Não</v>
      </c>
      <c r="AT178" s="22">
        <f>IF(Tabela3[Cotação]&gt;0,Tabela3[[#This Row],[Lucro]]/Tabela3[[#This Row],[Cotação]],0)</f>
        <v>2.3550917095215677E-2</v>
      </c>
      <c r="AU178" s="22">
        <f>((1+Tabela3[[#This Row],[% Yield]])^(1/(3*Tabela3[[#This Row],[Ref]])))^(12)-1</f>
        <v>3.1523838586709596E-2</v>
      </c>
      <c r="AV178" s="10">
        <f>IF(Tabela3[Cotação]&gt;0,($BD$1/Tabela3[[#This Row],[Cotação]]-MOD($BD$1/Tabela3[[#This Row],[Cotação]],100)),)</f>
        <v>0</v>
      </c>
      <c r="AW178" s="7">
        <f>Tabela3[[#This Row],[Ativos]]*Tabela3[Lucro]</f>
        <v>0</v>
      </c>
      <c r="AX178" s="7">
        <f>SUMPRODUCT(N(Tabela1[Código]=Tabela3[[#This Row],[PAPEL]]),Tabela1[Fechamento])</f>
        <v>0</v>
      </c>
      <c r="AY178" s="7">
        <f>SUMPRODUCT(N(Tabela17[Código]=Tabela3[[#This Row],[PAPEL]]),Tabela17[Fechamento])</f>
        <v>0</v>
      </c>
      <c r="AZ178" s="7">
        <f>SUMPRODUCT(N(Tabela176[Código]=Tabela3[[#This Row],[PAPEL]]),Tabela176[Fechamento])</f>
        <v>0</v>
      </c>
      <c r="BA178" s="7">
        <f>SUMPRODUCT(N(Tabela1768[Código]=Tabela3[[#This Row],[PAPEL]]),Tabela1768[Fechamento])</f>
        <v>0</v>
      </c>
      <c r="BB178" s="7">
        <f>SUMPRODUCT(N(Tabela17683[Código]=Tabela3[[#This Row],[PAPEL]]),Tabela17683[Fechamento])</f>
        <v>17.09</v>
      </c>
    </row>
    <row r="179" spans="1:54" hidden="1" x14ac:dyDescent="0.2">
      <c r="A179" s="4" t="s">
        <v>335</v>
      </c>
      <c r="B179" s="57" t="s">
        <v>640</v>
      </c>
      <c r="C179" s="83" t="str">
        <f>LEFT(Tabela3[PAPEL],LEN(Tabela3[PAPEL])-(LEN(Tabela3[PAPEL])-4))</f>
        <v>TKNO</v>
      </c>
      <c r="D179" s="16">
        <v>3</v>
      </c>
      <c r="E179" s="5">
        <v>170000000</v>
      </c>
      <c r="F179" s="56">
        <v>1538371</v>
      </c>
      <c r="G179" s="81">
        <v>0.25</v>
      </c>
      <c r="J179" s="18"/>
      <c r="K179" s="87"/>
      <c r="L179" s="87"/>
      <c r="M179" s="54"/>
      <c r="N179" s="54"/>
      <c r="O179" s="54"/>
      <c r="P179" s="6">
        <v>222307000</v>
      </c>
      <c r="Q179" s="6">
        <v>18125000</v>
      </c>
      <c r="R179" s="6">
        <f>IF(Tabela3[[#This Row],[Ativo || Passivo]]&gt;0,Tabela3[[#This Row],[Ativo || Passivo]]-Tabela3[[#This Row],[Patrimônio Líquido]],0)</f>
        <v>0</v>
      </c>
      <c r="S179" s="6">
        <f>Tabela3[[#This Row],[Cotação]]*Tabela3[[#This Row],[Total Ações]]</f>
        <v>0</v>
      </c>
      <c r="T179" s="134">
        <f>IF(Tabela3[[#This Row],[Passivo Circulante]]&gt;0,Tabela3[[#This Row],[Ativo Circulante]]/Tabela3[[#This Row],[Passivo Circulante]],0)</f>
        <v>0</v>
      </c>
      <c r="U179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79" s="19">
        <f>IF(Tabela3[[#This Row],[Lucro Líquido]]&gt;0,Tabela3[[#This Row],[Lucro Líquido]]/Tabela3[[#This Row],[Patrimônio Líquido]],0)</f>
        <v>8.1531395772512782E-2</v>
      </c>
      <c r="W179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79" s="19">
        <f>IF(Tabela3[[#This Row],[Dívida]]&gt;0,Tabela3[[#This Row],[Dívida]]/Tabela3[[#This Row],[Patrimônio Líquido]],0)</f>
        <v>0</v>
      </c>
      <c r="Y179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79" s="5">
        <f>Tabela3[[#This Row],[Capital Social]]*20%</f>
        <v>34000000</v>
      </c>
      <c r="AA179" s="5">
        <f>IF((Tabela3[Lucro Líquido]*5%)&gt;Tabela3[Teto R. Legal],Tabela3[Teto R. Legal],Tabela3[Lucro Líquido]*5%)</f>
        <v>906250</v>
      </c>
      <c r="AB179" s="5">
        <f>IF(Tabela3[Lucro Líquido]&lt;0,0,Tabela3[Lucro Líquido]-Tabela3[Reserva Legal])</f>
        <v>17218750</v>
      </c>
      <c r="AC179" s="5">
        <f>Tabela3[[#This Row],[Lucro Distribuir]]*Tabela3[%Div]</f>
        <v>4304687.5</v>
      </c>
      <c r="AD179" s="21">
        <f>SUMPRODUCT(N(Tabela3[Nome]=Tabela3[[#This Row],[Nome]]),Tabela3[Ações])</f>
        <v>2857301</v>
      </c>
      <c r="AE179" s="5">
        <f>Tabela3[Capital Social]/Tabela3[Total Ações]</f>
        <v>59.496706857275448</v>
      </c>
      <c r="AF179" s="77">
        <f>Tabela3[[#This Row],[Lucro Líquido]]/Tabela3[[#This Row],[Total Ações]]</f>
        <v>6.3433988928712797</v>
      </c>
      <c r="AG179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1.5065572370569289</v>
      </c>
      <c r="AH179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0.7970642286598969</v>
      </c>
      <c r="AI179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79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0.7970642286598969</v>
      </c>
      <c r="AK179" s="5">
        <f>Tabela3[Div Base]*Tabela3[Ações]</f>
        <v>1226180.4945077542</v>
      </c>
      <c r="AL179" s="5">
        <f>SUMPRODUCT(N(Tabela3[Nome]=Tabela3[[#This Row],[Nome]]),Tabela3[Div Base]*Tabela3[Ações])</f>
        <v>4304687.5</v>
      </c>
      <c r="AM179" s="5">
        <f>Tabela3[Patrimônio Líquido]/Tabela3[Total Ações]</f>
        <v>77.803143596001959</v>
      </c>
      <c r="AN179" s="52">
        <f>MAX(Tabela3[[#This Row],[Cotação 1]:[Cotação 5]])</f>
        <v>0</v>
      </c>
      <c r="AO179" s="53">
        <f>Tabela3[Cotação]/Tabela3[VPA]</f>
        <v>0</v>
      </c>
      <c r="AP179" s="37">
        <f>IF(Tabela3[[#This Row],[Lucro/Ação]]&gt;0,Tabela3[[#This Row],[Cotação]]/(Tabela3[[#This Row],[Lucro/Ação]]/Tabela3[Ref]*4),0)</f>
        <v>0</v>
      </c>
      <c r="AQ179" s="77">
        <f>Tabela3[Lucro Distribuir]/Tabela3[Total Ações]</f>
        <v>6.0262289482277156</v>
      </c>
      <c r="AR179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0.7970642286598969</v>
      </c>
      <c r="AS179" s="16" t="str">
        <f>IF(AND(Tabela3[% A.A.]&gt;=6%,SUMPRODUCT(N(Tabela3[Nome]=Tabela3[[#This Row],[Nome]]),Tabela3[PL])&gt;0,Tabela3[Rentabilidade s/ PL]&gt;=Tabela3[Rentabilidade s/ PL Média]),"Sim","Não")</f>
        <v>Não</v>
      </c>
      <c r="AT179" s="22">
        <f>IF(Tabela3[Cotação]&gt;0,Tabela3[[#This Row],[Lucro]]/Tabela3[[#This Row],[Cotação]],0)</f>
        <v>0</v>
      </c>
      <c r="AU179" s="18">
        <f>((1+Tabela3[[#This Row],[% Yield]])^(1/(3*Tabela3[[#This Row],[Ref]])))^(12)-1</f>
        <v>0</v>
      </c>
      <c r="AV179" s="10">
        <f>IF(Tabela3[Cotação]&gt;0,($BD$1/Tabela3[[#This Row],[Cotação]]-MOD($BD$1/Tabela3[[#This Row],[Cotação]],100)),)</f>
        <v>0</v>
      </c>
      <c r="AW179" s="7">
        <f>Tabela3[[#This Row],[Ativos]]*Tabela3[Lucro]</f>
        <v>0</v>
      </c>
      <c r="AX179" s="47">
        <f>SUMPRODUCT(N(Tabela1[Código]=Tabela3[[#This Row],[PAPEL]]),Tabela1[Fechamento])</f>
        <v>0</v>
      </c>
      <c r="AY179" s="54">
        <f>SUMPRODUCT(N(Tabela17[Código]=Tabela3[[#This Row],[PAPEL]]),Tabela17[Fechamento])</f>
        <v>0</v>
      </c>
      <c r="AZ179" s="7">
        <f>SUMPRODUCT(N(Tabela176[Código]=Tabela3[[#This Row],[PAPEL]]),Tabela176[Fechamento])</f>
        <v>0</v>
      </c>
      <c r="BA179" s="7">
        <f>SUMPRODUCT(N(Tabela1768[Código]=Tabela3[[#This Row],[PAPEL]]),Tabela1768[Fechamento])</f>
        <v>0</v>
      </c>
      <c r="BB179" s="7">
        <f>SUMPRODUCT(N(Tabela17683[Código]=Tabela3[[#This Row],[PAPEL]]),Tabela17683[Fechamento])</f>
        <v>0</v>
      </c>
    </row>
    <row r="180" spans="1:54" hidden="1" x14ac:dyDescent="0.2">
      <c r="A180" s="4" t="s">
        <v>335</v>
      </c>
      <c r="B180" s="57" t="s">
        <v>337</v>
      </c>
      <c r="C180" s="82" t="str">
        <f>LEFT(Tabela3[PAPEL],LEN(Tabela3[PAPEL])-(LEN(Tabela3[PAPEL])-4))</f>
        <v>TKNO</v>
      </c>
      <c r="D180" s="15">
        <v>3</v>
      </c>
      <c r="E180" s="5">
        <v>170000000</v>
      </c>
      <c r="F180" s="8">
        <v>1318930</v>
      </c>
      <c r="G180" s="81">
        <v>0.25</v>
      </c>
      <c r="H180" s="9">
        <v>0.03</v>
      </c>
      <c r="I180" s="19"/>
      <c r="J180" s="19"/>
      <c r="K180" s="88"/>
      <c r="L180" s="88"/>
      <c r="M180" s="55"/>
      <c r="N180" s="55"/>
      <c r="O180" s="55"/>
      <c r="P180" s="6">
        <v>222307000</v>
      </c>
      <c r="Q180" s="6">
        <v>18125000</v>
      </c>
      <c r="R180" s="6">
        <f>IF(Tabela3[[#This Row],[Ativo || Passivo]]&gt;0,Tabela3[[#This Row],[Ativo || Passivo]]-Tabela3[[#This Row],[Patrimônio Líquido]],0)</f>
        <v>0</v>
      </c>
      <c r="S180" s="6">
        <f>Tabela3[[#This Row],[Cotação]]*Tabela3[[#This Row],[Total Ações]]</f>
        <v>262871692</v>
      </c>
      <c r="T180" s="134">
        <f>IF(Tabela3[[#This Row],[Passivo Circulante]]&gt;0,Tabela3[[#This Row],[Ativo Circulante]]/Tabela3[[#This Row],[Passivo Circulante]],0)</f>
        <v>0</v>
      </c>
      <c r="U180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80" s="19">
        <f>IF(Tabela3[[#This Row],[Lucro Líquido]]&gt;0,Tabela3[[#This Row],[Lucro Líquido]]/Tabela3[[#This Row],[Patrimônio Líquido]],0)</f>
        <v>8.1531395772512782E-2</v>
      </c>
      <c r="W180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80" s="19">
        <f>IF(Tabela3[[#This Row],[Dívida]]&gt;0,Tabela3[[#This Row],[Dívida]]/Tabela3[[#This Row],[Patrimônio Líquido]],0)</f>
        <v>0</v>
      </c>
      <c r="Y180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80" s="6">
        <f>Tabela3[[#This Row],[Capital Social]]*20%</f>
        <v>34000000</v>
      </c>
      <c r="AA180" s="6">
        <f>IF((Tabela3[Lucro Líquido]*5%)&gt;Tabela3[Teto R. Legal],Tabela3[Teto R. Legal],Tabela3[Lucro Líquido]*5%)</f>
        <v>906250</v>
      </c>
      <c r="AB180" s="6">
        <f>IF(Tabela3[Lucro Líquido]&lt;0,0,Tabela3[Lucro Líquido]-Tabela3[Reserva Legal])</f>
        <v>17218750</v>
      </c>
      <c r="AC180" s="6">
        <f>Tabela3[[#This Row],[Lucro Distribuir]]*Tabela3[%Div]</f>
        <v>4304687.5</v>
      </c>
      <c r="AD180" s="21">
        <f>SUMPRODUCT(N(Tabela3[Nome]=Tabela3[[#This Row],[Nome]]),Tabela3[Ações])</f>
        <v>2857301</v>
      </c>
      <c r="AE180" s="6">
        <f>Tabela3[Capital Social]/Tabela3[Total Ações]</f>
        <v>59.496706857275448</v>
      </c>
      <c r="AF180" s="78">
        <f>Tabela3[[#This Row],[Lucro Líquido]]/Tabela3[[#This Row],[Total Ações]]</f>
        <v>6.3433988928712797</v>
      </c>
      <c r="AG180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1.5065572370569289</v>
      </c>
      <c r="AH180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2.3340943078800587</v>
      </c>
      <c r="AI180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80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2.3340943078800587</v>
      </c>
      <c r="AK180" s="6">
        <f>Tabela3[Div Base]*Tabela3[Ações]</f>
        <v>3078507.0054922458</v>
      </c>
      <c r="AL180" s="6">
        <f>SUMPRODUCT(N(Tabela3[Nome]=Tabela3[[#This Row],[Nome]]),Tabela3[Div Base]*Tabela3[Ações])</f>
        <v>4304687.5</v>
      </c>
      <c r="AM180" s="6">
        <f>Tabela3[Patrimônio Líquido]/Tabela3[Total Ações]</f>
        <v>77.803143596001959</v>
      </c>
      <c r="AN180" s="48">
        <f>MAX(Tabela3[[#This Row],[Cotação 1]:[Cotação 5]])</f>
        <v>92</v>
      </c>
      <c r="AO180" s="44">
        <f>Tabela3[Cotação]/Tabela3[VPA]</f>
        <v>1.1824715011223219</v>
      </c>
      <c r="AP180" s="40">
        <f>IF(Tabela3[[#This Row],[Lucro/Ação]]&gt;0,Tabela3[[#This Row],[Cotação]]/(Tabela3[[#This Row],[Lucro/Ação]]/Tabela3[Ref]*4),0)</f>
        <v>10.877449324137929</v>
      </c>
      <c r="AQ180" s="78">
        <f>Tabela3[Lucro Distribuir]/Tabela3[Total Ações]</f>
        <v>6.0262289482277156</v>
      </c>
      <c r="AR180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2.3340943078800587</v>
      </c>
      <c r="AS180" s="15" t="str">
        <f>IF(AND(Tabela3[% A.A.]&gt;=6%,SUMPRODUCT(N(Tabela3[Nome]=Tabela3[[#This Row],[Nome]]),Tabela3[PL])&gt;0,Tabela3[Rentabilidade s/ PL]&gt;=Tabela3[Rentabilidade s/ PL Média]),"Sim","Não")</f>
        <v>Não</v>
      </c>
      <c r="AT180" s="42">
        <f>IF(Tabela3[Cotação]&gt;0,Tabela3[[#This Row],[Lucro]]/Tabela3[[#This Row],[Cotação]],0)</f>
        <v>2.5370590303044116E-2</v>
      </c>
      <c r="AU180" s="19">
        <f>((1+Tabela3[[#This Row],[% Yield]])^(1/(3*Tabela3[[#This Row],[Ref]])))^(12)-1</f>
        <v>3.3969692796908424E-2</v>
      </c>
      <c r="AV180" s="14">
        <f>IF(Tabela3[Cotação]&gt;0,($BD$1/Tabela3[[#This Row],[Cotação]]-MOD($BD$1/Tabela3[[#This Row],[Cotação]],100)),)</f>
        <v>0</v>
      </c>
      <c r="AW180" s="17">
        <f>Tabela3[[#This Row],[Ativos]]*Tabela3[Lucro]</f>
        <v>0</v>
      </c>
      <c r="AX180" s="13">
        <f>SUMPRODUCT(N(Tabela1[Código]=Tabela3[[#This Row],[PAPEL]]),Tabela1[Fechamento])</f>
        <v>0</v>
      </c>
      <c r="AY180" s="55">
        <f>SUMPRODUCT(N(Tabela17[Código]=Tabela3[[#This Row],[PAPEL]]),Tabela17[Fechamento])</f>
        <v>92</v>
      </c>
      <c r="AZ180" s="7">
        <f>SUMPRODUCT(N(Tabela176[Código]=Tabela3[[#This Row],[PAPEL]]),Tabela176[Fechamento])</f>
        <v>0</v>
      </c>
      <c r="BA180" s="7">
        <f>SUMPRODUCT(N(Tabela1768[Código]=Tabela3[[#This Row],[PAPEL]]),Tabela1768[Fechamento])</f>
        <v>0</v>
      </c>
      <c r="BB180" s="7">
        <f>SUMPRODUCT(N(Tabela17683[Código]=Tabela3[[#This Row],[PAPEL]]),Tabela17683[Fechamento])</f>
        <v>0</v>
      </c>
    </row>
    <row r="181" spans="1:54" hidden="1" x14ac:dyDescent="0.2">
      <c r="A181" s="3" t="s">
        <v>1410</v>
      </c>
      <c r="B181" s="57" t="s">
        <v>1385</v>
      </c>
      <c r="C181" s="16" t="str">
        <f>LEFT(Tabela3[PAPEL],LEN(Tabela3[PAPEL])-(LEN(Tabela3[PAPEL])-4))</f>
        <v>AZEV</v>
      </c>
      <c r="D181" s="16">
        <v>3</v>
      </c>
      <c r="E181" s="5">
        <v>53896441</v>
      </c>
      <c r="F181" s="56">
        <v>9000000</v>
      </c>
      <c r="G181" s="81">
        <v>0.25</v>
      </c>
      <c r="H181" s="87"/>
      <c r="J181" s="18"/>
      <c r="K181" s="16"/>
      <c r="L181" s="87"/>
      <c r="M181" s="54"/>
      <c r="N181" s="54"/>
      <c r="O181" s="54"/>
      <c r="P181" s="91">
        <v>35138000</v>
      </c>
      <c r="Q181" s="73">
        <v>2840000</v>
      </c>
      <c r="R181" s="73">
        <f>IF(Tabela3[[#This Row],[Ativo || Passivo]]&gt;0,Tabela3[[#This Row],[Ativo || Passivo]]-Tabela3[[#This Row],[Patrimônio Líquido]],0)</f>
        <v>0</v>
      </c>
      <c r="S181" s="73">
        <f>Tabela3[[#This Row],[Cotação]]*Tabela3[[#This Row],[Total Ações]]</f>
        <v>52650000</v>
      </c>
      <c r="T181" s="37">
        <f>IF(Tabela3[[#This Row],[Passivo Circulante]]&gt;0,Tabela3[[#This Row],[Ativo Circulante]]/Tabela3[[#This Row],[Passivo Circulante]],0)</f>
        <v>0</v>
      </c>
      <c r="U181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81" s="18">
        <f>IF(Tabela3[[#This Row],[Lucro Líquido]]&gt;0,Tabela3[[#This Row],[Lucro Líquido]]/Tabela3[[#This Row],[Patrimônio Líquido]],0)</f>
        <v>8.0824178951562409E-2</v>
      </c>
      <c r="W181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81" s="18">
        <f>IF(Tabela3[[#This Row],[Dívida]]&gt;0,Tabela3[[#This Row],[Dívida]]/Tabela3[[#This Row],[Patrimônio Líquido]],0)</f>
        <v>0</v>
      </c>
      <c r="Y181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81" s="7">
        <f>Tabela3[[#This Row],[Capital Social]]*20%</f>
        <v>10779288.200000001</v>
      </c>
      <c r="AA181" s="47">
        <f>IF((Tabela3[Lucro Líquido]*5%)&gt;Tabela3[Teto R. Legal],Tabela3[Teto R. Legal],Tabela3[Lucro Líquido]*5%)</f>
        <v>142000</v>
      </c>
      <c r="AB181" s="47">
        <f>IF(Tabela3[Lucro Líquido]&lt;0,0,Tabela3[Lucro Líquido]-Tabela3[Reserva Legal])</f>
        <v>2698000</v>
      </c>
      <c r="AC181" s="47">
        <f>Tabela3[[#This Row],[Lucro Distribuir]]*Tabela3[%Div]</f>
        <v>674500</v>
      </c>
      <c r="AD181" s="56">
        <f>SUMPRODUCT(N(Tabela3[Nome]=Tabela3[[#This Row],[Nome]]),Tabela3[Ações])</f>
        <v>27000000</v>
      </c>
      <c r="AE181" s="85">
        <f>Tabela3[Capital Social]/Tabela3[Total Ações]</f>
        <v>1.9961644814814814</v>
      </c>
      <c r="AF181" s="85">
        <f>Tabela3[[#This Row],[Lucro Líquido]]/Tabela3[[#This Row],[Total Ações]]</f>
        <v>0.10518518518518519</v>
      </c>
      <c r="AG181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2.4981481481481483E-2</v>
      </c>
      <c r="AH181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81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81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2.4981481481481483E-2</v>
      </c>
      <c r="AK181" s="7">
        <f>Tabela3[Div Base]*Tabela3[Ações]</f>
        <v>224833.33333333334</v>
      </c>
      <c r="AL181" s="121">
        <f>SUMPRODUCT(N(Tabela3[Nome]=Tabela3[[#This Row],[Nome]]),Tabela3[Div Base]*Tabela3[Ações])</f>
        <v>674500</v>
      </c>
      <c r="AM181" s="5">
        <f>Tabela3[Patrimônio Líquido]/Tabela3[Total Ações]</f>
        <v>1.3014074074074073</v>
      </c>
      <c r="AN181" s="52">
        <f>MAX(Tabela3[[#This Row],[Cotação 1]:[Cotação 5]])</f>
        <v>1.95</v>
      </c>
      <c r="AO181" s="53">
        <f>Tabela3[Cotação]/Tabela3[VPA]</f>
        <v>1.4983778245773807</v>
      </c>
      <c r="AP181" s="37">
        <f>IF(Tabela3[[#This Row],[Lucro/Ação]]&gt;0,Tabela3[[#This Row],[Cotação]]/(Tabela3[[#This Row],[Lucro/Ação]]/Tabela3[Ref]*4),0)</f>
        <v>13.904049295774648</v>
      </c>
      <c r="AQ181" s="85">
        <f>Tabela3[Lucro Distribuir]/Tabela3[Total Ações]</f>
        <v>9.9925925925925932E-2</v>
      </c>
      <c r="AR181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2.4981481481481483E-2</v>
      </c>
      <c r="AS181" s="10" t="str">
        <f>IF(AND(Tabela3[% A.A.]&gt;=6%,SUMPRODUCT(N(Tabela3[Nome]=Tabela3[[#This Row],[Nome]]),Tabela3[PL])&gt;0,Tabela3[Rentabilidade s/ PL]&gt;=Tabela3[Rentabilidade s/ PL Média]),"Sim","Não")</f>
        <v>Não</v>
      </c>
      <c r="AT181" s="22">
        <f>IF(Tabela3[Cotação]&gt;0,Tabela3[[#This Row],[Lucro]]/Tabela3[[#This Row],[Cotação]],0)</f>
        <v>1.2811016144349478E-2</v>
      </c>
      <c r="AU181" s="22">
        <f>((1+Tabela3[[#This Row],[% Yield]])^(1/(3*Tabela3[[#This Row],[Ref]])))^(12)-1</f>
        <v>1.7117723164410625E-2</v>
      </c>
      <c r="AV181" s="10">
        <f>IF(Tabela3[Cotação]&gt;0,($BH$1/Tabela3[[#This Row],[Cotação]]-MOD($BH$1/Tabela3[[#This Row],[Cotação]],100)),)</f>
        <v>200</v>
      </c>
      <c r="AW181" s="7">
        <f>Tabela3[[#This Row],[Ativos]]*Tabela3[Lucro]</f>
        <v>4.9962962962962969</v>
      </c>
      <c r="AX181" s="7">
        <f>SUMPRODUCT(N(Tabela1[Código]=Tabela3[[#This Row],[PAPEL]]),Tabela1[Fechamento])</f>
        <v>0</v>
      </c>
      <c r="AY181" s="7">
        <f>SUMPRODUCT(N(Tabela17[Código]=Tabela3[[#This Row],[PAPEL]]),Tabela17[Fechamento])</f>
        <v>0</v>
      </c>
      <c r="AZ181" s="7">
        <f>SUMPRODUCT(N(Tabela176[Código]=Tabela3[[#This Row],[PAPEL]]),Tabela176[Fechamento])</f>
        <v>0</v>
      </c>
      <c r="BA181" s="7">
        <f>SUMPRODUCT(N(Tabela1768[Código]=Tabela3[[#This Row],[PAPEL]]),Tabela1768[Fechamento])</f>
        <v>0</v>
      </c>
      <c r="BB181" s="7">
        <f>SUMPRODUCT(N(Tabela17683[Código]=Tabela3[[#This Row],[PAPEL]]),Tabela17683[Fechamento])</f>
        <v>1.95</v>
      </c>
    </row>
    <row r="182" spans="1:54" hidden="1" x14ac:dyDescent="0.2">
      <c r="A182" s="3" t="s">
        <v>1410</v>
      </c>
      <c r="B182" s="57" t="s">
        <v>1386</v>
      </c>
      <c r="C182" s="16" t="str">
        <f>LEFT(Tabela3[PAPEL],LEN(Tabela3[PAPEL])-(LEN(Tabela3[PAPEL])-4))</f>
        <v>AZEV</v>
      </c>
      <c r="D182" s="16">
        <v>3</v>
      </c>
      <c r="E182" s="5">
        <v>53896441</v>
      </c>
      <c r="F182" s="56">
        <v>18000000</v>
      </c>
      <c r="G182" s="81">
        <v>0.25</v>
      </c>
      <c r="H182" s="87"/>
      <c r="J182" s="18"/>
      <c r="K182" s="16"/>
      <c r="L182" s="87"/>
      <c r="M182" s="54"/>
      <c r="N182" s="54"/>
      <c r="O182" s="54"/>
      <c r="P182" s="91">
        <v>35138000</v>
      </c>
      <c r="Q182" s="73">
        <v>2840000</v>
      </c>
      <c r="R182" s="73">
        <f>IF(Tabela3[[#This Row],[Ativo || Passivo]]&gt;0,Tabela3[[#This Row],[Ativo || Passivo]]-Tabela3[[#This Row],[Patrimônio Líquido]],0)</f>
        <v>0</v>
      </c>
      <c r="S182" s="73">
        <f>Tabela3[[#This Row],[Cotação]]*Tabela3[[#This Row],[Total Ações]]</f>
        <v>40500000</v>
      </c>
      <c r="T182" s="37">
        <f>IF(Tabela3[[#This Row],[Passivo Circulante]]&gt;0,Tabela3[[#This Row],[Ativo Circulante]]/Tabela3[[#This Row],[Passivo Circulante]],0)</f>
        <v>0</v>
      </c>
      <c r="U182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82" s="18">
        <f>IF(Tabela3[[#This Row],[Lucro Líquido]]&gt;0,Tabela3[[#This Row],[Lucro Líquido]]/Tabela3[[#This Row],[Patrimônio Líquido]],0)</f>
        <v>8.0824178951562409E-2</v>
      </c>
      <c r="W182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82" s="18">
        <f>IF(Tabela3[[#This Row],[Dívida]]&gt;0,Tabela3[[#This Row],[Dívida]]/Tabela3[[#This Row],[Patrimônio Líquido]],0)</f>
        <v>0</v>
      </c>
      <c r="Y182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82" s="7">
        <f>Tabela3[[#This Row],[Capital Social]]*20%</f>
        <v>10779288.200000001</v>
      </c>
      <c r="AA182" s="47">
        <f>IF((Tabela3[Lucro Líquido]*5%)&gt;Tabela3[Teto R. Legal],Tabela3[Teto R. Legal],Tabela3[Lucro Líquido]*5%)</f>
        <v>142000</v>
      </c>
      <c r="AB182" s="47">
        <f>IF(Tabela3[Lucro Líquido]&lt;0,0,Tabela3[Lucro Líquido]-Tabela3[Reserva Legal])</f>
        <v>2698000</v>
      </c>
      <c r="AC182" s="47">
        <f>Tabela3[[#This Row],[Lucro Distribuir]]*Tabela3[%Div]</f>
        <v>674500</v>
      </c>
      <c r="AD182" s="56">
        <f>SUMPRODUCT(N(Tabela3[Nome]=Tabela3[[#This Row],[Nome]]),Tabela3[Ações])</f>
        <v>27000000</v>
      </c>
      <c r="AE182" s="85">
        <f>Tabela3[Capital Social]/Tabela3[Total Ações]</f>
        <v>1.9961644814814814</v>
      </c>
      <c r="AF182" s="85">
        <f>Tabela3[[#This Row],[Lucro Líquido]]/Tabela3[[#This Row],[Total Ações]]</f>
        <v>0.10518518518518519</v>
      </c>
      <c r="AG182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2.4981481481481483E-2</v>
      </c>
      <c r="AH182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82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82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2.4981481481481483E-2</v>
      </c>
      <c r="AK182" s="7">
        <f>Tabela3[Div Base]*Tabela3[Ações]</f>
        <v>449666.66666666669</v>
      </c>
      <c r="AL182" s="121">
        <f>SUMPRODUCT(N(Tabela3[Nome]=Tabela3[[#This Row],[Nome]]),Tabela3[Div Base]*Tabela3[Ações])</f>
        <v>674500</v>
      </c>
      <c r="AM182" s="5">
        <f>Tabela3[Patrimônio Líquido]/Tabela3[Total Ações]</f>
        <v>1.3014074074074073</v>
      </c>
      <c r="AN182" s="52">
        <f>MAX(Tabela3[[#This Row],[Cotação 1]:[Cotação 5]])</f>
        <v>1.5</v>
      </c>
      <c r="AO182" s="53">
        <f>Tabela3[Cotação]/Tabela3[VPA]</f>
        <v>1.1525983265979851</v>
      </c>
      <c r="AP182" s="37">
        <f>IF(Tabela3[[#This Row],[Lucro/Ação]]&gt;0,Tabela3[[#This Row],[Cotação]]/(Tabela3[[#This Row],[Lucro/Ação]]/Tabela3[Ref]*4),0)</f>
        <v>10.695422535211268</v>
      </c>
      <c r="AQ182" s="85">
        <f>Tabela3[Lucro Distribuir]/Tabela3[Total Ações]</f>
        <v>9.9925925925925932E-2</v>
      </c>
      <c r="AR182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2.4981481481481483E-2</v>
      </c>
      <c r="AS182" s="10" t="str">
        <f>IF(AND(Tabela3[% A.A.]&gt;=6%,SUMPRODUCT(N(Tabela3[Nome]=Tabela3[[#This Row],[Nome]]),Tabela3[PL])&gt;0,Tabela3[Rentabilidade s/ PL]&gt;=Tabela3[Rentabilidade s/ PL Média]),"Sim","Não")</f>
        <v>Não</v>
      </c>
      <c r="AT182" s="22">
        <f>IF(Tabela3[Cotação]&gt;0,Tabela3[[#This Row],[Lucro]]/Tabela3[[#This Row],[Cotação]],0)</f>
        <v>1.6654320987654323E-2</v>
      </c>
      <c r="AU182" s="22">
        <f>((1+Tabela3[[#This Row],[% Yield]])^(1/(3*Tabela3[[#This Row],[Ref]])))^(12)-1</f>
        <v>2.2267171749369208E-2</v>
      </c>
      <c r="AV182" s="10">
        <f>IF(Tabela3[Cotação]&gt;0,($BH$1/Tabela3[[#This Row],[Cotação]]-MOD($BH$1/Tabela3[[#This Row],[Cotação]],100)),)</f>
        <v>300</v>
      </c>
      <c r="AW182" s="7">
        <f>Tabela3[[#This Row],[Ativos]]*Tabela3[Lucro]</f>
        <v>7.4944444444444445</v>
      </c>
      <c r="AX182" s="7">
        <f>SUMPRODUCT(N(Tabela1[Código]=Tabela3[[#This Row],[PAPEL]]),Tabela1[Fechamento])</f>
        <v>0</v>
      </c>
      <c r="AY182" s="7">
        <f>SUMPRODUCT(N(Tabela17[Código]=Tabela3[[#This Row],[PAPEL]]),Tabela17[Fechamento])</f>
        <v>0</v>
      </c>
      <c r="AZ182" s="7">
        <f>SUMPRODUCT(N(Tabela176[Código]=Tabela3[[#This Row],[PAPEL]]),Tabela176[Fechamento])</f>
        <v>0</v>
      </c>
      <c r="BA182" s="7">
        <f>SUMPRODUCT(N(Tabela1768[Código]=Tabela3[[#This Row],[PAPEL]]),Tabela1768[Fechamento])</f>
        <v>0</v>
      </c>
      <c r="BB182" s="7">
        <f>SUMPRODUCT(N(Tabela17683[Código]=Tabela3[[#This Row],[PAPEL]]),Tabela17683[Fechamento])</f>
        <v>1.5</v>
      </c>
    </row>
    <row r="183" spans="1:54" hidden="1" x14ac:dyDescent="0.2">
      <c r="A183" s="4" t="s">
        <v>14</v>
      </c>
      <c r="B183" s="57" t="s">
        <v>580</v>
      </c>
      <c r="C183" s="14" t="str">
        <f>LEFT(Tabela3[PAPEL],LEN(Tabela3[PAPEL])-(LEN(Tabela3[PAPEL])-4))</f>
        <v>PRBC</v>
      </c>
      <c r="D183" s="15">
        <v>3</v>
      </c>
      <c r="E183" s="6">
        <v>763866648</v>
      </c>
      <c r="F183" s="8">
        <v>56724976</v>
      </c>
      <c r="G183" s="86">
        <v>0.25</v>
      </c>
      <c r="H183" s="19"/>
      <c r="I183" s="19"/>
      <c r="J183" s="19"/>
      <c r="K183" s="88"/>
      <c r="L183" s="88"/>
      <c r="M183" s="55"/>
      <c r="N183" s="55"/>
      <c r="O183" s="55"/>
      <c r="P183" s="6">
        <v>1279731000</v>
      </c>
      <c r="Q183" s="6">
        <v>103137000</v>
      </c>
      <c r="R183" s="6">
        <f>IF(Tabela3[[#This Row],[Ativo || Passivo]]&gt;0,Tabela3[[#This Row],[Ativo || Passivo]]-Tabela3[[#This Row],[Patrimônio Líquido]],0)</f>
        <v>0</v>
      </c>
      <c r="S183" s="6">
        <f>Tabela3[[#This Row],[Cotação]]*Tabela3[[#This Row],[Total Ações]]</f>
        <v>0</v>
      </c>
      <c r="T183" s="134">
        <f>IF(Tabela3[[#This Row],[Passivo Circulante]]&gt;0,Tabela3[[#This Row],[Ativo Circulante]]/Tabela3[[#This Row],[Passivo Circulante]],0)</f>
        <v>0</v>
      </c>
      <c r="U183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83" s="19">
        <f>IF(Tabela3[[#This Row],[Lucro Líquido]]&gt;0,Tabela3[[#This Row],[Lucro Líquido]]/Tabela3[[#This Row],[Patrimônio Líquido]],0)</f>
        <v>8.0592718313458059E-2</v>
      </c>
      <c r="W183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83" s="19">
        <f>IF(Tabela3[[#This Row],[Dívida]]&gt;0,Tabela3[[#This Row],[Dívida]]/Tabela3[[#This Row],[Patrimônio Líquido]],0)</f>
        <v>0</v>
      </c>
      <c r="Y183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83" s="6">
        <f>Tabela3[[#This Row],[Capital Social]]*20%</f>
        <v>152773329.59999999</v>
      </c>
      <c r="AA183" s="6">
        <f>IF((Tabela3[Lucro Líquido]*5%)&gt;Tabela3[Teto R. Legal],Tabela3[Teto R. Legal],Tabela3[Lucro Líquido]*5%)</f>
        <v>5156850</v>
      </c>
      <c r="AB183" s="6">
        <f>IF(Tabela3[Lucro Líquido]&lt;0,0,Tabela3[Lucro Líquido]-Tabela3[Reserva Legal])</f>
        <v>97980150</v>
      </c>
      <c r="AC183" s="6">
        <f>Tabela3[[#This Row],[Lucro Distribuir]]*Tabela3[%Div]</f>
        <v>24495037.5</v>
      </c>
      <c r="AD183" s="21">
        <f>SUMPRODUCT(N(Tabela3[Nome]=Tabela3[[#This Row],[Nome]]),Tabela3[Ações])</f>
        <v>87289932</v>
      </c>
      <c r="AE183" s="6">
        <f>Tabela3[Capital Social]/Tabela3[Total Ações]</f>
        <v>8.7509135417816566</v>
      </c>
      <c r="AF183" s="78">
        <f>Tabela3[[#This Row],[Lucro Líquido]]/Tabela3[[#This Row],[Total Ações]]</f>
        <v>1.181545198133503</v>
      </c>
      <c r="AG183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0.28061698455670697</v>
      </c>
      <c r="AH183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83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83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0.28061698455670697</v>
      </c>
      <c r="AK183" s="6">
        <f>Tabela3[Div Base]*Tabela3[Ações]</f>
        <v>15917991.714171574</v>
      </c>
      <c r="AL183" s="6">
        <f>SUMPRODUCT(N(Tabela3[Nome]=Tabela3[[#This Row],[Nome]]),Tabela3[Div Base]*Tabela3[Ações])</f>
        <v>24495037.5</v>
      </c>
      <c r="AM183" s="6">
        <f>Tabela3[Patrimônio Líquido]/Tabela3[Total Ações]</f>
        <v>14.660694202396675</v>
      </c>
      <c r="AN183" s="48">
        <f>MAX(Tabela3[[#This Row],[Cotação 1]:[Cotação 5]])</f>
        <v>0</v>
      </c>
      <c r="AO183" s="44">
        <f>Tabela3[Cotação]/Tabela3[VPA]</f>
        <v>0</v>
      </c>
      <c r="AP183" s="40">
        <f>IF(Tabela3[[#This Row],[Lucro/Ação]]&gt;0,Tabela3[[#This Row],[Cotação]]/(Tabela3[[#This Row],[Lucro/Ação]]/Tabela3[Ref]*4),0)</f>
        <v>0</v>
      </c>
      <c r="AQ183" s="78">
        <f>Tabela3[Lucro Distribuir]/Tabela3[Total Ações]</f>
        <v>1.1224679382268279</v>
      </c>
      <c r="AR183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0.28061698455670697</v>
      </c>
      <c r="AS183" s="15" t="str">
        <f>IF(AND(Tabela3[% A.A.]&gt;=6%,SUMPRODUCT(N(Tabela3[Nome]=Tabela3[[#This Row],[Nome]]),Tabela3[PL])&gt;0,Tabela3[Rentabilidade s/ PL]&gt;=Tabela3[Rentabilidade s/ PL Média]),"Sim","Não")</f>
        <v>Não</v>
      </c>
      <c r="AT183" s="42">
        <f>IF(Tabela3[Cotação]&gt;0,Tabela3[[#This Row],[Lucro]]/Tabela3[[#This Row],[Cotação]],0)</f>
        <v>0</v>
      </c>
      <c r="AU183" s="19">
        <f>((1+Tabela3[[#This Row],[% Yield]])^(1/(3*Tabela3[[#This Row],[Ref]])))^(12)-1</f>
        <v>0</v>
      </c>
      <c r="AV183" s="14">
        <f>IF(Tabela3[Cotação]&gt;0,($BD$1/Tabela3[[#This Row],[Cotação]]-MOD($BD$1/Tabela3[[#This Row],[Cotação]],100)),)</f>
        <v>0</v>
      </c>
      <c r="AW183" s="17">
        <f>Tabela3[[#This Row],[Ativos]]*Tabela3[Lucro]</f>
        <v>0</v>
      </c>
      <c r="AX183" s="5">
        <f>SUMPRODUCT(N(Tabela1[Código]=Tabela3[[#This Row],[PAPEL]]),Tabela1[Fechamento])</f>
        <v>0</v>
      </c>
      <c r="AY183" s="5">
        <f>SUMPRODUCT(N(Tabela17[Código]=Tabela3[[#This Row],[PAPEL]]),Tabela17[Fechamento])</f>
        <v>0</v>
      </c>
      <c r="AZ183" s="7">
        <f>SUMPRODUCT(N(Tabela176[Código]=Tabela3[[#This Row],[PAPEL]]),Tabela176[Fechamento])</f>
        <v>0</v>
      </c>
      <c r="BA183" s="7">
        <f>SUMPRODUCT(N(Tabela1768[Código]=Tabela3[[#This Row],[PAPEL]]),Tabela1768[Fechamento])</f>
        <v>0</v>
      </c>
      <c r="BB183" s="7">
        <f>SUMPRODUCT(N(Tabela17683[Código]=Tabela3[[#This Row],[PAPEL]]),Tabela17683[Fechamento])</f>
        <v>0</v>
      </c>
    </row>
    <row r="184" spans="1:54" hidden="1" x14ac:dyDescent="0.2">
      <c r="A184" s="4" t="s">
        <v>14</v>
      </c>
      <c r="B184" s="57" t="s">
        <v>82</v>
      </c>
      <c r="C184" s="15" t="str">
        <f>LEFT(Tabela3[PAPEL],LEN(Tabela3[PAPEL])-(LEN(Tabela3[PAPEL])-4))</f>
        <v>PRBC</v>
      </c>
      <c r="D184" s="15">
        <v>3</v>
      </c>
      <c r="E184" s="6">
        <v>763866648</v>
      </c>
      <c r="F184" s="8">
        <v>30564956</v>
      </c>
      <c r="G184" s="86">
        <v>0.25</v>
      </c>
      <c r="H184" s="15"/>
      <c r="I184" s="19"/>
      <c r="J184" s="19"/>
      <c r="K184" s="88"/>
      <c r="L184" s="88"/>
      <c r="M184" s="55"/>
      <c r="N184" s="55"/>
      <c r="O184" s="55"/>
      <c r="P184" s="6">
        <v>1279731000</v>
      </c>
      <c r="Q184" s="6">
        <v>103137000</v>
      </c>
      <c r="R184" s="6">
        <f>IF(Tabela3[[#This Row],[Ativo || Passivo]]&gt;0,Tabela3[[#This Row],[Ativo || Passivo]]-Tabela3[[#This Row],[Patrimônio Líquido]],0)</f>
        <v>0</v>
      </c>
      <c r="S184" s="6">
        <f>Tabela3[[#This Row],[Cotação]]*Tabela3[[#This Row],[Total Ações]]</f>
        <v>941858366.27999997</v>
      </c>
      <c r="T184" s="134">
        <f>IF(Tabela3[[#This Row],[Passivo Circulante]]&gt;0,Tabela3[[#This Row],[Ativo Circulante]]/Tabela3[[#This Row],[Passivo Circulante]],0)</f>
        <v>0</v>
      </c>
      <c r="U184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84" s="19">
        <f>IF(Tabela3[[#This Row],[Lucro Líquido]]&gt;0,Tabela3[[#This Row],[Lucro Líquido]]/Tabela3[[#This Row],[Patrimônio Líquido]],0)</f>
        <v>8.0592718313458059E-2</v>
      </c>
      <c r="W184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84" s="19">
        <f>IF(Tabela3[[#This Row],[Dívida]]&gt;0,Tabela3[[#This Row],[Dívida]]/Tabela3[[#This Row],[Patrimônio Líquido]],0)</f>
        <v>0</v>
      </c>
      <c r="Y184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84" s="6">
        <f>Tabela3[[#This Row],[Capital Social]]*20%</f>
        <v>152773329.59999999</v>
      </c>
      <c r="AA184" s="6">
        <f>IF((Tabela3[Lucro Líquido]*5%)&gt;Tabela3[Teto R. Legal],Tabela3[Teto R. Legal],Tabela3[Lucro Líquido]*5%)</f>
        <v>5156850</v>
      </c>
      <c r="AB184" s="6">
        <f>IF(Tabela3[Lucro Líquido]&lt;0,0,Tabela3[Lucro Líquido]-Tabela3[Reserva Legal])</f>
        <v>97980150</v>
      </c>
      <c r="AC184" s="6">
        <f>Tabela3[[#This Row],[Lucro Distribuir]]*Tabela3[%Div]</f>
        <v>24495037.5</v>
      </c>
      <c r="AD184" s="21">
        <f>SUMPRODUCT(N(Tabela3[Nome]=Tabela3[[#This Row],[Nome]]),Tabela3[Ações])</f>
        <v>87289932</v>
      </c>
      <c r="AE184" s="6">
        <f>Tabela3[Capital Social]/Tabela3[Total Ações]</f>
        <v>8.7509135417816566</v>
      </c>
      <c r="AF184" s="78">
        <f>Tabela3[[#This Row],[Lucro Líquido]]/Tabela3[[#This Row],[Total Ações]]</f>
        <v>1.181545198133503</v>
      </c>
      <c r="AG184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0.28061698455670697</v>
      </c>
      <c r="AH184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84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84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0.28061698455670697</v>
      </c>
      <c r="AK184" s="6">
        <f>Tabela3[Div Base]*Tabela3[Ações]</f>
        <v>8577045.7858284283</v>
      </c>
      <c r="AL184" s="6">
        <f>SUMPRODUCT(N(Tabela3[Nome]=Tabela3[[#This Row],[Nome]]),Tabela3[Div Base]*Tabela3[Ações])</f>
        <v>24495037.5</v>
      </c>
      <c r="AM184" s="6">
        <f>Tabela3[Patrimônio Líquido]/Tabela3[Total Ações]</f>
        <v>14.660694202396675</v>
      </c>
      <c r="AN184" s="48">
        <f>MAX(Tabela3[[#This Row],[Cotação 1]:[Cotação 5]])</f>
        <v>10.79</v>
      </c>
      <c r="AO184" s="44">
        <f>Tabela3[Cotação]/Tabela3[VPA]</f>
        <v>0.73598151977251469</v>
      </c>
      <c r="AP184" s="40">
        <f>IF(Tabela3[[#This Row],[Lucro/Ação]]&gt;0,Tabela3[[#This Row],[Cotação]]/(Tabela3[[#This Row],[Lucro/Ação]]/Tabela3[Ref]*4),0)</f>
        <v>6.8490820433985853</v>
      </c>
      <c r="AQ184" s="78">
        <f>Tabela3[Lucro Distribuir]/Tabela3[Total Ações]</f>
        <v>1.1224679382268279</v>
      </c>
      <c r="AR184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0.28061698455670697</v>
      </c>
      <c r="AS184" s="15" t="str">
        <f>IF(AND(Tabela3[% A.A.]&gt;=6%,SUMPRODUCT(N(Tabela3[Nome]=Tabela3[[#This Row],[Nome]]),Tabela3[PL])&gt;0,Tabela3[Rentabilidade s/ PL]&gt;=Tabela3[Rentabilidade s/ PL Média]),"Sim","Não")</f>
        <v>Não</v>
      </c>
      <c r="AT184" s="42">
        <f>IF(Tabela3[Cotação]&gt;0,Tabela3[[#This Row],[Lucro]]/Tabela3[[#This Row],[Cotação]],0)</f>
        <v>2.6007134805996941E-2</v>
      </c>
      <c r="AU184" s="19">
        <f>((1+Tabela3[[#This Row],[% Yield]])^(1/(3*Tabela3[[#This Row],[Ref]])))^(12)-1</f>
        <v>3.4825625040759922E-2</v>
      </c>
      <c r="AV184" s="14">
        <f>IF(Tabela3[Cotação]&gt;0,($BD$1/Tabela3[[#This Row],[Cotação]]-MOD($BD$1/Tabela3[[#This Row],[Cotação]],100)),)</f>
        <v>0</v>
      </c>
      <c r="AW184" s="17">
        <f>Tabela3[[#This Row],[Ativos]]*Tabela3[Lucro]</f>
        <v>0</v>
      </c>
      <c r="AX184" s="5">
        <f>SUMPRODUCT(N(Tabela1[Código]=Tabela3[[#This Row],[PAPEL]]),Tabela1[Fechamento])</f>
        <v>10.79</v>
      </c>
      <c r="AY184" s="5">
        <f>SUMPRODUCT(N(Tabela17[Código]=Tabela3[[#This Row],[PAPEL]]),Tabela17[Fechamento])</f>
        <v>0</v>
      </c>
      <c r="AZ184" s="7">
        <f>SUMPRODUCT(N(Tabela176[Código]=Tabela3[[#This Row],[PAPEL]]),Tabela176[Fechamento])</f>
        <v>0</v>
      </c>
      <c r="BA184" s="7">
        <f>SUMPRODUCT(N(Tabela1768[Código]=Tabela3[[#This Row],[PAPEL]]),Tabela1768[Fechamento])</f>
        <v>0</v>
      </c>
      <c r="BB184" s="7">
        <f>SUMPRODUCT(N(Tabela17683[Código]=Tabela3[[#This Row],[PAPEL]]),Tabela17683[Fechamento])</f>
        <v>0</v>
      </c>
    </row>
    <row r="185" spans="1:54" hidden="1" x14ac:dyDescent="0.2">
      <c r="A185" s="3" t="s">
        <v>285</v>
      </c>
      <c r="B185" s="58" t="s">
        <v>283</v>
      </c>
      <c r="C185" s="16" t="str">
        <f>LEFT(Tabela3[PAPEL],LEN(Tabela3[PAPEL])-(LEN(Tabela3[PAPEL])-4))</f>
        <v>VIGR</v>
      </c>
      <c r="D185" s="16">
        <v>3</v>
      </c>
      <c r="E185" s="5">
        <v>1191378411.71</v>
      </c>
      <c r="F185" s="56">
        <v>149714346</v>
      </c>
      <c r="G185" s="81">
        <v>0.25</v>
      </c>
      <c r="H185" s="87"/>
      <c r="J185" s="18"/>
      <c r="K185" s="16"/>
      <c r="L185" s="87"/>
      <c r="M185" s="54"/>
      <c r="N185" s="54"/>
      <c r="O185" s="54"/>
      <c r="P185" s="91">
        <v>1326579000</v>
      </c>
      <c r="Q185" s="73">
        <v>106731000</v>
      </c>
      <c r="R185" s="73">
        <f>IF(Tabela3[[#This Row],[Ativo || Passivo]]&gt;0,Tabela3[[#This Row],[Ativo || Passivo]]-Tabela3[[#This Row],[Patrimônio Líquido]],0)</f>
        <v>0</v>
      </c>
      <c r="S185" s="73">
        <f>Tabela3[[#This Row],[Cotação]]*Tabela3[[#This Row],[Total Ações]]</f>
        <v>1048000422</v>
      </c>
      <c r="T185" s="37">
        <f>IF(Tabela3[[#This Row],[Passivo Circulante]]&gt;0,Tabela3[[#This Row],[Ativo Circulante]]/Tabela3[[#This Row],[Passivo Circulante]],0)</f>
        <v>0</v>
      </c>
      <c r="U185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85" s="18">
        <f>IF(Tabela3[[#This Row],[Lucro Líquido]]&gt;0,Tabela3[[#This Row],[Lucro Líquido]]/Tabela3[[#This Row],[Patrimônio Líquido]],0)</f>
        <v>8.04558190654307E-2</v>
      </c>
      <c r="W185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85" s="18">
        <f>IF(Tabela3[[#This Row],[Dívida]]&gt;0,Tabela3[[#This Row],[Dívida]]/Tabela3[[#This Row],[Patrimônio Líquido]],0)</f>
        <v>0</v>
      </c>
      <c r="Y185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85" s="7">
        <f>Tabela3[[#This Row],[Capital Social]]*20%</f>
        <v>238275682.34200001</v>
      </c>
      <c r="AA185" s="47">
        <f>IF((Tabela3[Lucro Líquido]*5%)&gt;Tabela3[Teto R. Legal],Tabela3[Teto R. Legal],Tabela3[Lucro Líquido]*5%)</f>
        <v>5336550</v>
      </c>
      <c r="AB185" s="47">
        <f>IF(Tabela3[Lucro Líquido]&lt;0,0,Tabela3[Lucro Líquido]-Tabela3[Reserva Legal])</f>
        <v>101394450</v>
      </c>
      <c r="AC185" s="47">
        <f>Tabela3[[#This Row],[Lucro Distribuir]]*Tabela3[%Div]</f>
        <v>25348612.5</v>
      </c>
      <c r="AD185" s="56">
        <f>SUMPRODUCT(N(Tabela3[Nome]=Tabela3[[#This Row],[Nome]]),Tabela3[Ações])</f>
        <v>149714346</v>
      </c>
      <c r="AE185" s="85">
        <f>Tabela3[Capital Social]/Tabela3[Total Ações]</f>
        <v>7.9576770265556247</v>
      </c>
      <c r="AF185" s="85">
        <f>Tabela3[[#This Row],[Lucro Líquido]]/Tabela3[[#This Row],[Total Ações]]</f>
        <v>0.71289761369962501</v>
      </c>
      <c r="AG185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0.16931318325366093</v>
      </c>
      <c r="AH185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85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85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0.16931318325366093</v>
      </c>
      <c r="AK185" s="7">
        <f>Tabela3[Div Base]*Tabela3[Ações]</f>
        <v>25348612.5</v>
      </c>
      <c r="AL185" s="7">
        <f>SUMPRODUCT(N(Tabela3[Nome]=Tabela3[[#This Row],[Nome]]),Tabela3[Div Base]*Tabela3[Ações])</f>
        <v>25348612.5</v>
      </c>
      <c r="AM185" s="5">
        <f>Tabela3[Patrimônio Líquido]/Tabela3[Total Ações]</f>
        <v>8.8607340274525193</v>
      </c>
      <c r="AN185" s="52">
        <f>MAX(Tabela3[[#This Row],[Cotação 1]:[Cotação 5]])</f>
        <v>7</v>
      </c>
      <c r="AO185" s="53">
        <f>Tabela3[Cotação]/Tabela3[VPA]</f>
        <v>0.7900022705017945</v>
      </c>
      <c r="AP185" s="37">
        <f>IF(Tabela3[[#This Row],[Lucro/Ação]]&gt;0,Tabela3[[#This Row],[Cotação]]/(Tabela3[[#This Row],[Lucro/Ação]]/Tabela3[Ref]*4),0)</f>
        <v>7.3643113668943414</v>
      </c>
      <c r="AQ185" s="85">
        <f>Tabela3[Lucro Distribuir]/Tabela3[Total Ações]</f>
        <v>0.67725273301464373</v>
      </c>
      <c r="AR185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0.16931318325366093</v>
      </c>
      <c r="AS185" s="10" t="str">
        <f>IF(AND(Tabela3[% A.A.]&gt;=6%,SUMPRODUCT(N(Tabela3[Nome]=Tabela3[[#This Row],[Nome]]),Tabela3[PL])&gt;0,Tabela3[Rentabilidade s/ PL]&gt;=Tabela3[Rentabilidade s/ PL Média]),"Sim","Não")</f>
        <v>Não</v>
      </c>
      <c r="AT185" s="22">
        <f>IF(Tabela3[Cotação]&gt;0,Tabela3[[#This Row],[Lucro]]/Tabela3[[#This Row],[Cotação]],0)</f>
        <v>2.4187597607665846E-2</v>
      </c>
      <c r="AU185" s="22">
        <f>((1+Tabela3[[#This Row],[% Yield]])^(1/(3*Tabela3[[#This Row],[Ref]])))^(12)-1</f>
        <v>3.2379447157985464E-2</v>
      </c>
      <c r="AV185" s="10">
        <f>IF(Tabela3[Cotação]&gt;0,($BC$1/Tabela3[[#This Row],[Cotação]]-MOD($BC$1/Tabela3[[#This Row],[Cotação]],100)),)</f>
        <v>0</v>
      </c>
      <c r="AW185" s="7">
        <f>Tabela3[[#This Row],[Ativos]]*Tabela3[Lucro]</f>
        <v>0</v>
      </c>
      <c r="AX185" s="7">
        <f>SUMPRODUCT(N(Tabela1[Código]=Tabela3[[#This Row],[PAPEL]]),Tabela1[Fechamento])</f>
        <v>0</v>
      </c>
      <c r="AY185" s="7">
        <f>SUMPRODUCT(N(Tabela17[Código]=Tabela3[[#This Row],[PAPEL]]),Tabela17[Fechamento])</f>
        <v>7</v>
      </c>
      <c r="AZ185" s="7">
        <f>SUMPRODUCT(N(Tabela176[Código]=Tabela3[[#This Row],[PAPEL]]),Tabela176[Fechamento])</f>
        <v>7</v>
      </c>
      <c r="BA185" s="7">
        <f>SUMPRODUCT(N(Tabela1768[Código]=Tabela3[[#This Row],[PAPEL]]),Tabela1768[Fechamento])</f>
        <v>0</v>
      </c>
      <c r="BB185" s="7">
        <f>SUMPRODUCT(N(Tabela17683[Código]=Tabela3[[#This Row],[PAPEL]]),Tabela17683[Fechamento])</f>
        <v>0</v>
      </c>
    </row>
    <row r="186" spans="1:54" hidden="1" x14ac:dyDescent="0.2">
      <c r="A186" s="4" t="s">
        <v>37</v>
      </c>
      <c r="B186" s="57" t="s">
        <v>181</v>
      </c>
      <c r="C186" s="14" t="str">
        <f>LEFT(Tabela3[PAPEL],LEN(Tabela3[PAPEL])-(LEN(Tabela3[PAPEL])-4))</f>
        <v>CSMG</v>
      </c>
      <c r="D186" s="15">
        <v>4</v>
      </c>
      <c r="E186" s="6">
        <v>2773985614.6599998</v>
      </c>
      <c r="F186" s="8">
        <v>119684430</v>
      </c>
      <c r="G186" s="86">
        <v>0.25</v>
      </c>
      <c r="H186" s="15"/>
      <c r="I186" s="19"/>
      <c r="J186" s="19"/>
      <c r="K186" s="88"/>
      <c r="L186" s="88"/>
      <c r="M186" s="55"/>
      <c r="N186" s="55"/>
      <c r="O186" s="55"/>
      <c r="P186" s="6">
        <v>5337359000</v>
      </c>
      <c r="Q186" s="6">
        <v>419795000</v>
      </c>
      <c r="R186" s="6">
        <f>IF(Tabela3[[#This Row],[Ativo || Passivo]]&gt;0,Tabela3[[#This Row],[Ativo || Passivo]]-Tabela3[[#This Row],[Patrimônio Líquido]],0)</f>
        <v>0</v>
      </c>
      <c r="S186" s="6">
        <f>Tabela3[[#This Row],[Cotação]]*Tabela3[[#This Row],[Total Ações]]</f>
        <v>3761681634.9000001</v>
      </c>
      <c r="T186" s="134">
        <f>IF(Tabela3[[#This Row],[Passivo Circulante]]&gt;0,Tabela3[[#This Row],[Ativo Circulante]]/Tabela3[[#This Row],[Passivo Circulante]],0)</f>
        <v>0</v>
      </c>
      <c r="U186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86" s="19">
        <f>IF(Tabela3[[#This Row],[Lucro Líquido]]&gt;0,Tabela3[[#This Row],[Lucro Líquido]]/Tabela3[[#This Row],[Patrimônio Líquido]],0)</f>
        <v>7.8652194840182196E-2</v>
      </c>
      <c r="W186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86" s="19">
        <f>IF(Tabela3[[#This Row],[Dívida]]&gt;0,Tabela3[[#This Row],[Dívida]]/Tabela3[[#This Row],[Patrimônio Líquido]],0)</f>
        <v>0</v>
      </c>
      <c r="Y186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86" s="6">
        <f>Tabela3[[#This Row],[Capital Social]]*20%</f>
        <v>554797122.93200004</v>
      </c>
      <c r="AA186" s="6">
        <f>IF((Tabela3[Lucro Líquido]*5%)&gt;Tabela3[Teto R. Legal],Tabela3[Teto R. Legal],Tabela3[Lucro Líquido]*5%)</f>
        <v>20989750</v>
      </c>
      <c r="AB186" s="6">
        <f>IF(Tabela3[Lucro Líquido]&lt;0,0,Tabela3[Lucro Líquido]-Tabela3[Reserva Legal])</f>
        <v>398805250</v>
      </c>
      <c r="AC186" s="6">
        <f>Tabela3[[#This Row],[Lucro Distribuir]]*Tabela3[%Div]</f>
        <v>99701312.5</v>
      </c>
      <c r="AD186" s="21">
        <f>SUMPRODUCT(N(Tabela3[Nome]=Tabela3[[#This Row],[Nome]]),Tabela3[Ações])</f>
        <v>119684430</v>
      </c>
      <c r="AE186" s="6">
        <f>Tabela3[Capital Social]/Tabela3[Total Ações]</f>
        <v>23.177497813708932</v>
      </c>
      <c r="AF186" s="78">
        <f>Tabela3[[#This Row],[Lucro Líquido]]/Tabela3[[#This Row],[Total Ações]]</f>
        <v>3.5075155556992668</v>
      </c>
      <c r="AG186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0.83303494447857585</v>
      </c>
      <c r="AH186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86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86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0.83303494447857585</v>
      </c>
      <c r="AK186" s="6">
        <f>Tabela3[Div Base]*Tabela3[Ações]</f>
        <v>99701312.5</v>
      </c>
      <c r="AL186" s="6">
        <f>SUMPRODUCT(N(Tabela3[Nome]=Tabela3[[#This Row],[Nome]]),Tabela3[Div Base]*Tabela3[Ações])</f>
        <v>99701312.5</v>
      </c>
      <c r="AM186" s="6">
        <f>Tabela3[Patrimônio Líquido]/Tabela3[Total Ações]</f>
        <v>44.595266067607959</v>
      </c>
      <c r="AN186" s="48">
        <f>MAX(Tabela3[[#This Row],[Cotação 1]:[Cotação 5]])</f>
        <v>31.43</v>
      </c>
      <c r="AO186" s="44">
        <f>Tabela3[Cotação]/Tabela3[VPA]</f>
        <v>0.70478332727852855</v>
      </c>
      <c r="AP186" s="40">
        <f>IF(Tabela3[[#This Row],[Lucro/Ação]]&gt;0,Tabela3[[#This Row],[Cotação]]/(Tabela3[[#This Row],[Lucro/Ação]]/Tabela3[Ref]*4),0)</f>
        <v>8.9607585485772816</v>
      </c>
      <c r="AQ186" s="78">
        <f>Tabela3[Lucro Distribuir]/Tabela3[Total Ações]</f>
        <v>3.3321397779143034</v>
      </c>
      <c r="AR186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0.83303494447857585</v>
      </c>
      <c r="AS186" s="15" t="str">
        <f>IF(AND(Tabela3[% A.A.]&gt;=6%,SUMPRODUCT(N(Tabela3[Nome]=Tabela3[[#This Row],[Nome]]),Tabela3[PL])&gt;0,Tabela3[Rentabilidade s/ PL]&gt;=Tabela3[Rentabilidade s/ PL Média]),"Sim","Não")</f>
        <v>Não</v>
      </c>
      <c r="AT186" s="42">
        <f>IF(Tabela3[Cotação]&gt;0,Tabela3[[#This Row],[Lucro]]/Tabela3[[#This Row],[Cotação]],0)</f>
        <v>2.6504452576473936E-2</v>
      </c>
      <c r="AU186" s="19">
        <f>((1+Tabela3[[#This Row],[% Yield]])^(1/(3*Tabela3[[#This Row],[Ref]])))^(12)-1</f>
        <v>2.6504452576473936E-2</v>
      </c>
      <c r="AV186" s="14">
        <f>IF(Tabela3[Cotação]&gt;0,($BH$1/Tabela3[[#This Row],[Cotação]]-MOD($BH$1/Tabela3[[#This Row],[Cotação]],100)),)</f>
        <v>0</v>
      </c>
      <c r="AW186" s="17">
        <f>Tabela3[[#This Row],[Ativos]]*Tabela3[Lucro]</f>
        <v>0</v>
      </c>
      <c r="AX186" s="5">
        <f>SUMPRODUCT(N(Tabela1[Código]=Tabela3[[#This Row],[PAPEL]]),Tabela1[Fechamento])</f>
        <v>31.43</v>
      </c>
      <c r="AY186" s="5">
        <f>SUMPRODUCT(N(Tabela17[Código]=Tabela3[[#This Row],[PAPEL]]),Tabela17[Fechamento])</f>
        <v>0</v>
      </c>
      <c r="AZ186" s="7">
        <f>SUMPRODUCT(N(Tabela176[Código]=Tabela3[[#This Row],[PAPEL]]),Tabela176[Fechamento])</f>
        <v>0</v>
      </c>
      <c r="BA186" s="7">
        <f>SUMPRODUCT(N(Tabela1768[Código]=Tabela3[[#This Row],[PAPEL]]),Tabela1768[Fechamento])</f>
        <v>0</v>
      </c>
      <c r="BB186" s="7">
        <f>SUMPRODUCT(N(Tabela17683[Código]=Tabela3[[#This Row],[PAPEL]]),Tabela17683[Fechamento])</f>
        <v>0</v>
      </c>
    </row>
    <row r="187" spans="1:54" hidden="1" x14ac:dyDescent="0.2">
      <c r="A187" s="3" t="s">
        <v>40</v>
      </c>
      <c r="B187" s="57" t="s">
        <v>260</v>
      </c>
      <c r="C187" s="14" t="str">
        <f>LEFT(Tabela3[PAPEL],LEN(Tabela3[PAPEL])-(LEN(Tabela3[PAPEL])-4))</f>
        <v>ELEK</v>
      </c>
      <c r="D187" s="16">
        <v>4</v>
      </c>
      <c r="E187" s="5">
        <v>321000000</v>
      </c>
      <c r="F187" s="56">
        <v>14518150</v>
      </c>
      <c r="G187" s="86">
        <v>0.25</v>
      </c>
      <c r="H187" s="16"/>
      <c r="J187" s="18"/>
      <c r="K187" s="87"/>
      <c r="L187" s="87"/>
      <c r="M187" s="54"/>
      <c r="N187" s="54"/>
      <c r="O187" s="54"/>
      <c r="P187" s="5">
        <v>504080000</v>
      </c>
      <c r="Q187" s="5">
        <v>39390000</v>
      </c>
      <c r="R187" s="5">
        <f>IF(Tabela3[[#This Row],[Ativo || Passivo]]&gt;0,Tabela3[[#This Row],[Ativo || Passivo]]-Tabela3[[#This Row],[Patrimônio Líquido]],0)</f>
        <v>0</v>
      </c>
      <c r="S187" s="5">
        <f>Tabela3[[#This Row],[Cotação]]*Tabela3[[#This Row],[Total Ações]]</f>
        <v>314851700</v>
      </c>
      <c r="T187" s="132">
        <f>IF(Tabela3[[#This Row],[Passivo Circulante]]&gt;0,Tabela3[[#This Row],[Ativo Circulante]]/Tabela3[[#This Row],[Passivo Circulante]],0)</f>
        <v>0</v>
      </c>
      <c r="U187" s="132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87" s="18">
        <f>IF(Tabela3[[#This Row],[Lucro Líquido]]&gt;0,Tabela3[[#This Row],[Lucro Líquido]]/Tabela3[[#This Row],[Patrimônio Líquido]],0)</f>
        <v>7.8142358355816538E-2</v>
      </c>
      <c r="W187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87" s="18">
        <f>IF(Tabela3[[#This Row],[Dívida]]&gt;0,Tabela3[[#This Row],[Dívida]]/Tabela3[[#This Row],[Patrimônio Líquido]],0)</f>
        <v>0</v>
      </c>
      <c r="Y187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87" s="5">
        <f>Tabela3[[#This Row],[Capital Social]]*20%</f>
        <v>64200000</v>
      </c>
      <c r="AA187" s="5">
        <f>IF((Tabela3[Lucro Líquido]*5%)&gt;Tabela3[Teto R. Legal],Tabela3[Teto R. Legal],Tabela3[Lucro Líquido]*5%)</f>
        <v>1969500</v>
      </c>
      <c r="AB187" s="5">
        <f>IF(Tabela3[Lucro Líquido]&lt;0,0,Tabela3[Lucro Líquido]-Tabela3[Reserva Legal])</f>
        <v>37420500</v>
      </c>
      <c r="AC187" s="5">
        <f>Tabela3[[#This Row],[Lucro Distribuir]]*Tabela3[%Div]</f>
        <v>9355125</v>
      </c>
      <c r="AD187" s="21">
        <f>SUMPRODUCT(N(Tabela3[Nome]=Tabela3[[#This Row],[Nome]]),Tabela3[Ações])</f>
        <v>31485170</v>
      </c>
      <c r="AE187" s="5">
        <f>Tabela3[Capital Social]/Tabela3[Total Ações]</f>
        <v>10.195276061714134</v>
      </c>
      <c r="AF187" s="77">
        <f>Tabela3[[#This Row],[Lucro Líquido]]/Tabela3[[#This Row],[Total Ações]]</f>
        <v>1.2510651840215568</v>
      </c>
      <c r="AG187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0.29712798120511974</v>
      </c>
      <c r="AH187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87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87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0.29712798120511974</v>
      </c>
      <c r="AK187" s="5">
        <f>Tabela3[Div Base]*Tabela3[Ações]</f>
        <v>4313748.6003331095</v>
      </c>
      <c r="AL187" s="5">
        <f>SUMPRODUCT(N(Tabela3[Nome]=Tabela3[[#This Row],[Nome]]),Tabela3[Div Base]*Tabela3[Ações])</f>
        <v>9355125</v>
      </c>
      <c r="AM187" s="5">
        <f>Tabela3[Patrimônio Líquido]/Tabela3[Total Ações]</f>
        <v>16.010077125198944</v>
      </c>
      <c r="AN187" s="52">
        <f>MAX(Tabela3[[#This Row],[Cotação 1]:[Cotação 5]])</f>
        <v>10</v>
      </c>
      <c r="AO187" s="53">
        <f>Tabela3[Cotação]/Tabela3[VPA]</f>
        <v>0.62460661006189488</v>
      </c>
      <c r="AP187" s="37">
        <f>IF(Tabela3[[#This Row],[Lucro/Ação]]&gt;0,Tabela3[[#This Row],[Cotação]]/(Tabela3[[#This Row],[Lucro/Ação]]/Tabela3[Ref]*4),0)</f>
        <v>7.9931886265549634</v>
      </c>
      <c r="AQ187" s="77">
        <f>Tabela3[Lucro Distribuir]/Tabela3[Total Ações]</f>
        <v>1.188511924820479</v>
      </c>
      <c r="AR187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0.29712798120511974</v>
      </c>
      <c r="AS187" s="16" t="str">
        <f>IF(AND(Tabela3[% A.A.]&gt;=6%,SUMPRODUCT(N(Tabela3[Nome]=Tabela3[[#This Row],[Nome]]),Tabela3[PL])&gt;0,Tabela3[Rentabilidade s/ PL]&gt;=Tabela3[Rentabilidade s/ PL Média]),"Sim","Não")</f>
        <v>Não</v>
      </c>
      <c r="AT187" s="22">
        <f>IF(Tabela3[Cotação]&gt;0,Tabela3[[#This Row],[Lucro]]/Tabela3[[#This Row],[Cotação]],0)</f>
        <v>2.9712798120511974E-2</v>
      </c>
      <c r="AU187" s="18">
        <f>((1+Tabela3[[#This Row],[% Yield]])^(1/(3*Tabela3[[#This Row],[Ref]])))^(12)-1</f>
        <v>2.9712798120510531E-2</v>
      </c>
      <c r="AV187" s="10">
        <f>IF(Tabela3[Cotação]&gt;0,($BH$1/Tabela3[[#This Row],[Cotação]]-MOD($BH$1/Tabela3[[#This Row],[Cotação]],100)),)</f>
        <v>0</v>
      </c>
      <c r="AW187" s="7">
        <f>Tabela3[[#This Row],[Ativos]]*Tabela3[Lucro]</f>
        <v>0</v>
      </c>
      <c r="AX187" s="47">
        <f>SUMPRODUCT(N(Tabela1[Código]=Tabela3[[#This Row],[PAPEL]]),Tabela1[Fechamento])</f>
        <v>0</v>
      </c>
      <c r="AY187" s="47">
        <f>SUMPRODUCT(N(Tabela17[Código]=Tabela3[[#This Row],[PAPEL]]),Tabela17[Fechamento])</f>
        <v>10</v>
      </c>
      <c r="AZ187" s="7">
        <f>SUMPRODUCT(N(Tabela176[Código]=Tabela3[[#This Row],[PAPEL]]),Tabela176[Fechamento])</f>
        <v>0</v>
      </c>
      <c r="BA187" s="7">
        <f>SUMPRODUCT(N(Tabela1768[Código]=Tabela3[[#This Row],[PAPEL]]),Tabela1768[Fechamento])</f>
        <v>0</v>
      </c>
      <c r="BB187" s="7">
        <f>SUMPRODUCT(N(Tabela17683[Código]=Tabela3[[#This Row],[PAPEL]]),Tabela17683[Fechamento])</f>
        <v>0</v>
      </c>
    </row>
    <row r="188" spans="1:54" hidden="1" x14ac:dyDescent="0.2">
      <c r="A188" s="4" t="s">
        <v>40</v>
      </c>
      <c r="B188" s="57" t="s">
        <v>261</v>
      </c>
      <c r="C188" s="14" t="str">
        <f>LEFT(Tabela3[PAPEL],LEN(Tabela3[PAPEL])-(LEN(Tabela3[PAPEL])-4))</f>
        <v>ELEK</v>
      </c>
      <c r="D188" s="15">
        <v>4</v>
      </c>
      <c r="E188" s="5">
        <v>321000000</v>
      </c>
      <c r="F188" s="8">
        <v>16967020</v>
      </c>
      <c r="G188" s="81">
        <v>0.25</v>
      </c>
      <c r="H188" s="15"/>
      <c r="I188" s="19"/>
      <c r="J188" s="19"/>
      <c r="K188" s="88"/>
      <c r="L188" s="88"/>
      <c r="M188" s="55"/>
      <c r="N188" s="55"/>
      <c r="O188" s="55"/>
      <c r="P188" s="5">
        <v>504080000</v>
      </c>
      <c r="Q188" s="5">
        <v>39390000</v>
      </c>
      <c r="R188" s="5">
        <f>IF(Tabela3[[#This Row],[Ativo || Passivo]]&gt;0,Tabela3[[#This Row],[Ativo || Passivo]]-Tabela3[[#This Row],[Patrimônio Líquido]],0)</f>
        <v>0</v>
      </c>
      <c r="S188" s="5">
        <f>Tabela3[[#This Row],[Cotação]]*Tabela3[[#This Row],[Total Ações]]</f>
        <v>292812081</v>
      </c>
      <c r="T188" s="132">
        <f>IF(Tabela3[[#This Row],[Passivo Circulante]]&gt;0,Tabela3[[#This Row],[Ativo Circulante]]/Tabela3[[#This Row],[Passivo Circulante]],0)</f>
        <v>0</v>
      </c>
      <c r="U188" s="132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88" s="18">
        <f>IF(Tabela3[[#This Row],[Lucro Líquido]]&gt;0,Tabela3[[#This Row],[Lucro Líquido]]/Tabela3[[#This Row],[Patrimônio Líquido]],0)</f>
        <v>7.8142358355816538E-2</v>
      </c>
      <c r="W188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88" s="18">
        <f>IF(Tabela3[[#This Row],[Dívida]]&gt;0,Tabela3[[#This Row],[Dívida]]/Tabela3[[#This Row],[Patrimônio Líquido]],0)</f>
        <v>0</v>
      </c>
      <c r="Y188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88" s="5">
        <f>Tabela3[[#This Row],[Capital Social]]*20%</f>
        <v>64200000</v>
      </c>
      <c r="AA188" s="5">
        <f>IF((Tabela3[Lucro Líquido]*5%)&gt;Tabela3[Teto R. Legal],Tabela3[Teto R. Legal],Tabela3[Lucro Líquido]*5%)</f>
        <v>1969500</v>
      </c>
      <c r="AB188" s="5">
        <f>IF(Tabela3[Lucro Líquido]&lt;0,0,Tabela3[Lucro Líquido]-Tabela3[Reserva Legal])</f>
        <v>37420500</v>
      </c>
      <c r="AC188" s="5">
        <f>Tabela3[[#This Row],[Lucro Distribuir]]*Tabela3[%Div]</f>
        <v>9355125</v>
      </c>
      <c r="AD188" s="21">
        <f>SUMPRODUCT(N(Tabela3[Nome]=Tabela3[[#This Row],[Nome]]),Tabela3[Ações])</f>
        <v>31485170</v>
      </c>
      <c r="AE188" s="5">
        <f>Tabela3[Capital Social]/Tabela3[Total Ações]</f>
        <v>10.195276061714134</v>
      </c>
      <c r="AF188" s="78">
        <f>Tabela3[[#This Row],[Lucro Líquido]]/Tabela3[[#This Row],[Total Ações]]</f>
        <v>1.2510651840215568</v>
      </c>
      <c r="AG188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0.29712798120511974</v>
      </c>
      <c r="AH188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88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88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0.29712798120511974</v>
      </c>
      <c r="AK188" s="5">
        <f>Tabela3[Div Base]*Tabela3[Ações]</f>
        <v>5041376.3996668905</v>
      </c>
      <c r="AL188" s="5">
        <f>SUMPRODUCT(N(Tabela3[Nome]=Tabela3[[#This Row],[Nome]]),Tabela3[Div Base]*Tabela3[Ações])</f>
        <v>9355125</v>
      </c>
      <c r="AM188" s="6">
        <f>Tabela3[Patrimônio Líquido]/Tabela3[Total Ações]</f>
        <v>16.010077125198944</v>
      </c>
      <c r="AN188" s="48">
        <f>MAX(Tabela3[[#This Row],[Cotação 1]:[Cotação 5]])</f>
        <v>9.3000000000000007</v>
      </c>
      <c r="AO188" s="44">
        <f>Tabela3[Cotação]/Tabela3[VPA]</f>
        <v>0.58088414735756233</v>
      </c>
      <c r="AP188" s="40">
        <f>IF(Tabela3[[#This Row],[Lucro/Ação]]&gt;0,Tabela3[[#This Row],[Cotação]]/(Tabela3[[#This Row],[Lucro/Ação]]/Tabela3[Ref]*4),0)</f>
        <v>7.4336654226961167</v>
      </c>
      <c r="AQ188" s="78">
        <f>Tabela3[Lucro Distribuir]/Tabela3[Total Ações]</f>
        <v>1.188511924820479</v>
      </c>
      <c r="AR188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0.29712798120511974</v>
      </c>
      <c r="AS188" s="15" t="str">
        <f>IF(AND(Tabela3[% A.A.]&gt;=6%,SUMPRODUCT(N(Tabela3[Nome]=Tabela3[[#This Row],[Nome]]),Tabela3[PL])&gt;0,Tabela3[Rentabilidade s/ PL]&gt;=Tabela3[Rentabilidade s/ PL Média]),"Sim","Não")</f>
        <v>Não</v>
      </c>
      <c r="AT188" s="42">
        <f>IF(Tabela3[Cotação]&gt;0,Tabela3[[#This Row],[Lucro]]/Tabela3[[#This Row],[Cotação]],0)</f>
        <v>3.1949245290873091E-2</v>
      </c>
      <c r="AU188" s="19">
        <f>((1+Tabela3[[#This Row],[% Yield]])^(1/(3*Tabela3[[#This Row],[Ref]])))^(12)-1</f>
        <v>3.1949245290873618E-2</v>
      </c>
      <c r="AV188" s="14">
        <f>IF(Tabela3[Cotação]&gt;0,($BH$1/Tabela3[[#This Row],[Cotação]]-MOD($BH$1/Tabela3[[#This Row],[Cotação]],100)),)</f>
        <v>0</v>
      </c>
      <c r="AW188" s="17">
        <f>Tabela3[[#This Row],[Ativos]]*Tabela3[Lucro]</f>
        <v>0</v>
      </c>
      <c r="AX188" s="13">
        <f>SUMPRODUCT(N(Tabela1[Código]=Tabela3[[#This Row],[PAPEL]]),Tabela1[Fechamento])</f>
        <v>0</v>
      </c>
      <c r="AY188" s="13">
        <f>SUMPRODUCT(N(Tabela17[Código]=Tabela3[[#This Row],[PAPEL]]),Tabela17[Fechamento])</f>
        <v>9.3000000000000007</v>
      </c>
      <c r="AZ188" s="7">
        <f>SUMPRODUCT(N(Tabela176[Código]=Tabela3[[#This Row],[PAPEL]]),Tabela176[Fechamento])</f>
        <v>0</v>
      </c>
      <c r="BA188" s="7">
        <f>SUMPRODUCT(N(Tabela1768[Código]=Tabela3[[#This Row],[PAPEL]]),Tabela1768[Fechamento])</f>
        <v>0</v>
      </c>
      <c r="BB188" s="7">
        <f>SUMPRODUCT(N(Tabela17683[Código]=Tabela3[[#This Row],[PAPEL]]),Tabela17683[Fechamento])</f>
        <v>0</v>
      </c>
    </row>
    <row r="189" spans="1:54" hidden="1" x14ac:dyDescent="0.2">
      <c r="A189" s="4" t="s">
        <v>12</v>
      </c>
      <c r="B189" s="57" t="s">
        <v>473</v>
      </c>
      <c r="C189" s="14" t="str">
        <f>LEFT(Tabela3[PAPEL],LEN(Tabela3[PAPEL])-(LEN(Tabela3[PAPEL])-4))</f>
        <v>CLSC</v>
      </c>
      <c r="D189" s="15">
        <v>3</v>
      </c>
      <c r="E189" s="6">
        <v>1017700000</v>
      </c>
      <c r="F189" s="8">
        <v>15527137</v>
      </c>
      <c r="G189" s="86">
        <v>0.25</v>
      </c>
      <c r="H189" s="19"/>
      <c r="I189" s="19"/>
      <c r="J189" s="19"/>
      <c r="K189" s="88"/>
      <c r="L189" s="88"/>
      <c r="M189" s="13">
        <v>1938606000</v>
      </c>
      <c r="N189" s="13">
        <v>36406000</v>
      </c>
      <c r="O189" s="13">
        <v>3468000</v>
      </c>
      <c r="P189" s="89">
        <v>1927248000</v>
      </c>
      <c r="Q189" s="89">
        <v>149553000</v>
      </c>
      <c r="R189" s="89">
        <f>IF(Tabela3[[#This Row],[Ativo || Passivo]]&gt;0,Tabela3[[#This Row],[Ativo || Passivo]]-Tabela3[[#This Row],[Patrimônio Líquido]],0)</f>
        <v>11358000</v>
      </c>
      <c r="S189" s="89">
        <f>Tabela3[[#This Row],[Cotação]]*Tabela3[[#This Row],[Total Ações]]</f>
        <v>1542863640</v>
      </c>
      <c r="T189" s="134">
        <f>IF(Tabela3[[#This Row],[Passivo Circulante]]&gt;0,Tabela3[[#This Row],[Ativo Circulante]]/Tabela3[[#This Row],[Passivo Circulante]],0)</f>
        <v>10.497693194925029</v>
      </c>
      <c r="U189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89" s="19">
        <f>IF(Tabela3[[#This Row],[Lucro Líquido]]&gt;0,Tabela3[[#This Row],[Lucro Líquido]]/Tabela3[[#This Row],[Patrimônio Líquido]],0)</f>
        <v>7.7599250330004241E-2</v>
      </c>
      <c r="W189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89" s="19">
        <f>IF(Tabela3[[#This Row],[Dívida]]&gt;0,Tabela3[[#This Row],[Dívida]]/Tabela3[[#This Row],[Patrimônio Líquido]],0)</f>
        <v>5.8933774999377353E-3</v>
      </c>
      <c r="Y189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89" s="6">
        <f>Tabela3[[#This Row],[Capital Social]]*20%</f>
        <v>203540000</v>
      </c>
      <c r="AA189" s="6">
        <f>IF((Tabela3[Lucro Líquido]*5%)&gt;Tabela3[Teto R. Legal],Tabela3[Teto R. Legal],Tabela3[Lucro Líquido]*5%)</f>
        <v>7477650</v>
      </c>
      <c r="AB189" s="89">
        <f>IF(Tabela3[Lucro Líquido]&lt;0,0,Tabela3[Lucro Líquido]-Tabela3[Reserva Legal])</f>
        <v>142075350</v>
      </c>
      <c r="AC189" s="89">
        <f>Tabela3[[#This Row],[Lucro Distribuir]]*Tabela3[%Div]</f>
        <v>35518837.5</v>
      </c>
      <c r="AD189" s="56">
        <f>SUMPRODUCT(N(Tabela3[Nome]=Tabela3[[#This Row],[Nome]]),Tabela3[Ações])</f>
        <v>38571591</v>
      </c>
      <c r="AE189" s="6">
        <f>Tabela3[Capital Social]/Tabela3[Total Ações]</f>
        <v>26.384703705895877</v>
      </c>
      <c r="AF189" s="78">
        <f>Tabela3[[#This Row],[Lucro Líquido]]/Tabela3[[#This Row],[Total Ações]]</f>
        <v>3.8772836723276467</v>
      </c>
      <c r="AG189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0.92085487217781603</v>
      </c>
      <c r="AH189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89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89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0.92085487217781603</v>
      </c>
      <c r="AK189" s="6">
        <f>Tabela3[Div Base]*Tabela3[Ações]</f>
        <v>14298239.757422438</v>
      </c>
      <c r="AL189" s="6">
        <f>SUMPRODUCT(N(Tabela3[Nome]=Tabela3[[#This Row],[Nome]]),Tabela3[Div Base]*Tabela3[Ações])</f>
        <v>35518837.5</v>
      </c>
      <c r="AM189" s="6">
        <f>Tabela3[Patrimônio Líquido]/Tabela3[Total Ações]</f>
        <v>49.965478478707297</v>
      </c>
      <c r="AN189" s="48">
        <f>MAX(Tabela3[[#This Row],[Cotação 1]:[Cotação 5]])</f>
        <v>40</v>
      </c>
      <c r="AO189" s="44">
        <f>Tabela3[Cotação]/Tabela3[VPA]</f>
        <v>0.80055272595950289</v>
      </c>
      <c r="AP189" s="40">
        <f>IF(Tabela3[[#This Row],[Lucro/Ação]]&gt;0,Tabela3[[#This Row],[Cotação]]/(Tabela3[[#This Row],[Lucro/Ação]]/Tabela3[Ref]*4),0)</f>
        <v>7.7373755792260939</v>
      </c>
      <c r="AQ189" s="78">
        <f>Tabela3[Lucro Distribuir]/Tabela3[Total Ações]</f>
        <v>3.6834194887112641</v>
      </c>
      <c r="AR189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0.92085487217781603</v>
      </c>
      <c r="AS189" s="15" t="str">
        <f>IF(AND(Tabela3[% A.A.]&gt;=6%,SUMPRODUCT(N(Tabela3[Nome]=Tabela3[[#This Row],[Nome]]),Tabela3[PL])&gt;0,Tabela3[Rentabilidade s/ PL]&gt;=Tabela3[Rentabilidade s/ PL Média]),"Sim","Não")</f>
        <v>Não</v>
      </c>
      <c r="AT189" s="42">
        <f>IF(Tabela3[Cotação]&gt;0,Tabela3[[#This Row],[Lucro]]/Tabela3[[#This Row],[Cotação]],0)</f>
        <v>2.3021371804445401E-2</v>
      </c>
      <c r="AU189" s="19">
        <f>((1+Tabela3[[#This Row],[% Yield]])^(1/(3*Tabela3[[#This Row],[Ref]])))^(12)-1</f>
        <v>3.0812339723838456E-2</v>
      </c>
      <c r="AV189" s="14">
        <f>IF(Tabela3[Cotação]&gt;0,($BH$1/Tabela3[[#This Row],[Cotação]]-MOD($BH$1/Tabela3[[#This Row],[Cotação]],100)),)</f>
        <v>0</v>
      </c>
      <c r="AW189" s="17">
        <f>Tabela3[[#This Row],[Ativos]]*Tabela3[Lucro]</f>
        <v>0</v>
      </c>
      <c r="AX189" s="5">
        <f>SUMPRODUCT(N(Tabela1[Código]=Tabela3[[#This Row],[PAPEL]]),Tabela1[Fechamento])</f>
        <v>0</v>
      </c>
      <c r="AY189" s="5">
        <f>SUMPRODUCT(N(Tabela17[Código]=Tabela3[[#This Row],[PAPEL]]),Tabela17[Fechamento])</f>
        <v>40</v>
      </c>
      <c r="AZ189" s="7">
        <f>SUMPRODUCT(N(Tabela176[Código]=Tabela3[[#This Row],[PAPEL]]),Tabela176[Fechamento])</f>
        <v>0</v>
      </c>
      <c r="BA189" s="7">
        <f>SUMPRODUCT(N(Tabela1768[Código]=Tabela3[[#This Row],[PAPEL]]),Tabela1768[Fechamento])</f>
        <v>0</v>
      </c>
      <c r="BB189" s="7">
        <f>SUMPRODUCT(N(Tabela17683[Código]=Tabela3[[#This Row],[PAPEL]]),Tabela17683[Fechamento])</f>
        <v>0</v>
      </c>
    </row>
    <row r="190" spans="1:54" hidden="1" x14ac:dyDescent="0.2">
      <c r="A190" s="4" t="s">
        <v>12</v>
      </c>
      <c r="B190" s="57" t="s">
        <v>71</v>
      </c>
      <c r="C190" s="14" t="str">
        <f>LEFT(Tabela3[PAPEL],LEN(Tabela3[PAPEL])-(LEN(Tabela3[PAPEL])-4))</f>
        <v>CLSC</v>
      </c>
      <c r="D190" s="15">
        <v>3</v>
      </c>
      <c r="E190" s="6">
        <v>1017700000</v>
      </c>
      <c r="F190" s="8">
        <v>23044454</v>
      </c>
      <c r="G190" s="86">
        <v>0.25</v>
      </c>
      <c r="H190" s="15"/>
      <c r="I190" s="19"/>
      <c r="J190" s="19"/>
      <c r="K190" s="88"/>
      <c r="L190" s="88"/>
      <c r="M190" s="13">
        <v>1938606000</v>
      </c>
      <c r="N190" s="13">
        <v>36406000</v>
      </c>
      <c r="O190" s="13">
        <v>3468000</v>
      </c>
      <c r="P190" s="89">
        <v>1927248000</v>
      </c>
      <c r="Q190" s="89">
        <v>149553000</v>
      </c>
      <c r="R190" s="89">
        <f>IF(Tabela3[[#This Row],[Ativo || Passivo]]&gt;0,Tabela3[[#This Row],[Ativo || Passivo]]-Tabela3[[#This Row],[Patrimônio Líquido]],0)</f>
        <v>11358000</v>
      </c>
      <c r="S190" s="13">
        <f>Tabela3[[#This Row],[Cotação]]*Tabela3[[#This Row],[Total Ações]]</f>
        <v>613288296.89999998</v>
      </c>
      <c r="T190" s="134">
        <f>IF(Tabela3[[#This Row],[Passivo Circulante]]&gt;0,Tabela3[[#This Row],[Ativo Circulante]]/Tabela3[[#This Row],[Passivo Circulante]],0)</f>
        <v>10.497693194925029</v>
      </c>
      <c r="U190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90" s="19">
        <f>IF(Tabela3[[#This Row],[Lucro Líquido]]&gt;0,Tabela3[[#This Row],[Lucro Líquido]]/Tabela3[[#This Row],[Patrimônio Líquido]],0)</f>
        <v>7.7599250330004241E-2</v>
      </c>
      <c r="W190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90" s="19">
        <f>IF(Tabela3[[#This Row],[Dívida]]&gt;0,Tabela3[[#This Row],[Dívida]]/Tabela3[[#This Row],[Patrimônio Líquido]],0)</f>
        <v>5.8933774999377353E-3</v>
      </c>
      <c r="Y190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90" s="6">
        <f>Tabela3[[#This Row],[Capital Social]]*20%</f>
        <v>203540000</v>
      </c>
      <c r="AA190" s="6">
        <f>IF((Tabela3[Lucro Líquido]*5%)&gt;Tabela3[Teto R. Legal],Tabela3[Teto R. Legal],Tabela3[Lucro Líquido]*5%)</f>
        <v>7477650</v>
      </c>
      <c r="AB190" s="89">
        <f>IF(Tabela3[Lucro Líquido]&lt;0,0,Tabela3[Lucro Líquido]-Tabela3[Reserva Legal])</f>
        <v>142075350</v>
      </c>
      <c r="AC190" s="89">
        <f>Tabela3[[#This Row],[Lucro Distribuir]]*Tabela3[%Div]</f>
        <v>35518837.5</v>
      </c>
      <c r="AD190" s="56">
        <f>SUMPRODUCT(N(Tabela3[Nome]=Tabela3[[#This Row],[Nome]]),Tabela3[Ações])</f>
        <v>38571591</v>
      </c>
      <c r="AE190" s="6">
        <f>Tabela3[Capital Social]/Tabela3[Total Ações]</f>
        <v>26.384703705895877</v>
      </c>
      <c r="AF190" s="78">
        <f>Tabela3[[#This Row],[Lucro Líquido]]/Tabela3[[#This Row],[Total Ações]]</f>
        <v>3.8772836723276467</v>
      </c>
      <c r="AG190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0.92085487217781603</v>
      </c>
      <c r="AH190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90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90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0.92085487217781603</v>
      </c>
      <c r="AK190" s="6">
        <f>Tabela3[Div Base]*Tabela3[Ações]</f>
        <v>21220597.74257756</v>
      </c>
      <c r="AL190" s="6">
        <f>SUMPRODUCT(N(Tabela3[Nome]=Tabela3[[#This Row],[Nome]]),Tabela3[Div Base]*Tabela3[Ações])</f>
        <v>35518837.5</v>
      </c>
      <c r="AM190" s="6">
        <f>Tabela3[Patrimônio Líquido]/Tabela3[Total Ações]</f>
        <v>49.965478478707297</v>
      </c>
      <c r="AN190" s="48">
        <f>MAX(Tabela3[[#This Row],[Cotação 1]:[Cotação 5]])</f>
        <v>15.9</v>
      </c>
      <c r="AO190" s="44">
        <f>Tabela3[Cotação]/Tabela3[VPA]</f>
        <v>0.31821970856890242</v>
      </c>
      <c r="AP190" s="40">
        <f>IF(Tabela3[[#This Row],[Lucro/Ação]]&gt;0,Tabela3[[#This Row],[Cotação]]/(Tabela3[[#This Row],[Lucro/Ação]]/Tabela3[Ref]*4),0)</f>
        <v>3.0756067927423723</v>
      </c>
      <c r="AQ190" s="78">
        <f>Tabela3[Lucro Distribuir]/Tabela3[Total Ações]</f>
        <v>3.6834194887112641</v>
      </c>
      <c r="AR190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0.92085487217781603</v>
      </c>
      <c r="AS190" s="14" t="str">
        <f>IF(AND(Tabela3[% A.A.]&gt;=6%,SUMPRODUCT(N(Tabela3[Nome]=Tabela3[[#This Row],[Nome]]),Tabela3[PL])&gt;0,Tabela3[Rentabilidade s/ PL]&gt;=Tabela3[Rentabilidade s/ PL Média]),"Sim","Não")</f>
        <v>Não</v>
      </c>
      <c r="AT190" s="42">
        <f>IF(Tabela3[Cotação]&gt;0,Tabela3[[#This Row],[Lucro]]/Tabela3[[#This Row],[Cotação]],0)</f>
        <v>5.7915400765900377E-2</v>
      </c>
      <c r="AU190" s="19">
        <f>((1+Tabela3[[#This Row],[% Yield]])^(1/(3*Tabela3[[#This Row],[Ref]])))^(12)-1</f>
        <v>7.7956542247458405E-2</v>
      </c>
      <c r="AV190" s="14">
        <f>IF(Tabela3[Cotação]&gt;0,($BH$1/Tabela3[[#This Row],[Cotação]]-MOD($BH$1/Tabela3[[#This Row],[Cotação]],100)),)</f>
        <v>0</v>
      </c>
      <c r="AW190" s="17">
        <f>Tabela3[[#This Row],[Ativos]]*Tabela3[Lucro]</f>
        <v>0</v>
      </c>
      <c r="AX190" s="5">
        <f>SUMPRODUCT(N(Tabela1[Código]=Tabela3[[#This Row],[PAPEL]]),Tabela1[Fechamento])</f>
        <v>15.9</v>
      </c>
      <c r="AY190" s="5">
        <f>SUMPRODUCT(N(Tabela17[Código]=Tabela3[[#This Row],[PAPEL]]),Tabela17[Fechamento])</f>
        <v>0</v>
      </c>
      <c r="AZ190" s="7">
        <f>SUMPRODUCT(N(Tabela176[Código]=Tabela3[[#This Row],[PAPEL]]),Tabela176[Fechamento])</f>
        <v>0</v>
      </c>
      <c r="BA190" s="7">
        <f>SUMPRODUCT(N(Tabela1768[Código]=Tabela3[[#This Row],[PAPEL]]),Tabela1768[Fechamento])</f>
        <v>0</v>
      </c>
      <c r="BB190" s="7">
        <f>SUMPRODUCT(N(Tabela17683[Código]=Tabela3[[#This Row],[PAPEL]]),Tabela17683[Fechamento])</f>
        <v>0</v>
      </c>
    </row>
    <row r="191" spans="1:54" hidden="1" x14ac:dyDescent="0.2">
      <c r="A191" s="4" t="s">
        <v>583</v>
      </c>
      <c r="B191" s="57" t="s">
        <v>590</v>
      </c>
      <c r="C191" s="15" t="str">
        <f>LEFT(Tabela3[PAPEL],LEN(Tabela3[PAPEL])-(LEN(Tabela3[PAPEL])-4))</f>
        <v>SNSL</v>
      </c>
      <c r="D191" s="15">
        <v>3</v>
      </c>
      <c r="E191" s="6">
        <v>50150513.700000003</v>
      </c>
      <c r="F191" s="8">
        <v>11655683</v>
      </c>
      <c r="G191" s="86">
        <v>0.25</v>
      </c>
      <c r="H191" s="15"/>
      <c r="I191" s="19"/>
      <c r="J191" s="19"/>
      <c r="K191" s="88"/>
      <c r="L191" s="88"/>
      <c r="M191" s="55"/>
      <c r="N191" s="55"/>
      <c r="O191" s="55"/>
      <c r="P191" s="92">
        <v>55043448</v>
      </c>
      <c r="Q191" s="93">
        <v>4261171</v>
      </c>
      <c r="R191" s="93">
        <f>IF(Tabela3[[#This Row],[Ativo || Passivo]]&gt;0,Tabela3[[#This Row],[Ativo || Passivo]]-Tabela3[[#This Row],[Patrimônio Líquido]],0)</f>
        <v>0</v>
      </c>
      <c r="S191" s="93">
        <f>Tabela3[[#This Row],[Cotação]]*Tabela3[[#This Row],[Total Ações]]</f>
        <v>121219103.2</v>
      </c>
      <c r="T191" s="40">
        <f>IF(Tabela3[[#This Row],[Passivo Circulante]]&gt;0,Tabela3[[#This Row],[Ativo Circulante]]/Tabela3[[#This Row],[Passivo Circulante]],0)</f>
        <v>0</v>
      </c>
      <c r="U191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91" s="19">
        <f>IF(Tabela3[[#This Row],[Lucro Líquido]]&gt;0,Tabela3[[#This Row],[Lucro Líquido]]/Tabela3[[#This Row],[Patrimônio Líquido]],0)</f>
        <v>7.7414681580267278E-2</v>
      </c>
      <c r="W191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91" s="19">
        <f>IF(Tabela3[[#This Row],[Dívida]]&gt;0,Tabela3[[#This Row],[Dívida]]/Tabela3[[#This Row],[Patrimônio Líquido]],0)</f>
        <v>0</v>
      </c>
      <c r="Y191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91" s="13">
        <f>Tabela3[[#This Row],[Capital Social]]*20%</f>
        <v>10030102.74</v>
      </c>
      <c r="AA191" s="13">
        <f>IF((Tabela3[Lucro Líquido]*5%)&gt;Tabela3[Teto R. Legal],Tabela3[Teto R. Legal],Tabela3[Lucro Líquido]*5%)</f>
        <v>213058.55000000002</v>
      </c>
      <c r="AB191" s="13">
        <f>IF(Tabela3[Lucro Líquido]&lt;0,0,Tabela3[Lucro Líquido]-Tabela3[Reserva Legal])</f>
        <v>4048112.45</v>
      </c>
      <c r="AC191" s="13">
        <f>Tabela3[[#This Row],[Lucro Distribuir]]*Tabela3[%Div]</f>
        <v>1012028.1125</v>
      </c>
      <c r="AD191" s="56">
        <f>SUMPRODUCT(N(Tabela3[Nome]=Tabela3[[#This Row],[Nome]]),Tabela3[Ações])</f>
        <v>11655683</v>
      </c>
      <c r="AE191" s="6">
        <f>Tabela3[Capital Social]/Tabela3[Total Ações]</f>
        <v>4.3026662358610821</v>
      </c>
      <c r="AF191" s="78">
        <f>Tabela3[[#This Row],[Lucro Líquido]]/Tabela3[[#This Row],[Total Ações]]</f>
        <v>0.3655874134531627</v>
      </c>
      <c r="AG191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8.6827010695126147E-2</v>
      </c>
      <c r="AH191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91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91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8.6827010695126147E-2</v>
      </c>
      <c r="AK191" s="13">
        <f>Tabela3[Div Base]*Tabela3[Ações]</f>
        <v>1012028.1125</v>
      </c>
      <c r="AL191" s="13">
        <f>SUMPRODUCT(N(Tabela3[Nome]=Tabela3[[#This Row],[Nome]]),Tabela3[Div Base]*Tabela3[Ações])</f>
        <v>1012028.1125</v>
      </c>
      <c r="AM191" s="6">
        <f>Tabela3[Patrimônio Líquido]/Tabela3[Total Ações]</f>
        <v>4.722455818333426</v>
      </c>
      <c r="AN191" s="48">
        <f>MAX(Tabela3[[#This Row],[Cotação 1]:[Cotação 5]])</f>
        <v>10.4</v>
      </c>
      <c r="AO191" s="44">
        <f>Tabela3[Cotação]/Tabela3[VPA]</f>
        <v>2.2022440018655809</v>
      </c>
      <c r="AP191" s="40">
        <f>IF(Tabela3[[#This Row],[Lucro/Ação]]&gt;0,Tabela3[[#This Row],[Cotação]]/(Tabela3[[#This Row],[Lucro/Ação]]/Tabela3[Ref]*4),0)</f>
        <v>21.335526642793731</v>
      </c>
      <c r="AQ191" s="78">
        <f>Tabela3[Lucro Distribuir]/Tabela3[Total Ações]</f>
        <v>0.34730804278050459</v>
      </c>
      <c r="AR191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8.6827010695126147E-2</v>
      </c>
      <c r="AS191" s="14" t="str">
        <f>IF(AND(Tabela3[% A.A.]&gt;=6%,SUMPRODUCT(N(Tabela3[Nome]=Tabela3[[#This Row],[Nome]]),Tabela3[PL])&gt;0,Tabela3[Rentabilidade s/ PL]&gt;=Tabela3[Rentabilidade s/ PL Média]),"Sim","Não")</f>
        <v>Não</v>
      </c>
      <c r="AT191" s="42">
        <f>IF(Tabela3[Cotação]&gt;0,Tabela3[[#This Row],[Lucro]]/Tabela3[[#This Row],[Cotação]],0)</f>
        <v>8.3487510283775136E-3</v>
      </c>
      <c r="AU191" s="42">
        <f>((1+Tabela3[[#This Row],[% Yield]])^(1/(3*Tabela3[[#This Row],[Ref]])))^(12)-1</f>
        <v>1.1147128654650951E-2</v>
      </c>
      <c r="AV191" s="14">
        <f>IF(Tabela3[Cotação]&gt;0,($BD$1/Tabela3[[#This Row],[Cotação]]-MOD($BD$1/Tabela3[[#This Row],[Cotação]],100)),)</f>
        <v>0</v>
      </c>
      <c r="AW191" s="17">
        <f>Tabela3[[#This Row],[Ativos]]*Tabela3[Lucro]</f>
        <v>0</v>
      </c>
      <c r="AX191" s="17">
        <f>SUMPRODUCT(N(Tabela1[Código]=Tabela3[[#This Row],[PAPEL]]),Tabela1[Fechamento])</f>
        <v>0</v>
      </c>
      <c r="AY191" s="17">
        <f>SUMPRODUCT(N(Tabela17[Código]=Tabela3[[#This Row],[PAPEL]]),Tabela17[Fechamento])</f>
        <v>0</v>
      </c>
      <c r="AZ191" s="17">
        <f>SUMPRODUCT(N(Tabela176[Código]=Tabela3[[#This Row],[PAPEL]]),Tabela176[Fechamento])</f>
        <v>10.4</v>
      </c>
      <c r="BA191" s="17">
        <f>SUMPRODUCT(N(Tabela1768[Código]=Tabela3[[#This Row],[PAPEL]]),Tabela1768[Fechamento])</f>
        <v>0</v>
      </c>
      <c r="BB191" s="7">
        <f>SUMPRODUCT(N(Tabela17683[Código]=Tabela3[[#This Row],[PAPEL]]),Tabela17683[Fechamento])</f>
        <v>0</v>
      </c>
    </row>
    <row r="192" spans="1:54" hidden="1" x14ac:dyDescent="0.2">
      <c r="A192" s="3" t="s">
        <v>1297</v>
      </c>
      <c r="B192" s="58" t="s">
        <v>1319</v>
      </c>
      <c r="C192" s="16" t="str">
        <f>LEFT(Tabela3[PAPEL],LEN(Tabela3[PAPEL])-(LEN(Tabela3[PAPEL])-4))</f>
        <v>AMAR</v>
      </c>
      <c r="D192" s="16">
        <v>3</v>
      </c>
      <c r="E192" s="5">
        <v>660158639.36000001</v>
      </c>
      <c r="F192" s="56">
        <v>185532726</v>
      </c>
      <c r="G192" s="81">
        <v>0.25</v>
      </c>
      <c r="H192" s="87"/>
      <c r="J192" s="18"/>
      <c r="K192" s="16"/>
      <c r="L192" s="87"/>
      <c r="M192" s="54"/>
      <c r="N192" s="54"/>
      <c r="O192" s="54"/>
      <c r="P192" s="91">
        <v>1107738000</v>
      </c>
      <c r="Q192" s="73">
        <v>85498000</v>
      </c>
      <c r="R192" s="73">
        <f>IF(Tabela3[[#This Row],[Ativo || Passivo]]&gt;0,Tabela3[[#This Row],[Ativo || Passivo]]-Tabela3[[#This Row],[Patrimônio Líquido]],0)</f>
        <v>0</v>
      </c>
      <c r="S192" s="73">
        <f>Tabela3[[#This Row],[Cotação]]*Tabela3[[#This Row],[Total Ações]]</f>
        <v>2487993855.6599998</v>
      </c>
      <c r="T192" s="37">
        <f>IF(Tabela3[[#This Row],[Passivo Circulante]]&gt;0,Tabela3[[#This Row],[Ativo Circulante]]/Tabela3[[#This Row],[Passivo Circulante]],0)</f>
        <v>0</v>
      </c>
      <c r="U192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92" s="18">
        <f>IF(Tabela3[[#This Row],[Lucro Líquido]]&gt;0,Tabela3[[#This Row],[Lucro Líquido]]/Tabela3[[#This Row],[Patrimônio Líquido]],0)</f>
        <v>7.7182510665879472E-2</v>
      </c>
      <c r="W192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92" s="18">
        <f>IF(Tabela3[[#This Row],[Dívida]]&gt;0,Tabela3[[#This Row],[Dívida]]/Tabela3[[#This Row],[Patrimônio Líquido]],0)</f>
        <v>0</v>
      </c>
      <c r="Y192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92" s="7">
        <f>Tabela3[[#This Row],[Capital Social]]*20%</f>
        <v>132031727.87200001</v>
      </c>
      <c r="AA192" s="47">
        <f>IF((Tabela3[Lucro Líquido]*5%)&gt;Tabela3[Teto R. Legal],Tabela3[Teto R. Legal],Tabela3[Lucro Líquido]*5%)</f>
        <v>4274900</v>
      </c>
      <c r="AB192" s="47">
        <f>IF(Tabela3[Lucro Líquido]&lt;0,0,Tabela3[Lucro Líquido]-Tabela3[Reserva Legal])</f>
        <v>81223100</v>
      </c>
      <c r="AC192" s="47">
        <f>Tabela3[[#This Row],[Lucro Distribuir]]*Tabela3[%Div]</f>
        <v>20305775</v>
      </c>
      <c r="AD192" s="56">
        <f>SUMPRODUCT(N(Tabela3[Nome]=Tabela3[[#This Row],[Nome]]),Tabela3[Ações])</f>
        <v>185532726</v>
      </c>
      <c r="AE192" s="85">
        <f>Tabela3[Capital Social]/Tabela3[Total Ações]</f>
        <v>3.5581789455300732</v>
      </c>
      <c r="AF192" s="85">
        <f>Tabela3[[#This Row],[Lucro Líquido]]/Tabela3[[#This Row],[Total Ações]]</f>
        <v>0.46082436151991857</v>
      </c>
      <c r="AG192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0.10944578586098067</v>
      </c>
      <c r="AH192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92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92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0.10944578586098067</v>
      </c>
      <c r="AK192" s="7">
        <f>Tabela3[Div Base]*Tabela3[Ações]</f>
        <v>20305775</v>
      </c>
      <c r="AL192" s="121">
        <f>SUMPRODUCT(N(Tabela3[Nome]=Tabela3[[#This Row],[Nome]]),Tabela3[Div Base]*Tabela3[Ações])</f>
        <v>20305775</v>
      </c>
      <c r="AM192" s="5">
        <f>Tabela3[Patrimônio Líquido]/Tabela3[Total Ações]</f>
        <v>5.9705800905442414</v>
      </c>
      <c r="AN192" s="52">
        <f>MAX(Tabela3[[#This Row],[Cotação 1]:[Cotação 5]])</f>
        <v>13.41</v>
      </c>
      <c r="AO192" s="53">
        <f>Tabela3[Cotação]/Tabela3[VPA]</f>
        <v>2.2460129161047107</v>
      </c>
      <c r="AP192" s="37">
        <f>IF(Tabela3[[#This Row],[Lucro/Ação]]&gt;0,Tabela3[[#This Row],[Cotação]]/(Tabela3[[#This Row],[Lucro/Ação]]/Tabela3[Ref]*4),0)</f>
        <v>21.82501803252708</v>
      </c>
      <c r="AQ192" s="85">
        <f>Tabela3[Lucro Distribuir]/Tabela3[Total Ações]</f>
        <v>0.43778314344392266</v>
      </c>
      <c r="AR192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0.10944578586098067</v>
      </c>
      <c r="AS192" s="10" t="str">
        <f>IF(AND(Tabela3[% A.A.]&gt;=6%,SUMPRODUCT(N(Tabela3[Nome]=Tabela3[[#This Row],[Nome]]),Tabela3[PL])&gt;0,Tabela3[Rentabilidade s/ PL]&gt;=Tabela3[Rentabilidade s/ PL Média]),"Sim","Não")</f>
        <v>Não</v>
      </c>
      <c r="AT192" s="22">
        <f>IF(Tabela3[Cotação]&gt;0,Tabela3[[#This Row],[Lucro]]/Tabela3[[#This Row],[Cotação]],0)</f>
        <v>8.1615052841894596E-3</v>
      </c>
      <c r="AU192" s="22">
        <f>((1+Tabela3[[#This Row],[% Yield]])^(1/(3*Tabela3[[#This Row],[Ref]])))^(12)-1</f>
        <v>1.089678254977211E-2</v>
      </c>
      <c r="AV192" s="10">
        <f>IF(Tabela3[Cotação]&gt;0,($BH$1/Tabela3[[#This Row],[Cotação]]-MOD($BH$1/Tabela3[[#This Row],[Cotação]],100)),)</f>
        <v>0</v>
      </c>
      <c r="AW192" s="7">
        <f>Tabela3[[#This Row],[Ativos]]*Tabela3[Lucro]</f>
        <v>0</v>
      </c>
      <c r="AX192" s="7">
        <f>SUMPRODUCT(N(Tabela1[Código]=Tabela3[[#This Row],[PAPEL]]),Tabela1[Fechamento])</f>
        <v>0</v>
      </c>
      <c r="AY192" s="7">
        <f>SUMPRODUCT(N(Tabela17[Código]=Tabela3[[#This Row],[PAPEL]]),Tabela17[Fechamento])</f>
        <v>0</v>
      </c>
      <c r="AZ192" s="7">
        <f>SUMPRODUCT(N(Tabela176[Código]=Tabela3[[#This Row],[PAPEL]]),Tabela176[Fechamento])</f>
        <v>0</v>
      </c>
      <c r="BA192" s="7">
        <f>SUMPRODUCT(N(Tabela1768[Código]=Tabela3[[#This Row],[PAPEL]]),Tabela1768[Fechamento])</f>
        <v>13.41</v>
      </c>
      <c r="BB192" s="7">
        <f>SUMPRODUCT(N(Tabela17683[Código]=Tabela3[[#This Row],[PAPEL]]),Tabela17683[Fechamento])</f>
        <v>0</v>
      </c>
    </row>
    <row r="193" spans="1:54" hidden="1" x14ac:dyDescent="0.2">
      <c r="A193" s="4" t="s">
        <v>594</v>
      </c>
      <c r="B193" s="57" t="s">
        <v>595</v>
      </c>
      <c r="C193" s="15" t="str">
        <f>LEFT(Tabela3[PAPEL],LEN(Tabela3[PAPEL])-(LEN(Tabela3[PAPEL])-4))</f>
        <v>BEMA</v>
      </c>
      <c r="D193" s="15">
        <v>3</v>
      </c>
      <c r="E193" s="6">
        <v>344601120.56</v>
      </c>
      <c r="F193" s="8">
        <v>51568270</v>
      </c>
      <c r="G193" s="86">
        <v>0.25</v>
      </c>
      <c r="H193" s="15"/>
      <c r="I193" s="19"/>
      <c r="J193" s="19"/>
      <c r="K193" s="88"/>
      <c r="L193" s="88"/>
      <c r="M193" s="55"/>
      <c r="N193" s="55"/>
      <c r="O193" s="55"/>
      <c r="P193" s="92">
        <v>399626000</v>
      </c>
      <c r="Q193" s="93">
        <v>30584000</v>
      </c>
      <c r="R193" s="93">
        <f>IF(Tabela3[[#This Row],[Ativo || Passivo]]&gt;0,Tabela3[[#This Row],[Ativo || Passivo]]-Tabela3[[#This Row],[Patrimônio Líquido]],0)</f>
        <v>0</v>
      </c>
      <c r="S193" s="93">
        <f>Tabela3[[#This Row],[Cotação]]*Tabela3[[#This Row],[Total Ações]]</f>
        <v>395012948.19999999</v>
      </c>
      <c r="T193" s="40">
        <f>IF(Tabela3[[#This Row],[Passivo Circulante]]&gt;0,Tabela3[[#This Row],[Ativo Circulante]]/Tabela3[[#This Row],[Passivo Circulante]],0)</f>
        <v>0</v>
      </c>
      <c r="U193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93" s="19">
        <f>IF(Tabela3[[#This Row],[Lucro Líquido]]&gt;0,Tabela3[[#This Row],[Lucro Líquido]]/Tabela3[[#This Row],[Patrimônio Líquido]],0)</f>
        <v>7.653155700580043E-2</v>
      </c>
      <c r="W193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93" s="19">
        <f>IF(Tabela3[[#This Row],[Dívida]]&gt;0,Tabela3[[#This Row],[Dívida]]/Tabela3[[#This Row],[Patrimônio Líquido]],0)</f>
        <v>0</v>
      </c>
      <c r="Y193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93" s="13">
        <f>Tabela3[[#This Row],[Capital Social]]*20%</f>
        <v>68920224.112000003</v>
      </c>
      <c r="AA193" s="13">
        <f>IF((Tabela3[Lucro Líquido]*5%)&gt;Tabela3[Teto R. Legal],Tabela3[Teto R. Legal],Tabela3[Lucro Líquido]*5%)</f>
        <v>1529200</v>
      </c>
      <c r="AB193" s="13">
        <f>IF(Tabela3[Lucro Líquido]&lt;0,0,Tabela3[Lucro Líquido]-Tabela3[Reserva Legal])</f>
        <v>29054800</v>
      </c>
      <c r="AC193" s="13">
        <f>Tabela3[[#This Row],[Lucro Distribuir]]*Tabela3[%Div]</f>
        <v>7263700</v>
      </c>
      <c r="AD193" s="56">
        <f>SUMPRODUCT(N(Tabela3[Nome]=Tabela3[[#This Row],[Nome]]),Tabela3[Ações])</f>
        <v>51568270</v>
      </c>
      <c r="AE193" s="6">
        <f>Tabela3[Capital Social]/Tabela3[Total Ações]</f>
        <v>6.682425463565095</v>
      </c>
      <c r="AF193" s="78">
        <f>Tabela3[[#This Row],[Lucro Líquido]]/Tabela3[[#This Row],[Total Ações]]</f>
        <v>0.59307787521280042</v>
      </c>
      <c r="AG193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0.14085599536304011</v>
      </c>
      <c r="AH193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93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93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0.14085599536304011</v>
      </c>
      <c r="AK193" s="13">
        <f>Tabela3[Div Base]*Tabela3[Ações]</f>
        <v>7263700</v>
      </c>
      <c r="AL193" s="13">
        <f>SUMPRODUCT(N(Tabela3[Nome]=Tabela3[[#This Row],[Nome]]),Tabela3[Div Base]*Tabela3[Ações])</f>
        <v>7263700</v>
      </c>
      <c r="AM193" s="6">
        <f>Tabela3[Patrimônio Líquido]/Tabela3[Total Ações]</f>
        <v>7.7494552367182381</v>
      </c>
      <c r="AN193" s="48">
        <f>MAX(Tabela3[[#This Row],[Cotação 1]:[Cotação 5]])</f>
        <v>7.66</v>
      </c>
      <c r="AO193" s="44">
        <f>Tabela3[Cotação]/Tabela3[VPA]</f>
        <v>0.98845657739986881</v>
      </c>
      <c r="AP193" s="40">
        <f>IF(Tabela3[[#This Row],[Lucro/Ação]]&gt;0,Tabela3[[#This Row],[Cotação]]/(Tabela3[[#This Row],[Lucro/Ação]]/Tabela3[Ref]*4),0)</f>
        <v>9.6867548767329339</v>
      </c>
      <c r="AQ193" s="78">
        <f>Tabela3[Lucro Distribuir]/Tabela3[Total Ações]</f>
        <v>0.56342398145216044</v>
      </c>
      <c r="AR193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0.14085599536304011</v>
      </c>
      <c r="AS193" s="14" t="str">
        <f>IF(AND(Tabela3[% A.A.]&gt;=6%,SUMPRODUCT(N(Tabela3[Nome]=Tabela3[[#This Row],[Nome]]),Tabela3[PL])&gt;0,Tabela3[Rentabilidade s/ PL]&gt;=Tabela3[Rentabilidade s/ PL Média]),"Sim","Não")</f>
        <v>Não</v>
      </c>
      <c r="AT193" s="42">
        <f>IF(Tabela3[Cotação]&gt;0,Tabela3[[#This Row],[Lucro]]/Tabela3[[#This Row],[Cotação]],0)</f>
        <v>1.8388511144000013E-2</v>
      </c>
      <c r="AU193" s="42">
        <f>((1+Tabela3[[#This Row],[% Yield]])^(1/(3*Tabela3[[#This Row],[Ref]])))^(12)-1</f>
        <v>2.4592851766097157E-2</v>
      </c>
      <c r="AV193" s="14">
        <f>IF(Tabela3[Cotação]&gt;0,($BH$1/Tabela3[[#This Row],[Cotação]]-MOD($BH$1/Tabela3[[#This Row],[Cotação]],100)),)</f>
        <v>0</v>
      </c>
      <c r="AW193" s="17">
        <f>Tabela3[[#This Row],[Ativos]]*Tabela3[Lucro]</f>
        <v>0</v>
      </c>
      <c r="AX193" s="17">
        <f>SUMPRODUCT(N(Tabela1[Código]=Tabela3[[#This Row],[PAPEL]]),Tabela1[Fechamento])</f>
        <v>0</v>
      </c>
      <c r="AY193" s="17">
        <f>SUMPRODUCT(N(Tabela17[Código]=Tabela3[[#This Row],[PAPEL]]),Tabela17[Fechamento])</f>
        <v>0</v>
      </c>
      <c r="AZ193" s="17">
        <f>SUMPRODUCT(N(Tabela176[Código]=Tabela3[[#This Row],[PAPEL]]),Tabela176[Fechamento])</f>
        <v>7.66</v>
      </c>
      <c r="BA193" s="17">
        <f>SUMPRODUCT(N(Tabela1768[Código]=Tabela3[[#This Row],[PAPEL]]),Tabela1768[Fechamento])</f>
        <v>0</v>
      </c>
      <c r="BB193" s="7">
        <f>SUMPRODUCT(N(Tabela17683[Código]=Tabela3[[#This Row],[PAPEL]]),Tabela17683[Fechamento])</f>
        <v>0</v>
      </c>
    </row>
    <row r="194" spans="1:54" hidden="1" x14ac:dyDescent="0.2">
      <c r="A194" s="3" t="s">
        <v>298</v>
      </c>
      <c r="B194" s="58" t="s">
        <v>304</v>
      </c>
      <c r="C194" s="83" t="str">
        <f>LEFT(Tabela3[PAPEL],LEN(Tabela3[PAPEL])-(LEN(Tabela3[PAPEL])-4))</f>
        <v>MOAR</v>
      </c>
      <c r="D194" s="16">
        <v>3</v>
      </c>
      <c r="E194" s="5">
        <v>627358000</v>
      </c>
      <c r="F194" s="21">
        <v>12251221</v>
      </c>
      <c r="G194" s="86">
        <v>0.25</v>
      </c>
      <c r="H194" s="16"/>
      <c r="J194" s="18"/>
      <c r="K194" s="87"/>
      <c r="L194" s="87"/>
      <c r="M194" s="54"/>
      <c r="N194" s="54"/>
      <c r="O194" s="54"/>
      <c r="P194" s="5">
        <v>1185190000</v>
      </c>
      <c r="Q194" s="5">
        <v>90444000</v>
      </c>
      <c r="R194" s="5">
        <f>IF(Tabela3[[#This Row],[Ativo || Passivo]]&gt;0,Tabela3[[#This Row],[Ativo || Passivo]]-Tabela3[[#This Row],[Patrimônio Líquido]],0)</f>
        <v>0</v>
      </c>
      <c r="S194" s="5">
        <f>Tabela3[[#This Row],[Cotação]]*Tabela3[[#This Row],[Total Ações]]</f>
        <v>1911190476</v>
      </c>
      <c r="T194" s="132">
        <f>IF(Tabela3[[#This Row],[Passivo Circulante]]&gt;0,Tabela3[[#This Row],[Ativo Circulante]]/Tabela3[[#This Row],[Passivo Circulante]],0)</f>
        <v>0</v>
      </c>
      <c r="U194" s="132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94" s="18">
        <f>IF(Tabela3[[#This Row],[Lucro Líquido]]&gt;0,Tabela3[[#This Row],[Lucro Líquido]]/Tabela3[[#This Row],[Patrimônio Líquido]],0)</f>
        <v>7.6311814983251625E-2</v>
      </c>
      <c r="W194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94" s="18">
        <f>IF(Tabela3[[#This Row],[Dívida]]&gt;0,Tabela3[[#This Row],[Dívida]]/Tabela3[[#This Row],[Patrimônio Líquido]],0)</f>
        <v>0</v>
      </c>
      <c r="Y194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94" s="5">
        <f>Tabela3[[#This Row],[Capital Social]]*20%</f>
        <v>125471600</v>
      </c>
      <c r="AA194" s="5">
        <f>IF((Tabela3[Lucro Líquido]*5%)&gt;Tabela3[Teto R. Legal],Tabela3[Teto R. Legal],Tabela3[Lucro Líquido]*5%)</f>
        <v>4522200</v>
      </c>
      <c r="AB194" s="5">
        <f>IF(Tabela3[Lucro Líquido]&lt;0,0,Tabela3[Lucro Líquido]-Tabela3[Reserva Legal])</f>
        <v>85921800</v>
      </c>
      <c r="AC194" s="5">
        <f>Tabela3[[#This Row],[Lucro Distribuir]]*Tabela3[%Div]</f>
        <v>21480450</v>
      </c>
      <c r="AD194" s="56">
        <f>SUMPRODUCT(N(Tabela3[Nome]=Tabela3[[#This Row],[Nome]]),Tabela3[Ações])</f>
        <v>12251221</v>
      </c>
      <c r="AE194" s="5">
        <f>Tabela3[Capital Social]/Tabela3[Total Ações]</f>
        <v>51.207793900705894</v>
      </c>
      <c r="AF194" s="77">
        <f>Tabela3[[#This Row],[Lucro Líquido]]/Tabela3[[#This Row],[Total Ações]]</f>
        <v>7.3824478392806725</v>
      </c>
      <c r="AG194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1.7533313618291597</v>
      </c>
      <c r="AH194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94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94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1.7533313618291597</v>
      </c>
      <c r="AK194" s="5">
        <f>Tabela3[Div Base]*Tabela3[Ações]</f>
        <v>21480450</v>
      </c>
      <c r="AL194" s="5">
        <f>SUMPRODUCT(N(Tabela3[Nome]=Tabela3[[#This Row],[Nome]]),Tabela3[Div Base]*Tabela3[Ações])</f>
        <v>21480450</v>
      </c>
      <c r="AM194" s="5">
        <f>Tabela3[Patrimônio Líquido]/Tabela3[Total Ações]</f>
        <v>96.740561614226039</v>
      </c>
      <c r="AN194" s="52">
        <f>MAX(Tabela3[[#This Row],[Cotação 1]:[Cotação 5]])</f>
        <v>156</v>
      </c>
      <c r="AO194" s="53">
        <f>Tabela3[Cotação]/Tabela3[VPA]</f>
        <v>1.6125604130983218</v>
      </c>
      <c r="AP194" s="37">
        <f>IF(Tabela3[[#This Row],[Lucro/Ação]]&gt;0,Tabela3[[#This Row],[Cotação]]/(Tabela3[[#This Row],[Lucro/Ação]]/Tabela3[Ref]*4),0)</f>
        <v>15.848401850869045</v>
      </c>
      <c r="AQ194" s="77">
        <f>Tabela3[Lucro Distribuir]/Tabela3[Total Ações]</f>
        <v>7.0133254473166389</v>
      </c>
      <c r="AR194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1.7533313618291597</v>
      </c>
      <c r="AS194" s="16" t="str">
        <f>IF(AND(Tabela3[% A.A.]&gt;=6%,SUMPRODUCT(N(Tabela3[Nome]=Tabela3[[#This Row],[Nome]]),Tabela3[PL])&gt;0,Tabela3[Rentabilidade s/ PL]&gt;=Tabela3[Rentabilidade s/ PL Média]),"Sim","Não")</f>
        <v>Não</v>
      </c>
      <c r="AT194" s="22">
        <f>IF(Tabela3[Cotação]&gt;0,Tabela3[[#This Row],[Lucro]]/Tabela3[[#This Row],[Cotação]],0)</f>
        <v>1.1239303601468973E-2</v>
      </c>
      <c r="AU194" s="18">
        <f>((1+Tabela3[[#This Row],[% Yield]])^(1/(3*Tabela3[[#This Row],[Ref]])))^(12)-1</f>
        <v>1.5013739892974165E-2</v>
      </c>
      <c r="AV194" s="10">
        <f>IF(Tabela3[Cotação]&gt;0,($BD$1/Tabela3[[#This Row],[Cotação]]-MOD($BD$1/Tabela3[[#This Row],[Cotação]],100)),)</f>
        <v>0</v>
      </c>
      <c r="AW194" s="7">
        <f>Tabela3[[#This Row],[Ativos]]*Tabela3[Lucro]</f>
        <v>0</v>
      </c>
      <c r="AX194" s="47">
        <f>SUMPRODUCT(N(Tabela1[Código]=Tabela3[[#This Row],[PAPEL]]),Tabela1[Fechamento])</f>
        <v>0</v>
      </c>
      <c r="AY194" s="54">
        <f>SUMPRODUCT(N(Tabela17[Código]=Tabela3[[#This Row],[PAPEL]]),Tabela17[Fechamento])</f>
        <v>156</v>
      </c>
      <c r="AZ194" s="7">
        <f>SUMPRODUCT(N(Tabela176[Código]=Tabela3[[#This Row],[PAPEL]]),Tabela176[Fechamento])</f>
        <v>0</v>
      </c>
      <c r="BA194" s="7">
        <f>SUMPRODUCT(N(Tabela1768[Código]=Tabela3[[#This Row],[PAPEL]]),Tabela1768[Fechamento])</f>
        <v>0</v>
      </c>
      <c r="BB194" s="7">
        <f>SUMPRODUCT(N(Tabela17683[Código]=Tabela3[[#This Row],[PAPEL]]),Tabela17683[Fechamento])</f>
        <v>0</v>
      </c>
    </row>
    <row r="195" spans="1:54" hidden="1" x14ac:dyDescent="0.2">
      <c r="A195" s="4" t="s">
        <v>12</v>
      </c>
      <c r="B195" s="57" t="s">
        <v>72</v>
      </c>
      <c r="C195" s="82" t="str">
        <f>LEFT(Tabela3[PAPEL],LEN(Tabela3[PAPEL])-(LEN(Tabela3[PAPEL])-4))</f>
        <v>CESP</v>
      </c>
      <c r="D195" s="15">
        <v>3</v>
      </c>
      <c r="E195" s="6">
        <v>5975433454.4300003</v>
      </c>
      <c r="F195" s="8">
        <v>109167558</v>
      </c>
      <c r="G195" s="86">
        <v>0.25</v>
      </c>
      <c r="H195" s="19"/>
      <c r="I195" s="19"/>
      <c r="J195" s="19"/>
      <c r="K195" s="88"/>
      <c r="L195" s="88"/>
      <c r="M195" s="13">
        <v>16942307000</v>
      </c>
      <c r="N195" s="13">
        <v>1594817000</v>
      </c>
      <c r="O195" s="13">
        <v>1283878000</v>
      </c>
      <c r="P195" s="89">
        <v>10479149000</v>
      </c>
      <c r="Q195" s="89">
        <v>795212000</v>
      </c>
      <c r="R195" s="89">
        <f>IF(Tabela3[[#This Row],[Ativo || Passivo]]&gt;0,Tabela3[[#This Row],[Ativo || Passivo]]-Tabela3[[#This Row],[Patrimônio Líquido]],0)</f>
        <v>6463158000</v>
      </c>
      <c r="S195" s="89">
        <f>Tabela3[[#This Row],[Cotação]]*Tabela3[[#This Row],[Total Ações]]</f>
        <v>6304426455.25</v>
      </c>
      <c r="T195" s="134">
        <f>IF(Tabela3[[#This Row],[Passivo Circulante]]&gt;0,Tabela3[[#This Row],[Ativo Circulante]]/Tabela3[[#This Row],[Passivo Circulante]],0)</f>
        <v>1.2421873417879268</v>
      </c>
      <c r="U195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95" s="19">
        <f>IF(Tabela3[[#This Row],[Lucro Líquido]]&gt;0,Tabela3[[#This Row],[Lucro Líquido]]/Tabela3[[#This Row],[Patrimônio Líquido]],0)</f>
        <v>7.5885169683148887E-2</v>
      </c>
      <c r="W195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95" s="19">
        <f>IF(Tabela3[[#This Row],[Dívida]]&gt;0,Tabela3[[#This Row],[Dívida]]/Tabela3[[#This Row],[Patrimônio Líquido]],0)</f>
        <v>0.61676363223769415</v>
      </c>
      <c r="Y195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95" s="6">
        <f>Tabela3[[#This Row],[Capital Social]]*20%</f>
        <v>1195086690.8860002</v>
      </c>
      <c r="AA195" s="6">
        <f>IF((Tabela3[Lucro Líquido]*5%)&gt;Tabela3[Teto R. Legal],Tabela3[Teto R. Legal],Tabela3[Lucro Líquido]*5%)</f>
        <v>39760600</v>
      </c>
      <c r="AB195" s="89">
        <f>IF(Tabela3[Lucro Líquido]&lt;0,0,Tabela3[Lucro Líquido]-Tabela3[Reserva Legal])</f>
        <v>755451400</v>
      </c>
      <c r="AC195" s="89">
        <f>Tabela3[[#This Row],[Lucro Distribuir]]*Tabela3[%Div]</f>
        <v>188862850</v>
      </c>
      <c r="AD195" s="56">
        <f>SUMPRODUCT(N(Tabela3[Nome]=Tabela3[[#This Row],[Nome]]),Tabela3[Ações])</f>
        <v>327502673</v>
      </c>
      <c r="AE195" s="6">
        <f>Tabela3[Capital Social]/Tabela3[Total Ações]</f>
        <v>18.245449417843378</v>
      </c>
      <c r="AF195" s="78">
        <f>Tabela3[[#This Row],[Lucro Líquido]]/Tabela3[[#This Row],[Total Ações]]</f>
        <v>2.4281084264616064</v>
      </c>
      <c r="AG195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0.57667575128463155</v>
      </c>
      <c r="AH195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95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0.5466194784539764</v>
      </c>
      <c r="AJ195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0.5466194784539764</v>
      </c>
      <c r="AK195" s="6">
        <f>Tabela3[Div Base]*Tabela3[Ações]</f>
        <v>59673113.618054219</v>
      </c>
      <c r="AL195" s="6">
        <f>SUMPRODUCT(N(Tabela3[Nome]=Tabela3[[#This Row],[Nome]]),Tabela3[Div Base]*Tabela3[Ações])</f>
        <v>188862850</v>
      </c>
      <c r="AM195" s="6">
        <f>Tabela3[Patrimônio Líquido]/Tabela3[Total Ações]</f>
        <v>31.99714037143141</v>
      </c>
      <c r="AN195" s="48">
        <f>MAX(Tabela3[[#This Row],[Cotação 1]:[Cotação 5]])</f>
        <v>19.25</v>
      </c>
      <c r="AO195" s="44">
        <f>Tabela3[Cotação]/Tabela3[VPA]</f>
        <v>0.60161626247035904</v>
      </c>
      <c r="AP195" s="40">
        <f>IF(Tabela3[[#This Row],[Lucro/Ação]]&gt;0,Tabela3[[#This Row],[Cotação]]/(Tabela3[[#This Row],[Lucro/Ação]]/Tabela3[Ref]*4),0)</f>
        <v>5.9459865311860227</v>
      </c>
      <c r="AQ195" s="78">
        <f>Tabela3[Lucro Distribuir]/Tabela3[Total Ações]</f>
        <v>2.3067030051385262</v>
      </c>
      <c r="AR195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0.5466194784539764</v>
      </c>
      <c r="AS195" s="14" t="str">
        <f>IF(AND(Tabela3[% A.A.]&gt;=6%,SUMPRODUCT(N(Tabela3[Nome]=Tabela3[[#This Row],[Nome]]),Tabela3[PL])&gt;0,Tabela3[Rentabilidade s/ PL]&gt;=Tabela3[Rentabilidade s/ PL Média]),"Sim","Não")</f>
        <v>Não</v>
      </c>
      <c r="AT195" s="42">
        <f>IF(Tabela3[Cotação]&gt;0,Tabela3[[#This Row],[Lucro]]/Tabela3[[#This Row],[Cotação]],0)</f>
        <v>2.839581706254423E-2</v>
      </c>
      <c r="AU195" s="19">
        <f>((1+Tabela3[[#This Row],[% Yield]])^(1/(3*Tabela3[[#This Row],[Ref]])))^(12)-1</f>
        <v>3.8039154680989062E-2</v>
      </c>
      <c r="AV195" s="14">
        <f>IF(Tabela3[Cotação]&gt;0,($BH$1/Tabela3[[#This Row],[Cotação]]-MOD($BH$1/Tabela3[[#This Row],[Cotação]],100)),)</f>
        <v>0</v>
      </c>
      <c r="AW195" s="17">
        <f>Tabela3[[#This Row],[Ativos]]*Tabela3[Lucro]</f>
        <v>0</v>
      </c>
      <c r="AX195" s="5">
        <f>SUMPRODUCT(N(Tabela1[Código]=Tabela3[[#This Row],[PAPEL]]),Tabela1[Fechamento])</f>
        <v>19.25</v>
      </c>
      <c r="AY195" s="5">
        <f>SUMPRODUCT(N(Tabela17[Código]=Tabela3[[#This Row],[PAPEL]]),Tabela17[Fechamento])</f>
        <v>0</v>
      </c>
      <c r="AZ195" s="7">
        <f>SUMPRODUCT(N(Tabela176[Código]=Tabela3[[#This Row],[PAPEL]]),Tabela176[Fechamento])</f>
        <v>0</v>
      </c>
      <c r="BA195" s="7">
        <f>SUMPRODUCT(N(Tabela1768[Código]=Tabela3[[#This Row],[PAPEL]]),Tabela1768[Fechamento])</f>
        <v>0</v>
      </c>
      <c r="BB195" s="7">
        <f>SUMPRODUCT(N(Tabela17683[Código]=Tabela3[[#This Row],[PAPEL]]),Tabela17683[Fechamento])</f>
        <v>0</v>
      </c>
    </row>
    <row r="196" spans="1:54" hidden="1" x14ac:dyDescent="0.2">
      <c r="A196" s="4" t="s">
        <v>12</v>
      </c>
      <c r="B196" s="57" t="s">
        <v>86</v>
      </c>
      <c r="C196" s="84" t="str">
        <f>LEFT(Tabela3[PAPEL],LEN(Tabela3[PAPEL])-(LEN(Tabela3[PAPEL])-4))</f>
        <v>CESP</v>
      </c>
      <c r="D196" s="15">
        <v>3</v>
      </c>
      <c r="E196" s="6">
        <v>5975433454.4300003</v>
      </c>
      <c r="F196" s="8">
        <v>7702726</v>
      </c>
      <c r="G196" s="81">
        <v>0.25</v>
      </c>
      <c r="H196" s="15"/>
      <c r="I196" s="19">
        <v>0.1</v>
      </c>
      <c r="J196" s="19"/>
      <c r="K196" s="88"/>
      <c r="L196" s="88"/>
      <c r="M196" s="13">
        <v>16942307000</v>
      </c>
      <c r="N196" s="13">
        <v>1594817000</v>
      </c>
      <c r="O196" s="13">
        <v>1283878000</v>
      </c>
      <c r="P196" s="89">
        <v>10479149000</v>
      </c>
      <c r="Q196" s="89">
        <v>795212000</v>
      </c>
      <c r="R196" s="89">
        <f>IF(Tabela3[[#This Row],[Ativo || Passivo]]&gt;0,Tabela3[[#This Row],[Ativo || Passivo]]-Tabela3[[#This Row],[Patrimônio Líquido]],0)</f>
        <v>6463158000</v>
      </c>
      <c r="S196" s="13">
        <f>Tabela3[[#This Row],[Cotação]]*Tabela3[[#This Row],[Total Ações]]</f>
        <v>7300034581.1700001</v>
      </c>
      <c r="T196" s="134">
        <f>IF(Tabela3[[#This Row],[Passivo Circulante]]&gt;0,Tabela3[[#This Row],[Ativo Circulante]]/Tabela3[[#This Row],[Passivo Circulante]],0)</f>
        <v>1.2421873417879268</v>
      </c>
      <c r="U196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96" s="19">
        <f>IF(Tabela3[[#This Row],[Lucro Líquido]]&gt;0,Tabela3[[#This Row],[Lucro Líquido]]/Tabela3[[#This Row],[Patrimônio Líquido]],0)</f>
        <v>7.5885169683148887E-2</v>
      </c>
      <c r="W196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96" s="19">
        <f>IF(Tabela3[[#This Row],[Dívida]]&gt;0,Tabela3[[#This Row],[Dívida]]/Tabela3[[#This Row],[Patrimônio Líquido]],0)</f>
        <v>0.61676363223769415</v>
      </c>
      <c r="Y196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96" s="13">
        <f>Tabela3[[#This Row],[Capital Social]]*20%</f>
        <v>1195086690.8860002</v>
      </c>
      <c r="AA196" s="13">
        <f>IF((Tabela3[Lucro Líquido]*5%)&gt;Tabela3[Teto R. Legal],Tabela3[Teto R. Legal],Tabela3[Lucro Líquido]*5%)</f>
        <v>39760600</v>
      </c>
      <c r="AB196" s="89">
        <f>IF(Tabela3[Lucro Líquido]&lt;0,0,Tabela3[Lucro Líquido]-Tabela3[Reserva Legal])</f>
        <v>755451400</v>
      </c>
      <c r="AC196" s="89">
        <f>Tabela3[[#This Row],[Lucro Distribuir]]*Tabela3[%Div]</f>
        <v>188862850</v>
      </c>
      <c r="AD196" s="56">
        <f>SUMPRODUCT(N(Tabela3[Nome]=Tabela3[[#This Row],[Nome]]),Tabela3[Ações])</f>
        <v>327502673</v>
      </c>
      <c r="AE196" s="6">
        <f>Tabela3[Capital Social]/Tabela3[Total Ações]</f>
        <v>18.245449417843378</v>
      </c>
      <c r="AF196" s="78">
        <f>Tabela3[[#This Row],[Lucro Líquido]]/Tabela3[[#This Row],[Total Ações]]</f>
        <v>2.4281084264616064</v>
      </c>
      <c r="AG196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0.57667575128463155</v>
      </c>
      <c r="AH196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96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1.824544941784338</v>
      </c>
      <c r="AJ196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1.824544941784338</v>
      </c>
      <c r="AK196" s="13">
        <f>Tabela3[Div Base]*Tabela3[Ações]</f>
        <v>14053969.761250706</v>
      </c>
      <c r="AL196" s="13">
        <f>SUMPRODUCT(N(Tabela3[Nome]=Tabela3[[#This Row],[Nome]]),Tabela3[Div Base]*Tabela3[Ações])</f>
        <v>188862850</v>
      </c>
      <c r="AM196" s="6">
        <f>Tabela3[Patrimônio Líquido]/Tabela3[Total Ações]</f>
        <v>31.99714037143141</v>
      </c>
      <c r="AN196" s="48">
        <f>MAX(Tabela3[[#This Row],[Cotação 1]:[Cotação 5]])</f>
        <v>22.29</v>
      </c>
      <c r="AO196" s="44">
        <f>Tabela3[Cotação]/Tabela3[VPA]</f>
        <v>0.69662475275139235</v>
      </c>
      <c r="AP196" s="40">
        <f>IF(Tabela3[[#This Row],[Lucro/Ação]]&gt;0,Tabela3[[#This Row],[Cotação]]/(Tabela3[[#This Row],[Lucro/Ação]]/Tabela3[Ref]*4),0)</f>
        <v>6.8849890794876076</v>
      </c>
      <c r="AQ196" s="78">
        <f>Tabela3[Lucro Distribuir]/Tabela3[Total Ações]</f>
        <v>2.3067030051385262</v>
      </c>
      <c r="AR196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1.824544941784338</v>
      </c>
      <c r="AS196" s="14" t="str">
        <f>IF(AND(Tabela3[% A.A.]&gt;=6%,SUMPRODUCT(N(Tabela3[Nome]=Tabela3[[#This Row],[Nome]]),Tabela3[PL])&gt;0,Tabela3[Rentabilidade s/ PL]&gt;=Tabela3[Rentabilidade s/ PL Média]),"Sim","Não")</f>
        <v>Não</v>
      </c>
      <c r="AT196" s="42">
        <f>IF(Tabela3[Cotação]&gt;0,Tabela3[[#This Row],[Lucro]]/Tabela3[[#This Row],[Cotação]],0)</f>
        <v>8.1854865041917371E-2</v>
      </c>
      <c r="AU196" s="19">
        <f>((1+Tabela3[[#This Row],[% Yield]])^(1/(3*Tabela3[[#This Row],[Ref]])))^(12)-1</f>
        <v>0.11060255917699324</v>
      </c>
      <c r="AV196" s="14">
        <f>IF(Tabela3[Cotação]&gt;0,($BH$1/Tabela3[[#This Row],[Cotação]]-MOD($BH$1/Tabela3[[#This Row],[Cotação]],100)),)</f>
        <v>0</v>
      </c>
      <c r="AW196" s="17">
        <f>Tabela3[[#This Row],[Ativos]]*Tabela3[Lucro]</f>
        <v>0</v>
      </c>
      <c r="AX196" s="47">
        <f>SUMPRODUCT(N(Tabela1[Código]=Tabela3[[#This Row],[PAPEL]]),Tabela1[Fechamento])</f>
        <v>22.29</v>
      </c>
      <c r="AY196" s="47">
        <f>SUMPRODUCT(N(Tabela17[Código]=Tabela3[[#This Row],[PAPEL]]),Tabela17[Fechamento])</f>
        <v>0</v>
      </c>
      <c r="AZ196" s="7">
        <f>SUMPRODUCT(N(Tabela176[Código]=Tabela3[[#This Row],[PAPEL]]),Tabela176[Fechamento])</f>
        <v>0</v>
      </c>
      <c r="BA196" s="7">
        <f>SUMPRODUCT(N(Tabela1768[Código]=Tabela3[[#This Row],[PAPEL]]),Tabela1768[Fechamento])</f>
        <v>0</v>
      </c>
      <c r="BB196" s="7">
        <f>SUMPRODUCT(N(Tabela17683[Código]=Tabela3[[#This Row],[PAPEL]]),Tabela17683[Fechamento])</f>
        <v>0</v>
      </c>
    </row>
    <row r="197" spans="1:54" hidden="1" x14ac:dyDescent="0.2">
      <c r="A197" s="4" t="s">
        <v>12</v>
      </c>
      <c r="B197" s="57" t="s">
        <v>87</v>
      </c>
      <c r="C197" s="14" t="str">
        <f>LEFT(Tabela3[PAPEL],LEN(Tabela3[PAPEL])-(LEN(Tabela3[PAPEL])-4))</f>
        <v>CESP</v>
      </c>
      <c r="D197" s="15">
        <v>3</v>
      </c>
      <c r="E197" s="6">
        <v>5975433454.4300003</v>
      </c>
      <c r="F197" s="8">
        <v>210632389</v>
      </c>
      <c r="G197" s="86">
        <v>0.25</v>
      </c>
      <c r="H197" s="19"/>
      <c r="I197" s="19"/>
      <c r="J197" s="19"/>
      <c r="K197" s="88"/>
      <c r="L197" s="88"/>
      <c r="M197" s="13">
        <v>16942307000</v>
      </c>
      <c r="N197" s="13">
        <v>1594817000</v>
      </c>
      <c r="O197" s="13">
        <v>1283878000</v>
      </c>
      <c r="P197" s="89">
        <v>10479149000</v>
      </c>
      <c r="Q197" s="89">
        <v>795212000</v>
      </c>
      <c r="R197" s="89">
        <f>IF(Tabela3[[#This Row],[Ativo || Passivo]]&gt;0,Tabela3[[#This Row],[Ativo || Passivo]]-Tabela3[[#This Row],[Patrimônio Líquido]],0)</f>
        <v>6463158000</v>
      </c>
      <c r="S197" s="89">
        <f>Tabela3[[#This Row],[Cotação]]*Tabela3[[#This Row],[Total Ações]]</f>
        <v>7260734260.4100008</v>
      </c>
      <c r="T197" s="134">
        <f>IF(Tabela3[[#This Row],[Passivo Circulante]]&gt;0,Tabela3[[#This Row],[Ativo Circulante]]/Tabela3[[#This Row],[Passivo Circulante]],0)</f>
        <v>1.2421873417879268</v>
      </c>
      <c r="U197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97" s="19">
        <f>IF(Tabela3[[#This Row],[Lucro Líquido]]&gt;0,Tabela3[[#This Row],[Lucro Líquido]]/Tabela3[[#This Row],[Patrimônio Líquido]],0)</f>
        <v>7.5885169683148887E-2</v>
      </c>
      <c r="W197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97" s="19">
        <f>IF(Tabela3[[#This Row],[Dívida]]&gt;0,Tabela3[[#This Row],[Dívida]]/Tabela3[[#This Row],[Patrimônio Líquido]],0)</f>
        <v>0.61676363223769415</v>
      </c>
      <c r="Y197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97" s="6">
        <f>Tabela3[[#This Row],[Capital Social]]*20%</f>
        <v>1195086690.8860002</v>
      </c>
      <c r="AA197" s="6">
        <f>IF((Tabela3[Lucro Líquido]*5%)&gt;Tabela3[Teto R. Legal],Tabela3[Teto R. Legal],Tabela3[Lucro Líquido]*5%)</f>
        <v>39760600</v>
      </c>
      <c r="AB197" s="89">
        <f>IF(Tabela3[Lucro Líquido]&lt;0,0,Tabela3[Lucro Líquido]-Tabela3[Reserva Legal])</f>
        <v>755451400</v>
      </c>
      <c r="AC197" s="89">
        <f>Tabela3[[#This Row],[Lucro Distribuir]]*Tabela3[%Div]</f>
        <v>188862850</v>
      </c>
      <c r="AD197" s="56">
        <f>SUMPRODUCT(N(Tabela3[Nome]=Tabela3[[#This Row],[Nome]]),Tabela3[Ações])</f>
        <v>327502673</v>
      </c>
      <c r="AE197" s="6">
        <f>Tabela3[Capital Social]/Tabela3[Total Ações]</f>
        <v>18.245449417843378</v>
      </c>
      <c r="AF197" s="78">
        <f>Tabela3[[#This Row],[Lucro Líquido]]/Tabela3[[#This Row],[Total Ações]]</f>
        <v>2.4281084264616064</v>
      </c>
      <c r="AG197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0.57667575128463155</v>
      </c>
      <c r="AH197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97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0.5466194784539764</v>
      </c>
      <c r="AJ197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0.5466194784539764</v>
      </c>
      <c r="AK197" s="6">
        <f>Tabela3[Div Base]*Tabela3[Ações]</f>
        <v>115135766.62069507</v>
      </c>
      <c r="AL197" s="6">
        <f>SUMPRODUCT(N(Tabela3[Nome]=Tabela3[[#This Row],[Nome]]),Tabela3[Div Base]*Tabela3[Ações])</f>
        <v>188862850</v>
      </c>
      <c r="AM197" s="6">
        <f>Tabela3[Patrimônio Líquido]/Tabela3[Total Ações]</f>
        <v>31.99714037143141</v>
      </c>
      <c r="AN197" s="48">
        <f>MAX(Tabela3[[#This Row],[Cotação 1]:[Cotação 5]])</f>
        <v>22.17</v>
      </c>
      <c r="AO197" s="44">
        <f>Tabela3[Cotação]/Tabela3[VPA]</f>
        <v>0.69287441760872004</v>
      </c>
      <c r="AP197" s="40">
        <f>IF(Tabela3[[#This Row],[Lucro/Ação]]&gt;0,Tabela3[[#This Row],[Cotação]]/(Tabela3[[#This Row],[Lucro/Ação]]/Tabela3[Ref]*4),0)</f>
        <v>6.8479231894230717</v>
      </c>
      <c r="AQ197" s="78">
        <f>Tabela3[Lucro Distribuir]/Tabela3[Total Ações]</f>
        <v>2.3067030051385262</v>
      </c>
      <c r="AR197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0.5466194784539764</v>
      </c>
      <c r="AS197" s="15" t="str">
        <f>IF(AND(Tabela3[% A.A.]&gt;=6%,SUMPRODUCT(N(Tabela3[Nome]=Tabela3[[#This Row],[Nome]]),Tabela3[PL])&gt;0,Tabela3[Rentabilidade s/ PL]&gt;=Tabela3[Rentabilidade s/ PL Média]),"Sim","Não")</f>
        <v>Não</v>
      </c>
      <c r="AT197" s="42">
        <f>IF(Tabela3[Cotação]&gt;0,Tabela3[[#This Row],[Lucro]]/Tabela3[[#This Row],[Cotação]],0)</f>
        <v>2.4655817702028703E-2</v>
      </c>
      <c r="AU197" s="19">
        <f>((1+Tabela3[[#This Row],[% Yield]])^(1/(3*Tabela3[[#This Row],[Ref]])))^(12)-1</f>
        <v>3.3008781901144868E-2</v>
      </c>
      <c r="AV197" s="14">
        <f>IF(Tabela3[Cotação]&gt;0,($BH$1/Tabela3[[#This Row],[Cotação]]-MOD($BH$1/Tabela3[[#This Row],[Cotação]],100)),)</f>
        <v>0</v>
      </c>
      <c r="AW197" s="17">
        <f>Tabela3[[#This Row],[Ativos]]*Tabela3[Lucro]</f>
        <v>0</v>
      </c>
      <c r="AX197" s="5">
        <f>SUMPRODUCT(N(Tabela1[Código]=Tabela3[[#This Row],[PAPEL]]),Tabela1[Fechamento])</f>
        <v>22.17</v>
      </c>
      <c r="AY197" s="5">
        <f>SUMPRODUCT(N(Tabela17[Código]=Tabela3[[#This Row],[PAPEL]]),Tabela17[Fechamento])</f>
        <v>0</v>
      </c>
      <c r="AZ197" s="7">
        <f>SUMPRODUCT(N(Tabela176[Código]=Tabela3[[#This Row],[PAPEL]]),Tabela176[Fechamento])</f>
        <v>0</v>
      </c>
      <c r="BA197" s="7">
        <f>SUMPRODUCT(N(Tabela1768[Código]=Tabela3[[#This Row],[PAPEL]]),Tabela1768[Fechamento])</f>
        <v>0</v>
      </c>
      <c r="BB197" s="7">
        <f>SUMPRODUCT(N(Tabela17683[Código]=Tabela3[[#This Row],[PAPEL]]),Tabela17683[Fechamento])</f>
        <v>0</v>
      </c>
    </row>
    <row r="198" spans="1:54" hidden="1" x14ac:dyDescent="0.2">
      <c r="A198" s="4" t="s">
        <v>318</v>
      </c>
      <c r="B198" s="57" t="s">
        <v>703</v>
      </c>
      <c r="C198" s="14" t="str">
        <f>LEFT(Tabela3[PAPEL],LEN(Tabela3[PAPEL])-(LEN(Tabela3[PAPEL])-4))</f>
        <v>PTPA</v>
      </c>
      <c r="D198" s="15">
        <v>3</v>
      </c>
      <c r="E198" s="6">
        <v>536949301.21000004</v>
      </c>
      <c r="F198" s="8">
        <v>5962454</v>
      </c>
      <c r="G198" s="81">
        <v>0.3</v>
      </c>
      <c r="H198" s="15"/>
      <c r="I198" s="19"/>
      <c r="J198" s="19"/>
      <c r="K198" s="88"/>
      <c r="L198" s="88"/>
      <c r="M198" s="55"/>
      <c r="N198" s="55"/>
      <c r="O198" s="55"/>
      <c r="P198" s="6">
        <v>719118000</v>
      </c>
      <c r="Q198" s="6">
        <v>53337000</v>
      </c>
      <c r="R198" s="6">
        <f>IF(Tabela3[[#This Row],[Ativo || Passivo]]&gt;0,Tabela3[[#This Row],[Ativo || Passivo]]-Tabela3[[#This Row],[Patrimônio Líquido]],0)</f>
        <v>0</v>
      </c>
      <c r="S198" s="6">
        <f>Tabela3[[#This Row],[Cotação]]*Tabela3[[#This Row],[Total Ações]]</f>
        <v>0</v>
      </c>
      <c r="T198" s="134">
        <f>IF(Tabela3[[#This Row],[Passivo Circulante]]&gt;0,Tabela3[[#This Row],[Ativo Circulante]]/Tabela3[[#This Row],[Passivo Circulante]],0)</f>
        <v>0</v>
      </c>
      <c r="U198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98" s="19">
        <f>IF(Tabela3[[#This Row],[Lucro Líquido]]&gt;0,Tabela3[[#This Row],[Lucro Líquido]]/Tabela3[[#This Row],[Patrimônio Líquido]],0)</f>
        <v>7.417002494722702E-2</v>
      </c>
      <c r="W198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98" s="19">
        <f>IF(Tabela3[[#This Row],[Dívida]]&gt;0,Tabela3[[#This Row],[Dívida]]/Tabela3[[#This Row],[Patrimônio Líquido]],0)</f>
        <v>0</v>
      </c>
      <c r="Y198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98" s="6">
        <f>Tabela3[[#This Row],[Capital Social]]*20%</f>
        <v>107389860.24200001</v>
      </c>
      <c r="AA198" s="6">
        <f>IF((Tabela3[Lucro Líquido]*5%)&gt;Tabela3[Teto R. Legal],Tabela3[Teto R. Legal],Tabela3[Lucro Líquido]*5%)</f>
        <v>2666850</v>
      </c>
      <c r="AB198" s="6">
        <f>IF(Tabela3[Lucro Líquido]&lt;0,0,Tabela3[Lucro Líquido]-Tabela3[Reserva Legal])</f>
        <v>50670150</v>
      </c>
      <c r="AC198" s="6">
        <f>Tabela3[[#This Row],[Lucro Distribuir]]*Tabela3[%Div]</f>
        <v>15201045</v>
      </c>
      <c r="AD198" s="56">
        <f>SUMPRODUCT(N(Tabela3[Nome]=Tabela3[[#This Row],[Nome]]),Tabela3[Ações])</f>
        <v>17887362</v>
      </c>
      <c r="AE198" s="6">
        <f>Tabela3[Capital Social]/Tabela3[Total Ações]</f>
        <v>30.018361634879422</v>
      </c>
      <c r="AF198" s="78">
        <f>Tabela3[[#This Row],[Lucro Líquido]]/Tabela3[[#This Row],[Total Ações]]</f>
        <v>2.9818259394537887</v>
      </c>
      <c r="AG198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0.84982039274432974</v>
      </c>
      <c r="AH198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98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98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0.84982039274432974</v>
      </c>
      <c r="AK198" s="6">
        <f>Tabela3[Div Base]*Tabela3[Ações]</f>
        <v>5067015</v>
      </c>
      <c r="AL198" s="6">
        <f>SUMPRODUCT(N(Tabela3[Nome]=Tabela3[[#This Row],[Nome]]),Tabela3[Div Base]*Tabela3[Ações])</f>
        <v>15201045</v>
      </c>
      <c r="AM198" s="6">
        <f>Tabela3[Patrimônio Líquido]/Tabela3[Total Ações]</f>
        <v>40.202574309168675</v>
      </c>
      <c r="AN198" s="48">
        <f>MAX(Tabela3[[#This Row],[Cotação 1]:[Cotação 5]])</f>
        <v>0</v>
      </c>
      <c r="AO198" s="44">
        <f>Tabela3[Cotação]/Tabela3[VPA]</f>
        <v>0</v>
      </c>
      <c r="AP198" s="40">
        <f>IF(Tabela3[[#This Row],[Lucro/Ação]]&gt;0,Tabela3[[#This Row],[Cotação]]/(Tabela3[[#This Row],[Lucro/Ação]]/Tabela3[Ref]*4),0)</f>
        <v>0</v>
      </c>
      <c r="AQ198" s="78">
        <f>Tabela3[Lucro Distribuir]/Tabela3[Total Ações]</f>
        <v>2.8327346424810993</v>
      </c>
      <c r="AR198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0.84982039274432974</v>
      </c>
      <c r="AS198" s="15" t="str">
        <f>IF(AND(Tabela3[% A.A.]&gt;=6%,SUMPRODUCT(N(Tabela3[Nome]=Tabela3[[#This Row],[Nome]]),Tabela3[PL])&gt;0,Tabela3[Rentabilidade s/ PL]&gt;=Tabela3[Rentabilidade s/ PL Média]),"Sim","Não")</f>
        <v>Não</v>
      </c>
      <c r="AT198" s="42">
        <f>IF(Tabela3[Cotação]&gt;0,Tabela3[[#This Row],[Lucro]]/Tabela3[[#This Row],[Cotação]],0)</f>
        <v>0</v>
      </c>
      <c r="AU198" s="19">
        <f>((1+Tabela3[[#This Row],[% Yield]])^(1/(3*Tabela3[[#This Row],[Ref]])))^(12)-1</f>
        <v>0</v>
      </c>
      <c r="AV198" s="14">
        <f>IF(Tabela3[Cotação]&gt;0,($BD$1/Tabela3[[#This Row],[Cotação]]-MOD($BD$1/Tabela3[[#This Row],[Cotação]],100)),)</f>
        <v>0</v>
      </c>
      <c r="AW198" s="17">
        <f>Tabela3[[#This Row],[Ativos]]*Tabela3[Lucro]</f>
        <v>0</v>
      </c>
      <c r="AX198" s="5">
        <f>SUMPRODUCT(N(Tabela1[Código]=Tabela3[[#This Row],[PAPEL]]),Tabela1[Fechamento])</f>
        <v>0</v>
      </c>
      <c r="AY198" s="5">
        <f>SUMPRODUCT(N(Tabela17[Código]=Tabela3[[#This Row],[PAPEL]]),Tabela17[Fechamento])</f>
        <v>0</v>
      </c>
      <c r="AZ198" s="7">
        <f>SUMPRODUCT(N(Tabela176[Código]=Tabela3[[#This Row],[PAPEL]]),Tabela176[Fechamento])</f>
        <v>0</v>
      </c>
      <c r="BA198" s="7">
        <f>SUMPRODUCT(N(Tabela1768[Código]=Tabela3[[#This Row],[PAPEL]]),Tabela1768[Fechamento])</f>
        <v>0</v>
      </c>
      <c r="BB198" s="7">
        <f>SUMPRODUCT(N(Tabela17683[Código]=Tabela3[[#This Row],[PAPEL]]),Tabela17683[Fechamento])</f>
        <v>0</v>
      </c>
    </row>
    <row r="199" spans="1:54" hidden="1" x14ac:dyDescent="0.2">
      <c r="A199" s="4" t="s">
        <v>318</v>
      </c>
      <c r="B199" s="57" t="s">
        <v>317</v>
      </c>
      <c r="C199" s="82" t="str">
        <f>LEFT(Tabela3[PAPEL],LEN(Tabela3[PAPEL])-(LEN(Tabela3[PAPEL])-4))</f>
        <v>PTPA</v>
      </c>
      <c r="D199" s="15">
        <v>3</v>
      </c>
      <c r="E199" s="6">
        <v>536949301.21000004</v>
      </c>
      <c r="F199" s="8">
        <v>11924908</v>
      </c>
      <c r="G199" s="81">
        <v>0.3</v>
      </c>
      <c r="H199" s="15"/>
      <c r="I199" s="19"/>
      <c r="J199" s="19"/>
      <c r="K199" s="88"/>
      <c r="L199" s="88"/>
      <c r="M199" s="55"/>
      <c r="N199" s="55"/>
      <c r="O199" s="55"/>
      <c r="P199" s="6">
        <v>719118000</v>
      </c>
      <c r="Q199" s="6">
        <v>53337000</v>
      </c>
      <c r="R199" s="6">
        <f>IF(Tabela3[[#This Row],[Ativo || Passivo]]&gt;0,Tabela3[[#This Row],[Ativo || Passivo]]-Tabela3[[#This Row],[Patrimônio Líquido]],0)</f>
        <v>0</v>
      </c>
      <c r="S199" s="6">
        <f>Tabela3[[#This Row],[Cotação]]*Tabela3[[#This Row],[Total Ações]]</f>
        <v>1073241720</v>
      </c>
      <c r="T199" s="134">
        <f>IF(Tabela3[[#This Row],[Passivo Circulante]]&gt;0,Tabela3[[#This Row],[Ativo Circulante]]/Tabela3[[#This Row],[Passivo Circulante]],0)</f>
        <v>0</v>
      </c>
      <c r="U199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199" s="19">
        <f>IF(Tabela3[[#This Row],[Lucro Líquido]]&gt;0,Tabela3[[#This Row],[Lucro Líquido]]/Tabela3[[#This Row],[Patrimônio Líquido]],0)</f>
        <v>7.417002494722702E-2</v>
      </c>
      <c r="W199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199" s="19">
        <f>IF(Tabela3[[#This Row],[Dívida]]&gt;0,Tabela3[[#This Row],[Dívida]]/Tabela3[[#This Row],[Patrimônio Líquido]],0)</f>
        <v>0</v>
      </c>
      <c r="Y199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199" s="6">
        <f>Tabela3[[#This Row],[Capital Social]]*20%</f>
        <v>107389860.24200001</v>
      </c>
      <c r="AA199" s="6">
        <f>IF((Tabela3[Lucro Líquido]*5%)&gt;Tabela3[Teto R. Legal],Tabela3[Teto R. Legal],Tabela3[Lucro Líquido]*5%)</f>
        <v>2666850</v>
      </c>
      <c r="AB199" s="6">
        <f>IF(Tabela3[Lucro Líquido]&lt;0,0,Tabela3[Lucro Líquido]-Tabela3[Reserva Legal])</f>
        <v>50670150</v>
      </c>
      <c r="AC199" s="6">
        <f>Tabela3[[#This Row],[Lucro Distribuir]]*Tabela3[%Div]</f>
        <v>15201045</v>
      </c>
      <c r="AD199" s="56">
        <f>SUMPRODUCT(N(Tabela3[Nome]=Tabela3[[#This Row],[Nome]]),Tabela3[Ações])</f>
        <v>17887362</v>
      </c>
      <c r="AE199" s="6">
        <f>Tabela3[Capital Social]/Tabela3[Total Ações]</f>
        <v>30.018361634879422</v>
      </c>
      <c r="AF199" s="78">
        <f>Tabela3[[#This Row],[Lucro Líquido]]/Tabela3[[#This Row],[Total Ações]]</f>
        <v>2.9818259394537887</v>
      </c>
      <c r="AG199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0.84982039274432974</v>
      </c>
      <c r="AH199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199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199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0.84982039274432974</v>
      </c>
      <c r="AK199" s="6">
        <f>Tabela3[Div Base]*Tabela3[Ações]</f>
        <v>10134030</v>
      </c>
      <c r="AL199" s="6">
        <f>SUMPRODUCT(N(Tabela3[Nome]=Tabela3[[#This Row],[Nome]]),Tabela3[Div Base]*Tabela3[Ações])</f>
        <v>15201045</v>
      </c>
      <c r="AM199" s="6">
        <f>Tabela3[Patrimônio Líquido]/Tabela3[Total Ações]</f>
        <v>40.202574309168675</v>
      </c>
      <c r="AN199" s="48">
        <f>MAX(Tabela3[[#This Row],[Cotação 1]:[Cotação 5]])</f>
        <v>60</v>
      </c>
      <c r="AO199" s="44">
        <f>Tabela3[Cotação]/Tabela3[VPA]</f>
        <v>1.4924417411328879</v>
      </c>
      <c r="AP199" s="40">
        <f>IF(Tabela3[[#This Row],[Lucro/Ação]]&gt;0,Tabela3[[#This Row],[Cotação]]/(Tabela3[[#This Row],[Lucro/Ação]]/Tabela3[Ref]*4),0)</f>
        <v>15.091424152089544</v>
      </c>
      <c r="AQ199" s="78">
        <f>Tabela3[Lucro Distribuir]/Tabela3[Total Ações]</f>
        <v>2.8327346424810993</v>
      </c>
      <c r="AR199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0.84982039274432974</v>
      </c>
      <c r="AS199" s="15" t="str">
        <f>IF(AND(Tabela3[% A.A.]&gt;=6%,SUMPRODUCT(N(Tabela3[Nome]=Tabela3[[#This Row],[Nome]]),Tabela3[PL])&gt;0,Tabela3[Rentabilidade s/ PL]&gt;=Tabela3[Rentabilidade s/ PL Média]),"Sim","Não")</f>
        <v>Não</v>
      </c>
      <c r="AT199" s="42">
        <f>IF(Tabela3[Cotação]&gt;0,Tabela3[[#This Row],[Lucro]]/Tabela3[[#This Row],[Cotação]],0)</f>
        <v>1.4163673212405496E-2</v>
      </c>
      <c r="AU199" s="19">
        <f>((1+Tabela3[[#This Row],[% Yield]])^(1/(3*Tabela3[[#This Row],[Ref]])))^(12)-1</f>
        <v>1.8929338043621291E-2</v>
      </c>
      <c r="AV199" s="14">
        <f>IF(Tabela3[Cotação]&gt;0,($BD$1/Tabela3[[#This Row],[Cotação]]-MOD($BD$1/Tabela3[[#This Row],[Cotação]],100)),)</f>
        <v>0</v>
      </c>
      <c r="AW199" s="17">
        <f>Tabela3[[#This Row],[Ativos]]*Tabela3[Lucro]</f>
        <v>0</v>
      </c>
      <c r="AX199" s="13">
        <f>SUMPRODUCT(N(Tabela1[Código]=Tabela3[[#This Row],[PAPEL]]),Tabela1[Fechamento])</f>
        <v>0</v>
      </c>
      <c r="AY199" s="55">
        <f>SUMPRODUCT(N(Tabela17[Código]=Tabela3[[#This Row],[PAPEL]]),Tabela17[Fechamento])</f>
        <v>60</v>
      </c>
      <c r="AZ199" s="7">
        <f>SUMPRODUCT(N(Tabela176[Código]=Tabela3[[#This Row],[PAPEL]]),Tabela176[Fechamento])</f>
        <v>0</v>
      </c>
      <c r="BA199" s="7">
        <f>SUMPRODUCT(N(Tabela1768[Código]=Tabela3[[#This Row],[PAPEL]]),Tabela1768[Fechamento])</f>
        <v>0</v>
      </c>
      <c r="BB199" s="7">
        <f>SUMPRODUCT(N(Tabela17683[Código]=Tabela3[[#This Row],[PAPEL]]),Tabela17683[Fechamento])</f>
        <v>0</v>
      </c>
    </row>
    <row r="200" spans="1:54" hidden="1" x14ac:dyDescent="0.2">
      <c r="A200" s="3" t="s">
        <v>1514</v>
      </c>
      <c r="B200" s="58" t="s">
        <v>1515</v>
      </c>
      <c r="C200" s="16" t="str">
        <f>LEFT(Tabela3[PAPEL],LEN(Tabela3[PAPEL])-(LEN(Tabela3[PAPEL])-4))</f>
        <v>JSLG</v>
      </c>
      <c r="D200" s="16">
        <v>3</v>
      </c>
      <c r="E200" s="5">
        <v>676614203.57000005</v>
      </c>
      <c r="F200" s="56">
        <v>216799134</v>
      </c>
      <c r="G200" s="81">
        <v>0.25</v>
      </c>
      <c r="H200" s="87"/>
      <c r="J200" s="18"/>
      <c r="K200" s="16"/>
      <c r="L200" s="87"/>
      <c r="M200" s="54"/>
      <c r="N200" s="54"/>
      <c r="O200" s="54"/>
      <c r="P200" s="91">
        <v>1027397000</v>
      </c>
      <c r="Q200" s="73">
        <v>76136000</v>
      </c>
      <c r="R200" s="73">
        <f>IF(Tabela3[[#This Row],[Ativo || Passivo]]&gt;0,Tabela3[[#This Row],[Ativo || Passivo]]-Tabela3[[#This Row],[Patrimônio Líquido]],0)</f>
        <v>0</v>
      </c>
      <c r="S200" s="73">
        <f>Tabela3[[#This Row],[Cotação]]*Tabela3[[#This Row],[Total Ações]]</f>
        <v>2855244594.7800002</v>
      </c>
      <c r="T200" s="37">
        <f>IF(Tabela3[[#This Row],[Passivo Circulante]]&gt;0,Tabela3[[#This Row],[Ativo Circulante]]/Tabela3[[#This Row],[Passivo Circulante]],0)</f>
        <v>0</v>
      </c>
      <c r="U200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00" s="18">
        <f>IF(Tabela3[[#This Row],[Lucro Líquido]]&gt;0,Tabela3[[#This Row],[Lucro Líquido]]/Tabela3[[#This Row],[Patrimônio Líquido]],0)</f>
        <v>7.4105725440117107E-2</v>
      </c>
      <c r="W200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00" s="18">
        <f>IF(Tabela3[[#This Row],[Dívida]]&gt;0,Tabela3[[#This Row],[Dívida]]/Tabela3[[#This Row],[Patrimônio Líquido]],0)</f>
        <v>0</v>
      </c>
      <c r="Y200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00" s="7">
        <f>Tabela3[[#This Row],[Capital Social]]*20%</f>
        <v>135322840.71400002</v>
      </c>
      <c r="AA200" s="47">
        <f>IF((Tabela3[Lucro Líquido]*5%)&gt;Tabela3[Teto R. Legal],Tabela3[Teto R. Legal],Tabela3[Lucro Líquido]*5%)</f>
        <v>3806800</v>
      </c>
      <c r="AB200" s="47">
        <f>IF(Tabela3[Lucro Líquido]&lt;0,0,Tabela3[Lucro Líquido]-Tabela3[Reserva Legal])</f>
        <v>72329200</v>
      </c>
      <c r="AC200" s="47">
        <f>Tabela3[[#This Row],[Lucro Distribuir]]*Tabela3[%Div]</f>
        <v>18082300</v>
      </c>
      <c r="AD200" s="56">
        <f>SUMPRODUCT(N(Tabela3[Nome]=Tabela3[[#This Row],[Nome]]),Tabela3[Ações])</f>
        <v>216799134</v>
      </c>
      <c r="AE200" s="85">
        <f>Tabela3[Capital Social]/Tabela3[Total Ações]</f>
        <v>3.1209266895411125</v>
      </c>
      <c r="AF200" s="85">
        <f>Tabela3[[#This Row],[Lucro Líquido]]/Tabela3[[#This Row],[Total Ações]]</f>
        <v>0.35118221459316346</v>
      </c>
      <c r="AG200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8.3405775965876325E-2</v>
      </c>
      <c r="AH200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00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00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8.3405775965876325E-2</v>
      </c>
      <c r="AK200" s="7">
        <f>Tabela3[Div Base]*Tabela3[Ações]</f>
        <v>18082300</v>
      </c>
      <c r="AL200" s="121">
        <f>SUMPRODUCT(N(Tabela3[Nome]=Tabela3[[#This Row],[Nome]]),Tabela3[Div Base]*Tabela3[Ações])</f>
        <v>18082300</v>
      </c>
      <c r="AM200" s="5">
        <f>Tabela3[Patrimônio Líquido]/Tabela3[Total Ações]</f>
        <v>4.738934981170174</v>
      </c>
      <c r="AN200" s="52">
        <f>MAX(Tabela3[[#This Row],[Cotação 1]:[Cotação 5]])</f>
        <v>13.17</v>
      </c>
      <c r="AO200" s="53">
        <f>Tabela3[Cotação]/Tabela3[VPA]</f>
        <v>2.7791054429592457</v>
      </c>
      <c r="AP200" s="37">
        <f>IF(Tabela3[[#This Row],[Lucro/Ação]]&gt;0,Tabela3[[#This Row],[Cotação]]/(Tabela3[[#This Row],[Lucro/Ação]]/Tabela3[Ref]*4),0)</f>
        <v>28.126424373292529</v>
      </c>
      <c r="AQ200" s="85">
        <f>Tabela3[Lucro Distribuir]/Tabela3[Total Ações]</f>
        <v>0.3336231038635053</v>
      </c>
      <c r="AR200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8.3405775965876325E-2</v>
      </c>
      <c r="AS200" s="10" t="str">
        <f>IF(AND(Tabela3[% A.A.]&gt;=6%,SUMPRODUCT(N(Tabela3[Nome]=Tabela3[[#This Row],[Nome]]),Tabela3[PL])&gt;0,Tabela3[Rentabilidade s/ PL]&gt;=Tabela3[Rentabilidade s/ PL Média]),"Sim","Não")</f>
        <v>Não</v>
      </c>
      <c r="AT200" s="22">
        <f>IF(Tabela3[Cotação]&gt;0,Tabela3[[#This Row],[Lucro]]/Tabela3[[#This Row],[Cotação]],0)</f>
        <v>6.3330126018129327E-3</v>
      </c>
      <c r="AU200" s="22">
        <f>((1+Tabela3[[#This Row],[% Yield]])^(1/(3*Tabela3[[#This Row],[Ref]])))^(12)-1</f>
        <v>8.4529169697415973E-3</v>
      </c>
      <c r="AV200" s="10">
        <f>IF(Tabela3[Cotação]&gt;0,($BD$1/Tabela3[[#This Row],[Cotação]]-MOD($BD$1/Tabela3[[#This Row],[Cotação]],100)),)</f>
        <v>0</v>
      </c>
      <c r="AW200" s="7">
        <f>Tabela3[[#This Row],[Ativos]]*Tabela3[Lucro]</f>
        <v>0</v>
      </c>
      <c r="AX200" s="7">
        <f>SUMPRODUCT(N(Tabela1[Código]=Tabela3[[#This Row],[PAPEL]]),Tabela1[Fechamento])</f>
        <v>0</v>
      </c>
      <c r="AY200" s="7">
        <f>SUMPRODUCT(N(Tabela17[Código]=Tabela3[[#This Row],[PAPEL]]),Tabela17[Fechamento])</f>
        <v>0</v>
      </c>
      <c r="AZ200" s="7">
        <f>SUMPRODUCT(N(Tabela176[Código]=Tabela3[[#This Row],[PAPEL]]),Tabela176[Fechamento])</f>
        <v>0</v>
      </c>
      <c r="BA200" s="7">
        <f>SUMPRODUCT(N(Tabela1768[Código]=Tabela3[[#This Row],[PAPEL]]),Tabela1768[Fechamento])</f>
        <v>0</v>
      </c>
      <c r="BB200" s="7">
        <f>SUMPRODUCT(N(Tabela17683[Código]=Tabela3[[#This Row],[PAPEL]]),Tabela17683[Fechamento])</f>
        <v>13.17</v>
      </c>
    </row>
    <row r="201" spans="1:54" hidden="1" x14ac:dyDescent="0.2">
      <c r="A201" s="3" t="s">
        <v>1431</v>
      </c>
      <c r="B201" s="57" t="s">
        <v>1426</v>
      </c>
      <c r="C201" s="16" t="str">
        <f>LEFT(Tabela3[PAPEL],LEN(Tabela3[PAPEL])-(LEN(Tabela3[PAPEL])-4))</f>
        <v>BBRK</v>
      </c>
      <c r="D201" s="16">
        <v>3</v>
      </c>
      <c r="E201" s="5">
        <v>533662061</v>
      </c>
      <c r="F201" s="56">
        <v>192839601</v>
      </c>
      <c r="G201" s="81">
        <v>0.25</v>
      </c>
      <c r="H201" s="87"/>
      <c r="J201" s="18"/>
      <c r="K201" s="16"/>
      <c r="L201" s="87"/>
      <c r="M201" s="54"/>
      <c r="N201" s="54"/>
      <c r="O201" s="54"/>
      <c r="P201" s="91">
        <v>681550000</v>
      </c>
      <c r="Q201" s="73">
        <v>49330000</v>
      </c>
      <c r="R201" s="73">
        <f>IF(Tabela3[[#This Row],[Ativo || Passivo]]&gt;0,Tabela3[[#This Row],[Ativo || Passivo]]-Tabela3[[#This Row],[Patrimônio Líquido]],0)</f>
        <v>0</v>
      </c>
      <c r="S201" s="73">
        <f>Tabela3[[#This Row],[Cotação]]*Tabela3[[#This Row],[Total Ações]]</f>
        <v>915988104.75</v>
      </c>
      <c r="T201" s="37">
        <f>IF(Tabela3[[#This Row],[Passivo Circulante]]&gt;0,Tabela3[[#This Row],[Ativo Circulante]]/Tabela3[[#This Row],[Passivo Circulante]],0)</f>
        <v>0</v>
      </c>
      <c r="U201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01" s="18">
        <f>IF(Tabela3[[#This Row],[Lucro Líquido]]&gt;0,Tabela3[[#This Row],[Lucro Líquido]]/Tabela3[[#This Row],[Patrimônio Líquido]],0)</f>
        <v>7.2379135793412069E-2</v>
      </c>
      <c r="W201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01" s="18">
        <f>IF(Tabela3[[#This Row],[Dívida]]&gt;0,Tabela3[[#This Row],[Dívida]]/Tabela3[[#This Row],[Patrimônio Líquido]],0)</f>
        <v>0</v>
      </c>
      <c r="Y201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01" s="7">
        <f>Tabela3[[#This Row],[Capital Social]]*20%</f>
        <v>106732412.2</v>
      </c>
      <c r="AA201" s="47">
        <f>IF((Tabela3[Lucro Líquido]*5%)&gt;Tabela3[Teto R. Legal],Tabela3[Teto R. Legal],Tabela3[Lucro Líquido]*5%)</f>
        <v>2466500</v>
      </c>
      <c r="AB201" s="47">
        <f>IF(Tabela3[Lucro Líquido]&lt;0,0,Tabela3[Lucro Líquido]-Tabela3[Reserva Legal])</f>
        <v>46863500</v>
      </c>
      <c r="AC201" s="47">
        <f>Tabela3[[#This Row],[Lucro Distribuir]]*Tabela3[%Div]</f>
        <v>11715875</v>
      </c>
      <c r="AD201" s="56">
        <f>SUMPRODUCT(N(Tabela3[Nome]=Tabela3[[#This Row],[Nome]]),Tabela3[Ações])</f>
        <v>192839601</v>
      </c>
      <c r="AE201" s="85">
        <f>Tabela3[Capital Social]/Tabela3[Total Ações]</f>
        <v>2.7673883280851634</v>
      </c>
      <c r="AF201" s="85">
        <f>Tabela3[[#This Row],[Lucro Líquido]]/Tabela3[[#This Row],[Total Ações]]</f>
        <v>0.25580845295360261</v>
      </c>
      <c r="AG201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6.0754507576480619E-2</v>
      </c>
      <c r="AH201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01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01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6.0754507576480619E-2</v>
      </c>
      <c r="AK201" s="7">
        <f>Tabela3[Div Base]*Tabela3[Ações]</f>
        <v>11715875</v>
      </c>
      <c r="AL201" s="121">
        <f>SUMPRODUCT(N(Tabela3[Nome]=Tabela3[[#This Row],[Nome]]),Tabela3[Div Base]*Tabela3[Ações])</f>
        <v>11715875</v>
      </c>
      <c r="AM201" s="5">
        <f>Tabela3[Patrimônio Líquido]/Tabela3[Total Ações]</f>
        <v>3.5342844336210799</v>
      </c>
      <c r="AN201" s="52">
        <f>MAX(Tabela3[[#This Row],[Cotação 1]:[Cotação 5]])</f>
        <v>4.75</v>
      </c>
      <c r="AO201" s="53">
        <f>Tabela3[Cotação]/Tabela3[VPA]</f>
        <v>1.3439778515882914</v>
      </c>
      <c r="AP201" s="37">
        <f>IF(Tabela3[[#This Row],[Lucro/Ação]]&gt;0,Tabela3[[#This Row],[Cotação]]/(Tabela3[[#This Row],[Lucro/Ação]]/Tabela3[Ref]*4),0)</f>
        <v>13.926435811118996</v>
      </c>
      <c r="AQ201" s="85">
        <f>Tabela3[Lucro Distribuir]/Tabela3[Total Ações]</f>
        <v>0.24301803030592248</v>
      </c>
      <c r="AR201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6.0754507576480619E-2</v>
      </c>
      <c r="AS201" s="10" t="str">
        <f>IF(AND(Tabela3[% A.A.]&gt;=6%,SUMPRODUCT(N(Tabela3[Nome]=Tabela3[[#This Row],[Nome]]),Tabela3[PL])&gt;0,Tabela3[Rentabilidade s/ PL]&gt;=Tabela3[Rentabilidade s/ PL Média]),"Sim","Não")</f>
        <v>Não</v>
      </c>
      <c r="AT201" s="22">
        <f>IF(Tabela3[Cotação]&gt;0,Tabela3[[#This Row],[Lucro]]/Tabela3[[#This Row],[Cotação]],0)</f>
        <v>1.2790422647680131E-2</v>
      </c>
      <c r="AU201" s="22">
        <f>((1+Tabela3[[#This Row],[% Yield]])^(1/(3*Tabela3[[#This Row],[Ref]])))^(12)-1</f>
        <v>1.7090148504541824E-2</v>
      </c>
      <c r="AV201" s="10">
        <f>IF(Tabela3[Cotação]&gt;0,($BH$1/Tabela3[[#This Row],[Cotação]]-MOD($BH$1/Tabela3[[#This Row],[Cotação]],100)),)</f>
        <v>100</v>
      </c>
      <c r="AW201" s="7">
        <f>Tabela3[[#This Row],[Ativos]]*Tabela3[Lucro]</f>
        <v>6.0754507576480616</v>
      </c>
      <c r="AX201" s="7">
        <f>SUMPRODUCT(N(Tabela1[Código]=Tabela3[[#This Row],[PAPEL]]),Tabela1[Fechamento])</f>
        <v>0</v>
      </c>
      <c r="AY201" s="7">
        <f>SUMPRODUCT(N(Tabela17[Código]=Tabela3[[#This Row],[PAPEL]]),Tabela17[Fechamento])</f>
        <v>0</v>
      </c>
      <c r="AZ201" s="7">
        <f>SUMPRODUCT(N(Tabela176[Código]=Tabela3[[#This Row],[PAPEL]]),Tabela176[Fechamento])</f>
        <v>0</v>
      </c>
      <c r="BA201" s="7">
        <f>SUMPRODUCT(N(Tabela1768[Código]=Tabela3[[#This Row],[PAPEL]]),Tabela1768[Fechamento])</f>
        <v>0</v>
      </c>
      <c r="BB201" s="7">
        <f>SUMPRODUCT(N(Tabela17683[Código]=Tabela3[[#This Row],[PAPEL]]),Tabela17683[Fechamento])</f>
        <v>4.75</v>
      </c>
    </row>
    <row r="202" spans="1:54" hidden="1" x14ac:dyDescent="0.2">
      <c r="A202" s="3" t="s">
        <v>1467</v>
      </c>
      <c r="B202" s="57" t="s">
        <v>1447</v>
      </c>
      <c r="C202" s="16" t="str">
        <f>LEFT(Tabela3[PAPEL],LEN(Tabela3[PAPEL])-(LEN(Tabela3[PAPEL])-4))</f>
        <v>CTAX</v>
      </c>
      <c r="D202" s="16">
        <v>3</v>
      </c>
      <c r="E202" s="5">
        <v>181637683.90000001</v>
      </c>
      <c r="F202" s="56">
        <v>119725707</v>
      </c>
      <c r="G202" s="81">
        <v>0.25</v>
      </c>
      <c r="H202" s="18"/>
      <c r="J202" s="18"/>
      <c r="K202" s="16"/>
      <c r="L202" s="87"/>
      <c r="M202" s="54"/>
      <c r="N202" s="54"/>
      <c r="O202" s="54"/>
      <c r="P202" s="91">
        <v>372993000</v>
      </c>
      <c r="Q202" s="73">
        <v>26946000</v>
      </c>
      <c r="R202" s="73">
        <f>IF(Tabela3[[#This Row],[Ativo || Passivo]]&gt;0,Tabela3[[#This Row],[Ativo || Passivo]]-Tabela3[[#This Row],[Patrimônio Líquido]],0)</f>
        <v>0</v>
      </c>
      <c r="S202" s="73">
        <f>Tabela3[[#This Row],[Cotação]]*Tabela3[[#This Row],[Total Ações]]</f>
        <v>2143760794</v>
      </c>
      <c r="T202" s="37">
        <f>IF(Tabela3[[#This Row],[Passivo Circulante]]&gt;0,Tabela3[[#This Row],[Ativo Circulante]]/Tabela3[[#This Row],[Passivo Circulante]],0)</f>
        <v>0</v>
      </c>
      <c r="U202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02" s="18">
        <f>IF(Tabela3[[#This Row],[Lucro Líquido]]&gt;0,Tabela3[[#This Row],[Lucro Líquido]]/Tabela3[[#This Row],[Patrimônio Líquido]],0)</f>
        <v>7.2242642623320003E-2</v>
      </c>
      <c r="W202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02" s="18">
        <f>IF(Tabela3[[#This Row],[Dívida]]&gt;0,Tabela3[[#This Row],[Dívida]]/Tabela3[[#This Row],[Patrimônio Líquido]],0)</f>
        <v>0</v>
      </c>
      <c r="Y202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02" s="7">
        <f>Tabela3[[#This Row],[Capital Social]]*20%</f>
        <v>36327536.780000001</v>
      </c>
      <c r="AA202" s="47">
        <f>IF((Tabela3[Lucro Líquido]*5%)&gt;Tabela3[Teto R. Legal],Tabela3[Teto R. Legal],Tabela3[Lucro Líquido]*5%)</f>
        <v>1347300</v>
      </c>
      <c r="AB202" s="47">
        <f>IF(Tabela3[Lucro Líquido]&lt;0,0,Tabela3[Lucro Líquido]-Tabela3[Reserva Legal])</f>
        <v>25598700</v>
      </c>
      <c r="AC202" s="47">
        <f>Tabela3[[#This Row],[Lucro Distribuir]]*Tabela3[%Div]</f>
        <v>6399675</v>
      </c>
      <c r="AD202" s="56">
        <f>SUMPRODUCT(N(Tabela3[Nome]=Tabela3[[#This Row],[Nome]]),Tabela3[Ações])</f>
        <v>345767870</v>
      </c>
      <c r="AE202" s="85">
        <f>Tabela3[Capital Social]/Tabela3[Total Ações]</f>
        <v>0.52531683727582901</v>
      </c>
      <c r="AF202" s="85">
        <f>Tabela3[[#This Row],[Lucro Líquido]]/Tabela3[[#This Row],[Total Ações]]</f>
        <v>7.7930896239722908E-2</v>
      </c>
      <c r="AG202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1.850858785693419E-2</v>
      </c>
      <c r="AH202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02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02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202" s="7">
        <f>Tabela3[Div Base]*Tabela3[Ações]</f>
        <v>0</v>
      </c>
      <c r="AL202" s="121">
        <f>SUMPRODUCT(N(Tabela3[Nome]=Tabela3[[#This Row],[Nome]]),Tabela3[Div Base]*Tabela3[Ações])</f>
        <v>7315209.290891516</v>
      </c>
      <c r="AM202" s="5">
        <f>Tabela3[Patrimônio Líquido]/Tabela3[Total Ações]</f>
        <v>1.0787381719417712</v>
      </c>
      <c r="AN202" s="52">
        <f>MAX(Tabela3[[#This Row],[Cotação 1]:[Cotação 5]])</f>
        <v>6.2</v>
      </c>
      <c r="AO202" s="53">
        <f>Tabela3[Cotação]/Tabela3[VPA]</f>
        <v>5.7474558342917961</v>
      </c>
      <c r="AP202" s="37">
        <f>IF(Tabela3[[#This Row],[Lucro/Ação]]&gt;0,Tabela3[[#This Row],[Cotação]]/(Tabela3[[#This Row],[Lucro/Ação]]/Tabela3[Ref]*4),0)</f>
        <v>59.668247439323089</v>
      </c>
      <c r="AQ202" s="85">
        <f>Tabela3[Lucro Distribuir]/Tabela3[Total Ações]</f>
        <v>7.4034351427736761E-2</v>
      </c>
      <c r="AR202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202" s="10" t="str">
        <f>IF(AND(Tabela3[% A.A.]&gt;=6%,SUMPRODUCT(N(Tabela3[Nome]=Tabela3[[#This Row],[Nome]]),Tabela3[PL])&gt;0,Tabela3[Rentabilidade s/ PL]&gt;=Tabela3[Rentabilidade s/ PL Média]),"Sim","Não")</f>
        <v>Não</v>
      </c>
      <c r="AT202" s="22">
        <f>IF(Tabela3[Cotação]&gt;0,Tabela3[[#This Row],[Lucro]]/Tabela3[[#This Row],[Cotação]],0)</f>
        <v>0</v>
      </c>
      <c r="AU202" s="22">
        <f>((1+Tabela3[[#This Row],[% Yield]])^(1/(3*Tabela3[[#This Row],[Ref]])))^(12)-1</f>
        <v>0</v>
      </c>
      <c r="AV202" s="10">
        <f>IF(Tabela3[Cotação]&gt;0,($BH$1/Tabela3[[#This Row],[Cotação]]-MOD($BH$1/Tabela3[[#This Row],[Cotação]],100)),)</f>
        <v>0</v>
      </c>
      <c r="AW202" s="7">
        <f>Tabela3[[#This Row],[Ativos]]*Tabela3[Lucro]</f>
        <v>0</v>
      </c>
      <c r="AX202" s="7">
        <f>SUMPRODUCT(N(Tabela1[Código]=Tabela3[[#This Row],[PAPEL]]),Tabela1[Fechamento])</f>
        <v>0</v>
      </c>
      <c r="AY202" s="7">
        <f>SUMPRODUCT(N(Tabela17[Código]=Tabela3[[#This Row],[PAPEL]]),Tabela17[Fechamento])</f>
        <v>0</v>
      </c>
      <c r="AZ202" s="7">
        <f>SUMPRODUCT(N(Tabela176[Código]=Tabela3[[#This Row],[PAPEL]]),Tabela176[Fechamento])</f>
        <v>0</v>
      </c>
      <c r="BA202" s="7">
        <f>SUMPRODUCT(N(Tabela1768[Código]=Tabela3[[#This Row],[PAPEL]]),Tabela1768[Fechamento])</f>
        <v>0</v>
      </c>
      <c r="BB202" s="7">
        <f>SUMPRODUCT(N(Tabela17683[Código]=Tabela3[[#This Row],[PAPEL]]),Tabela17683[Fechamento])</f>
        <v>6.2</v>
      </c>
    </row>
    <row r="203" spans="1:54" hidden="1" x14ac:dyDescent="0.2">
      <c r="A203" s="3" t="s">
        <v>1467</v>
      </c>
      <c r="B203" s="57" t="s">
        <v>1448</v>
      </c>
      <c r="C203" s="16" t="str">
        <f>LEFT(Tabela3[PAPEL],LEN(Tabela3[PAPEL])-(LEN(Tabela3[PAPEL])-4))</f>
        <v>CTAX</v>
      </c>
      <c r="D203" s="16">
        <v>3</v>
      </c>
      <c r="E203" s="5">
        <v>181637683.90000001</v>
      </c>
      <c r="F203" s="56">
        <v>226042163</v>
      </c>
      <c r="G203" s="81">
        <v>0.25</v>
      </c>
      <c r="H203" s="18">
        <v>0.03</v>
      </c>
      <c r="I203" s="18">
        <v>0.06</v>
      </c>
      <c r="J203" s="18"/>
      <c r="K203" s="16"/>
      <c r="L203" s="87"/>
      <c r="M203" s="54"/>
      <c r="N203" s="54"/>
      <c r="O203" s="54"/>
      <c r="P203" s="91">
        <v>372993000</v>
      </c>
      <c r="Q203" s="73">
        <v>26946000</v>
      </c>
      <c r="R203" s="73">
        <f>IF(Tabela3[[#This Row],[Ativo || Passivo]]&gt;0,Tabela3[[#This Row],[Ativo || Passivo]]-Tabela3[[#This Row],[Patrimônio Líquido]],0)</f>
        <v>0</v>
      </c>
      <c r="S203" s="73">
        <f>Tabela3[[#This Row],[Cotação]]*Tabela3[[#This Row],[Total Ações]]</f>
        <v>1227475938.5</v>
      </c>
      <c r="T203" s="37">
        <f>IF(Tabela3[[#This Row],[Passivo Circulante]]&gt;0,Tabela3[[#This Row],[Ativo Circulante]]/Tabela3[[#This Row],[Passivo Circulante]],0)</f>
        <v>0</v>
      </c>
      <c r="U203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03" s="18">
        <f>IF(Tabela3[[#This Row],[Lucro Líquido]]&gt;0,Tabela3[[#This Row],[Lucro Líquido]]/Tabela3[[#This Row],[Patrimônio Líquido]],0)</f>
        <v>7.2242642623320003E-2</v>
      </c>
      <c r="W203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03" s="18">
        <f>IF(Tabela3[[#This Row],[Dívida]]&gt;0,Tabela3[[#This Row],[Dívida]]/Tabela3[[#This Row],[Patrimônio Líquido]],0)</f>
        <v>0</v>
      </c>
      <c r="Y203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03" s="7">
        <f>Tabela3[[#This Row],[Capital Social]]*20%</f>
        <v>36327536.780000001</v>
      </c>
      <c r="AA203" s="47">
        <f>IF((Tabela3[Lucro Líquido]*5%)&gt;Tabela3[Teto R. Legal],Tabela3[Teto R. Legal],Tabela3[Lucro Líquido]*5%)</f>
        <v>1347300</v>
      </c>
      <c r="AB203" s="47">
        <f>IF(Tabela3[Lucro Líquido]&lt;0,0,Tabela3[Lucro Líquido]-Tabela3[Reserva Legal])</f>
        <v>25598700</v>
      </c>
      <c r="AC203" s="47">
        <f>Tabela3[[#This Row],[Lucro Distribuir]]*Tabela3[%Div]</f>
        <v>6399675</v>
      </c>
      <c r="AD203" s="56">
        <f>SUMPRODUCT(N(Tabela3[Nome]=Tabela3[[#This Row],[Nome]]),Tabela3[Ações])</f>
        <v>345767870</v>
      </c>
      <c r="AE203" s="85">
        <f>Tabela3[Capital Social]/Tabela3[Total Ações]</f>
        <v>0.52531683727582901</v>
      </c>
      <c r="AF203" s="85">
        <f>Tabela3[[#This Row],[Lucro Líquido]]/Tabela3[[#This Row],[Total Ações]]</f>
        <v>7.7930896239722908E-2</v>
      </c>
      <c r="AG203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1.850858785693419E-2</v>
      </c>
      <c r="AH203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3.2362145158253135E-2</v>
      </c>
      <c r="AI203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3.1519010236549738E-2</v>
      </c>
      <c r="AJ203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3.2362145158253135E-2</v>
      </c>
      <c r="AK203" s="7">
        <f>Tabela3[Div Base]*Tabela3[Ações]</f>
        <v>7315209.290891516</v>
      </c>
      <c r="AL203" s="121">
        <f>SUMPRODUCT(N(Tabela3[Nome]=Tabela3[[#This Row],[Nome]]),Tabela3[Div Base]*Tabela3[Ações])</f>
        <v>7315209.290891516</v>
      </c>
      <c r="AM203" s="5">
        <f>Tabela3[Patrimônio Líquido]/Tabela3[Total Ações]</f>
        <v>1.0787381719417712</v>
      </c>
      <c r="AN203" s="52">
        <f>MAX(Tabela3[[#This Row],[Cotação 1]:[Cotação 5]])</f>
        <v>3.55</v>
      </c>
      <c r="AO203" s="53">
        <f>Tabela3[Cotação]/Tabela3[VPA]</f>
        <v>3.2908819696348188</v>
      </c>
      <c r="AP203" s="37">
        <f>IF(Tabela3[[#This Row],[Lucro/Ação]]&gt;0,Tabela3[[#This Row],[Cotação]]/(Tabela3[[#This Row],[Lucro/Ação]]/Tabela3[Ref]*4),0)</f>
        <v>34.164883614451121</v>
      </c>
      <c r="AQ203" s="85">
        <f>Tabela3[Lucro Distribuir]/Tabela3[Total Ações]</f>
        <v>7.4034351427736761E-2</v>
      </c>
      <c r="AR203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3.2362145158253135E-2</v>
      </c>
      <c r="AS203" s="10" t="str">
        <f>IF(AND(Tabela3[% A.A.]&gt;=6%,SUMPRODUCT(N(Tabela3[Nome]=Tabela3[[#This Row],[Nome]]),Tabela3[PL])&gt;0,Tabela3[Rentabilidade s/ PL]&gt;=Tabela3[Rentabilidade s/ PL Média]),"Sim","Não")</f>
        <v>Não</v>
      </c>
      <c r="AT203" s="22">
        <f>IF(Tabela3[Cotação]&gt;0,Tabela3[[#This Row],[Lucro]]/Tabela3[[#This Row],[Cotação]],0)</f>
        <v>9.1160972276769399E-3</v>
      </c>
      <c r="AU203" s="22">
        <f>((1+Tabela3[[#This Row],[% Yield]])^(1/(3*Tabela3[[#This Row],[Ref]])))^(12)-1</f>
        <v>1.2173226417915961E-2</v>
      </c>
      <c r="AV203" s="10">
        <f>IF(Tabela3[Cotação]&gt;0,($BH$1/Tabela3[[#This Row],[Cotação]]-MOD($BH$1/Tabela3[[#This Row],[Cotação]],100)),)</f>
        <v>100</v>
      </c>
      <c r="AW203" s="7">
        <f>Tabela3[[#This Row],[Ativos]]*Tabela3[Lucro]</f>
        <v>3.2362145158253135</v>
      </c>
      <c r="AX203" s="7">
        <f>SUMPRODUCT(N(Tabela1[Código]=Tabela3[[#This Row],[PAPEL]]),Tabela1[Fechamento])</f>
        <v>0</v>
      </c>
      <c r="AY203" s="7">
        <f>SUMPRODUCT(N(Tabela17[Código]=Tabela3[[#This Row],[PAPEL]]),Tabela17[Fechamento])</f>
        <v>0</v>
      </c>
      <c r="AZ203" s="7">
        <f>SUMPRODUCT(N(Tabela176[Código]=Tabela3[[#This Row],[PAPEL]]),Tabela176[Fechamento])</f>
        <v>0</v>
      </c>
      <c r="BA203" s="7">
        <f>SUMPRODUCT(N(Tabela1768[Código]=Tabela3[[#This Row],[PAPEL]]),Tabela1768[Fechamento])</f>
        <v>0</v>
      </c>
      <c r="BB203" s="7">
        <f>SUMPRODUCT(N(Tabela17683[Código]=Tabela3[[#This Row],[PAPEL]]),Tabela17683[Fechamento])</f>
        <v>3.55</v>
      </c>
    </row>
    <row r="204" spans="1:54" hidden="1" x14ac:dyDescent="0.2">
      <c r="A204" s="4" t="s">
        <v>12</v>
      </c>
      <c r="B204" s="57" t="s">
        <v>28</v>
      </c>
      <c r="C204" s="14" t="str">
        <f>LEFT(Tabela3[PAPEL],LEN(Tabela3[PAPEL])-(LEN(Tabela3[PAPEL])-4))</f>
        <v>ENBR</v>
      </c>
      <c r="D204" s="15">
        <v>3</v>
      </c>
      <c r="E204" s="6">
        <v>3182715945.1199999</v>
      </c>
      <c r="F204" s="8">
        <v>476415612</v>
      </c>
      <c r="G204" s="81">
        <v>0.25</v>
      </c>
      <c r="H204" s="19"/>
      <c r="I204" s="19"/>
      <c r="J204" s="19"/>
      <c r="K204" s="88"/>
      <c r="L204" s="88"/>
      <c r="M204" s="55"/>
      <c r="N204" s="55"/>
      <c r="O204" s="55"/>
      <c r="P204" s="89">
        <v>6277330000</v>
      </c>
      <c r="Q204" s="89">
        <v>451384000</v>
      </c>
      <c r="R204" s="89">
        <f>IF(Tabela3[[#This Row],[Ativo || Passivo]]&gt;0,Tabela3[[#This Row],[Ativo || Passivo]]-Tabela3[[#This Row],[Patrimônio Líquido]],0)</f>
        <v>0</v>
      </c>
      <c r="S204" s="89">
        <f>Tabela3[[#This Row],[Cotação]]*Tabela3[[#This Row],[Total Ações]]</f>
        <v>4130523356.04</v>
      </c>
      <c r="T204" s="134">
        <f>IF(Tabela3[[#This Row],[Passivo Circulante]]&gt;0,Tabela3[[#This Row],[Ativo Circulante]]/Tabela3[[#This Row],[Passivo Circulante]],0)</f>
        <v>0</v>
      </c>
      <c r="U204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04" s="19">
        <f>IF(Tabela3[[#This Row],[Lucro Líquido]]&gt;0,Tabela3[[#This Row],[Lucro Líquido]]/Tabela3[[#This Row],[Patrimônio Líquido]],0)</f>
        <v>7.1907005048324688E-2</v>
      </c>
      <c r="W204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04" s="19">
        <f>IF(Tabela3[[#This Row],[Dívida]]&gt;0,Tabela3[[#This Row],[Dívida]]/Tabela3[[#This Row],[Patrimônio Líquido]],0)</f>
        <v>0</v>
      </c>
      <c r="Y204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04" s="6">
        <f>Tabela3[[#This Row],[Capital Social]]*20%</f>
        <v>636543189.02400005</v>
      </c>
      <c r="AA204" s="6">
        <f>IF((Tabela3[Lucro Líquido]*5%)&gt;Tabela3[Teto R. Legal],Tabela3[Teto R. Legal],Tabela3[Lucro Líquido]*5%)</f>
        <v>22569200</v>
      </c>
      <c r="AB204" s="89">
        <f>IF(Tabela3[Lucro Líquido]&lt;0,0,Tabela3[Lucro Líquido]-Tabela3[Reserva Legal])</f>
        <v>428814800</v>
      </c>
      <c r="AC204" s="89">
        <f>Tabela3[[#This Row],[Lucro Distribuir]]*Tabela3[%Div]</f>
        <v>107203700</v>
      </c>
      <c r="AD204" s="56">
        <f>SUMPRODUCT(N(Tabela3[Nome]=Tabela3[[#This Row],[Nome]]),Tabela3[Ações])</f>
        <v>476415612</v>
      </c>
      <c r="AE204" s="6">
        <f>Tabela3[Capital Social]/Tabela3[Total Ações]</f>
        <v>6.6805450219376938</v>
      </c>
      <c r="AF204" s="78">
        <f>Tabela3[[#This Row],[Lucro Líquido]]/Tabela3[[#This Row],[Total Ações]]</f>
        <v>0.94745845566454689</v>
      </c>
      <c r="AG204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0.22502138322032991</v>
      </c>
      <c r="AH204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04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04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0.22502138322032991</v>
      </c>
      <c r="AK204" s="6">
        <f>Tabela3[Div Base]*Tabela3[Ações]</f>
        <v>107203700</v>
      </c>
      <c r="AL204" s="6">
        <f>SUMPRODUCT(N(Tabela3[Nome]=Tabela3[[#This Row],[Nome]]),Tabela3[Div Base]*Tabela3[Ações])</f>
        <v>107203700</v>
      </c>
      <c r="AM204" s="6">
        <f>Tabela3[Patrimônio Líquido]/Tabela3[Total Ações]</f>
        <v>13.176163504902101</v>
      </c>
      <c r="AN204" s="48">
        <f>MAX(Tabela3[[#This Row],[Cotação 1]:[Cotação 5]])</f>
        <v>8.67</v>
      </c>
      <c r="AO204" s="44">
        <f>Tabela3[Cotação]/Tabela3[VPA]</f>
        <v>0.65800640655183018</v>
      </c>
      <c r="AP204" s="40">
        <f>IF(Tabela3[[#This Row],[Lucro/Ação]]&gt;0,Tabela3[[#This Row],[Cotação]]/(Tabela3[[#This Row],[Lucro/Ação]]/Tabela3[Ref]*4),0)</f>
        <v>6.8630977549713768</v>
      </c>
      <c r="AQ204" s="78">
        <f>Tabela3[Lucro Distribuir]/Tabela3[Total Ações]</f>
        <v>0.90008553288131965</v>
      </c>
      <c r="AR204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0.22502138322032991</v>
      </c>
      <c r="AS204" s="15" t="str">
        <f>IF(AND(Tabela3[% A.A.]&gt;=6%,SUMPRODUCT(N(Tabela3[Nome]=Tabela3[[#This Row],[Nome]]),Tabela3[PL])&gt;0,Tabela3[Rentabilidade s/ PL]&gt;=Tabela3[Rentabilidade s/ PL Média]),"Sim","Não")</f>
        <v>Não</v>
      </c>
      <c r="AT204" s="42">
        <f>IF(Tabela3[Cotação]&gt;0,Tabela3[[#This Row],[Lucro]]/Tabela3[[#This Row],[Cotação]],0)</f>
        <v>2.5954023439484421E-2</v>
      </c>
      <c r="AU204" s="19">
        <f>((1+Tabela3[[#This Row],[% Yield]])^(1/(3*Tabela3[[#This Row],[Ref]])))^(12)-1</f>
        <v>3.4754201848200994E-2</v>
      </c>
      <c r="AV204" s="14">
        <f>IF(Tabela3[Cotação]&gt;0,($BD$1/Tabela3[[#This Row],[Cotação]]-MOD($BD$1/Tabela3[[#This Row],[Cotação]],100)),)</f>
        <v>0</v>
      </c>
      <c r="AW204" s="17">
        <f>Tabela3[[#This Row],[Ativos]]*Tabela3[Lucro]</f>
        <v>0</v>
      </c>
      <c r="AX204" s="5">
        <f>SUMPRODUCT(N(Tabela1[Código]=Tabela3[[#This Row],[PAPEL]]),Tabela1[Fechamento])</f>
        <v>8.67</v>
      </c>
      <c r="AY204" s="5">
        <f>SUMPRODUCT(N(Tabela17[Código]=Tabela3[[#This Row],[PAPEL]]),Tabela17[Fechamento])</f>
        <v>0</v>
      </c>
      <c r="AZ204" s="7">
        <f>SUMPRODUCT(N(Tabela176[Código]=Tabela3[[#This Row],[PAPEL]]),Tabela176[Fechamento])</f>
        <v>0</v>
      </c>
      <c r="BA204" s="7">
        <f>SUMPRODUCT(N(Tabela1768[Código]=Tabela3[[#This Row],[PAPEL]]),Tabela1768[Fechamento])</f>
        <v>0</v>
      </c>
      <c r="BB204" s="7">
        <f>SUMPRODUCT(N(Tabela17683[Código]=Tabela3[[#This Row],[PAPEL]]),Tabela17683[Fechamento])</f>
        <v>0</v>
      </c>
    </row>
    <row r="205" spans="1:54" hidden="1" x14ac:dyDescent="0.2">
      <c r="A205" s="3" t="s">
        <v>314</v>
      </c>
      <c r="B205" s="58" t="s">
        <v>315</v>
      </c>
      <c r="C205" s="83" t="str">
        <f>LEFT(Tabela3[PAPEL],LEN(Tabela3[PAPEL])-(LEN(Tabela3[PAPEL])-4))</f>
        <v>LCAM</v>
      </c>
      <c r="D205" s="16">
        <v>3</v>
      </c>
      <c r="E205" s="5">
        <v>298927602.41000003</v>
      </c>
      <c r="F205" s="56">
        <v>65075322</v>
      </c>
      <c r="G205" s="86">
        <v>0.25</v>
      </c>
      <c r="H205" s="16"/>
      <c r="J205" s="18"/>
      <c r="K205" s="87"/>
      <c r="L205" s="87"/>
      <c r="M205" s="54"/>
      <c r="N205" s="54"/>
      <c r="O205" s="54"/>
      <c r="P205" s="5">
        <v>314080000</v>
      </c>
      <c r="Q205" s="5">
        <v>22535000</v>
      </c>
      <c r="R205" s="5">
        <f>IF(Tabela3[[#This Row],[Ativo || Passivo]]&gt;0,Tabela3[[#This Row],[Ativo || Passivo]]-Tabela3[[#This Row],[Patrimônio Líquido]],0)</f>
        <v>0</v>
      </c>
      <c r="S205" s="5">
        <f>Tabela3[[#This Row],[Cotação]]*Tabela3[[#This Row],[Total Ações]]</f>
        <v>259650534.78</v>
      </c>
      <c r="T205" s="132">
        <f>IF(Tabela3[[#This Row],[Passivo Circulante]]&gt;0,Tabela3[[#This Row],[Ativo Circulante]]/Tabela3[[#This Row],[Passivo Circulante]],0)</f>
        <v>0</v>
      </c>
      <c r="U205" s="132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05" s="18">
        <f>IF(Tabela3[[#This Row],[Lucro Líquido]]&gt;0,Tabela3[[#This Row],[Lucro Líquido]]/Tabela3[[#This Row],[Patrimônio Líquido]],0)</f>
        <v>7.1749235863474273E-2</v>
      </c>
      <c r="W205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05" s="18">
        <f>IF(Tabela3[[#This Row],[Dívida]]&gt;0,Tabela3[[#This Row],[Dívida]]/Tabela3[[#This Row],[Patrimônio Líquido]],0)</f>
        <v>0</v>
      </c>
      <c r="Y205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05" s="5">
        <f>Tabela3[[#This Row],[Capital Social]]*20%</f>
        <v>59785520.482000008</v>
      </c>
      <c r="AA205" s="5">
        <f>IF((Tabela3[Lucro Líquido]*5%)&gt;Tabela3[Teto R. Legal],Tabela3[Teto R. Legal],Tabela3[Lucro Líquido]*5%)</f>
        <v>1126750</v>
      </c>
      <c r="AB205" s="5">
        <f>IF(Tabela3[Lucro Líquido]&lt;0,0,Tabela3[Lucro Líquido]-Tabela3[Reserva Legal])</f>
        <v>21408250</v>
      </c>
      <c r="AC205" s="5">
        <f>Tabela3[[#This Row],[Lucro Distribuir]]*Tabela3[%Div]</f>
        <v>5352062.5</v>
      </c>
      <c r="AD205" s="56">
        <f>SUMPRODUCT(N(Tabela3[Nome]=Tabela3[[#This Row],[Nome]]),Tabela3[Ações])</f>
        <v>65075322</v>
      </c>
      <c r="AE205" s="5">
        <f>Tabela3[Capital Social]/Tabela3[Total Ações]</f>
        <v>4.5935631699217723</v>
      </c>
      <c r="AF205" s="77">
        <f>Tabela3[[#This Row],[Lucro Líquido]]/Tabela3[[#This Row],[Total Ações]]</f>
        <v>0.34629102565178238</v>
      </c>
      <c r="AG205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8.2244118592298326E-2</v>
      </c>
      <c r="AH205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05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05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8.2244118592298326E-2</v>
      </c>
      <c r="AK205" s="5">
        <f>Tabela3[Div Base]*Tabela3[Ações]</f>
        <v>5352062.5</v>
      </c>
      <c r="AL205" s="5">
        <f>SUMPRODUCT(N(Tabela3[Nome]=Tabela3[[#This Row],[Nome]]),Tabela3[Div Base]*Tabela3[Ações])</f>
        <v>5352062.5</v>
      </c>
      <c r="AM205" s="5">
        <f>Tabela3[Patrimônio Líquido]/Tabela3[Total Ações]</f>
        <v>4.8264071593837059</v>
      </c>
      <c r="AN205" s="52">
        <f>MAX(Tabela3[[#This Row],[Cotação 1]:[Cotação 5]])</f>
        <v>3.99</v>
      </c>
      <c r="AO205" s="53">
        <f>Tabela3[Cotação]/Tabela3[VPA]</f>
        <v>0.82670190645695374</v>
      </c>
      <c r="AP205" s="37">
        <f>IF(Tabela3[[#This Row],[Lucro/Ação]]&gt;0,Tabela3[[#This Row],[Cotação]]/(Tabela3[[#This Row],[Lucro/Ação]]/Tabela3[Ref]*4),0)</f>
        <v>8.6415753754160196</v>
      </c>
      <c r="AQ205" s="77">
        <f>Tabela3[Lucro Distribuir]/Tabela3[Total Ações]</f>
        <v>0.32897647436919331</v>
      </c>
      <c r="AR205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8.2244118592298326E-2</v>
      </c>
      <c r="AS205" s="16" t="str">
        <f>IF(AND(Tabela3[% A.A.]&gt;=6%,SUMPRODUCT(N(Tabela3[Nome]=Tabela3[[#This Row],[Nome]]),Tabela3[PL])&gt;0,Tabela3[Rentabilidade s/ PL]&gt;=Tabela3[Rentabilidade s/ PL Média]),"Sim","Não")</f>
        <v>Não</v>
      </c>
      <c r="AT205" s="22">
        <f>IF(Tabela3[Cotação]&gt;0,Tabela3[[#This Row],[Lucro]]/Tabela3[[#This Row],[Cotação]],0)</f>
        <v>2.0612561050701333E-2</v>
      </c>
      <c r="AU205" s="18">
        <f>((1+Tabela3[[#This Row],[% Yield]])^(1/(3*Tabela3[[#This Row],[Ref]])))^(12)-1</f>
        <v>2.7577403184259941E-2</v>
      </c>
      <c r="AV205" s="10">
        <f>IF(Tabela3[Cotação]&gt;0,($BD$1/Tabela3[[#This Row],[Cotação]]-MOD($BD$1/Tabela3[[#This Row],[Cotação]],100)),)</f>
        <v>0</v>
      </c>
      <c r="AW205" s="7">
        <f>Tabela3[[#This Row],[Ativos]]*Tabela3[Lucro]</f>
        <v>0</v>
      </c>
      <c r="AX205" s="47">
        <f>SUMPRODUCT(N(Tabela1[Código]=Tabela3[[#This Row],[PAPEL]]),Tabela1[Fechamento])</f>
        <v>0</v>
      </c>
      <c r="AY205" s="54">
        <f>SUMPRODUCT(N(Tabela17[Código]=Tabela3[[#This Row],[PAPEL]]),Tabela17[Fechamento])</f>
        <v>3.99</v>
      </c>
      <c r="AZ205" s="7">
        <f>SUMPRODUCT(N(Tabela176[Código]=Tabela3[[#This Row],[PAPEL]]),Tabela176[Fechamento])</f>
        <v>0</v>
      </c>
      <c r="BA205" s="7">
        <f>SUMPRODUCT(N(Tabela1768[Código]=Tabela3[[#This Row],[PAPEL]]),Tabela1768[Fechamento])</f>
        <v>0</v>
      </c>
      <c r="BB205" s="7">
        <f>SUMPRODUCT(N(Tabela17683[Código]=Tabela3[[#This Row],[PAPEL]]),Tabela17683[Fechamento])</f>
        <v>0</v>
      </c>
    </row>
    <row r="206" spans="1:54" hidden="1" x14ac:dyDescent="0.2">
      <c r="A206" s="4" t="s">
        <v>244</v>
      </c>
      <c r="B206" s="57" t="s">
        <v>245</v>
      </c>
      <c r="C206" s="82" t="str">
        <f>LEFT(Tabela3[PAPEL],LEN(Tabela3[PAPEL])-(LEN(Tabela3[PAPEL])-4))</f>
        <v>QGEP</v>
      </c>
      <c r="D206" s="15">
        <v>3</v>
      </c>
      <c r="E206" s="6">
        <v>2135496103.8199999</v>
      </c>
      <c r="F206" s="8">
        <v>265806905</v>
      </c>
      <c r="G206" s="86">
        <v>1.0000000000000001E-5</v>
      </c>
      <c r="H206" s="9"/>
      <c r="I206" s="9"/>
      <c r="J206" s="19"/>
      <c r="K206" s="88"/>
      <c r="L206" s="88"/>
      <c r="M206" s="55"/>
      <c r="N206" s="55"/>
      <c r="O206" s="55"/>
      <c r="P206" s="6">
        <v>2384232000</v>
      </c>
      <c r="Q206" s="6">
        <v>171061000</v>
      </c>
      <c r="R206" s="6">
        <f>IF(Tabela3[[#This Row],[Ativo || Passivo]]&gt;0,Tabela3[[#This Row],[Ativo || Passivo]]-Tabela3[[#This Row],[Patrimônio Líquido]],0)</f>
        <v>0</v>
      </c>
      <c r="S206" s="6">
        <f>Tabela3[[#This Row],[Cotação]]*Tabela3[[#This Row],[Total Ações]]</f>
        <v>2129113309.05</v>
      </c>
      <c r="T206" s="134">
        <f>IF(Tabela3[[#This Row],[Passivo Circulante]]&gt;0,Tabela3[[#This Row],[Ativo Circulante]]/Tabela3[[#This Row],[Passivo Circulante]],0)</f>
        <v>0</v>
      </c>
      <c r="U206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06" s="19">
        <f>IF(Tabela3[[#This Row],[Lucro Líquido]]&gt;0,Tabela3[[#This Row],[Lucro Líquido]]/Tabela3[[#This Row],[Patrimônio Líquido]],0)</f>
        <v>7.1746793097316033E-2</v>
      </c>
      <c r="W206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06" s="19">
        <f>IF(Tabela3[[#This Row],[Dívida]]&gt;0,Tabela3[[#This Row],[Dívida]]/Tabela3[[#This Row],[Patrimônio Líquido]],0)</f>
        <v>0</v>
      </c>
      <c r="Y206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06" s="6">
        <f>Tabela3[[#This Row],[Capital Social]]*20%</f>
        <v>427099220.764</v>
      </c>
      <c r="AA206" s="6">
        <f>IF((Tabela3[Lucro Líquido]*5%)&gt;Tabela3[Teto R. Legal],Tabela3[Teto R. Legal],Tabela3[Lucro Líquido]*5%)</f>
        <v>8553050</v>
      </c>
      <c r="AB206" s="6">
        <f>IF(Tabela3[Lucro Líquido]&lt;0,0,Tabela3[Lucro Líquido]-Tabela3[Reserva Legal])</f>
        <v>162507950</v>
      </c>
      <c r="AC206" s="6">
        <f>Tabela3[[#This Row],[Lucro Distribuir]]*Tabela3[%Div]</f>
        <v>1625.0795000000001</v>
      </c>
      <c r="AD206" s="56">
        <f>SUMPRODUCT(N(Tabela3[Nome]=Tabela3[[#This Row],[Nome]]),Tabela3[Ações])</f>
        <v>265806905</v>
      </c>
      <c r="AE206" s="6">
        <f>Tabela3[Capital Social]/Tabela3[Total Ações]</f>
        <v>8.034012900530179</v>
      </c>
      <c r="AF206" s="78">
        <f>Tabela3[[#This Row],[Lucro Líquido]]/Tabela3[[#This Row],[Total Ações]]</f>
        <v>0.64355363529777376</v>
      </c>
      <c r="AG206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6.1137595353288513E-6</v>
      </c>
      <c r="AH206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06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06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6.1137595353288513E-6</v>
      </c>
      <c r="AK206" s="6">
        <f>Tabela3[Div Base]*Tabela3[Ações]</f>
        <v>1625.0795000000001</v>
      </c>
      <c r="AL206" s="6">
        <f>SUMPRODUCT(N(Tabela3[Nome]=Tabela3[[#This Row],[Nome]]),Tabela3[Div Base]*Tabela3[Ações])</f>
        <v>1625.0795000000001</v>
      </c>
      <c r="AM206" s="6">
        <f>Tabela3[Patrimônio Líquido]/Tabela3[Total Ações]</f>
        <v>8.9697895545640538</v>
      </c>
      <c r="AN206" s="48">
        <f>MAX(Tabela3[[#This Row],[Cotação 1]:[Cotação 5]])</f>
        <v>8.01</v>
      </c>
      <c r="AO206" s="44">
        <f>Tabela3[Cotação]/Tabela3[VPA]</f>
        <v>0.89299753927050729</v>
      </c>
      <c r="AP206" s="40">
        <f>IF(Tabela3[[#This Row],[Lucro/Ação]]&gt;0,Tabela3[[#This Row],[Cotação]]/(Tabela3[[#This Row],[Lucro/Ação]]/Tabela3[Ref]*4),0)</f>
        <v>9.3348862790904992</v>
      </c>
      <c r="AQ206" s="78">
        <f>Tabela3[Lucro Distribuir]/Tabela3[Total Ações]</f>
        <v>0.6113759535328851</v>
      </c>
      <c r="AR206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6.1137595353288513E-6</v>
      </c>
      <c r="AS206" s="15" t="str">
        <f>IF(AND(Tabela3[% A.A.]&gt;=6%,SUMPRODUCT(N(Tabela3[Nome]=Tabela3[[#This Row],[Nome]]),Tabela3[PL])&gt;0,Tabela3[Rentabilidade s/ PL]&gt;=Tabela3[Rentabilidade s/ PL Média]),"Sim","Não")</f>
        <v>Não</v>
      </c>
      <c r="AT206" s="42">
        <f>IF(Tabela3[Cotação]&gt;0,Tabela3[[#This Row],[Lucro]]/Tabela3[[#This Row],[Cotação]],0)</f>
        <v>7.6326585959161693E-7</v>
      </c>
      <c r="AU206" s="19">
        <f>((1+Tabela3[[#This Row],[% Yield]])^(1/(3*Tabela3[[#This Row],[Ref]])))^(12)-1</f>
        <v>1.0176879421397445E-6</v>
      </c>
      <c r="AV206" s="14">
        <f>IF(Tabela3[Cotação]&gt;0,($BD$1/Tabela3[[#This Row],[Cotação]]-MOD($BD$1/Tabela3[[#This Row],[Cotação]],100)),)</f>
        <v>0</v>
      </c>
      <c r="AW206" s="17">
        <f>Tabela3[[#This Row],[Ativos]]*Tabela3[Lucro]</f>
        <v>0</v>
      </c>
      <c r="AX206" s="13">
        <f>SUMPRODUCT(N(Tabela1[Código]=Tabela3[[#This Row],[PAPEL]]),Tabela1[Fechamento])</f>
        <v>0</v>
      </c>
      <c r="AY206" s="13">
        <f>SUMPRODUCT(N(Tabela17[Código]=Tabela3[[#This Row],[PAPEL]]),Tabela17[Fechamento])</f>
        <v>8.01</v>
      </c>
      <c r="AZ206" s="7">
        <f>SUMPRODUCT(N(Tabela176[Código]=Tabela3[[#This Row],[PAPEL]]),Tabela176[Fechamento])</f>
        <v>0</v>
      </c>
      <c r="BA206" s="7">
        <f>SUMPRODUCT(N(Tabela1768[Código]=Tabela3[[#This Row],[PAPEL]]),Tabela1768[Fechamento])</f>
        <v>0</v>
      </c>
      <c r="BB206" s="7">
        <f>SUMPRODUCT(N(Tabela17683[Código]=Tabela3[[#This Row],[PAPEL]]),Tabela17683[Fechamento])</f>
        <v>0</v>
      </c>
    </row>
    <row r="207" spans="1:54" hidden="1" x14ac:dyDescent="0.2">
      <c r="A207" s="4" t="s">
        <v>14</v>
      </c>
      <c r="B207" s="57" t="s">
        <v>553</v>
      </c>
      <c r="C207" s="82" t="str">
        <f>LEFT(Tabela3[PAPEL],LEN(Tabela3[PAPEL])-(LEN(Tabela3[PAPEL])-4))</f>
        <v>DAYC</v>
      </c>
      <c r="D207" s="15">
        <v>3</v>
      </c>
      <c r="E207" s="6">
        <v>1868862897.47</v>
      </c>
      <c r="F207" s="8">
        <v>160869792</v>
      </c>
      <c r="G207" s="81">
        <v>0.25</v>
      </c>
      <c r="H207" s="15"/>
      <c r="I207" s="19"/>
      <c r="J207" s="19"/>
      <c r="K207" s="88"/>
      <c r="L207" s="88"/>
      <c r="M207" s="55"/>
      <c r="N207" s="55"/>
      <c r="O207" s="55"/>
      <c r="P207" s="6">
        <v>2365276000</v>
      </c>
      <c r="Q207" s="6">
        <v>168016000</v>
      </c>
      <c r="R207" s="6">
        <f>IF(Tabela3[[#This Row],[Ativo || Passivo]]&gt;0,Tabela3[[#This Row],[Ativo || Passivo]]-Tabela3[[#This Row],[Patrimônio Líquido]],0)</f>
        <v>0</v>
      </c>
      <c r="S207" s="6">
        <f>Tabela3[[#This Row],[Cotação]]*Tabela3[[#This Row],[Total Ações]]</f>
        <v>0</v>
      </c>
      <c r="T207" s="134">
        <f>IF(Tabela3[[#This Row],[Passivo Circulante]]&gt;0,Tabela3[[#This Row],[Ativo Circulante]]/Tabela3[[#This Row],[Passivo Circulante]],0)</f>
        <v>0</v>
      </c>
      <c r="U207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07" s="19">
        <f>IF(Tabela3[[#This Row],[Lucro Líquido]]&gt;0,Tabela3[[#This Row],[Lucro Líquido]]/Tabela3[[#This Row],[Patrimônio Líquido]],0)</f>
        <v>7.1034416279537785E-2</v>
      </c>
      <c r="W207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07" s="19">
        <f>IF(Tabela3[[#This Row],[Dívida]]&gt;0,Tabela3[[#This Row],[Dívida]]/Tabela3[[#This Row],[Patrimônio Líquido]],0)</f>
        <v>0</v>
      </c>
      <c r="Y207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07" s="6">
        <f>Tabela3[[#This Row],[Capital Social]]*20%</f>
        <v>373772579.49400002</v>
      </c>
      <c r="AA207" s="6">
        <f>IF((Tabela3[Lucro Líquido]*5%)&gt;Tabela3[Teto R. Legal],Tabela3[Teto R. Legal],Tabela3[Lucro Líquido]*5%)</f>
        <v>8400800</v>
      </c>
      <c r="AB207" s="6">
        <f>IF(Tabela3[Lucro Líquido]&lt;0,0,Tabela3[Lucro Líquido]-Tabela3[Reserva Legal])</f>
        <v>159615200</v>
      </c>
      <c r="AC207" s="6">
        <f>Tabela3[[#This Row],[Lucro Distribuir]]*Tabela3[%Div]</f>
        <v>39903800</v>
      </c>
      <c r="AD207" s="21">
        <f>SUMPRODUCT(N(Tabela3[Nome]=Tabela3[[#This Row],[Nome]]),Tabela3[Ações])</f>
        <v>252239937</v>
      </c>
      <c r="AE207" s="6">
        <f>Tabela3[Capital Social]/Tabela3[Total Ações]</f>
        <v>7.4090682058408541</v>
      </c>
      <c r="AF207" s="78">
        <f>Tabela3[[#This Row],[Lucro Líquido]]/Tabela3[[#This Row],[Total Ações]]</f>
        <v>0.66609594816065942</v>
      </c>
      <c r="AG207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0.15819778768815662</v>
      </c>
      <c r="AH207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07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07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0.15819778768815662</v>
      </c>
      <c r="AK207" s="6">
        <f>Tabela3[Div Base]*Tabela3[Ações]</f>
        <v>25449245.200253915</v>
      </c>
      <c r="AL207" s="6">
        <f>SUMPRODUCT(N(Tabela3[Nome]=Tabela3[[#This Row],[Nome]]),Tabela3[Div Base]*Tabela3[Ações])</f>
        <v>39903800</v>
      </c>
      <c r="AM207" s="6">
        <f>Tabela3[Patrimônio Líquido]/Tabela3[Total Ações]</f>
        <v>9.3770876576138686</v>
      </c>
      <c r="AN207" s="48">
        <f>MAX(Tabela3[[#This Row],[Cotação 1]:[Cotação 5]])</f>
        <v>0</v>
      </c>
      <c r="AO207" s="44">
        <f>Tabela3[Cotação]/Tabela3[VPA]</f>
        <v>0</v>
      </c>
      <c r="AP207" s="40">
        <f>IF(Tabela3[[#This Row],[Lucro/Ação]]&gt;0,Tabela3[[#This Row],[Cotação]]/(Tabela3[[#This Row],[Lucro/Ação]]/Tabela3[Ref]*4),0)</f>
        <v>0</v>
      </c>
      <c r="AQ207" s="78">
        <f>Tabela3[Lucro Distribuir]/Tabela3[Total Ações]</f>
        <v>0.63279115075262649</v>
      </c>
      <c r="AR207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0.15819778768815662</v>
      </c>
      <c r="AS207" s="15" t="str">
        <f>IF(AND(Tabela3[% A.A.]&gt;=6%,SUMPRODUCT(N(Tabela3[Nome]=Tabela3[[#This Row],[Nome]]),Tabela3[PL])&gt;0,Tabela3[Rentabilidade s/ PL]&gt;=Tabela3[Rentabilidade s/ PL Média]),"Sim","Não")</f>
        <v>Não</v>
      </c>
      <c r="AT207" s="42">
        <f>IF(Tabela3[Cotação]&gt;0,Tabela3[[#This Row],[Lucro]]/Tabela3[[#This Row],[Cotação]],0)</f>
        <v>0</v>
      </c>
      <c r="AU207" s="19">
        <f>((1+Tabela3[[#This Row],[% Yield]])^(1/(3*Tabela3[[#This Row],[Ref]])))^(12)-1</f>
        <v>0</v>
      </c>
      <c r="AV207" s="14">
        <f>IF(Tabela3[Cotação]&gt;0,($BH$1/Tabela3[[#This Row],[Cotação]]-MOD($BH$1/Tabela3[[#This Row],[Cotação]],100)),)</f>
        <v>0</v>
      </c>
      <c r="AW207" s="17">
        <f>Tabela3[[#This Row],[Ativos]]*Tabela3[Lucro]</f>
        <v>0</v>
      </c>
      <c r="AX207" s="13">
        <f>SUMPRODUCT(N(Tabela1[Código]=Tabela3[[#This Row],[PAPEL]]),Tabela1[Fechamento])</f>
        <v>0</v>
      </c>
      <c r="AY207" s="55">
        <f>SUMPRODUCT(N(Tabela17[Código]=Tabela3[[#This Row],[PAPEL]]),Tabela17[Fechamento])</f>
        <v>0</v>
      </c>
      <c r="AZ207" s="7">
        <f>SUMPRODUCT(N(Tabela176[Código]=Tabela3[[#This Row],[PAPEL]]),Tabela176[Fechamento])</f>
        <v>0</v>
      </c>
      <c r="BA207" s="7">
        <f>SUMPRODUCT(N(Tabela1768[Código]=Tabela3[[#This Row],[PAPEL]]),Tabela1768[Fechamento])</f>
        <v>0</v>
      </c>
      <c r="BB207" s="7">
        <f>SUMPRODUCT(N(Tabela17683[Código]=Tabela3[[#This Row],[PAPEL]]),Tabela17683[Fechamento])</f>
        <v>0</v>
      </c>
    </row>
    <row r="208" spans="1:54" hidden="1" x14ac:dyDescent="0.2">
      <c r="A208" s="4" t="s">
        <v>14</v>
      </c>
      <c r="B208" s="57" t="s">
        <v>15</v>
      </c>
      <c r="C208" s="14" t="str">
        <f>LEFT(Tabela3[PAPEL],LEN(Tabela3[PAPEL])-(LEN(Tabela3[PAPEL])-4))</f>
        <v>DAYC</v>
      </c>
      <c r="D208" s="15">
        <v>3</v>
      </c>
      <c r="E208" s="6">
        <v>1868862897.47</v>
      </c>
      <c r="F208" s="8">
        <v>91370145</v>
      </c>
      <c r="G208" s="81">
        <v>0.25</v>
      </c>
      <c r="H208" s="15"/>
      <c r="I208" s="19"/>
      <c r="J208" s="19"/>
      <c r="K208" s="88"/>
      <c r="L208" s="88"/>
      <c r="M208" s="55"/>
      <c r="N208" s="55"/>
      <c r="O208" s="55"/>
      <c r="P208" s="6">
        <v>2365276000</v>
      </c>
      <c r="Q208" s="6">
        <v>168016000</v>
      </c>
      <c r="R208" s="6">
        <f>IF(Tabela3[[#This Row],[Ativo || Passivo]]&gt;0,Tabela3[[#This Row],[Ativo || Passivo]]-Tabela3[[#This Row],[Patrimônio Líquido]],0)</f>
        <v>0</v>
      </c>
      <c r="S208" s="6">
        <f>Tabela3[[#This Row],[Cotação]]*Tabela3[[#This Row],[Total Ações]]</f>
        <v>2033053892.22</v>
      </c>
      <c r="T208" s="134">
        <f>IF(Tabela3[[#This Row],[Passivo Circulante]]&gt;0,Tabela3[[#This Row],[Ativo Circulante]]/Tabela3[[#This Row],[Passivo Circulante]],0)</f>
        <v>0</v>
      </c>
      <c r="U208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08" s="19">
        <f>IF(Tabela3[[#This Row],[Lucro Líquido]]&gt;0,Tabela3[[#This Row],[Lucro Líquido]]/Tabela3[[#This Row],[Patrimônio Líquido]],0)</f>
        <v>7.1034416279537785E-2</v>
      </c>
      <c r="W208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08" s="19">
        <f>IF(Tabela3[[#This Row],[Dívida]]&gt;0,Tabela3[[#This Row],[Dívida]]/Tabela3[[#This Row],[Patrimônio Líquido]],0)</f>
        <v>0</v>
      </c>
      <c r="Y208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08" s="6">
        <f>Tabela3[[#This Row],[Capital Social]]*20%</f>
        <v>373772579.49400002</v>
      </c>
      <c r="AA208" s="6">
        <f>IF((Tabela3[Lucro Líquido]*5%)&gt;Tabela3[Teto R. Legal],Tabela3[Teto R. Legal],Tabela3[Lucro Líquido]*5%)</f>
        <v>8400800</v>
      </c>
      <c r="AB208" s="6">
        <f>IF(Tabela3[Lucro Líquido]&lt;0,0,Tabela3[Lucro Líquido]-Tabela3[Reserva Legal])</f>
        <v>159615200</v>
      </c>
      <c r="AC208" s="6">
        <f>Tabela3[[#This Row],[Lucro Distribuir]]*Tabela3[%Div]</f>
        <v>39903800</v>
      </c>
      <c r="AD208" s="21">
        <f>SUMPRODUCT(N(Tabela3[Nome]=Tabela3[[#This Row],[Nome]]),Tabela3[Ações])</f>
        <v>252239937</v>
      </c>
      <c r="AE208" s="6">
        <f>Tabela3[Capital Social]/Tabela3[Total Ações]</f>
        <v>7.4090682058408541</v>
      </c>
      <c r="AF208" s="78">
        <f>Tabela3[[#This Row],[Lucro Líquido]]/Tabela3[[#This Row],[Total Ações]]</f>
        <v>0.66609594816065942</v>
      </c>
      <c r="AG208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0.15819778768815662</v>
      </c>
      <c r="AH208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08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08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0.15819778768815662</v>
      </c>
      <c r="AK208" s="6">
        <f>Tabela3[Div Base]*Tabela3[Ações]</f>
        <v>14454554.799746085</v>
      </c>
      <c r="AL208" s="6">
        <f>SUMPRODUCT(N(Tabela3[Nome]=Tabela3[[#This Row],[Nome]]),Tabela3[Div Base]*Tabela3[Ações])</f>
        <v>39903800</v>
      </c>
      <c r="AM208" s="6">
        <f>Tabela3[Patrimônio Líquido]/Tabela3[Total Ações]</f>
        <v>9.3770876576138686</v>
      </c>
      <c r="AN208" s="48">
        <f>MAX(Tabela3[[#This Row],[Cotação 1]:[Cotação 5]])</f>
        <v>8.06</v>
      </c>
      <c r="AO208" s="44">
        <f>Tabela3[Cotação]/Tabela3[VPA]</f>
        <v>0.85954192754672198</v>
      </c>
      <c r="AP208" s="40">
        <f>IF(Tabela3[[#This Row],[Lucro/Ação]]&gt;0,Tabela3[[#This Row],[Cotação]]/(Tabela3[[#This Row],[Lucro/Ação]]/Tabela3[Ref]*4),0)</f>
        <v>9.0752691360644224</v>
      </c>
      <c r="AQ208" s="78">
        <f>Tabela3[Lucro Distribuir]/Tabela3[Total Ações]</f>
        <v>0.63279115075262649</v>
      </c>
      <c r="AR208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0.15819778768815662</v>
      </c>
      <c r="AS208" s="15" t="str">
        <f>IF(AND(Tabela3[% A.A.]&gt;=6%,SUMPRODUCT(N(Tabela3[Nome]=Tabela3[[#This Row],[Nome]]),Tabela3[PL])&gt;0,Tabela3[Rentabilidade s/ PL]&gt;=Tabela3[Rentabilidade s/ PL Média]),"Sim","Não")</f>
        <v>Não</v>
      </c>
      <c r="AT208" s="42">
        <f>IF(Tabela3[Cotação]&gt;0,Tabela3[[#This Row],[Lucro]]/Tabela3[[#This Row],[Cotação]],0)</f>
        <v>1.9627517082897842E-2</v>
      </c>
      <c r="AU208" s="19">
        <f>((1+Tabela3[[#This Row],[% Yield]])^(1/(3*Tabela3[[#This Row],[Ref]])))^(12)-1</f>
        <v>2.6255261163613763E-2</v>
      </c>
      <c r="AV208" s="14">
        <f>IF(Tabela3[Cotação]&gt;0,($BH$1/Tabela3[[#This Row],[Cotação]]-MOD($BH$1/Tabela3[[#This Row],[Cotação]],100)),)</f>
        <v>0</v>
      </c>
      <c r="AW208" s="17">
        <f>Tabela3[[#This Row],[Ativos]]*Tabela3[Lucro]</f>
        <v>0</v>
      </c>
      <c r="AX208" s="5">
        <f>SUMPRODUCT(N(Tabela1[Código]=Tabela3[[#This Row],[PAPEL]]),Tabela1[Fechamento])</f>
        <v>8.06</v>
      </c>
      <c r="AY208" s="5">
        <f>SUMPRODUCT(N(Tabela17[Código]=Tabela3[[#This Row],[PAPEL]]),Tabela17[Fechamento])</f>
        <v>0</v>
      </c>
      <c r="AZ208" s="7">
        <f>SUMPRODUCT(N(Tabela176[Código]=Tabela3[[#This Row],[PAPEL]]),Tabela176[Fechamento])</f>
        <v>0</v>
      </c>
      <c r="BA208" s="7">
        <f>SUMPRODUCT(N(Tabela1768[Código]=Tabela3[[#This Row],[PAPEL]]),Tabela1768[Fechamento])</f>
        <v>0</v>
      </c>
      <c r="BB208" s="7">
        <f>SUMPRODUCT(N(Tabela17683[Código]=Tabela3[[#This Row],[PAPEL]]),Tabela17683[Fechamento])</f>
        <v>0</v>
      </c>
    </row>
    <row r="209" spans="1:54" hidden="1" x14ac:dyDescent="0.2">
      <c r="A209" s="24" t="s">
        <v>12</v>
      </c>
      <c r="B209" s="57" t="s">
        <v>34</v>
      </c>
      <c r="C209" s="15" t="str">
        <f>LEFT(Tabela3[PAPEL],LEN(Tabela3[PAPEL])-(LEN(Tabela3[PAPEL])-4))</f>
        <v>CPLE</v>
      </c>
      <c r="D209" s="15">
        <v>3</v>
      </c>
      <c r="E209" s="6">
        <v>6910000000</v>
      </c>
      <c r="F209" s="8">
        <v>145031080</v>
      </c>
      <c r="G209" s="86">
        <v>0.25</v>
      </c>
      <c r="H209" s="15"/>
      <c r="I209" s="19"/>
      <c r="J209" s="19"/>
      <c r="K209" s="88"/>
      <c r="L209" s="88"/>
      <c r="M209" s="13">
        <v>14184888000</v>
      </c>
      <c r="N209" s="13">
        <v>1725572000</v>
      </c>
      <c r="O209" s="13">
        <v>626089000</v>
      </c>
      <c r="P209" s="90">
        <v>12828375000</v>
      </c>
      <c r="Q209" s="90">
        <v>898498000</v>
      </c>
      <c r="R209" s="90">
        <f>IF(Tabela3[[#This Row],[Ativo || Passivo]]&gt;0,Tabela3[[#This Row],[Ativo || Passivo]]-Tabela3[[#This Row],[Patrimônio Líquido]],0)</f>
        <v>1356513000</v>
      </c>
      <c r="S209" s="90">
        <f>Tabela3[[#This Row],[Cotação]]*Tabela3[[#This Row],[Total Ações]]</f>
        <v>4799915277.5</v>
      </c>
      <c r="T209" s="133">
        <f>IF(Tabela3[[#This Row],[Passivo Circulante]]&gt;0,Tabela3[[#This Row],[Ativo Circulante]]/Tabela3[[#This Row],[Passivo Circulante]],0)</f>
        <v>2.7561129487980143</v>
      </c>
      <c r="U209" s="133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09" s="49">
        <f>IF(Tabela3[[#This Row],[Lucro Líquido]]&gt;0,Tabela3[[#This Row],[Lucro Líquido]]/Tabela3[[#This Row],[Patrimônio Líquido]],0)</f>
        <v>7.0039892036208792E-2</v>
      </c>
      <c r="W209" s="4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09" s="49">
        <f>IF(Tabela3[[#This Row],[Dívida]]&gt;0,Tabela3[[#This Row],[Dívida]]/Tabela3[[#This Row],[Patrimônio Líquido]],0)</f>
        <v>0.10574316700283551</v>
      </c>
      <c r="Y209" s="4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09" s="28">
        <f>Tabela3[[#This Row],[Capital Social]]*20%</f>
        <v>1382000000</v>
      </c>
      <c r="AA209" s="28">
        <f>IF((Tabela3[Lucro Líquido]*5%)&gt;Tabela3[Teto R. Legal],Tabela3[Teto R. Legal],Tabela3[Lucro Líquido]*5%)</f>
        <v>44924900</v>
      </c>
      <c r="AB209" s="90">
        <f>IF(Tabela3[Lucro Líquido]&lt;0,0,Tabela3[Lucro Líquido]-Tabela3[Reserva Legal])</f>
        <v>853573100</v>
      </c>
      <c r="AC209" s="90">
        <f>Tabela3[[#This Row],[Lucro Distribuir]]*Tabela3[%Div]</f>
        <v>213393275</v>
      </c>
      <c r="AD209" s="56">
        <f>SUMPRODUCT(N(Tabela3[Nome]=Tabela3[[#This Row],[Nome]]),Tabela3[Ações])</f>
        <v>273655375</v>
      </c>
      <c r="AE209" s="28">
        <f>Tabela3[Capital Social]/Tabela3[Total Ações]</f>
        <v>25.250737355332415</v>
      </c>
      <c r="AF209" s="79">
        <f>Tabela3[[#This Row],[Lucro Líquido]]/Tabela3[[#This Row],[Total Ações]]</f>
        <v>3.2833193939640322</v>
      </c>
      <c r="AG209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0.75552617508602748</v>
      </c>
      <c r="AH209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09" s="79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0.77735058402424118</v>
      </c>
      <c r="AJ209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0.77735058402424118</v>
      </c>
      <c r="AK209" s="28">
        <f>Tabela3[Div Base]*Tabela3[Ações]</f>
        <v>112739994.73966645</v>
      </c>
      <c r="AL209" s="28">
        <f>SUMPRODUCT(N(Tabela3[Nome]=Tabela3[[#This Row],[Nome]]),Tabela3[Div Base]*Tabela3[Ações])</f>
        <v>213393275.00000003</v>
      </c>
      <c r="AM209" s="28">
        <f>Tabela3[Patrimônio Líquido]/Tabela3[Total Ações]</f>
        <v>46.877847730927996</v>
      </c>
      <c r="AN209" s="29">
        <f>MAX(Tabela3[[#This Row],[Cotação 1]:[Cotação 5]])</f>
        <v>17.54</v>
      </c>
      <c r="AO209" s="30">
        <f>Tabela3[Cotação]/Tabela3[VPA]</f>
        <v>0.37416393561148625</v>
      </c>
      <c r="AP209" s="35">
        <f>IF(Tabela3[[#This Row],[Lucro/Ação]]&gt;0,Tabela3[[#This Row],[Cotação]]/(Tabela3[[#This Row],[Lucro/Ação]]/Tabela3[Ref]*4),0)</f>
        <v>4.0066159948324875</v>
      </c>
      <c r="AQ209" s="78">
        <f>Tabela3[Lucro Distribuir]/Tabela3[Total Ações]</f>
        <v>3.1191534242658308</v>
      </c>
      <c r="AR209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0.77735058402424118</v>
      </c>
      <c r="AS209" s="25" t="str">
        <f>IF(AND(Tabela3[% A.A.]&gt;=6%,SUMPRODUCT(N(Tabela3[Nome]=Tabela3[[#This Row],[Nome]]),Tabela3[PL])&gt;0,Tabela3[Rentabilidade s/ PL]&gt;=Tabela3[Rentabilidade s/ PL Média]),"Sim","Não")</f>
        <v>Não</v>
      </c>
      <c r="AT209" s="27">
        <f>IF(Tabela3[Cotação]&gt;0,Tabela3[[#This Row],[Lucro]]/Tabela3[[#This Row],[Cotação]],0)</f>
        <v>4.4318733410732107E-2</v>
      </c>
      <c r="AU209" s="49">
        <f>((1+Tabela3[[#This Row],[% Yield]])^(1/(3*Tabela3[[#This Row],[Ref]])))^(12)-1</f>
        <v>5.9523901209430186E-2</v>
      </c>
      <c r="AV209" s="10">
        <f>IF(Tabela3[Cotação]&gt;0,($BD$1/Tabela3[[#This Row],[Cotação]]-MOD($BD$1/Tabela3[[#This Row],[Cotação]],100)),)</f>
        <v>0</v>
      </c>
      <c r="AW209" s="5">
        <f>Tabela3[[#This Row],[Ativos]]*Tabela3[Lucro]</f>
        <v>0</v>
      </c>
      <c r="AX209" s="5">
        <f>SUMPRODUCT(N(Tabela1[Código]=Tabela3[[#This Row],[PAPEL]]),Tabela1[Fechamento])</f>
        <v>17.54</v>
      </c>
      <c r="AY209" s="5">
        <f>SUMPRODUCT(N(Tabela17[Código]=Tabela3[[#This Row],[PAPEL]]),Tabela17[Fechamento])</f>
        <v>0</v>
      </c>
      <c r="AZ209" s="7">
        <f>SUMPRODUCT(N(Tabela176[Código]=Tabela3[[#This Row],[PAPEL]]),Tabela176[Fechamento])</f>
        <v>0</v>
      </c>
      <c r="BA209" s="7">
        <f>SUMPRODUCT(N(Tabela1768[Código]=Tabela3[[#This Row],[PAPEL]]),Tabela1768[Fechamento])</f>
        <v>0</v>
      </c>
      <c r="BB209" s="7">
        <f>SUMPRODUCT(N(Tabela17683[Código]=Tabela3[[#This Row],[PAPEL]]),Tabela17683[Fechamento])</f>
        <v>0</v>
      </c>
    </row>
    <row r="210" spans="1:54" hidden="1" x14ac:dyDescent="0.2">
      <c r="A210" s="4" t="s">
        <v>12</v>
      </c>
      <c r="B210" s="57" t="s">
        <v>99</v>
      </c>
      <c r="C210" s="14" t="str">
        <f>LEFT(Tabela3[PAPEL],LEN(Tabela3[PAPEL])-(LEN(Tabela3[PAPEL])-4))</f>
        <v>CPLE</v>
      </c>
      <c r="D210" s="15">
        <v>3</v>
      </c>
      <c r="E210" s="6">
        <v>6910000000</v>
      </c>
      <c r="F210" s="8">
        <v>381702</v>
      </c>
      <c r="G210" s="81">
        <v>0.25</v>
      </c>
      <c r="H210" s="19"/>
      <c r="I210" s="19">
        <v>0.1</v>
      </c>
      <c r="J210" s="19"/>
      <c r="K210" s="88"/>
      <c r="L210" s="88"/>
      <c r="M210" s="13">
        <v>14184888000</v>
      </c>
      <c r="N210" s="13">
        <v>1725572000</v>
      </c>
      <c r="O210" s="13">
        <v>626089000</v>
      </c>
      <c r="P210" s="90">
        <v>12828375000</v>
      </c>
      <c r="Q210" s="94">
        <v>898498000</v>
      </c>
      <c r="R210" s="94">
        <f>IF(Tabela3[[#This Row],[Ativo || Passivo]]&gt;0,Tabela3[[#This Row],[Ativo || Passivo]]-Tabela3[[#This Row],[Patrimônio Líquido]],0)</f>
        <v>1356513000</v>
      </c>
      <c r="S210" s="131">
        <f>Tabela3[[#This Row],[Cotação]]*Tabela3[[#This Row],[Total Ações]]</f>
        <v>8209661250</v>
      </c>
      <c r="T210" s="135">
        <f>IF(Tabela3[[#This Row],[Passivo Circulante]]&gt;0,Tabela3[[#This Row],[Ativo Circulante]]/Tabela3[[#This Row],[Passivo Circulante]],0)</f>
        <v>2.7561129487980143</v>
      </c>
      <c r="U210" s="135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10" s="137">
        <f>IF(Tabela3[[#This Row],[Lucro Líquido]]&gt;0,Tabela3[[#This Row],[Lucro Líquido]]/Tabela3[[#This Row],[Patrimônio Líquido]],0)</f>
        <v>7.0039892036208792E-2</v>
      </c>
      <c r="W210" s="137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10" s="137">
        <f>IF(Tabela3[[#This Row],[Dívida]]&gt;0,Tabela3[[#This Row],[Dívida]]/Tabela3[[#This Row],[Patrimônio Líquido]],0)</f>
        <v>0.10574316700283551</v>
      </c>
      <c r="Y210" s="137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10" s="28">
        <f>Tabela3[[#This Row],[Capital Social]]*20%</f>
        <v>1382000000</v>
      </c>
      <c r="AA210" s="28">
        <f>IF((Tabela3[Lucro Líquido]*5%)&gt;Tabela3[Teto R. Legal],Tabela3[Teto R. Legal],Tabela3[Lucro Líquido]*5%)</f>
        <v>44924900</v>
      </c>
      <c r="AB210" s="90">
        <f>IF(Tabela3[Lucro Líquido]&lt;0,0,Tabela3[Lucro Líquido]-Tabela3[Reserva Legal])</f>
        <v>853573100</v>
      </c>
      <c r="AC210" s="90">
        <f>Tabela3[[#This Row],[Lucro Distribuir]]*Tabela3[%Div]</f>
        <v>213393275</v>
      </c>
      <c r="AD210" s="56">
        <f>SUMPRODUCT(N(Tabela3[Nome]=Tabela3[[#This Row],[Nome]]),Tabela3[Ações])</f>
        <v>273655375</v>
      </c>
      <c r="AE210" s="6">
        <f>Tabela3[Capital Social]/Tabela3[Total Ações]</f>
        <v>25.250737355332415</v>
      </c>
      <c r="AF210" s="78">
        <f>Tabela3[[#This Row],[Lucro Líquido]]/Tabela3[[#This Row],[Total Ações]]</f>
        <v>3.2833193939640322</v>
      </c>
      <c r="AG210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0.75552617508602748</v>
      </c>
      <c r="AH210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10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2.5250737355332413</v>
      </c>
      <c r="AJ210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2.5250737355332413</v>
      </c>
      <c r="AK210" s="6">
        <f>Tabela3[Div Base]*Tabela3[Ações]</f>
        <v>963825.69500050927</v>
      </c>
      <c r="AL210" s="6">
        <f>SUMPRODUCT(N(Tabela3[Nome]=Tabela3[[#This Row],[Nome]]),Tabela3[Div Base]*Tabela3[Ações])</f>
        <v>213393275.00000003</v>
      </c>
      <c r="AM210" s="6">
        <f>Tabela3[Patrimônio Líquido]/Tabela3[Total Ações]</f>
        <v>46.877847730927996</v>
      </c>
      <c r="AN210" s="48">
        <f>MAX(Tabela3[[#This Row],[Cotação 1]:[Cotação 5]])</f>
        <v>30</v>
      </c>
      <c r="AO210" s="44">
        <f>Tabela3[Cotação]/Tabela3[VPA]</f>
        <v>0.63996112134233685</v>
      </c>
      <c r="AP210" s="40">
        <f>IF(Tabela3[[#This Row],[Lucro/Ação]]&gt;0,Tabela3[[#This Row],[Cotação]]/(Tabela3[[#This Row],[Lucro/Ação]]/Tabela3[Ref]*4),0)</f>
        <v>6.8528209717773443</v>
      </c>
      <c r="AQ210" s="78">
        <f>Tabela3[Lucro Distribuir]/Tabela3[Total Ações]</f>
        <v>3.1191534242658308</v>
      </c>
      <c r="AR210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2.5250737355332413</v>
      </c>
      <c r="AS210" s="15" t="str">
        <f>IF(AND(Tabela3[% A.A.]&gt;=6%,SUMPRODUCT(N(Tabela3[Nome]=Tabela3[[#This Row],[Nome]]),Tabela3[PL])&gt;0,Tabela3[Rentabilidade s/ PL]&gt;=Tabela3[Rentabilidade s/ PL Média]),"Sim","Não")</f>
        <v>Não</v>
      </c>
      <c r="AT210" s="42">
        <f>IF(Tabela3[Cotação]&gt;0,Tabela3[[#This Row],[Lucro]]/Tabela3[[#This Row],[Cotação]],0)</f>
        <v>8.416912451777471E-2</v>
      </c>
      <c r="AU210" s="19">
        <f>((1+Tabela3[[#This Row],[% Yield]])^(1/(3*Tabela3[[#This Row],[Ref]])))^(12)-1</f>
        <v>0.11377136181616954</v>
      </c>
      <c r="AV210" s="14">
        <f>IF(Tabela3[Cotação]&gt;0,($BH$1/Tabela3[[#This Row],[Cotação]]-MOD($BH$1/Tabela3[[#This Row],[Cotação]],100)),)</f>
        <v>0</v>
      </c>
      <c r="AW210" s="17">
        <f>Tabela3[[#This Row],[Ativos]]*Tabela3[Lucro]</f>
        <v>0</v>
      </c>
      <c r="AX210" s="5">
        <f>SUMPRODUCT(N(Tabela1[Código]=Tabela3[[#This Row],[PAPEL]]),Tabela1[Fechamento])</f>
        <v>30</v>
      </c>
      <c r="AY210" s="5">
        <f>SUMPRODUCT(N(Tabela17[Código]=Tabela3[[#This Row],[PAPEL]]),Tabela17[Fechamento])</f>
        <v>0</v>
      </c>
      <c r="AZ210" s="7">
        <f>SUMPRODUCT(N(Tabela176[Código]=Tabela3[[#This Row],[PAPEL]]),Tabela176[Fechamento])</f>
        <v>0</v>
      </c>
      <c r="BA210" s="7">
        <f>SUMPRODUCT(N(Tabela1768[Código]=Tabela3[[#This Row],[PAPEL]]),Tabela1768[Fechamento])</f>
        <v>0</v>
      </c>
      <c r="BB210" s="7">
        <f>SUMPRODUCT(N(Tabela17683[Código]=Tabela3[[#This Row],[PAPEL]]),Tabela17683[Fechamento])</f>
        <v>0</v>
      </c>
    </row>
    <row r="211" spans="1:54" hidden="1" x14ac:dyDescent="0.2">
      <c r="A211" s="4" t="s">
        <v>12</v>
      </c>
      <c r="B211" s="57" t="s">
        <v>100</v>
      </c>
      <c r="C211" s="14" t="str">
        <f>LEFT(Tabela3[PAPEL],LEN(Tabela3[PAPEL])-(LEN(Tabela3[PAPEL])-4))</f>
        <v>CPLE</v>
      </c>
      <c r="D211" s="15">
        <v>3</v>
      </c>
      <c r="E211" s="6">
        <v>6910000000</v>
      </c>
      <c r="F211" s="8">
        <v>128242593</v>
      </c>
      <c r="G211" s="86">
        <v>0.25</v>
      </c>
      <c r="H211" s="15"/>
      <c r="I211" s="19"/>
      <c r="J211" s="19">
        <v>0.1</v>
      </c>
      <c r="K211" s="88"/>
      <c r="L211" s="88"/>
      <c r="M211" s="13">
        <v>14184888000</v>
      </c>
      <c r="N211" s="13">
        <v>1725572000</v>
      </c>
      <c r="O211" s="13">
        <v>626089000</v>
      </c>
      <c r="P211" s="90">
        <v>12828375000</v>
      </c>
      <c r="Q211" s="90">
        <v>898498000</v>
      </c>
      <c r="R211" s="72">
        <f>IF(Tabela3[[#This Row],[Ativo || Passivo]]&gt;0,Tabela3[[#This Row],[Ativo || Passivo]]-Tabela3[[#This Row],[Patrimônio Líquido]],0)</f>
        <v>1356513000</v>
      </c>
      <c r="S211" s="72">
        <f>Tabela3[[#This Row],[Cotação]]*Tabela3[[#This Row],[Total Ações]]</f>
        <v>6606040752.5</v>
      </c>
      <c r="T211" s="132">
        <f>IF(Tabela3[[#This Row],[Passivo Circulante]]&gt;0,Tabela3[[#This Row],[Ativo Circulante]]/Tabela3[[#This Row],[Passivo Circulante]],0)</f>
        <v>2.7561129487980143</v>
      </c>
      <c r="U211" s="132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11" s="18">
        <f>IF(Tabela3[[#This Row],[Lucro Líquido]]&gt;0,Tabela3[[#This Row],[Lucro Líquido]]/Tabela3[[#This Row],[Patrimônio Líquido]],0)</f>
        <v>7.0039892036208792E-2</v>
      </c>
      <c r="W211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11" s="18">
        <f>IF(Tabela3[[#This Row],[Dívida]]&gt;0,Tabela3[[#This Row],[Dívida]]/Tabela3[[#This Row],[Patrimônio Líquido]],0)</f>
        <v>0.10574316700283551</v>
      </c>
      <c r="Y211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11" s="6">
        <f>Tabela3[[#This Row],[Capital Social]]*20%</f>
        <v>1382000000</v>
      </c>
      <c r="AA211" s="6">
        <f>IF((Tabela3[Lucro Líquido]*5%)&gt;Tabela3[Teto R. Legal],Tabela3[Teto R. Legal],Tabela3[Lucro Líquido]*5%)</f>
        <v>44924900</v>
      </c>
      <c r="AB211" s="89">
        <f>IF(Tabela3[Lucro Líquido]&lt;0,0,Tabela3[Lucro Líquido]-Tabela3[Reserva Legal])</f>
        <v>853573100</v>
      </c>
      <c r="AC211" s="89">
        <f>Tabela3[[#This Row],[Lucro Distribuir]]*Tabela3[%Div]</f>
        <v>213393275</v>
      </c>
      <c r="AD211" s="56">
        <f>SUMPRODUCT(N(Tabela3[Nome]=Tabela3[[#This Row],[Nome]]),Tabela3[Ações])</f>
        <v>273655375</v>
      </c>
      <c r="AE211" s="6">
        <f>Tabela3[Capital Social]/Tabela3[Total Ações]</f>
        <v>25.250737355332415</v>
      </c>
      <c r="AF211" s="78">
        <f>Tabela3[[#This Row],[Lucro Líquido]]/Tabela3[[#This Row],[Total Ações]]</f>
        <v>3.2833193939640322</v>
      </c>
      <c r="AG211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0.83107879373312121</v>
      </c>
      <c r="AH211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11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0.77735058402424118</v>
      </c>
      <c r="AJ211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0.77735058402424118</v>
      </c>
      <c r="AK211" s="6">
        <f>Tabela3[Div Base]*Tabela3[Ações]</f>
        <v>99689454.565333068</v>
      </c>
      <c r="AL211" s="6">
        <f>SUMPRODUCT(N(Tabela3[Nome]=Tabela3[[#This Row],[Nome]]),Tabela3[Div Base]*Tabela3[Ações])</f>
        <v>213393275.00000003</v>
      </c>
      <c r="AM211" s="6">
        <f>Tabela3[Patrimônio Líquido]/Tabela3[Total Ações]</f>
        <v>46.877847730927996</v>
      </c>
      <c r="AN211" s="48">
        <f>MAX(Tabela3[[#This Row],[Cotação 1]:[Cotação 5]])</f>
        <v>24.14</v>
      </c>
      <c r="AO211" s="44">
        <f>Tabela3[Cotação]/Tabela3[VPA]</f>
        <v>0.51495538230680038</v>
      </c>
      <c r="AP211" s="40">
        <f>IF(Tabela3[[#This Row],[Lucro/Ação]]&gt;0,Tabela3[[#This Row],[Cotação]]/(Tabela3[[#This Row],[Lucro/Ação]]/Tabela3[Ref]*4),0)</f>
        <v>5.5142366086235031</v>
      </c>
      <c r="AQ211" s="78">
        <f>Tabela3[Lucro Distribuir]/Tabela3[Total Ações]</f>
        <v>3.1191534242658308</v>
      </c>
      <c r="AR211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0.77735058402424118</v>
      </c>
      <c r="AS211" s="15" t="str">
        <f>IF(AND(Tabela3[% A.A.]&gt;=6%,SUMPRODUCT(N(Tabela3[Nome]=Tabela3[[#This Row],[Nome]]),Tabela3[PL])&gt;0,Tabela3[Rentabilidade s/ PL]&gt;=Tabela3[Rentabilidade s/ PL Média]),"Sim","Não")</f>
        <v>Não</v>
      </c>
      <c r="AT211" s="42">
        <f>IF(Tabela3[Cotação]&gt;0,Tabela3[[#This Row],[Lucro]]/Tabela3[[#This Row],[Cotação]],0)</f>
        <v>3.2201764044086215E-2</v>
      </c>
      <c r="AU211" s="19">
        <f>((1+Tabela3[[#This Row],[% Yield]])^(1/(3*Tabela3[[#This Row],[Ref]])))^(12)-1</f>
        <v>4.3164492304833324E-2</v>
      </c>
      <c r="AV211" s="14">
        <f>IF(Tabela3[Cotação]&gt;0,($BH$1/Tabela3[[#This Row],[Cotação]]-MOD($BH$1/Tabela3[[#This Row],[Cotação]],100)),)</f>
        <v>0</v>
      </c>
      <c r="AW211" s="17">
        <f>Tabela3[[#This Row],[Ativos]]*Tabela3[Lucro]</f>
        <v>0</v>
      </c>
      <c r="AX211" s="5">
        <f>SUMPRODUCT(N(Tabela1[Código]=Tabela3[[#This Row],[PAPEL]]),Tabela1[Fechamento])</f>
        <v>24.14</v>
      </c>
      <c r="AY211" s="5">
        <f>SUMPRODUCT(N(Tabela17[Código]=Tabela3[[#This Row],[PAPEL]]),Tabela17[Fechamento])</f>
        <v>0</v>
      </c>
      <c r="AZ211" s="7">
        <f>SUMPRODUCT(N(Tabela176[Código]=Tabela3[[#This Row],[PAPEL]]),Tabela176[Fechamento])</f>
        <v>0</v>
      </c>
      <c r="BA211" s="7">
        <f>SUMPRODUCT(N(Tabela1768[Código]=Tabela3[[#This Row],[PAPEL]]),Tabela1768[Fechamento])</f>
        <v>0</v>
      </c>
      <c r="BB211" s="7">
        <f>SUMPRODUCT(N(Tabela17683[Código]=Tabela3[[#This Row],[PAPEL]]),Tabela17683[Fechamento])</f>
        <v>0</v>
      </c>
    </row>
    <row r="212" spans="1:54" hidden="1" x14ac:dyDescent="0.2">
      <c r="A212" s="4" t="s">
        <v>320</v>
      </c>
      <c r="B212" s="57" t="s">
        <v>700</v>
      </c>
      <c r="C212" s="82" t="str">
        <f>LEFT(Tabela3[PAPEL],LEN(Tabela3[PAPEL])-(LEN(Tabela3[PAPEL])-4))</f>
        <v>EUCA</v>
      </c>
      <c r="D212" s="15">
        <v>3</v>
      </c>
      <c r="E212" s="6">
        <v>488183378.76999998</v>
      </c>
      <c r="F212" s="8">
        <v>31257700</v>
      </c>
      <c r="G212" s="81">
        <v>0.25</v>
      </c>
      <c r="H212" s="19"/>
      <c r="I212" s="19"/>
      <c r="J212" s="19"/>
      <c r="K212" s="88"/>
      <c r="L212" s="88"/>
      <c r="M212" s="55"/>
      <c r="N212" s="55"/>
      <c r="O212" s="55"/>
      <c r="P212" s="6">
        <v>1148966000</v>
      </c>
      <c r="Q212" s="6">
        <v>80315000</v>
      </c>
      <c r="R212" s="6">
        <f>IF(Tabela3[[#This Row],[Ativo || Passivo]]&gt;0,Tabela3[[#This Row],[Ativo || Passivo]]-Tabela3[[#This Row],[Patrimônio Líquido]],0)</f>
        <v>0</v>
      </c>
      <c r="S212" s="6">
        <f>Tabela3[[#This Row],[Cotação]]*Tabela3[[#This Row],[Total Ações]]</f>
        <v>658522910.16000009</v>
      </c>
      <c r="T212" s="134">
        <f>IF(Tabela3[[#This Row],[Passivo Circulante]]&gt;0,Tabela3[[#This Row],[Ativo Circulante]]/Tabela3[[#This Row],[Passivo Circulante]],0)</f>
        <v>0</v>
      </c>
      <c r="U212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12" s="19">
        <f>IF(Tabela3[[#This Row],[Lucro Líquido]]&gt;0,Tabela3[[#This Row],[Lucro Líquido]]/Tabela3[[#This Row],[Patrimônio Líquido]],0)</f>
        <v>6.9901981433741295E-2</v>
      </c>
      <c r="W212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12" s="19">
        <f>IF(Tabela3[[#This Row],[Dívida]]&gt;0,Tabela3[[#This Row],[Dívida]]/Tabela3[[#This Row],[Patrimônio Líquido]],0)</f>
        <v>0</v>
      </c>
      <c r="Y212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12" s="6">
        <f>Tabela3[[#This Row],[Capital Social]]*20%</f>
        <v>97636675.754000008</v>
      </c>
      <c r="AA212" s="6">
        <f>IF((Tabela3[Lucro Líquido]*5%)&gt;Tabela3[Teto R. Legal],Tabela3[Teto R. Legal],Tabela3[Lucro Líquido]*5%)</f>
        <v>4015750</v>
      </c>
      <c r="AB212" s="6">
        <f>IF(Tabela3[Lucro Líquido]&lt;0,0,Tabela3[Lucro Líquido]-Tabela3[Reserva Legal])</f>
        <v>76299250</v>
      </c>
      <c r="AC212" s="6">
        <f>Tabela3[[#This Row],[Lucro Distribuir]]*Tabela3[%Div]</f>
        <v>19074812.5</v>
      </c>
      <c r="AD212" s="56">
        <f>SUMPRODUCT(N(Tabela3[Nome]=Tabela3[[#This Row],[Nome]]),Tabela3[Ações])</f>
        <v>92619256</v>
      </c>
      <c r="AE212" s="6">
        <f>Tabela3[Capital Social]/Tabela3[Total Ações]</f>
        <v>5.2708626678020387</v>
      </c>
      <c r="AF212" s="78">
        <f>Tabela3[[#This Row],[Lucro Líquido]]/Tabela3[[#This Row],[Total Ações]]</f>
        <v>0.86715229066404942</v>
      </c>
      <c r="AG212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0.1995408227986952</v>
      </c>
      <c r="AH212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12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12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0.1995408227986952</v>
      </c>
      <c r="AK212" s="6">
        <f>Tabela3[Div Base]*Tabela3[Ações]</f>
        <v>6237187.1767947748</v>
      </c>
      <c r="AL212" s="6">
        <f>SUMPRODUCT(N(Tabela3[Nome]=Tabela3[[#This Row],[Nome]]),Tabela3[Div Base]*Tabela3[Ações])</f>
        <v>19705736.104938313</v>
      </c>
      <c r="AM212" s="6">
        <f>Tabela3[Patrimônio Líquido]/Tabela3[Total Ações]</f>
        <v>12.40526052163494</v>
      </c>
      <c r="AN212" s="48">
        <f>MAX(Tabela3[[#This Row],[Cotação 1]:[Cotação 5]])</f>
        <v>7.11</v>
      </c>
      <c r="AO212" s="44">
        <f>Tabela3[Cotação]/Tabela3[VPA]</f>
        <v>0.57314394869822083</v>
      </c>
      <c r="AP212" s="40">
        <f>IF(Tabela3[[#This Row],[Lucro/Ação]]&gt;0,Tabela3[[#This Row],[Cotação]]/(Tabela3[[#This Row],[Lucro/Ação]]/Tabela3[Ref]*4),0)</f>
        <v>6.1494388672103595</v>
      </c>
      <c r="AQ212" s="78">
        <f>Tabela3[Lucro Distribuir]/Tabela3[Total Ações]</f>
        <v>0.82379467613084689</v>
      </c>
      <c r="AR212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0.1995408227986952</v>
      </c>
      <c r="AS212" s="15" t="str">
        <f>IF(AND(Tabela3[% A.A.]&gt;=6%,SUMPRODUCT(N(Tabela3[Nome]=Tabela3[[#This Row],[Nome]]),Tabela3[PL])&gt;0,Tabela3[Rentabilidade s/ PL]&gt;=Tabela3[Rentabilidade s/ PL Média]),"Sim","Não")</f>
        <v>Não</v>
      </c>
      <c r="AT212" s="42">
        <f>IF(Tabela3[Cotação]&gt;0,Tabela3[[#This Row],[Lucro]]/Tabela3[[#This Row],[Cotação]],0)</f>
        <v>2.8064813333149814E-2</v>
      </c>
      <c r="AU212" s="19">
        <f>((1+Tabela3[[#This Row],[% Yield]])^(1/(3*Tabela3[[#This Row],[Ref]])))^(12)-1</f>
        <v>3.759370181465238E-2</v>
      </c>
      <c r="AV212" s="14">
        <f>IF(Tabela3[Cotação]&gt;0,($BD$1/Tabela3[[#This Row],[Cotação]]-MOD($BD$1/Tabela3[[#This Row],[Cotação]],100)),)</f>
        <v>0</v>
      </c>
      <c r="AW212" s="17">
        <f>Tabela3[[#This Row],[Ativos]]*Tabela3[Lucro]</f>
        <v>0</v>
      </c>
      <c r="AX212" s="13">
        <f>SUMPRODUCT(N(Tabela1[Código]=Tabela3[[#This Row],[PAPEL]]),Tabela1[Fechamento])</f>
        <v>0</v>
      </c>
      <c r="AY212" s="55">
        <f>SUMPRODUCT(N(Tabela17[Código]=Tabela3[[#This Row],[PAPEL]]),Tabela17[Fechamento])</f>
        <v>0</v>
      </c>
      <c r="AZ212" s="7">
        <f>SUMPRODUCT(N(Tabela176[Código]=Tabela3[[#This Row],[PAPEL]]),Tabela176[Fechamento])</f>
        <v>7.11</v>
      </c>
      <c r="BA212" s="7">
        <f>SUMPRODUCT(N(Tabela1768[Código]=Tabela3[[#This Row],[PAPEL]]),Tabela1768[Fechamento])</f>
        <v>0</v>
      </c>
      <c r="BB212" s="7">
        <f>SUMPRODUCT(N(Tabela17683[Código]=Tabela3[[#This Row],[PAPEL]]),Tabela17683[Fechamento])</f>
        <v>0</v>
      </c>
    </row>
    <row r="213" spans="1:54" hidden="1" x14ac:dyDescent="0.2">
      <c r="A213" s="4" t="s">
        <v>320</v>
      </c>
      <c r="B213" s="57" t="s">
        <v>322</v>
      </c>
      <c r="C213" s="82" t="str">
        <f>LEFT(Tabela3[PAPEL],LEN(Tabela3[PAPEL])-(LEN(Tabela3[PAPEL])-4))</f>
        <v>EUCA</v>
      </c>
      <c r="D213" s="15">
        <v>3</v>
      </c>
      <c r="E213" s="6">
        <v>488183378.76999998</v>
      </c>
      <c r="F213" s="8">
        <v>61361556</v>
      </c>
      <c r="G213" s="86">
        <v>0.25</v>
      </c>
      <c r="H213" s="15"/>
      <c r="I213" s="19"/>
      <c r="J213" s="19">
        <v>0.1</v>
      </c>
      <c r="K213" s="88"/>
      <c r="L213" s="88"/>
      <c r="M213" s="55"/>
      <c r="N213" s="55"/>
      <c r="O213" s="55"/>
      <c r="P213" s="6">
        <v>1148966000</v>
      </c>
      <c r="Q213" s="6">
        <v>80315000</v>
      </c>
      <c r="R213" s="6">
        <f>IF(Tabela3[[#This Row],[Ativo || Passivo]]&gt;0,Tabela3[[#This Row],[Ativo || Passivo]]-Tabela3[[#This Row],[Patrimônio Líquido]],0)</f>
        <v>0</v>
      </c>
      <c r="S213" s="6">
        <f>Tabela3[[#This Row],[Cotação]]*Tabela3[[#This Row],[Total Ações]]</f>
        <v>532560722</v>
      </c>
      <c r="T213" s="134">
        <f>IF(Tabela3[[#This Row],[Passivo Circulante]]&gt;0,Tabela3[[#This Row],[Ativo Circulante]]/Tabela3[[#This Row],[Passivo Circulante]],0)</f>
        <v>0</v>
      </c>
      <c r="U213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13" s="19">
        <f>IF(Tabela3[[#This Row],[Lucro Líquido]]&gt;0,Tabela3[[#This Row],[Lucro Líquido]]/Tabela3[[#This Row],[Patrimônio Líquido]],0)</f>
        <v>6.9901981433741295E-2</v>
      </c>
      <c r="W213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13" s="19">
        <f>IF(Tabela3[[#This Row],[Dívida]]&gt;0,Tabela3[[#This Row],[Dívida]]/Tabela3[[#This Row],[Patrimônio Líquido]],0)</f>
        <v>0</v>
      </c>
      <c r="Y213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13" s="6">
        <f>Tabela3[[#This Row],[Capital Social]]*20%</f>
        <v>97636675.754000008</v>
      </c>
      <c r="AA213" s="6">
        <f>IF((Tabela3[Lucro Líquido]*5%)&gt;Tabela3[Teto R. Legal],Tabela3[Teto R. Legal],Tabela3[Lucro Líquido]*5%)</f>
        <v>4015750</v>
      </c>
      <c r="AB213" s="6">
        <f>IF(Tabela3[Lucro Líquido]&lt;0,0,Tabela3[Lucro Líquido]-Tabela3[Reserva Legal])</f>
        <v>76299250</v>
      </c>
      <c r="AC213" s="6">
        <f>Tabela3[[#This Row],[Lucro Distribuir]]*Tabela3[%Div]</f>
        <v>19074812.5</v>
      </c>
      <c r="AD213" s="56">
        <f>SUMPRODUCT(N(Tabela3[Nome]=Tabela3[[#This Row],[Nome]]),Tabela3[Ações])</f>
        <v>92619256</v>
      </c>
      <c r="AE213" s="6">
        <f>Tabela3[Capital Social]/Tabela3[Total Ações]</f>
        <v>5.2708626678020387</v>
      </c>
      <c r="AF213" s="78">
        <f>Tabela3[[#This Row],[Lucro Líquido]]/Tabela3[[#This Row],[Total Ações]]</f>
        <v>0.86715229066404942</v>
      </c>
      <c r="AG213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0.21949490537924979</v>
      </c>
      <c r="AH213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13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13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0.21949490537924979</v>
      </c>
      <c r="AK213" s="6">
        <f>Tabela3[Div Base]*Tabela3[Ações]</f>
        <v>13468548.928143537</v>
      </c>
      <c r="AL213" s="6">
        <f>SUMPRODUCT(N(Tabela3[Nome]=Tabela3[[#This Row],[Nome]]),Tabela3[Div Base]*Tabela3[Ações])</f>
        <v>19705736.104938313</v>
      </c>
      <c r="AM213" s="6">
        <f>Tabela3[Patrimônio Líquido]/Tabela3[Total Ações]</f>
        <v>12.40526052163494</v>
      </c>
      <c r="AN213" s="48">
        <f>MAX(Tabela3[[#This Row],[Cotação 1]:[Cotação 5]])</f>
        <v>5.75</v>
      </c>
      <c r="AO213" s="44">
        <f>Tabela3[Cotação]/Tabela3[VPA]</f>
        <v>0.46351303867999571</v>
      </c>
      <c r="AP213" s="40">
        <f>IF(Tabela3[[#This Row],[Lucro/Ação]]&gt;0,Tabela3[[#This Row],[Cotação]]/(Tabela3[[#This Row],[Lucro/Ação]]/Tabela3[Ref]*4),0)</f>
        <v>4.9731748926103467</v>
      </c>
      <c r="AQ213" s="78">
        <f>Tabela3[Lucro Distribuir]/Tabela3[Total Ações]</f>
        <v>0.82379467613084689</v>
      </c>
      <c r="AR213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0.21949490537924979</v>
      </c>
      <c r="AS213" s="15" t="str">
        <f>IF(AND(Tabela3[% A.A.]&gt;=6%,SUMPRODUCT(N(Tabela3[Nome]=Tabela3[[#This Row],[Nome]]),Tabela3[PL])&gt;0,Tabela3[Rentabilidade s/ PL]&gt;=Tabela3[Rentabilidade s/ PL Média]),"Sim","Não")</f>
        <v>Não</v>
      </c>
      <c r="AT213" s="42">
        <f>IF(Tabela3[Cotação]&gt;0,Tabela3[[#This Row],[Lucro]]/Tabela3[[#This Row],[Cotação]],0)</f>
        <v>3.8173027022478226E-2</v>
      </c>
      <c r="AU213" s="19">
        <f>((1+Tabela3[[#This Row],[% Yield]])^(1/(3*Tabela3[[#This Row],[Ref]])))^(12)-1</f>
        <v>5.1218483048710572E-2</v>
      </c>
      <c r="AV213" s="14">
        <f>IF(Tabela3[Cotação]&gt;0,($BD$1/Tabela3[[#This Row],[Cotação]]-MOD($BD$1/Tabela3[[#This Row],[Cotação]],100)),)</f>
        <v>0</v>
      </c>
      <c r="AW213" s="17">
        <f>Tabela3[[#This Row],[Ativos]]*Tabela3[Lucro]</f>
        <v>0</v>
      </c>
      <c r="AX213" s="13">
        <f>SUMPRODUCT(N(Tabela1[Código]=Tabela3[[#This Row],[PAPEL]]),Tabela1[Fechamento])</f>
        <v>0</v>
      </c>
      <c r="AY213" s="55">
        <f>SUMPRODUCT(N(Tabela17[Código]=Tabela3[[#This Row],[PAPEL]]),Tabela17[Fechamento])</f>
        <v>5.75</v>
      </c>
      <c r="AZ213" s="7">
        <f>SUMPRODUCT(N(Tabela176[Código]=Tabela3[[#This Row],[PAPEL]]),Tabela176[Fechamento])</f>
        <v>0</v>
      </c>
      <c r="BA213" s="7">
        <f>SUMPRODUCT(N(Tabela1768[Código]=Tabela3[[#This Row],[PAPEL]]),Tabela1768[Fechamento])</f>
        <v>0</v>
      </c>
      <c r="BB213" s="7">
        <f>SUMPRODUCT(N(Tabela17683[Código]=Tabela3[[#This Row],[PAPEL]]),Tabela17683[Fechamento])</f>
        <v>0</v>
      </c>
    </row>
    <row r="214" spans="1:54" hidden="1" x14ac:dyDescent="0.2">
      <c r="A214" s="3" t="s">
        <v>1154</v>
      </c>
      <c r="B214" s="58" t="s">
        <v>1155</v>
      </c>
      <c r="C214" s="16" t="str">
        <f>LEFT(Tabela3[PAPEL],LEN(Tabela3[PAPEL])-(LEN(Tabela3[PAPEL])-4))</f>
        <v>MNDL</v>
      </c>
      <c r="D214" s="16">
        <v>3</v>
      </c>
      <c r="E214" s="5">
        <v>43794105.18</v>
      </c>
      <c r="F214" s="56">
        <v>2480260</v>
      </c>
      <c r="G214" s="81">
        <v>0.25</v>
      </c>
      <c r="H214" s="87"/>
      <c r="J214" s="18"/>
      <c r="K214" s="16"/>
      <c r="L214" s="87"/>
      <c r="M214" s="54"/>
      <c r="N214" s="54"/>
      <c r="O214" s="54"/>
      <c r="P214" s="91">
        <v>34149000</v>
      </c>
      <c r="Q214" s="73">
        <v>2316000</v>
      </c>
      <c r="R214" s="73">
        <f>IF(Tabela3[[#This Row],[Ativo || Passivo]]&gt;0,Tabela3[[#This Row],[Ativo || Passivo]]-Tabela3[[#This Row],[Patrimônio Líquido]],0)</f>
        <v>0</v>
      </c>
      <c r="S214" s="73">
        <f>Tabela3[[#This Row],[Cotação]]*Tabela3[[#This Row],[Total Ações]]</f>
        <v>24579376.600000001</v>
      </c>
      <c r="T214" s="37">
        <f>IF(Tabela3[[#This Row],[Passivo Circulante]]&gt;0,Tabela3[[#This Row],[Ativo Circulante]]/Tabela3[[#This Row],[Passivo Circulante]],0)</f>
        <v>0</v>
      </c>
      <c r="U214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14" s="18">
        <f>IF(Tabela3[[#This Row],[Lucro Líquido]]&gt;0,Tabela3[[#This Row],[Lucro Líquido]]/Tabela3[[#This Row],[Patrimônio Líquido]],0)</f>
        <v>6.7820433980497238E-2</v>
      </c>
      <c r="W214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14" s="18">
        <f>IF(Tabela3[[#This Row],[Dívida]]&gt;0,Tabela3[[#This Row],[Dívida]]/Tabela3[[#This Row],[Patrimônio Líquido]],0)</f>
        <v>0</v>
      </c>
      <c r="Y214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14" s="7">
        <f>Tabela3[[#This Row],[Capital Social]]*20%</f>
        <v>8758821.0360000003</v>
      </c>
      <c r="AA214" s="47">
        <f>IF((Tabela3[Lucro Líquido]*5%)&gt;Tabela3[Teto R. Legal],Tabela3[Teto R. Legal],Tabela3[Lucro Líquido]*5%)</f>
        <v>115800</v>
      </c>
      <c r="AB214" s="47">
        <f>IF(Tabela3[Lucro Líquido]&lt;0,0,Tabela3[Lucro Líquido]-Tabela3[Reserva Legal])</f>
        <v>2200200</v>
      </c>
      <c r="AC214" s="47">
        <f>Tabela3[[#This Row],[Lucro Distribuir]]*Tabela3[%Div]</f>
        <v>550050</v>
      </c>
      <c r="AD214" s="56">
        <f>SUMPRODUCT(N(Tabela3[Nome]=Tabela3[[#This Row],[Nome]]),Tabela3[Ações])</f>
        <v>2480260</v>
      </c>
      <c r="AE214" s="85">
        <f>Tabela3[Capital Social]/Tabela3[Total Ações]</f>
        <v>17.657062235410805</v>
      </c>
      <c r="AF214" s="85">
        <f>Tabela3[[#This Row],[Lucro Líquido]]/Tabela3[[#This Row],[Total Ações]]</f>
        <v>0.93377307217791683</v>
      </c>
      <c r="AG214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0.22177110464225525</v>
      </c>
      <c r="AH214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14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14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0.22177110464225525</v>
      </c>
      <c r="AK214" s="7">
        <f>Tabela3[Div Base]*Tabela3[Ações]</f>
        <v>550050</v>
      </c>
      <c r="AL214" s="7">
        <f>SUMPRODUCT(N(Tabela3[Nome]=Tabela3[[#This Row],[Nome]]),Tabela3[Div Base]*Tabela3[Ações])</f>
        <v>550050</v>
      </c>
      <c r="AM214" s="5">
        <f>Tabela3[Patrimônio Líquido]/Tabela3[Total Ações]</f>
        <v>13.768314612177756</v>
      </c>
      <c r="AN214" s="52">
        <f>MAX(Tabela3[[#This Row],[Cotação 1]:[Cotação 5]])</f>
        <v>9.91</v>
      </c>
      <c r="AO214" s="53">
        <f>Tabela3[Cotação]/Tabela3[VPA]</f>
        <v>0.71976856130486988</v>
      </c>
      <c r="AP214" s="37">
        <f>IF(Tabela3[[#This Row],[Lucro/Ação]]&gt;0,Tabela3[[#This Row],[Cotação]]/(Tabela3[[#This Row],[Lucro/Ação]]/Tabela3[Ref]*4),0)</f>
        <v>7.9596426813471508</v>
      </c>
      <c r="AQ214" s="85">
        <f>Tabela3[Lucro Distribuir]/Tabela3[Total Ações]</f>
        <v>0.88708441856902098</v>
      </c>
      <c r="AR214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0.22177110464225525</v>
      </c>
      <c r="AS214" s="10" t="str">
        <f>IF(AND(Tabela3[% A.A.]&gt;=6%,SUMPRODUCT(N(Tabela3[Nome]=Tabela3[[#This Row],[Nome]]),Tabela3[PL])&gt;0,Tabela3[Rentabilidade s/ PL]&gt;=Tabela3[Rentabilidade s/ PL Média]),"Sim","Não")</f>
        <v>Não</v>
      </c>
      <c r="AT214" s="22">
        <f>IF(Tabela3[Cotação]&gt;0,Tabela3[[#This Row],[Lucro]]/Tabela3[[#This Row],[Cotação]],0)</f>
        <v>2.2378517118290135E-2</v>
      </c>
      <c r="AU214" s="22">
        <f>((1+Tabela3[[#This Row],[% Yield]])^(1/(3*Tabela3[[#This Row],[Ref]])))^(12)-1</f>
        <v>2.9948762936962137E-2</v>
      </c>
      <c r="AV214" s="10">
        <f>IF(Tabela3[Cotação]&gt;0,($BD$1/Tabela3[[#This Row],[Cotação]]-MOD($BD$1/Tabela3[[#This Row],[Cotação]],100)),)</f>
        <v>0</v>
      </c>
      <c r="AW214" s="7">
        <f>Tabela3[[#This Row],[Ativos]]*Tabela3[Lucro]</f>
        <v>0</v>
      </c>
      <c r="AX214" s="7">
        <f>SUMPRODUCT(N(Tabela1[Código]=Tabela3[[#This Row],[PAPEL]]),Tabela1[Fechamento])</f>
        <v>0</v>
      </c>
      <c r="AY214" s="7">
        <f>SUMPRODUCT(N(Tabela17[Código]=Tabela3[[#This Row],[PAPEL]]),Tabela17[Fechamento])</f>
        <v>0</v>
      </c>
      <c r="AZ214" s="7">
        <f>SUMPRODUCT(N(Tabela176[Código]=Tabela3[[#This Row],[PAPEL]]),Tabela176[Fechamento])</f>
        <v>0</v>
      </c>
      <c r="BA214" s="7">
        <f>SUMPRODUCT(N(Tabela1768[Código]=Tabela3[[#This Row],[PAPEL]]),Tabela1768[Fechamento])</f>
        <v>9.91</v>
      </c>
      <c r="BB214" s="7">
        <f>SUMPRODUCT(N(Tabela17683[Código]=Tabela3[[#This Row],[PAPEL]]),Tabela17683[Fechamento])</f>
        <v>0</v>
      </c>
    </row>
    <row r="215" spans="1:54" hidden="1" x14ac:dyDescent="0.2">
      <c r="A215" s="3" t="s">
        <v>346</v>
      </c>
      <c r="B215" s="57" t="s">
        <v>359</v>
      </c>
      <c r="C215" s="82" t="str">
        <f>LEFT(Tabela3[PAPEL],LEN(Tabela3[PAPEL])-(LEN(Tabela3[PAPEL])-4))</f>
        <v>SSBR</v>
      </c>
      <c r="D215" s="16">
        <v>3</v>
      </c>
      <c r="E215" s="5">
        <v>997865823</v>
      </c>
      <c r="F215" s="56">
        <v>76423831</v>
      </c>
      <c r="G215" s="81">
        <v>0.25</v>
      </c>
      <c r="H215" s="16"/>
      <c r="J215" s="18"/>
      <c r="K215" s="87"/>
      <c r="L215" s="87"/>
      <c r="M215" s="54"/>
      <c r="N215" s="54"/>
      <c r="O215" s="54"/>
      <c r="P215" s="5">
        <v>2243051000</v>
      </c>
      <c r="Q215" s="5">
        <v>151349000</v>
      </c>
      <c r="R215" s="5">
        <f>IF(Tabela3[[#This Row],[Ativo || Passivo]]&gt;0,Tabela3[[#This Row],[Ativo || Passivo]]-Tabela3[[#This Row],[Patrimônio Líquido]],0)</f>
        <v>0</v>
      </c>
      <c r="S215" s="5">
        <f>Tabela3[[#This Row],[Cotação]]*Tabela3[[#This Row],[Total Ações]]</f>
        <v>1299205127</v>
      </c>
      <c r="T215" s="132">
        <f>IF(Tabela3[[#This Row],[Passivo Circulante]]&gt;0,Tabela3[[#This Row],[Ativo Circulante]]/Tabela3[[#This Row],[Passivo Circulante]],0)</f>
        <v>0</v>
      </c>
      <c r="U215" s="132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15" s="18">
        <f>IF(Tabela3[[#This Row],[Lucro Líquido]]&gt;0,Tabela3[[#This Row],[Lucro Líquido]]/Tabela3[[#This Row],[Patrimônio Líquido]],0)</f>
        <v>6.7474613818410731E-2</v>
      </c>
      <c r="W215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15" s="18">
        <f>IF(Tabela3[[#This Row],[Dívida]]&gt;0,Tabela3[[#This Row],[Dívida]]/Tabela3[[#This Row],[Patrimônio Líquido]],0)</f>
        <v>0</v>
      </c>
      <c r="Y215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15" s="5">
        <f>Tabela3[[#This Row],[Capital Social]]*20%</f>
        <v>199573164.60000002</v>
      </c>
      <c r="AA215" s="5">
        <f>IF((Tabela3[Lucro Líquido]*5%)&gt;Tabela3[Teto R. Legal],Tabela3[Teto R. Legal],Tabela3[Lucro Líquido]*5%)</f>
        <v>7567450</v>
      </c>
      <c r="AB215" s="5">
        <f>IF(Tabela3[Lucro Líquido]&lt;0,0,Tabela3[Lucro Líquido]-Tabela3[Reserva Legal])</f>
        <v>143781550</v>
      </c>
      <c r="AC215" s="5">
        <f>Tabela3[[#This Row],[Lucro Distribuir]]*Tabela3[%Div]</f>
        <v>35945387.5</v>
      </c>
      <c r="AD215" s="21">
        <f>SUMPRODUCT(N(Tabela3[Nome]=Tabela3[[#This Row],[Nome]]),Tabela3[Ações])</f>
        <v>76423831</v>
      </c>
      <c r="AE215" s="5">
        <f>Tabela3[Capital Social]/Tabela3[Total Ações]</f>
        <v>13.056998189478358</v>
      </c>
      <c r="AF215" s="77">
        <f>Tabela3[[#This Row],[Lucro Líquido]]/Tabela3[[#This Row],[Total Ações]]</f>
        <v>1.9803901220288211</v>
      </c>
      <c r="AG215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0.47034265398184499</v>
      </c>
      <c r="AH215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15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15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0.47034265398184499</v>
      </c>
      <c r="AK215" s="5">
        <f>Tabela3[Div Base]*Tabela3[Ações]</f>
        <v>35945387.5</v>
      </c>
      <c r="AL215" s="5">
        <f>SUMPRODUCT(N(Tabela3[Nome]=Tabela3[[#This Row],[Nome]]),Tabela3[Div Base]*Tabela3[Ações])</f>
        <v>35945387.5</v>
      </c>
      <c r="AM215" s="5">
        <f>Tabela3[Patrimônio Líquido]/Tabela3[Total Ações]</f>
        <v>29.350151263681088</v>
      </c>
      <c r="AN215" s="52">
        <f>MAX(Tabela3[[#This Row],[Cotação 1]:[Cotação 5]])</f>
        <v>17</v>
      </c>
      <c r="AO215" s="53">
        <f>Tabela3[Cotação]/Tabela3[VPA]</f>
        <v>0.57921336920114619</v>
      </c>
      <c r="AP215" s="37">
        <f>IF(Tabela3[[#This Row],[Lucro/Ação]]&gt;0,Tabela3[[#This Row],[Cotação]]/(Tabela3[[#This Row],[Lucro/Ação]]/Tabela3[Ref]*4),0)</f>
        <v>6.4381254269932411</v>
      </c>
      <c r="AQ215" s="77">
        <f>Tabela3[Lucro Distribuir]/Tabela3[Total Ações]</f>
        <v>1.88137061592738</v>
      </c>
      <c r="AR215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0.47034265398184499</v>
      </c>
      <c r="AS215" s="16" t="str">
        <f>IF(AND(Tabela3[% A.A.]&gt;=6%,SUMPRODUCT(N(Tabela3[Nome]=Tabela3[[#This Row],[Nome]]),Tabela3[PL])&gt;0,Tabela3[Rentabilidade s/ PL]&gt;=Tabela3[Rentabilidade s/ PL Média]),"Sim","Não")</f>
        <v>Não</v>
      </c>
      <c r="AT215" s="22">
        <f>IF(Tabela3[Cotação]&gt;0,Tabela3[[#This Row],[Lucro]]/Tabela3[[#This Row],[Cotação]],0)</f>
        <v>2.7667214940108528E-2</v>
      </c>
      <c r="AU215" s="18">
        <f>((1+Tabela3[[#This Row],[% Yield]])^(1/(3*Tabela3[[#This Row],[Ref]])))^(12)-1</f>
        <v>3.705869145445928E-2</v>
      </c>
      <c r="AV215" s="10">
        <f>IF(Tabela3[Cotação]&gt;0,($BD$1/Tabela3[[#This Row],[Cotação]]-MOD($BD$1/Tabela3[[#This Row],[Cotação]],100)),)</f>
        <v>0</v>
      </c>
      <c r="AW215" s="7">
        <f>Tabela3[[#This Row],[Ativos]]*Tabela3[Lucro]</f>
        <v>0</v>
      </c>
      <c r="AX215" s="47">
        <f>SUMPRODUCT(N(Tabela1[Código]=Tabela3[[#This Row],[PAPEL]]),Tabela1[Fechamento])</f>
        <v>0</v>
      </c>
      <c r="AY215" s="54">
        <f>SUMPRODUCT(N(Tabela17[Código]=Tabela3[[#This Row],[PAPEL]]),Tabela17[Fechamento])</f>
        <v>17</v>
      </c>
      <c r="AZ215" s="7">
        <f>SUMPRODUCT(N(Tabela176[Código]=Tabela3[[#This Row],[PAPEL]]),Tabela176[Fechamento])</f>
        <v>0</v>
      </c>
      <c r="BA215" s="7">
        <f>SUMPRODUCT(N(Tabela1768[Código]=Tabela3[[#This Row],[PAPEL]]),Tabela1768[Fechamento])</f>
        <v>0</v>
      </c>
      <c r="BB215" s="7">
        <f>SUMPRODUCT(N(Tabela17683[Código]=Tabela3[[#This Row],[PAPEL]]),Tabela17683[Fechamento])</f>
        <v>0</v>
      </c>
    </row>
    <row r="216" spans="1:54" hidden="1" x14ac:dyDescent="0.2">
      <c r="A216" s="4" t="s">
        <v>40</v>
      </c>
      <c r="B216" s="57" t="s">
        <v>263</v>
      </c>
      <c r="C216" s="82" t="str">
        <f>LEFT(Tabela3[PAPEL],LEN(Tabela3[PAPEL])-(LEN(Tabela3[PAPEL])-4))</f>
        <v>BRKM</v>
      </c>
      <c r="D216" s="16">
        <v>4</v>
      </c>
      <c r="E216" s="5">
        <v>8043222080.5</v>
      </c>
      <c r="F216" s="56">
        <v>451668652</v>
      </c>
      <c r="G216" s="86">
        <v>0.25</v>
      </c>
      <c r="H216" s="16"/>
      <c r="J216" s="18"/>
      <c r="K216" s="87"/>
      <c r="L216" s="87"/>
      <c r="M216" s="54"/>
      <c r="N216" s="54"/>
      <c r="O216" s="54"/>
      <c r="P216" s="5">
        <v>7593110000</v>
      </c>
      <c r="Q216" s="6">
        <v>509697000</v>
      </c>
      <c r="R216" s="6">
        <f>IF(Tabela3[[#This Row],[Ativo || Passivo]]&gt;0,Tabela3[[#This Row],[Ativo || Passivo]]-Tabela3[[#This Row],[Patrimônio Líquido]],0)</f>
        <v>0</v>
      </c>
      <c r="S216" s="6">
        <f>Tabela3[[#This Row],[Cotação]]*Tabela3[[#This Row],[Total Ações]]</f>
        <v>11161714872</v>
      </c>
      <c r="T216" s="134">
        <f>IF(Tabela3[[#This Row],[Passivo Circulante]]&gt;0,Tabela3[[#This Row],[Ativo Circulante]]/Tabela3[[#This Row],[Passivo Circulante]],0)</f>
        <v>0</v>
      </c>
      <c r="U216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16" s="19">
        <f>IF(Tabela3[[#This Row],[Lucro Líquido]]&gt;0,Tabela3[[#This Row],[Lucro Líquido]]/Tabela3[[#This Row],[Patrimônio Líquido]],0)</f>
        <v>6.7126249981891484E-2</v>
      </c>
      <c r="W216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16" s="19">
        <f>IF(Tabela3[[#This Row],[Dívida]]&gt;0,Tabela3[[#This Row],[Dívida]]/Tabela3[[#This Row],[Patrimônio Líquido]],0)</f>
        <v>0</v>
      </c>
      <c r="Y216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16" s="5">
        <f>Tabela3[[#This Row],[Capital Social]]*20%</f>
        <v>1608644416.1000001</v>
      </c>
      <c r="AA216" s="5">
        <f>IF((Tabela3[Lucro Líquido]*5%)&gt;Tabela3[Teto R. Legal],Tabela3[Teto R. Legal],Tabela3[Lucro Líquido]*5%)</f>
        <v>25484850</v>
      </c>
      <c r="AB216" s="5">
        <f>IF(Tabela3[Lucro Líquido]&lt;0,0,Tabela3[Lucro Líquido]-Tabela3[Reserva Legal])</f>
        <v>484212150</v>
      </c>
      <c r="AC216" s="5">
        <f>Tabela3[[#This Row],[Lucro Distribuir]]*Tabela3[%Div]</f>
        <v>121053037.5</v>
      </c>
      <c r="AD216" s="21">
        <f>SUMPRODUCT(N(Tabela3[Nome]=Tabela3[[#This Row],[Nome]]),Tabela3[Ações])</f>
        <v>797265348</v>
      </c>
      <c r="AE216" s="5">
        <f>Tabela3[Capital Social]/Tabela3[Total Ações]</f>
        <v>10.088513317024283</v>
      </c>
      <c r="AF216" s="77">
        <f>Tabela3[[#This Row],[Lucro Líquido]]/Tabela3[[#This Row],[Total Ações]]</f>
        <v>0.63930660134497652</v>
      </c>
      <c r="AG216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0.15183531781943194</v>
      </c>
      <c r="AH216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16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16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216" s="5">
        <f>Tabela3[Div Base]*Tabela3[Ações]</f>
        <v>0</v>
      </c>
      <c r="AL216" s="5">
        <f>SUMPRODUCT(N(Tabela3[Nome]=Tabela3[[#This Row],[Nome]]),Tabela3[Div Base]*Tabela3[Ações])</f>
        <v>209193412.19493559</v>
      </c>
      <c r="AM216" s="5">
        <f>Tabela3[Patrimônio Líquido]/Tabela3[Total Ações]</f>
        <v>9.5239433383727103</v>
      </c>
      <c r="AN216" s="52">
        <f>MAX(Tabela3[[#This Row],[Cotação 1]:[Cotação 5]])</f>
        <v>14</v>
      </c>
      <c r="AO216" s="53">
        <f>Tabela3[Cotação]/Tabela3[VPA]</f>
        <v>1.4699793460123716</v>
      </c>
      <c r="AP216" s="37">
        <f>IF(Tabela3[[#This Row],[Lucro/Ação]]&gt;0,Tabela3[[#This Row],[Cotação]]/(Tabela3[[#This Row],[Lucro/Ação]]/Tabela3[Ref]*4),0)</f>
        <v>21.898725854772543</v>
      </c>
      <c r="AQ216" s="77">
        <f>Tabela3[Lucro Distribuir]/Tabela3[Total Ações]</f>
        <v>0.60734127127772775</v>
      </c>
      <c r="AR216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216" s="16" t="str">
        <f>IF(AND(Tabela3[% A.A.]&gt;=6%,SUMPRODUCT(N(Tabela3[Nome]=Tabela3[[#This Row],[Nome]]),Tabela3[PL])&gt;0,Tabela3[Rentabilidade s/ PL]&gt;=Tabela3[Rentabilidade s/ PL Média]),"Sim","Não")</f>
        <v>Não</v>
      </c>
      <c r="AT216" s="22">
        <f>IF(Tabela3[Cotação]&gt;0,Tabela3[[#This Row],[Lucro]]/Tabela3[[#This Row],[Cotação]],0)</f>
        <v>0</v>
      </c>
      <c r="AU216" s="18">
        <f>((1+Tabela3[[#This Row],[% Yield]])^(1/(3*Tabela3[[#This Row],[Ref]])))^(12)-1</f>
        <v>0</v>
      </c>
      <c r="AV216" s="10">
        <f>IF(Tabela3[Cotação]&gt;0,($BH$1/Tabela3[[#This Row],[Cotação]]-MOD($BH$1/Tabela3[[#This Row],[Cotação]],100)),)</f>
        <v>0</v>
      </c>
      <c r="AW216" s="7">
        <f>Tabela3[[#This Row],[Ativos]]*Tabela3[Lucro]</f>
        <v>0</v>
      </c>
      <c r="AX216" s="47">
        <f>SUMPRODUCT(N(Tabela1[Código]=Tabela3[[#This Row],[PAPEL]]),Tabela1[Fechamento])</f>
        <v>0</v>
      </c>
      <c r="AY216" s="47">
        <f>SUMPRODUCT(N(Tabela17[Código]=Tabela3[[#This Row],[PAPEL]]),Tabela17[Fechamento])</f>
        <v>14</v>
      </c>
      <c r="AZ216" s="7">
        <f>SUMPRODUCT(N(Tabela176[Código]=Tabela3[[#This Row],[PAPEL]]),Tabela176[Fechamento])</f>
        <v>0</v>
      </c>
      <c r="BA216" s="7">
        <f>SUMPRODUCT(N(Tabela1768[Código]=Tabela3[[#This Row],[PAPEL]]),Tabela1768[Fechamento])</f>
        <v>0</v>
      </c>
      <c r="BB216" s="7">
        <f>SUMPRODUCT(N(Tabela17683[Código]=Tabela3[[#This Row],[PAPEL]]),Tabela17683[Fechamento])</f>
        <v>0</v>
      </c>
    </row>
    <row r="217" spans="1:54" hidden="1" x14ac:dyDescent="0.2">
      <c r="A217" s="4" t="s">
        <v>40</v>
      </c>
      <c r="B217" s="57" t="s">
        <v>264</v>
      </c>
      <c r="C217" s="14" t="str">
        <f>LEFT(Tabela3[PAPEL],LEN(Tabela3[PAPEL])-(LEN(Tabela3[PAPEL])-4))</f>
        <v>BRKM</v>
      </c>
      <c r="D217" s="16">
        <v>4</v>
      </c>
      <c r="E217" s="5">
        <v>8043222080.5</v>
      </c>
      <c r="F217" s="56">
        <v>345002878</v>
      </c>
      <c r="G217" s="81">
        <v>0.25</v>
      </c>
      <c r="H217" s="16"/>
      <c r="I217" s="18">
        <v>0.06</v>
      </c>
      <c r="J217" s="18"/>
      <c r="K217" s="87"/>
      <c r="L217" s="87"/>
      <c r="M217" s="54"/>
      <c r="N217" s="54"/>
      <c r="O217" s="54"/>
      <c r="P217" s="5">
        <v>7593110000</v>
      </c>
      <c r="Q217" s="6">
        <v>509697000</v>
      </c>
      <c r="R217" s="6">
        <f>IF(Tabela3[[#This Row],[Ativo || Passivo]]&gt;0,Tabela3[[#This Row],[Ativo || Passivo]]-Tabela3[[#This Row],[Patrimônio Líquido]],0)</f>
        <v>0</v>
      </c>
      <c r="S217" s="6">
        <f>Tabela3[[#This Row],[Cotação]]*Tabela3[[#This Row],[Total Ações]]</f>
        <v>13880389708.68</v>
      </c>
      <c r="T217" s="134">
        <f>IF(Tabela3[[#This Row],[Passivo Circulante]]&gt;0,Tabela3[[#This Row],[Ativo Circulante]]/Tabela3[[#This Row],[Passivo Circulante]],0)</f>
        <v>0</v>
      </c>
      <c r="U217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17" s="19">
        <f>IF(Tabela3[[#This Row],[Lucro Líquido]]&gt;0,Tabela3[[#This Row],[Lucro Líquido]]/Tabela3[[#This Row],[Patrimônio Líquido]],0)</f>
        <v>6.7126249981891484E-2</v>
      </c>
      <c r="W217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17" s="19">
        <f>IF(Tabela3[[#This Row],[Dívida]]&gt;0,Tabela3[[#This Row],[Dívida]]/Tabela3[[#This Row],[Patrimônio Líquido]],0)</f>
        <v>0</v>
      </c>
      <c r="Y217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17" s="5">
        <f>Tabela3[[#This Row],[Capital Social]]*20%</f>
        <v>1608644416.1000001</v>
      </c>
      <c r="AA217" s="5">
        <f>IF((Tabela3[Lucro Líquido]*5%)&gt;Tabela3[Teto R. Legal],Tabela3[Teto R. Legal],Tabela3[Lucro Líquido]*5%)</f>
        <v>25484850</v>
      </c>
      <c r="AB217" s="5">
        <f>IF(Tabela3[Lucro Líquido]&lt;0,0,Tabela3[Lucro Líquido]-Tabela3[Reserva Legal])</f>
        <v>484212150</v>
      </c>
      <c r="AC217" s="5">
        <f>Tabela3[[#This Row],[Lucro Distribuir]]*Tabela3[%Div]</f>
        <v>121053037.5</v>
      </c>
      <c r="AD217" s="21">
        <f>SUMPRODUCT(N(Tabela3[Nome]=Tabela3[[#This Row],[Nome]]),Tabela3[Ações])</f>
        <v>797265348</v>
      </c>
      <c r="AE217" s="5">
        <f>Tabela3[Capital Social]/Tabela3[Total Ações]</f>
        <v>10.088513317024283</v>
      </c>
      <c r="AF217" s="77">
        <f>Tabela3[[#This Row],[Lucro Líquido]]/Tabela3[[#This Row],[Total Ações]]</f>
        <v>0.63930660134497652</v>
      </c>
      <c r="AG217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0.15183531781943194</v>
      </c>
      <c r="AH217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17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0.60531079902145701</v>
      </c>
      <c r="AJ217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0.60531079902145701</v>
      </c>
      <c r="AK217" s="5">
        <f>Tabela3[Div Base]*Tabela3[Ações]</f>
        <v>208833967.74688226</v>
      </c>
      <c r="AL217" s="5">
        <f>SUMPRODUCT(N(Tabela3[Nome]=Tabela3[[#This Row],[Nome]]),Tabela3[Div Base]*Tabela3[Ações])</f>
        <v>209193412.19493559</v>
      </c>
      <c r="AM217" s="5">
        <f>Tabela3[Patrimônio Líquido]/Tabela3[Total Ações]</f>
        <v>9.5239433383727103</v>
      </c>
      <c r="AN217" s="52">
        <f>MAX(Tabela3[[#This Row],[Cotação 1]:[Cotação 5]])</f>
        <v>17.41</v>
      </c>
      <c r="AO217" s="53">
        <f>Tabela3[Cotação]/Tabela3[VPA]</f>
        <v>1.8280243152910993</v>
      </c>
      <c r="AP217" s="37">
        <f>IF(Tabela3[[#This Row],[Lucro/Ação]]&gt;0,Tabela3[[#This Row],[Cotação]]/(Tabela3[[#This Row],[Lucro/Ação]]/Tabela3[Ref]*4),0)</f>
        <v>27.232629795113571</v>
      </c>
      <c r="AQ217" s="77">
        <f>Tabela3[Lucro Distribuir]/Tabela3[Total Ações]</f>
        <v>0.60734127127772775</v>
      </c>
      <c r="AR217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0.60531079902145701</v>
      </c>
      <c r="AS217" s="16" t="str">
        <f>IF(AND(Tabela3[% A.A.]&gt;=6%,SUMPRODUCT(N(Tabela3[Nome]=Tabela3[[#This Row],[Nome]]),Tabela3[PL])&gt;0,Tabela3[Rentabilidade s/ PL]&gt;=Tabela3[Rentabilidade s/ PL Média]),"Sim","Não")</f>
        <v>Não</v>
      </c>
      <c r="AT217" s="22">
        <f>IF(Tabela3[Cotação]&gt;0,Tabela3[[#This Row],[Lucro]]/Tabela3[[#This Row],[Cotação]],0)</f>
        <v>3.4767995348733892E-2</v>
      </c>
      <c r="AU217" s="18">
        <f>((1+Tabela3[[#This Row],[% Yield]])^(1/(3*Tabela3[[#This Row],[Ref]])))^(12)-1</f>
        <v>3.4767995348735203E-2</v>
      </c>
      <c r="AV217" s="10">
        <f>IF(Tabela3[Cotação]&gt;0,($BH$1/Tabela3[[#This Row],[Cotação]]-MOD($BH$1/Tabela3[[#This Row],[Cotação]],100)),)</f>
        <v>0</v>
      </c>
      <c r="AW217" s="7">
        <f>Tabela3[[#This Row],[Ativos]]*Tabela3[Lucro]</f>
        <v>0</v>
      </c>
      <c r="AX217" s="47">
        <f>SUMPRODUCT(N(Tabela1[Código]=Tabela3[[#This Row],[PAPEL]]),Tabela1[Fechamento])</f>
        <v>0</v>
      </c>
      <c r="AY217" s="47">
        <f>SUMPRODUCT(N(Tabela17[Código]=Tabela3[[#This Row],[PAPEL]]),Tabela17[Fechamento])</f>
        <v>17.41</v>
      </c>
      <c r="AZ217" s="7">
        <f>SUMPRODUCT(N(Tabela176[Código]=Tabela3[[#This Row],[PAPEL]]),Tabela176[Fechamento])</f>
        <v>0</v>
      </c>
      <c r="BA217" s="7">
        <f>SUMPRODUCT(N(Tabela1768[Código]=Tabela3[[#This Row],[PAPEL]]),Tabela1768[Fechamento])</f>
        <v>0</v>
      </c>
      <c r="BB217" s="7">
        <f>SUMPRODUCT(N(Tabela17683[Código]=Tabela3[[#This Row],[PAPEL]]),Tabela17683[Fechamento])</f>
        <v>0</v>
      </c>
    </row>
    <row r="218" spans="1:54" hidden="1" x14ac:dyDescent="0.2">
      <c r="A218" s="4" t="s">
        <v>40</v>
      </c>
      <c r="B218" s="57" t="s">
        <v>265</v>
      </c>
      <c r="C218" s="15" t="str">
        <f>LEFT(Tabela3[PAPEL],LEN(Tabela3[PAPEL])-(LEN(Tabela3[PAPEL])-4))</f>
        <v>BRKM</v>
      </c>
      <c r="D218" s="15">
        <v>4</v>
      </c>
      <c r="E218" s="5">
        <v>8043222080.5</v>
      </c>
      <c r="F218" s="8">
        <v>593818</v>
      </c>
      <c r="G218" s="86">
        <v>0.25</v>
      </c>
      <c r="H218" s="15"/>
      <c r="I218" s="19">
        <v>0.06</v>
      </c>
      <c r="J218" s="19"/>
      <c r="K218" s="88"/>
      <c r="L218" s="88"/>
      <c r="M218" s="55"/>
      <c r="N218" s="55"/>
      <c r="O218" s="55"/>
      <c r="P218" s="5">
        <v>7593110000</v>
      </c>
      <c r="Q218" s="6">
        <v>509697000</v>
      </c>
      <c r="R218" s="6">
        <f>IF(Tabela3[[#This Row],[Ativo || Passivo]]&gt;0,Tabela3[[#This Row],[Ativo || Passivo]]-Tabela3[[#This Row],[Patrimônio Líquido]],0)</f>
        <v>0</v>
      </c>
      <c r="S218" s="6">
        <f>Tabela3[[#This Row],[Cotação]]*Tabela3[[#This Row],[Total Ações]]</f>
        <v>8092243282.1999998</v>
      </c>
      <c r="T218" s="134">
        <f>IF(Tabela3[[#This Row],[Passivo Circulante]]&gt;0,Tabela3[[#This Row],[Ativo Circulante]]/Tabela3[[#This Row],[Passivo Circulante]],0)</f>
        <v>0</v>
      </c>
      <c r="U218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18" s="19">
        <f>IF(Tabela3[[#This Row],[Lucro Líquido]]&gt;0,Tabela3[[#This Row],[Lucro Líquido]]/Tabela3[[#This Row],[Patrimônio Líquido]],0)</f>
        <v>6.7126249981891484E-2</v>
      </c>
      <c r="W218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18" s="19">
        <f>IF(Tabela3[[#This Row],[Dívida]]&gt;0,Tabela3[[#This Row],[Dívida]]/Tabela3[[#This Row],[Patrimônio Líquido]],0)</f>
        <v>0</v>
      </c>
      <c r="Y218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18" s="5">
        <f>Tabela3[[#This Row],[Capital Social]]*20%</f>
        <v>1608644416.1000001</v>
      </c>
      <c r="AA218" s="5">
        <f>IF((Tabela3[Lucro Líquido]*5%)&gt;Tabela3[Teto R. Legal],Tabela3[Teto R. Legal],Tabela3[Lucro Líquido]*5%)</f>
        <v>25484850</v>
      </c>
      <c r="AB218" s="5">
        <f>IF(Tabela3[Lucro Líquido]&lt;0,0,Tabela3[Lucro Líquido]-Tabela3[Reserva Legal])</f>
        <v>484212150</v>
      </c>
      <c r="AC218" s="5">
        <f>Tabela3[[#This Row],[Lucro Distribuir]]*Tabela3[%Div]</f>
        <v>121053037.5</v>
      </c>
      <c r="AD218" s="21">
        <f>SUMPRODUCT(N(Tabela3[Nome]=Tabela3[[#This Row],[Nome]]),Tabela3[Ações])</f>
        <v>797265348</v>
      </c>
      <c r="AE218" s="5">
        <f>Tabela3[Capital Social]/Tabela3[Total Ações]</f>
        <v>10.088513317024283</v>
      </c>
      <c r="AF218" s="78">
        <f>Tabela3[[#This Row],[Lucro Líquido]]/Tabela3[[#This Row],[Total Ações]]</f>
        <v>0.63930660134497652</v>
      </c>
      <c r="AG218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0.15183531781943194</v>
      </c>
      <c r="AH218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18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0.60531079902145701</v>
      </c>
      <c r="AJ218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0.60531079902145701</v>
      </c>
      <c r="AK218" s="5">
        <f>Tabela3[Div Base]*Tabela3[Ações]</f>
        <v>359444.44805332355</v>
      </c>
      <c r="AL218" s="5">
        <f>SUMPRODUCT(N(Tabela3[Nome]=Tabela3[[#This Row],[Nome]]),Tabela3[Div Base]*Tabela3[Ações])</f>
        <v>209193412.19493559</v>
      </c>
      <c r="AM218" s="6">
        <f>Tabela3[Patrimônio Líquido]/Tabela3[Total Ações]</f>
        <v>9.5239433383727103</v>
      </c>
      <c r="AN218" s="48">
        <f>MAX(Tabela3[[#This Row],[Cotação 1]:[Cotação 5]])</f>
        <v>10.15</v>
      </c>
      <c r="AO218" s="44">
        <f>Tabela3[Cotação]/Tabela3[VPA]</f>
        <v>1.0657350258589695</v>
      </c>
      <c r="AP218" s="40">
        <f>IF(Tabela3[[#This Row],[Lucro/Ação]]&gt;0,Tabela3[[#This Row],[Cotação]]/(Tabela3[[#This Row],[Lucro/Ação]]/Tabela3[Ref]*4),0)</f>
        <v>15.876576244710094</v>
      </c>
      <c r="AQ218" s="78">
        <f>Tabela3[Lucro Distribuir]/Tabela3[Total Ações]</f>
        <v>0.60734127127772775</v>
      </c>
      <c r="AR218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0.60531079902145701</v>
      </c>
      <c r="AS218" s="15" t="str">
        <f>IF(AND(Tabela3[% A.A.]&gt;=6%,SUMPRODUCT(N(Tabela3[Nome]=Tabela3[[#This Row],[Nome]]),Tabela3[PL])&gt;0,Tabela3[Rentabilidade s/ PL]&gt;=Tabela3[Rentabilidade s/ PL Média]),"Sim","Não")</f>
        <v>Não</v>
      </c>
      <c r="AT218" s="42">
        <f>IF(Tabela3[Cotação]&gt;0,Tabela3[[#This Row],[Lucro]]/Tabela3[[#This Row],[Cotação]],0)</f>
        <v>5.9636531923296258E-2</v>
      </c>
      <c r="AU218" s="19">
        <f>((1+Tabela3[[#This Row],[% Yield]])^(1/(3*Tabela3[[#This Row],[Ref]])))^(12)-1</f>
        <v>5.9636531923295433E-2</v>
      </c>
      <c r="AV218" s="14">
        <f>IF(Tabela3[Cotação]&gt;0,($BD$1/Tabela3[[#This Row],[Cotação]]-MOD($BD$1/Tabela3[[#This Row],[Cotação]],100)),)</f>
        <v>0</v>
      </c>
      <c r="AW218" s="17">
        <f>Tabela3[[#This Row],[Ativos]]*Tabela3[Lucro]</f>
        <v>0</v>
      </c>
      <c r="AX218" s="13">
        <f>SUMPRODUCT(N(Tabela1[Código]=Tabela3[[#This Row],[PAPEL]]),Tabela1[Fechamento])</f>
        <v>0</v>
      </c>
      <c r="AY218" s="13">
        <f>SUMPRODUCT(N(Tabela17[Código]=Tabela3[[#This Row],[PAPEL]]),Tabela17[Fechamento])</f>
        <v>10.15</v>
      </c>
      <c r="AZ218" s="7">
        <f>SUMPRODUCT(N(Tabela176[Código]=Tabela3[[#This Row],[PAPEL]]),Tabela176[Fechamento])</f>
        <v>0</v>
      </c>
      <c r="BA218" s="7">
        <f>SUMPRODUCT(N(Tabela1768[Código]=Tabela3[[#This Row],[PAPEL]]),Tabela1768[Fechamento])</f>
        <v>0</v>
      </c>
      <c r="BB218" s="7">
        <f>SUMPRODUCT(N(Tabela17683[Código]=Tabela3[[#This Row],[PAPEL]]),Tabela17683[Fechamento])</f>
        <v>0</v>
      </c>
    </row>
    <row r="219" spans="1:54" hidden="1" x14ac:dyDescent="0.2">
      <c r="A219" s="3" t="s">
        <v>935</v>
      </c>
      <c r="B219" s="58" t="s">
        <v>1108</v>
      </c>
      <c r="C219" s="16" t="str">
        <f>LEFT(Tabela3[PAPEL],LEN(Tabela3[PAPEL])-(LEN(Tabela3[PAPEL])-4))</f>
        <v>DOHL</v>
      </c>
      <c r="D219" s="16">
        <v>3</v>
      </c>
      <c r="E219" s="5">
        <v>150000000</v>
      </c>
      <c r="F219" s="56">
        <v>36311880</v>
      </c>
      <c r="G219" s="81">
        <v>0.25</v>
      </c>
      <c r="H219" s="87"/>
      <c r="J219" s="18"/>
      <c r="K219" s="16"/>
      <c r="L219" s="87"/>
      <c r="M219" s="54"/>
      <c r="N219" s="54"/>
      <c r="O219" s="54"/>
      <c r="P219" s="91">
        <v>439187000</v>
      </c>
      <c r="Q219" s="73">
        <v>27944000</v>
      </c>
      <c r="R219" s="73">
        <f>IF(Tabela3[[#This Row],[Ativo || Passivo]]&gt;0,Tabela3[[#This Row],[Ativo || Passivo]]-Tabela3[[#This Row],[Patrimônio Líquido]],0)</f>
        <v>0</v>
      </c>
      <c r="S219" s="73">
        <f>Tabela3[[#This Row],[Cotação]]*Tabela3[[#This Row],[Total Ações]]</f>
        <v>277366045</v>
      </c>
      <c r="T219" s="37">
        <f>IF(Tabela3[[#This Row],[Passivo Circulante]]&gt;0,Tabela3[[#This Row],[Ativo Circulante]]/Tabela3[[#This Row],[Passivo Circulante]],0)</f>
        <v>0</v>
      </c>
      <c r="U219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19" s="18">
        <f>IF(Tabela3[[#This Row],[Lucro Líquido]]&gt;0,Tabela3[[#This Row],[Lucro Líquido]]/Tabela3[[#This Row],[Patrimônio Líquido]],0)</f>
        <v>6.362665561594491E-2</v>
      </c>
      <c r="W219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19" s="18">
        <f>IF(Tabela3[[#This Row],[Dívida]]&gt;0,Tabela3[[#This Row],[Dívida]]/Tabela3[[#This Row],[Patrimônio Líquido]],0)</f>
        <v>0</v>
      </c>
      <c r="Y219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19" s="7">
        <f>Tabela3[[#This Row],[Capital Social]]*20%</f>
        <v>30000000</v>
      </c>
      <c r="AA219" s="47">
        <f>IF((Tabela3[Lucro Líquido]*5%)&gt;Tabela3[Teto R. Legal],Tabela3[Teto R. Legal],Tabela3[Lucro Líquido]*5%)</f>
        <v>1397200</v>
      </c>
      <c r="AB219" s="47">
        <f>IF(Tabela3[Lucro Líquido]&lt;0,0,Tabela3[Lucro Líquido]-Tabela3[Reserva Legal])</f>
        <v>26546800</v>
      </c>
      <c r="AC219" s="47">
        <f>Tabela3[[#This Row],[Lucro Distribuir]]*Tabela3[%Div]</f>
        <v>6636700</v>
      </c>
      <c r="AD219" s="56">
        <f>SUMPRODUCT(N(Tabela3[Nome]=Tabela3[[#This Row],[Nome]]),Tabela3[Ações])</f>
        <v>50430190</v>
      </c>
      <c r="AE219" s="85">
        <f>Tabela3[Capital Social]/Tabela3[Total Ações]</f>
        <v>2.9744087817238047</v>
      </c>
      <c r="AF219" s="85">
        <f>Tabela3[[#This Row],[Lucro Líquido]]/Tabela3[[#This Row],[Total Ações]]</f>
        <v>0.55411252664326671</v>
      </c>
      <c r="AG219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0.12750709498188645</v>
      </c>
      <c r="AH219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19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19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0.12750709498188645</v>
      </c>
      <c r="AK219" s="7">
        <f>Tabela3[Div Base]*Tabela3[Ações]</f>
        <v>4630022.3321308633</v>
      </c>
      <c r="AL219" s="7">
        <f>SUMPRODUCT(N(Tabela3[Nome]=Tabela3[[#This Row],[Nome]]),Tabela3[Div Base]*Tabela3[Ações])</f>
        <v>6610225.498412624</v>
      </c>
      <c r="AM219" s="5">
        <f>Tabela3[Patrimônio Líquido]/Tabela3[Total Ações]</f>
        <v>8.7088111307928848</v>
      </c>
      <c r="AN219" s="52">
        <f>MAX(Tabela3[[#This Row],[Cotação 1]:[Cotação 5]])</f>
        <v>5.5</v>
      </c>
      <c r="AO219" s="53">
        <f>Tabela3[Cotação]/Tabela3[VPA]</f>
        <v>0.63154429662080158</v>
      </c>
      <c r="AP219" s="37">
        <f>IF(Tabela3[[#This Row],[Lucro/Ação]]&gt;0,Tabela3[[#This Row],[Cotação]]/(Tabela3[[#This Row],[Lucro/Ação]]/Tabela3[Ref]*4),0)</f>
        <v>7.4443363065416541</v>
      </c>
      <c r="AQ219" s="85">
        <f>Tabela3[Lucro Distribuir]/Tabela3[Total Ações]</f>
        <v>0.52640690031110338</v>
      </c>
      <c r="AR219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0.12750709498188645</v>
      </c>
      <c r="AS219" s="10" t="str">
        <f>IF(AND(Tabela3[% A.A.]&gt;=6%,SUMPRODUCT(N(Tabela3[Nome]=Tabela3[[#This Row],[Nome]]),Tabela3[PL])&gt;0,Tabela3[Rentabilidade s/ PL]&gt;=Tabela3[Rentabilidade s/ PL Média]),"Sim","Não")</f>
        <v>Não</v>
      </c>
      <c r="AT219" s="22">
        <f>IF(Tabela3[Cotação]&gt;0,Tabela3[[#This Row],[Lucro]]/Tabela3[[#This Row],[Cotação]],0)</f>
        <v>2.318310817852481E-2</v>
      </c>
      <c r="AU219" s="22">
        <f>((1+Tabela3[[#This Row],[% Yield]])^(1/(3*Tabela3[[#This Row],[Ref]])))^(12)-1</f>
        <v>3.1029636250386128E-2</v>
      </c>
      <c r="AV219" s="10">
        <f>IF(Tabela3[Cotação]&gt;0,($BH$1/Tabela3[[#This Row],[Cotação]]-MOD($BH$1/Tabela3[[#This Row],[Cotação]],100)),)</f>
        <v>0</v>
      </c>
      <c r="AW219" s="7">
        <f>Tabela3[[#This Row],[Ativos]]*Tabela3[Lucro]</f>
        <v>0</v>
      </c>
      <c r="AX219" s="7">
        <f>SUMPRODUCT(N(Tabela1[Código]=Tabela3[[#This Row],[PAPEL]]),Tabela1[Fechamento])</f>
        <v>0</v>
      </c>
      <c r="AY219" s="7">
        <f>SUMPRODUCT(N(Tabela17[Código]=Tabela3[[#This Row],[PAPEL]]),Tabela17[Fechamento])</f>
        <v>0</v>
      </c>
      <c r="AZ219" s="7">
        <f>SUMPRODUCT(N(Tabela176[Código]=Tabela3[[#This Row],[PAPEL]]),Tabela176[Fechamento])</f>
        <v>0</v>
      </c>
      <c r="BA219" s="7">
        <f>SUMPRODUCT(N(Tabela1768[Código]=Tabela3[[#This Row],[PAPEL]]),Tabela1768[Fechamento])</f>
        <v>5.5</v>
      </c>
      <c r="BB219" s="7">
        <f>SUMPRODUCT(N(Tabela17683[Código]=Tabela3[[#This Row],[PAPEL]]),Tabela17683[Fechamento])</f>
        <v>0</v>
      </c>
    </row>
    <row r="220" spans="1:54" hidden="1" x14ac:dyDescent="0.2">
      <c r="A220" s="3" t="s">
        <v>935</v>
      </c>
      <c r="B220" s="58" t="s">
        <v>1109</v>
      </c>
      <c r="C220" s="16" t="str">
        <f>LEFT(Tabela3[PAPEL],LEN(Tabela3[PAPEL])-(LEN(Tabela3[PAPEL])-4))</f>
        <v>DOHL</v>
      </c>
      <c r="D220" s="16">
        <v>3</v>
      </c>
      <c r="E220" s="5">
        <v>150000000</v>
      </c>
      <c r="F220" s="56">
        <v>14118310</v>
      </c>
      <c r="G220" s="81">
        <v>0.25</v>
      </c>
      <c r="H220" s="87"/>
      <c r="J220" s="18">
        <v>0.1</v>
      </c>
      <c r="K220" s="16"/>
      <c r="L220" s="87"/>
      <c r="M220" s="54"/>
      <c r="N220" s="54"/>
      <c r="O220" s="54"/>
      <c r="P220" s="91">
        <v>439187000</v>
      </c>
      <c r="Q220" s="93">
        <v>27944000</v>
      </c>
      <c r="R220" s="93">
        <f>IF(Tabela3[[#This Row],[Ativo || Passivo]]&gt;0,Tabela3[[#This Row],[Ativo || Passivo]]-Tabela3[[#This Row],[Patrimônio Líquido]],0)</f>
        <v>0</v>
      </c>
      <c r="S220" s="93">
        <f>Tabela3[[#This Row],[Cotação]]*Tabela3[[#This Row],[Total Ações]]</f>
        <v>247107931.00000003</v>
      </c>
      <c r="T220" s="40">
        <f>IF(Tabela3[[#This Row],[Passivo Circulante]]&gt;0,Tabela3[[#This Row],[Ativo Circulante]]/Tabela3[[#This Row],[Passivo Circulante]],0)</f>
        <v>0</v>
      </c>
      <c r="U220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20" s="19">
        <f>IF(Tabela3[[#This Row],[Lucro Líquido]]&gt;0,Tabela3[[#This Row],[Lucro Líquido]]/Tabela3[[#This Row],[Patrimônio Líquido]],0)</f>
        <v>6.362665561594491E-2</v>
      </c>
      <c r="W220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20" s="19">
        <f>IF(Tabela3[[#This Row],[Dívida]]&gt;0,Tabela3[[#This Row],[Dívida]]/Tabela3[[#This Row],[Patrimônio Líquido]],0)</f>
        <v>0</v>
      </c>
      <c r="Y220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20" s="7">
        <f>Tabela3[[#This Row],[Capital Social]]*20%</f>
        <v>30000000</v>
      </c>
      <c r="AA220" s="47">
        <f>IF((Tabela3[Lucro Líquido]*5%)&gt;Tabela3[Teto R. Legal],Tabela3[Teto R. Legal],Tabela3[Lucro Líquido]*5%)</f>
        <v>1397200</v>
      </c>
      <c r="AB220" s="47">
        <f>IF(Tabela3[Lucro Líquido]&lt;0,0,Tabela3[Lucro Líquido]-Tabela3[Reserva Legal])</f>
        <v>26546800</v>
      </c>
      <c r="AC220" s="47">
        <f>Tabela3[[#This Row],[Lucro Distribuir]]*Tabela3[%Div]</f>
        <v>6636700</v>
      </c>
      <c r="AD220" s="56">
        <f>SUMPRODUCT(N(Tabela3[Nome]=Tabela3[[#This Row],[Nome]]),Tabela3[Ações])</f>
        <v>50430190</v>
      </c>
      <c r="AE220" s="85">
        <f>Tabela3[Capital Social]/Tabela3[Total Ações]</f>
        <v>2.9744087817238047</v>
      </c>
      <c r="AF220" s="85">
        <f>Tabela3[[#This Row],[Lucro Líquido]]/Tabela3[[#This Row],[Total Ações]]</f>
        <v>0.55411252664326671</v>
      </c>
      <c r="AG220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0.14025780467221363</v>
      </c>
      <c r="AH220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20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20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0.14025780467221363</v>
      </c>
      <c r="AK220" s="7">
        <f>Tabela3[Div Base]*Tabela3[Ações]</f>
        <v>1980203.1662817604</v>
      </c>
      <c r="AL220" s="7">
        <f>SUMPRODUCT(N(Tabela3[Nome]=Tabela3[[#This Row],[Nome]]),Tabela3[Div Base]*Tabela3[Ações])</f>
        <v>6610225.498412624</v>
      </c>
      <c r="AM220" s="5">
        <f>Tabela3[Patrimônio Líquido]/Tabela3[Total Ações]</f>
        <v>8.7088111307928848</v>
      </c>
      <c r="AN220" s="52">
        <f>MAX(Tabela3[[#This Row],[Cotação 1]:[Cotação 5]])</f>
        <v>4.9000000000000004</v>
      </c>
      <c r="AO220" s="53">
        <f>Tabela3[Cotação]/Tabela3[VPA]</f>
        <v>0.56264855517125967</v>
      </c>
      <c r="AP220" s="37">
        <f>IF(Tabela3[[#This Row],[Lucro/Ação]]&gt;0,Tabela3[[#This Row],[Cotação]]/(Tabela3[[#This Row],[Lucro/Ação]]/Tabela3[Ref]*4),0)</f>
        <v>6.6322268912825653</v>
      </c>
      <c r="AQ220" s="85">
        <f>Tabela3[Lucro Distribuir]/Tabela3[Total Ações]</f>
        <v>0.52640690031110338</v>
      </c>
      <c r="AR220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0.14025780467221363</v>
      </c>
      <c r="AS220" s="10" t="str">
        <f>IF(AND(Tabela3[% A.A.]&gt;=6%,SUMPRODUCT(N(Tabela3[Nome]=Tabela3[[#This Row],[Nome]]),Tabela3[PL])&gt;0,Tabela3[Rentabilidade s/ PL]&gt;=Tabela3[Rentabilidade s/ PL Média]),"Sim","Não")</f>
        <v>Não</v>
      </c>
      <c r="AT220" s="22">
        <f>IF(Tabela3[Cotação]&gt;0,Tabela3[[#This Row],[Lucro]]/Tabela3[[#This Row],[Cotação]],0)</f>
        <v>2.8624041769839514E-2</v>
      </c>
      <c r="AU220" s="22">
        <f>((1+Tabela3[[#This Row],[% Yield]])^(1/(3*Tabela3[[#This Row],[Ref]])))^(12)-1</f>
        <v>3.834631908904429E-2</v>
      </c>
      <c r="AV220" s="10">
        <f>IF(Tabela3[Cotação]&gt;0,($BH$1/Tabela3[[#This Row],[Cotação]]-MOD($BH$1/Tabela3[[#This Row],[Cotação]],100)),)</f>
        <v>100</v>
      </c>
      <c r="AW220" s="7">
        <f>Tabela3[[#This Row],[Ativos]]*Tabela3[Lucro]</f>
        <v>14.025780467221363</v>
      </c>
      <c r="AX220" s="7">
        <f>SUMPRODUCT(N(Tabela1[Código]=Tabela3[[#This Row],[PAPEL]]),Tabela1[Fechamento])</f>
        <v>0</v>
      </c>
      <c r="AY220" s="7">
        <f>SUMPRODUCT(N(Tabela17[Código]=Tabela3[[#This Row],[PAPEL]]),Tabela17[Fechamento])</f>
        <v>0</v>
      </c>
      <c r="AZ220" s="7">
        <f>SUMPRODUCT(N(Tabela176[Código]=Tabela3[[#This Row],[PAPEL]]),Tabela176[Fechamento])</f>
        <v>0</v>
      </c>
      <c r="BA220" s="7">
        <f>SUMPRODUCT(N(Tabela1768[Código]=Tabela3[[#This Row],[PAPEL]]),Tabela1768[Fechamento])</f>
        <v>4.9000000000000004</v>
      </c>
      <c r="BB220" s="7">
        <f>SUMPRODUCT(N(Tabela17683[Código]=Tabela3[[#This Row],[PAPEL]]),Tabela17683[Fechamento])</f>
        <v>0</v>
      </c>
    </row>
    <row r="221" spans="1:54" hidden="1" x14ac:dyDescent="0.2">
      <c r="A221" s="3" t="s">
        <v>910</v>
      </c>
      <c r="B221" s="58" t="s">
        <v>911</v>
      </c>
      <c r="C221" s="16" t="str">
        <f>LEFT(Tabela3[PAPEL],LEN(Tabela3[PAPEL])-(LEN(Tabela3[PAPEL])-4))</f>
        <v>UCAS</v>
      </c>
      <c r="D221" s="16">
        <v>3</v>
      </c>
      <c r="E221" s="5">
        <v>187708920.96000001</v>
      </c>
      <c r="F221" s="56">
        <v>66086364</v>
      </c>
      <c r="G221" s="81">
        <v>0.25</v>
      </c>
      <c r="H221" s="87"/>
      <c r="J221" s="18"/>
      <c r="K221" s="16"/>
      <c r="L221" s="87"/>
      <c r="M221" s="54"/>
      <c r="N221" s="54"/>
      <c r="O221" s="54"/>
      <c r="P221" s="91">
        <v>211391000</v>
      </c>
      <c r="Q221" s="73">
        <v>13295000</v>
      </c>
      <c r="R221" s="73">
        <f>IF(Tabela3[[#This Row],[Ativo || Passivo]]&gt;0,Tabela3[[#This Row],[Ativo || Passivo]]-Tabela3[[#This Row],[Patrimônio Líquido]],0)</f>
        <v>0</v>
      </c>
      <c r="S221" s="73">
        <f>Tabela3[[#This Row],[Cotação]]*Tabela3[[#This Row],[Total Ações]]</f>
        <v>301353819.83999997</v>
      </c>
      <c r="T221" s="37">
        <f>IF(Tabela3[[#This Row],[Passivo Circulante]]&gt;0,Tabela3[[#This Row],[Ativo Circulante]]/Tabela3[[#This Row],[Passivo Circulante]],0)</f>
        <v>0</v>
      </c>
      <c r="U221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21" s="18">
        <f>IF(Tabela3[[#This Row],[Lucro Líquido]]&gt;0,Tabela3[[#This Row],[Lucro Líquido]]/Tabela3[[#This Row],[Patrimônio Líquido]],0)</f>
        <v>6.2892933000931919E-2</v>
      </c>
      <c r="W221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21" s="18">
        <f>IF(Tabela3[[#This Row],[Dívida]]&gt;0,Tabela3[[#This Row],[Dívida]]/Tabela3[[#This Row],[Patrimônio Líquido]],0)</f>
        <v>0</v>
      </c>
      <c r="Y221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21" s="7">
        <f>Tabela3[[#This Row],[Capital Social]]*20%</f>
        <v>37541784.192000002</v>
      </c>
      <c r="AA221" s="47">
        <f>IF((Tabela3[Lucro Líquido]*5%)&gt;Tabela3[Teto R. Legal],Tabela3[Teto R. Legal],Tabela3[Lucro Líquido]*5%)</f>
        <v>664750</v>
      </c>
      <c r="AB221" s="47">
        <f>IF(Tabela3[Lucro Líquido]&lt;0,0,Tabela3[Lucro Líquido]-Tabela3[Reserva Legal])</f>
        <v>12630250</v>
      </c>
      <c r="AC221" s="47">
        <f>Tabela3[[#This Row],[Lucro Distribuir]]*Tabela3[%Div]</f>
        <v>3157562.5</v>
      </c>
      <c r="AD221" s="56">
        <f>SUMPRODUCT(N(Tabela3[Nome]=Tabela3[[#This Row],[Nome]]),Tabela3[Ações])</f>
        <v>66086364</v>
      </c>
      <c r="AE221" s="85">
        <f>Tabela3[Capital Social]/Tabela3[Total Ações]</f>
        <v>2.8403578226818471</v>
      </c>
      <c r="AF221" s="85">
        <f>Tabela3[[#This Row],[Lucro Líquido]]/Tabela3[[#This Row],[Total Ações]]</f>
        <v>0.20117614580823359</v>
      </c>
      <c r="AG221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4.777933462945548E-2</v>
      </c>
      <c r="AH221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21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21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4.777933462945548E-2</v>
      </c>
      <c r="AK221" s="7">
        <f>Tabela3[Div Base]*Tabela3[Ações]</f>
        <v>3157562.5</v>
      </c>
      <c r="AL221" s="7">
        <f>SUMPRODUCT(N(Tabela3[Nome]=Tabela3[[#This Row],[Nome]]),Tabela3[Div Base]*Tabela3[Ações])</f>
        <v>3157562.5</v>
      </c>
      <c r="AM221" s="5">
        <f>Tabela3[Patrimônio Líquido]/Tabela3[Total Ações]</f>
        <v>3.1987082842082217</v>
      </c>
      <c r="AN221" s="52">
        <f>MAX(Tabela3[[#This Row],[Cotação 1]:[Cotação 5]])</f>
        <v>4.5599999999999996</v>
      </c>
      <c r="AO221" s="53">
        <f>Tabela3[Cotação]/Tabela3[VPA]</f>
        <v>1.4255754494751431</v>
      </c>
      <c r="AP221" s="37">
        <f>IF(Tabela3[[#This Row],[Lucro/Ação]]&gt;0,Tabela3[[#This Row],[Cotação]]/(Tabela3[[#This Row],[Lucro/Ação]]/Tabela3[Ref]*4),0)</f>
        <v>17.000027444904099</v>
      </c>
      <c r="AQ221" s="85">
        <f>Tabela3[Lucro Distribuir]/Tabela3[Total Ações]</f>
        <v>0.19111733851782192</v>
      </c>
      <c r="AR221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4.777933462945548E-2</v>
      </c>
      <c r="AS221" s="10" t="str">
        <f>IF(AND(Tabela3[% A.A.]&gt;=6%,SUMPRODUCT(N(Tabela3[Nome]=Tabela3[[#This Row],[Nome]]),Tabela3[PL])&gt;0,Tabela3[Rentabilidade s/ PL]&gt;=Tabela3[Rentabilidade s/ PL Média]),"Sim","Não")</f>
        <v>Não</v>
      </c>
      <c r="AT221" s="22">
        <f>IF(Tabela3[Cotação]&gt;0,Tabela3[[#This Row],[Lucro]]/Tabela3[[#This Row],[Cotação]],0)</f>
        <v>1.0477924260845501E-2</v>
      </c>
      <c r="AU221" s="22">
        <f>((1+Tabela3[[#This Row],[% Yield]])^(1/(3*Tabela3[[#This Row],[Ref]])))^(12)-1</f>
        <v>1.3994906209085611E-2</v>
      </c>
      <c r="AV221" s="10">
        <f>IF(Tabela3[Cotação]&gt;0,($BD$1/Tabela3[[#This Row],[Cotação]]-MOD($BD$1/Tabela3[[#This Row],[Cotação]],100)),)</f>
        <v>0</v>
      </c>
      <c r="AW221" s="7">
        <f>Tabela3[[#This Row],[Ativos]]*Tabela3[Lucro]</f>
        <v>0</v>
      </c>
      <c r="AX221" s="7">
        <f>SUMPRODUCT(N(Tabela1[Código]=Tabela3[[#This Row],[PAPEL]]),Tabela1[Fechamento])</f>
        <v>0</v>
      </c>
      <c r="AY221" s="7">
        <f>SUMPRODUCT(N(Tabela17[Código]=Tabela3[[#This Row],[PAPEL]]),Tabela17[Fechamento])</f>
        <v>0</v>
      </c>
      <c r="AZ221" s="7">
        <f>SUMPRODUCT(N(Tabela176[Código]=Tabela3[[#This Row],[PAPEL]]),Tabela176[Fechamento])</f>
        <v>0</v>
      </c>
      <c r="BA221" s="7">
        <f>SUMPRODUCT(N(Tabela1768[Código]=Tabela3[[#This Row],[PAPEL]]),Tabela1768[Fechamento])</f>
        <v>4.5599999999999996</v>
      </c>
      <c r="BB221" s="7">
        <f>SUMPRODUCT(N(Tabela17683[Código]=Tabela3[[#This Row],[PAPEL]]),Tabela17683[Fechamento])</f>
        <v>0</v>
      </c>
    </row>
    <row r="222" spans="1:54" hidden="1" x14ac:dyDescent="0.2">
      <c r="A222" s="3" t="s">
        <v>1505</v>
      </c>
      <c r="B222" s="57" t="s">
        <v>1507</v>
      </c>
      <c r="C222" s="16" t="str">
        <f>LEFT(Tabela3[PAPEL],LEN(Tabela3[PAPEL])-(LEN(Tabela3[PAPEL])-4))</f>
        <v>LUXM</v>
      </c>
      <c r="D222" s="16">
        <v>3</v>
      </c>
      <c r="E222" s="5">
        <v>20000000</v>
      </c>
      <c r="F222" s="56">
        <v>766000</v>
      </c>
      <c r="G222" s="81">
        <v>0.25</v>
      </c>
      <c r="H222" s="87"/>
      <c r="J222" s="18"/>
      <c r="K222" s="16"/>
      <c r="L222" s="87"/>
      <c r="M222" s="54"/>
      <c r="N222" s="54"/>
      <c r="O222" s="54"/>
      <c r="P222" s="91">
        <v>87897000</v>
      </c>
      <c r="Q222" s="73">
        <v>5492000</v>
      </c>
      <c r="R222" s="73">
        <f>IF(Tabela3[[#This Row],[Ativo || Passivo]]&gt;0,Tabela3[[#This Row],[Ativo || Passivo]]-Tabela3[[#This Row],[Patrimônio Líquido]],0)</f>
        <v>0</v>
      </c>
      <c r="S222" s="73">
        <f>Tabela3[[#This Row],[Cotação]]*Tabela3[[#This Row],[Total Ações]]</f>
        <v>83568000</v>
      </c>
      <c r="T222" s="37">
        <f>IF(Tabela3[[#This Row],[Passivo Circulante]]&gt;0,Tabela3[[#This Row],[Ativo Circulante]]/Tabela3[[#This Row],[Passivo Circulante]],0)</f>
        <v>0</v>
      </c>
      <c r="U222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22" s="18">
        <f>IF(Tabela3[[#This Row],[Lucro Líquido]]&gt;0,Tabela3[[#This Row],[Lucro Líquido]]/Tabela3[[#This Row],[Patrimônio Líquido]],0)</f>
        <v>6.2482223511610181E-2</v>
      </c>
      <c r="W222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22" s="18">
        <f>IF(Tabela3[[#This Row],[Dívida]]&gt;0,Tabela3[[#This Row],[Dívida]]/Tabela3[[#This Row],[Patrimônio Líquido]],0)</f>
        <v>0</v>
      </c>
      <c r="Y222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22" s="7">
        <f>Tabela3[[#This Row],[Capital Social]]*20%</f>
        <v>4000000</v>
      </c>
      <c r="AA222" s="47">
        <f>IF((Tabela3[Lucro Líquido]*5%)&gt;Tabela3[Teto R. Legal],Tabela3[Teto R. Legal],Tabela3[Lucro Líquido]*5%)</f>
        <v>274600</v>
      </c>
      <c r="AB222" s="47">
        <f>IF(Tabela3[Lucro Líquido]&lt;0,0,Tabela3[Lucro Líquido]-Tabela3[Reserva Legal])</f>
        <v>5217400</v>
      </c>
      <c r="AC222" s="47">
        <f>Tabela3[[#This Row],[Lucro Distribuir]]*Tabela3[%Div]</f>
        <v>1304350</v>
      </c>
      <c r="AD222" s="56">
        <f>SUMPRODUCT(N(Tabela3[Nome]=Tabela3[[#This Row],[Nome]]),Tabela3[Ações])</f>
        <v>1741000</v>
      </c>
      <c r="AE222" s="85">
        <f>Tabela3[Capital Social]/Tabela3[Total Ações]</f>
        <v>11.487650775416427</v>
      </c>
      <c r="AF222" s="85">
        <f>Tabela3[[#This Row],[Lucro Líquido]]/Tabela3[[#This Row],[Total Ações]]</f>
        <v>3.1545089029293512</v>
      </c>
      <c r="AG222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0.72588553221062035</v>
      </c>
      <c r="AH222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22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22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0.72588553221062035</v>
      </c>
      <c r="AK222" s="7">
        <f>Tabela3[Div Base]*Tabela3[Ações]</f>
        <v>556028.3176733352</v>
      </c>
      <c r="AL222" s="121">
        <f>SUMPRODUCT(N(Tabela3[Nome]=Tabela3[[#This Row],[Nome]]),Tabela3[Div Base]*Tabela3[Ações])</f>
        <v>1334540.5520357057</v>
      </c>
      <c r="AM222" s="5">
        <f>Tabela3[Patrimônio Líquido]/Tabela3[Total Ações]</f>
        <v>50.486502010338889</v>
      </c>
      <c r="AN222" s="52">
        <f>MAX(Tabela3[[#This Row],[Cotação 1]:[Cotação 5]])</f>
        <v>48</v>
      </c>
      <c r="AO222" s="53">
        <f>Tabela3[Cotação]/Tabela3[VPA]</f>
        <v>0.95074917232670053</v>
      </c>
      <c r="AP222" s="37">
        <f>IF(Tabela3[[#This Row],[Lucro/Ação]]&gt;0,Tabela3[[#This Row],[Cotação]]/(Tabela3[[#This Row],[Lucro/Ação]]/Tabela3[Ref]*4),0)</f>
        <v>11.412235979606699</v>
      </c>
      <c r="AQ222" s="85">
        <f>Tabela3[Lucro Distribuir]/Tabela3[Total Ações]</f>
        <v>2.9967834577828834</v>
      </c>
      <c r="AR222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0.72588553221062035</v>
      </c>
      <c r="AS222" s="10" t="str">
        <f>IF(AND(Tabela3[% A.A.]&gt;=6%,SUMPRODUCT(N(Tabela3[Nome]=Tabela3[[#This Row],[Nome]]),Tabela3[PL])&gt;0,Tabela3[Rentabilidade s/ PL]&gt;=Tabela3[Rentabilidade s/ PL Média]),"Sim","Não")</f>
        <v>Não</v>
      </c>
      <c r="AT222" s="22">
        <f>IF(Tabela3[Cotação]&gt;0,Tabela3[[#This Row],[Lucro]]/Tabela3[[#This Row],[Cotação]],0)</f>
        <v>1.5122615254387925E-2</v>
      </c>
      <c r="AU222" s="22">
        <f>((1+Tabela3[[#This Row],[% Yield]])^(1/(3*Tabela3[[#This Row],[Ref]])))^(12)-1</f>
        <v>2.0214138062082165E-2</v>
      </c>
      <c r="AV222" s="10">
        <f>IF(Tabela3[Cotação]&gt;0,($BD$1/Tabela3[[#This Row],[Cotação]]-MOD($BD$1/Tabela3[[#This Row],[Cotação]],100)),)</f>
        <v>0</v>
      </c>
      <c r="AW222" s="7">
        <f>Tabela3[[#This Row],[Ativos]]*Tabela3[Lucro]</f>
        <v>0</v>
      </c>
      <c r="AX222" s="7">
        <f>SUMPRODUCT(N(Tabela1[Código]=Tabela3[[#This Row],[PAPEL]]),Tabela1[Fechamento])</f>
        <v>0</v>
      </c>
      <c r="AY222" s="7">
        <f>SUMPRODUCT(N(Tabela17[Código]=Tabela3[[#This Row],[PAPEL]]),Tabela17[Fechamento])</f>
        <v>0</v>
      </c>
      <c r="AZ222" s="7">
        <f>SUMPRODUCT(N(Tabela176[Código]=Tabela3[[#This Row],[PAPEL]]),Tabela176[Fechamento])</f>
        <v>0</v>
      </c>
      <c r="BA222" s="7">
        <f>SUMPRODUCT(N(Tabela1768[Código]=Tabela3[[#This Row],[PAPEL]]),Tabela1768[Fechamento])</f>
        <v>0</v>
      </c>
      <c r="BB222" s="7">
        <f>SUMPRODUCT(N(Tabela17683[Código]=Tabela3[[#This Row],[PAPEL]]),Tabela17683[Fechamento])</f>
        <v>48</v>
      </c>
    </row>
    <row r="223" spans="1:54" hidden="1" x14ac:dyDescent="0.2">
      <c r="A223" s="3" t="s">
        <v>1505</v>
      </c>
      <c r="B223" s="57" t="s">
        <v>1508</v>
      </c>
      <c r="C223" s="16" t="str">
        <f>LEFT(Tabela3[PAPEL],LEN(Tabela3[PAPEL])-(LEN(Tabela3[PAPEL])-4))</f>
        <v>LUXM</v>
      </c>
      <c r="D223" s="16">
        <v>3</v>
      </c>
      <c r="E223" s="5">
        <v>20000000</v>
      </c>
      <c r="F223" s="56">
        <v>975000</v>
      </c>
      <c r="G223" s="81">
        <v>0.25</v>
      </c>
      <c r="H223" s="87"/>
      <c r="J223" s="18">
        <v>0.1</v>
      </c>
      <c r="K223" s="16"/>
      <c r="L223" s="87"/>
      <c r="M223" s="54"/>
      <c r="N223" s="54"/>
      <c r="O223" s="54"/>
      <c r="P223" s="91">
        <v>87897000</v>
      </c>
      <c r="Q223" s="73">
        <v>5492000</v>
      </c>
      <c r="R223" s="73">
        <f>IF(Tabela3[[#This Row],[Ativo || Passivo]]&gt;0,Tabela3[[#This Row],[Ativo || Passivo]]-Tabela3[[#This Row],[Patrimônio Líquido]],0)</f>
        <v>0</v>
      </c>
      <c r="S223" s="73">
        <f>Tabela3[[#This Row],[Cotação]]*Tabela3[[#This Row],[Total Ações]]</f>
        <v>54319200</v>
      </c>
      <c r="T223" s="37">
        <f>IF(Tabela3[[#This Row],[Passivo Circulante]]&gt;0,Tabela3[[#This Row],[Ativo Circulante]]/Tabela3[[#This Row],[Passivo Circulante]],0)</f>
        <v>0</v>
      </c>
      <c r="U223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23" s="18">
        <f>IF(Tabela3[[#This Row],[Lucro Líquido]]&gt;0,Tabela3[[#This Row],[Lucro Líquido]]/Tabela3[[#This Row],[Patrimônio Líquido]],0)</f>
        <v>6.2482223511610181E-2</v>
      </c>
      <c r="W223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23" s="18">
        <f>IF(Tabela3[[#This Row],[Dívida]]&gt;0,Tabela3[[#This Row],[Dívida]]/Tabela3[[#This Row],[Patrimônio Líquido]],0)</f>
        <v>0</v>
      </c>
      <c r="Y223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23" s="7">
        <f>Tabela3[[#This Row],[Capital Social]]*20%</f>
        <v>4000000</v>
      </c>
      <c r="AA223" s="47">
        <f>IF((Tabela3[Lucro Líquido]*5%)&gt;Tabela3[Teto R. Legal],Tabela3[Teto R. Legal],Tabela3[Lucro Líquido]*5%)</f>
        <v>274600</v>
      </c>
      <c r="AB223" s="47">
        <f>IF(Tabela3[Lucro Líquido]&lt;0,0,Tabela3[Lucro Líquido]-Tabela3[Reserva Legal])</f>
        <v>5217400</v>
      </c>
      <c r="AC223" s="47">
        <f>Tabela3[[#This Row],[Lucro Distribuir]]*Tabela3[%Div]</f>
        <v>1304350</v>
      </c>
      <c r="AD223" s="56">
        <f>SUMPRODUCT(N(Tabela3[Nome]=Tabela3[[#This Row],[Nome]]),Tabela3[Ações])</f>
        <v>1741000</v>
      </c>
      <c r="AE223" s="85">
        <f>Tabela3[Capital Social]/Tabela3[Total Ações]</f>
        <v>11.487650775416427</v>
      </c>
      <c r="AF223" s="85">
        <f>Tabela3[[#This Row],[Lucro Líquido]]/Tabela3[[#This Row],[Total Ações]]</f>
        <v>3.1545089029293512</v>
      </c>
      <c r="AG223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0.79847408652550833</v>
      </c>
      <c r="AH223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23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23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0.79847408652550833</v>
      </c>
      <c r="AK223" s="7">
        <f>Tabela3[Div Base]*Tabela3[Ações]</f>
        <v>778512.23436237057</v>
      </c>
      <c r="AL223" s="121">
        <f>SUMPRODUCT(N(Tabela3[Nome]=Tabela3[[#This Row],[Nome]]),Tabela3[Div Base]*Tabela3[Ações])</f>
        <v>1334540.5520357057</v>
      </c>
      <c r="AM223" s="5">
        <f>Tabela3[Patrimônio Líquido]/Tabela3[Total Ações]</f>
        <v>50.486502010338889</v>
      </c>
      <c r="AN223" s="52">
        <f>MAX(Tabela3[[#This Row],[Cotação 1]:[Cotação 5]])</f>
        <v>31.2</v>
      </c>
      <c r="AO223" s="53">
        <f>Tabela3[Cotação]/Tabela3[VPA]</f>
        <v>0.61798696201235537</v>
      </c>
      <c r="AP223" s="37">
        <f>IF(Tabela3[[#This Row],[Lucro/Ação]]&gt;0,Tabela3[[#This Row],[Cotação]]/(Tabela3[[#This Row],[Lucro/Ação]]/Tabela3[Ref]*4),0)</f>
        <v>7.4179533867443546</v>
      </c>
      <c r="AQ223" s="85">
        <f>Tabela3[Lucro Distribuir]/Tabela3[Total Ações]</f>
        <v>2.9967834577828834</v>
      </c>
      <c r="AR223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0.79847408652550833</v>
      </c>
      <c r="AS223" s="10" t="str">
        <f>IF(AND(Tabela3[% A.A.]&gt;=6%,SUMPRODUCT(N(Tabela3[Nome]=Tabela3[[#This Row],[Nome]]),Tabela3[PL])&gt;0,Tabela3[Rentabilidade s/ PL]&gt;=Tabela3[Rentabilidade s/ PL Média]),"Sim","Não")</f>
        <v>Não</v>
      </c>
      <c r="AT223" s="22">
        <f>IF(Tabela3[Cotação]&gt;0,Tabela3[[#This Row],[Lucro]]/Tabela3[[#This Row],[Cotação]],0)</f>
        <v>2.5592118157868857E-2</v>
      </c>
      <c r="AU223" s="22">
        <f>((1+Tabela3[[#This Row],[% Yield]])^(1/(3*Tabela3[[#This Row],[Ref]])))^(12)-1</f>
        <v>3.4267551070405577E-2</v>
      </c>
      <c r="AV223" s="10">
        <f>IF(Tabela3[Cotação]&gt;0,($BD$1/Tabela3[[#This Row],[Cotação]]-MOD($BD$1/Tabela3[[#This Row],[Cotação]],100)),)</f>
        <v>0</v>
      </c>
      <c r="AW223" s="7">
        <f>Tabela3[[#This Row],[Ativos]]*Tabela3[Lucro]</f>
        <v>0</v>
      </c>
      <c r="AX223" s="7">
        <f>SUMPRODUCT(N(Tabela1[Código]=Tabela3[[#This Row],[PAPEL]]),Tabela1[Fechamento])</f>
        <v>0</v>
      </c>
      <c r="AY223" s="7">
        <f>SUMPRODUCT(N(Tabela17[Código]=Tabela3[[#This Row],[PAPEL]]),Tabela17[Fechamento])</f>
        <v>0</v>
      </c>
      <c r="AZ223" s="7">
        <f>SUMPRODUCT(N(Tabela176[Código]=Tabela3[[#This Row],[PAPEL]]),Tabela176[Fechamento])</f>
        <v>0</v>
      </c>
      <c r="BA223" s="7">
        <f>SUMPRODUCT(N(Tabela1768[Código]=Tabela3[[#This Row],[PAPEL]]),Tabela1768[Fechamento])</f>
        <v>0</v>
      </c>
      <c r="BB223" s="7">
        <f>SUMPRODUCT(N(Tabela17683[Código]=Tabela3[[#This Row],[PAPEL]]),Tabela17683[Fechamento])</f>
        <v>31.2</v>
      </c>
    </row>
    <row r="224" spans="1:54" hidden="1" x14ac:dyDescent="0.2">
      <c r="A224" s="4" t="s">
        <v>757</v>
      </c>
      <c r="B224" s="57" t="s">
        <v>756</v>
      </c>
      <c r="C224" s="15" t="str">
        <f>LEFT(Tabela3[PAPEL],LEN(Tabela3[PAPEL])-(LEN(Tabela3[PAPEL])-4))</f>
        <v>TEMP</v>
      </c>
      <c r="D224" s="15">
        <v>3</v>
      </c>
      <c r="E224" s="6">
        <v>281257003.55000001</v>
      </c>
      <c r="F224" s="8">
        <v>157363935</v>
      </c>
      <c r="G224" s="86">
        <v>0.25</v>
      </c>
      <c r="H224" s="15"/>
      <c r="I224" s="19"/>
      <c r="J224" s="19"/>
      <c r="K224" s="88"/>
      <c r="L224" s="88"/>
      <c r="M224" s="55"/>
      <c r="N224" s="55"/>
      <c r="O224" s="55"/>
      <c r="P224" s="92">
        <v>288046000</v>
      </c>
      <c r="Q224" s="93">
        <v>17945000</v>
      </c>
      <c r="R224" s="93">
        <f>IF(Tabela3[[#This Row],[Ativo || Passivo]]&gt;0,Tabela3[[#This Row],[Ativo || Passivo]]-Tabela3[[#This Row],[Patrimônio Líquido]],0)</f>
        <v>0</v>
      </c>
      <c r="S224" s="93">
        <f>Tabela3[[#This Row],[Cotação]]*Tabela3[[#This Row],[Total Ações]]</f>
        <v>566510166</v>
      </c>
      <c r="T224" s="40">
        <f>IF(Tabela3[[#This Row],[Passivo Circulante]]&gt;0,Tabela3[[#This Row],[Ativo Circulante]]/Tabela3[[#This Row],[Passivo Circulante]],0)</f>
        <v>0</v>
      </c>
      <c r="U224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24" s="19">
        <f>IF(Tabela3[[#This Row],[Lucro Líquido]]&gt;0,Tabela3[[#This Row],[Lucro Líquido]]/Tabela3[[#This Row],[Patrimônio Líquido]],0)</f>
        <v>6.229907723072009E-2</v>
      </c>
      <c r="W224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24" s="19">
        <f>IF(Tabela3[[#This Row],[Dívida]]&gt;0,Tabela3[[#This Row],[Dívida]]/Tabela3[[#This Row],[Patrimônio Líquido]],0)</f>
        <v>0</v>
      </c>
      <c r="Y224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24" s="13">
        <f>Tabela3[[#This Row],[Capital Social]]*20%</f>
        <v>56251400.710000008</v>
      </c>
      <c r="AA224" s="13">
        <f>IF((Tabela3[Lucro Líquido]*5%)&gt;Tabela3[Teto R. Legal],Tabela3[Teto R. Legal],Tabela3[Lucro Líquido]*5%)</f>
        <v>897250</v>
      </c>
      <c r="AB224" s="13">
        <f>IF(Tabela3[Lucro Líquido]&lt;0,0,Tabela3[Lucro Líquido]-Tabela3[Reserva Legal])</f>
        <v>17047750</v>
      </c>
      <c r="AC224" s="13">
        <f>Tabela3[[#This Row],[Lucro Distribuir]]*Tabela3[%Div]</f>
        <v>4261937.5</v>
      </c>
      <c r="AD224" s="56">
        <f>SUMPRODUCT(N(Tabela3[Nome]=Tabela3[[#This Row],[Nome]]),Tabela3[Ações])</f>
        <v>157363935</v>
      </c>
      <c r="AE224" s="6">
        <f>Tabela3[Capital Social]/Tabela3[Total Ações]</f>
        <v>1.7873028121087593</v>
      </c>
      <c r="AF224" s="78">
        <f>Tabela3[[#This Row],[Lucro Líquido]]/Tabela3[[#This Row],[Total Ações]]</f>
        <v>0.11403502333619199</v>
      </c>
      <c r="AG224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2.7083318042345598E-2</v>
      </c>
      <c r="AH224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24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24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2.7083318042345598E-2</v>
      </c>
      <c r="AK224" s="13">
        <f>Tabela3[Div Base]*Tabela3[Ações]</f>
        <v>4261937.5</v>
      </c>
      <c r="AL224" s="13">
        <f>SUMPRODUCT(N(Tabela3[Nome]=Tabela3[[#This Row],[Nome]]),Tabela3[Div Base]*Tabela3[Ações])</f>
        <v>4261937.5</v>
      </c>
      <c r="AM224" s="6">
        <f>Tabela3[Patrimônio Líquido]/Tabela3[Total Ações]</f>
        <v>1.8304448220616751</v>
      </c>
      <c r="AN224" s="48">
        <f>MAX(Tabela3[[#This Row],[Cotação 1]:[Cotação 5]])</f>
        <v>3.6</v>
      </c>
      <c r="AO224" s="44">
        <f>Tabela3[Cotação]/Tabela3[VPA]</f>
        <v>1.9667350562063004</v>
      </c>
      <c r="AP224" s="40">
        <f>IF(Tabela3[[#This Row],[Lucro/Ação]]&gt;0,Tabela3[[#This Row],[Cotação]]/(Tabela3[[#This Row],[Lucro/Ação]]/Tabela3[Ref]*4),0)</f>
        <v>23.676936444692114</v>
      </c>
      <c r="AQ224" s="78">
        <f>Tabela3[Lucro Distribuir]/Tabela3[Total Ações]</f>
        <v>0.10833327216938239</v>
      </c>
      <c r="AR224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2.7083318042345598E-2</v>
      </c>
      <c r="AS224" s="14" t="str">
        <f>IF(AND(Tabela3[% A.A.]&gt;=6%,SUMPRODUCT(N(Tabela3[Nome]=Tabela3[[#This Row],[Nome]]),Tabela3[PL])&gt;0,Tabela3[Rentabilidade s/ PL]&gt;=Tabela3[Rentabilidade s/ PL Média]),"Sim","Não")</f>
        <v>Não</v>
      </c>
      <c r="AT224" s="42">
        <f>IF(Tabela3[Cotação]&gt;0,Tabela3[[#This Row],[Lucro]]/Tabela3[[#This Row],[Cotação]],0)</f>
        <v>7.5231439006515546E-3</v>
      </c>
      <c r="AU224" s="42">
        <f>((1+Tabela3[[#This Row],[% Yield]])^(1/(3*Tabela3[[#This Row],[Ref]])))^(12)-1</f>
        <v>1.0043414838422748E-2</v>
      </c>
      <c r="AV224" s="14">
        <f>IF(Tabela3[Cotação]&gt;0,($BD$1/Tabela3[[#This Row],[Cotação]]-MOD($BD$1/Tabela3[[#This Row],[Cotação]],100)),)</f>
        <v>0</v>
      </c>
      <c r="AW224" s="17">
        <f>Tabela3[[#This Row],[Ativos]]*Tabela3[Lucro]</f>
        <v>0</v>
      </c>
      <c r="AX224" s="17">
        <f>SUMPRODUCT(N(Tabela1[Código]=Tabela3[[#This Row],[PAPEL]]),Tabela1[Fechamento])</f>
        <v>0</v>
      </c>
      <c r="AY224" s="17">
        <f>SUMPRODUCT(N(Tabela17[Código]=Tabela3[[#This Row],[PAPEL]]),Tabela17[Fechamento])</f>
        <v>0</v>
      </c>
      <c r="AZ224" s="17">
        <f>SUMPRODUCT(N(Tabela176[Código]=Tabela3[[#This Row],[PAPEL]]),Tabela176[Fechamento])</f>
        <v>3.6</v>
      </c>
      <c r="BA224" s="17">
        <f>SUMPRODUCT(N(Tabela1768[Código]=Tabela3[[#This Row],[PAPEL]]),Tabela1768[Fechamento])</f>
        <v>0</v>
      </c>
      <c r="BB224" s="7">
        <f>SUMPRODUCT(N(Tabela17683[Código]=Tabela3[[#This Row],[PAPEL]]),Tabela17683[Fechamento])</f>
        <v>0</v>
      </c>
    </row>
    <row r="225" spans="1:54" hidden="1" x14ac:dyDescent="0.2">
      <c r="A225" s="3" t="s">
        <v>1330</v>
      </c>
      <c r="B225" s="57" t="s">
        <v>1363</v>
      </c>
      <c r="C225" s="16" t="str">
        <f>LEFT(Tabela3[PAPEL],LEN(Tabela3[PAPEL])-(LEN(Tabela3[PAPEL])-4))</f>
        <v>RDNI</v>
      </c>
      <c r="D225" s="16">
        <v>3</v>
      </c>
      <c r="E225" s="5">
        <v>512438000</v>
      </c>
      <c r="F225" s="56">
        <v>48575200</v>
      </c>
      <c r="G225" s="81">
        <v>0.25</v>
      </c>
      <c r="H225" s="87"/>
      <c r="J225" s="18"/>
      <c r="K225" s="16"/>
      <c r="L225" s="87"/>
      <c r="M225" s="54"/>
      <c r="N225" s="54"/>
      <c r="O225" s="54"/>
      <c r="P225" s="91">
        <v>815073000</v>
      </c>
      <c r="Q225" s="73">
        <v>50641000</v>
      </c>
      <c r="R225" s="73">
        <f>IF(Tabela3[[#This Row],[Ativo || Passivo]]&gt;0,Tabela3[[#This Row],[Ativo || Passivo]]-Tabela3[[#This Row],[Patrimônio Líquido]],0)</f>
        <v>0</v>
      </c>
      <c r="S225" s="73">
        <f>Tabela3[[#This Row],[Cotação]]*Tabela3[[#This Row],[Total Ações]]</f>
        <v>512954112</v>
      </c>
      <c r="T225" s="37">
        <f>IF(Tabela3[[#This Row],[Passivo Circulante]]&gt;0,Tabela3[[#This Row],[Ativo Circulante]]/Tabela3[[#This Row],[Passivo Circulante]],0)</f>
        <v>0</v>
      </c>
      <c r="U225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25" s="18">
        <f>IF(Tabela3[[#This Row],[Lucro Líquido]]&gt;0,Tabela3[[#This Row],[Lucro Líquido]]/Tabela3[[#This Row],[Patrimônio Líquido]],0)</f>
        <v>6.2130631244072615E-2</v>
      </c>
      <c r="W225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25" s="18">
        <f>IF(Tabela3[[#This Row],[Dívida]]&gt;0,Tabela3[[#This Row],[Dívida]]/Tabela3[[#This Row],[Patrimônio Líquido]],0)</f>
        <v>0</v>
      </c>
      <c r="Y225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25" s="7">
        <f>Tabela3[[#This Row],[Capital Social]]*20%</f>
        <v>102487600</v>
      </c>
      <c r="AA225" s="47">
        <f>IF((Tabela3[Lucro Líquido]*5%)&gt;Tabela3[Teto R. Legal],Tabela3[Teto R. Legal],Tabela3[Lucro Líquido]*5%)</f>
        <v>2532050</v>
      </c>
      <c r="AB225" s="47">
        <f>IF(Tabela3[Lucro Líquido]&lt;0,0,Tabela3[Lucro Líquido]-Tabela3[Reserva Legal])</f>
        <v>48108950</v>
      </c>
      <c r="AC225" s="47">
        <f>Tabela3[[#This Row],[Lucro Distribuir]]*Tabela3[%Div]</f>
        <v>12027237.5</v>
      </c>
      <c r="AD225" s="56">
        <f>SUMPRODUCT(N(Tabela3[Nome]=Tabela3[[#This Row],[Nome]]),Tabela3[Ações])</f>
        <v>48575200</v>
      </c>
      <c r="AE225" s="85">
        <f>Tabela3[Capital Social]/Tabela3[Total Ações]</f>
        <v>10.549374989706681</v>
      </c>
      <c r="AF225" s="85">
        <f>Tabela3[[#This Row],[Lucro Líquido]]/Tabela3[[#This Row],[Total Ações]]</f>
        <v>1.0425278743062303</v>
      </c>
      <c r="AG225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0.2476003701477297</v>
      </c>
      <c r="AH225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25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25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0.2476003701477297</v>
      </c>
      <c r="AK225" s="7">
        <f>Tabela3[Div Base]*Tabela3[Ações]</f>
        <v>12027237.5</v>
      </c>
      <c r="AL225" s="121">
        <f>SUMPRODUCT(N(Tabela3[Nome]=Tabela3[[#This Row],[Nome]]),Tabela3[Div Base]*Tabela3[Ações])</f>
        <v>12027237.5</v>
      </c>
      <c r="AM225" s="5">
        <f>Tabela3[Patrimônio Líquido]/Tabela3[Total Ações]</f>
        <v>16.779611818376456</v>
      </c>
      <c r="AN225" s="52">
        <f>MAX(Tabela3[[#This Row],[Cotação 1]:[Cotação 5]])</f>
        <v>10.56</v>
      </c>
      <c r="AO225" s="53">
        <f>Tabela3[Cotação]/Tabela3[VPA]</f>
        <v>0.62933517856682775</v>
      </c>
      <c r="AP225" s="37">
        <f>IF(Tabela3[[#This Row],[Lucro/Ação]]&gt;0,Tabela3[[#This Row],[Cotação]]/(Tabela3[[#This Row],[Lucro/Ação]]/Tabela3[Ref]*4),0)</f>
        <v>7.5969191761616086</v>
      </c>
      <c r="AQ225" s="85">
        <f>Tabela3[Lucro Distribuir]/Tabela3[Total Ações]</f>
        <v>0.99040148059091881</v>
      </c>
      <c r="AR225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0.2476003701477297</v>
      </c>
      <c r="AS225" s="10" t="str">
        <f>IF(AND(Tabela3[% A.A.]&gt;=6%,SUMPRODUCT(N(Tabela3[Nome]=Tabela3[[#This Row],[Nome]]),Tabela3[PL])&gt;0,Tabela3[Rentabilidade s/ PL]&gt;=Tabela3[Rentabilidade s/ PL Média]),"Sim","Não")</f>
        <v>Não</v>
      </c>
      <c r="AT225" s="22">
        <f>IF(Tabela3[Cotação]&gt;0,Tabela3[[#This Row],[Lucro]]/Tabela3[[#This Row],[Cotação]],0)</f>
        <v>2.3447004748838041E-2</v>
      </c>
      <c r="AU225" s="22">
        <f>((1+Tabela3[[#This Row],[% Yield]])^(1/(3*Tabela3[[#This Row],[Ref]])))^(12)-1</f>
        <v>3.1384211924362138E-2</v>
      </c>
      <c r="AV225" s="10">
        <f>IF(Tabela3[Cotação]&gt;0,($BD$1/Tabela3[[#This Row],[Cotação]]-MOD($BD$1/Tabela3[[#This Row],[Cotação]],100)),)</f>
        <v>0</v>
      </c>
      <c r="AW225" s="7">
        <f>Tabela3[[#This Row],[Ativos]]*Tabela3[Lucro]</f>
        <v>0</v>
      </c>
      <c r="AX225" s="7">
        <f>SUMPRODUCT(N(Tabela1[Código]=Tabela3[[#This Row],[PAPEL]]),Tabela1[Fechamento])</f>
        <v>0</v>
      </c>
      <c r="AY225" s="7">
        <f>SUMPRODUCT(N(Tabela17[Código]=Tabela3[[#This Row],[PAPEL]]),Tabela17[Fechamento])</f>
        <v>0</v>
      </c>
      <c r="AZ225" s="7">
        <f>SUMPRODUCT(N(Tabela176[Código]=Tabela3[[#This Row],[PAPEL]]),Tabela176[Fechamento])</f>
        <v>0</v>
      </c>
      <c r="BA225" s="7">
        <f>SUMPRODUCT(N(Tabela1768[Código]=Tabela3[[#This Row],[PAPEL]]),Tabela1768[Fechamento])</f>
        <v>10.56</v>
      </c>
      <c r="BB225" s="7">
        <f>SUMPRODUCT(N(Tabela17683[Código]=Tabela3[[#This Row],[PAPEL]]),Tabela17683[Fechamento])</f>
        <v>0</v>
      </c>
    </row>
    <row r="226" spans="1:54" hidden="1" x14ac:dyDescent="0.2">
      <c r="A226" s="3" t="s">
        <v>346</v>
      </c>
      <c r="B226" s="58" t="s">
        <v>357</v>
      </c>
      <c r="C226" s="83" t="str">
        <f>LEFT(Tabela3[PAPEL],LEN(Tabela3[PAPEL])-(LEN(Tabela3[PAPEL])-4))</f>
        <v>MULT</v>
      </c>
      <c r="D226" s="16">
        <v>3</v>
      </c>
      <c r="E226" s="6">
        <v>2388062147.3800001</v>
      </c>
      <c r="F226" s="21">
        <v>178138867</v>
      </c>
      <c r="G226" s="81">
        <v>0.25</v>
      </c>
      <c r="H226" s="16"/>
      <c r="J226" s="18"/>
      <c r="K226" s="87"/>
      <c r="L226" s="87"/>
      <c r="M226" s="54"/>
      <c r="N226" s="54"/>
      <c r="O226" s="54"/>
      <c r="P226" s="5">
        <v>3824504000</v>
      </c>
      <c r="Q226" s="5">
        <v>227417000</v>
      </c>
      <c r="R226" s="5">
        <f>IF(Tabela3[[#This Row],[Ativo || Passivo]]&gt;0,Tabela3[[#This Row],[Ativo || Passivo]]-Tabela3[[#This Row],[Patrimônio Líquido]],0)</f>
        <v>0</v>
      </c>
      <c r="S226" s="5">
        <f>Tabela3[[#This Row],[Cotação]]*Tabela3[[#This Row],[Total Ações]]</f>
        <v>8300978279.6599998</v>
      </c>
      <c r="T226" s="132">
        <f>IF(Tabela3[[#This Row],[Passivo Circulante]]&gt;0,Tabela3[[#This Row],[Ativo Circulante]]/Tabela3[[#This Row],[Passivo Circulante]],0)</f>
        <v>0</v>
      </c>
      <c r="U226" s="132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26" s="18">
        <f>IF(Tabela3[[#This Row],[Lucro Líquido]]&gt;0,Tabela3[[#This Row],[Lucro Líquido]]/Tabela3[[#This Row],[Patrimônio Líquido]],0)</f>
        <v>5.9463135611833584E-2</v>
      </c>
      <c r="W226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26" s="18">
        <f>IF(Tabela3[[#This Row],[Dívida]]&gt;0,Tabela3[[#This Row],[Dívida]]/Tabela3[[#This Row],[Patrimônio Líquido]],0)</f>
        <v>0</v>
      </c>
      <c r="Y226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26" s="5">
        <f>Tabela3[[#This Row],[Capital Social]]*20%</f>
        <v>477612429.47600007</v>
      </c>
      <c r="AA226" s="5">
        <f>IF((Tabela3[Lucro Líquido]*5%)&gt;Tabela3[Teto R. Legal],Tabela3[Teto R. Legal],Tabela3[Lucro Líquido]*5%)</f>
        <v>11370850</v>
      </c>
      <c r="AB226" s="5">
        <f>IF(Tabela3[Lucro Líquido]&lt;0,0,Tabela3[Lucro Líquido]-Tabela3[Reserva Legal])</f>
        <v>216046150</v>
      </c>
      <c r="AC226" s="5">
        <f>Tabela3[[#This Row],[Lucro Distribuir]]*Tabela3[%Div]</f>
        <v>54011537.5</v>
      </c>
      <c r="AD226" s="56">
        <f>SUMPRODUCT(N(Tabela3[Nome]=Tabela3[[#This Row],[Nome]]),Tabela3[Ações])</f>
        <v>189997214</v>
      </c>
      <c r="AE226" s="5">
        <f>Tabela3[Capital Social]/Tabela3[Total Ações]</f>
        <v>12.568932444346263</v>
      </c>
      <c r="AF226" s="77">
        <f>Tabela3[[#This Row],[Lucro Líquido]]/Tabela3[[#This Row],[Total Ações]]</f>
        <v>1.1969491300014536</v>
      </c>
      <c r="AG226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0.28427541837534526</v>
      </c>
      <c r="AH226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26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26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0.28427541837534526</v>
      </c>
      <c r="AK226" s="5">
        <f>Tabela3[Div Base]*Tabela3[Ações]</f>
        <v>50640500.945334986</v>
      </c>
      <c r="AL226" s="5">
        <f>SUMPRODUCT(N(Tabela3[Nome]=Tabela3[[#This Row],[Nome]]),Tabela3[Div Base]*Tabela3[Ações])</f>
        <v>54011537.500000007</v>
      </c>
      <c r="AM226" s="5">
        <f>Tabela3[Patrimônio Líquido]/Tabela3[Total Ações]</f>
        <v>20.129263579622805</v>
      </c>
      <c r="AN226" s="52">
        <f>MAX(Tabela3[[#This Row],[Cotação 1]:[Cotação 5]])</f>
        <v>43.69</v>
      </c>
      <c r="AO226" s="53">
        <f>Tabela3[Cotação]/Tabela3[VPA]</f>
        <v>2.1704718519473372</v>
      </c>
      <c r="AP226" s="37">
        <f>IF(Tabela3[[#This Row],[Lucro/Ação]]&gt;0,Tabela3[[#This Row],[Cotação]]/(Tabela3[[#This Row],[Lucro/Ação]]/Tabela3[Ref]*4),0)</f>
        <v>27.375850133213433</v>
      </c>
      <c r="AQ226" s="77">
        <f>Tabela3[Lucro Distribuir]/Tabela3[Total Ações]</f>
        <v>1.137101673501381</v>
      </c>
      <c r="AR226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0.28427541837534526</v>
      </c>
      <c r="AS226" s="16" t="str">
        <f>IF(AND(Tabela3[% A.A.]&gt;=6%,SUMPRODUCT(N(Tabela3[Nome]=Tabela3[[#This Row],[Nome]]),Tabela3[PL])&gt;0,Tabela3[Rentabilidade s/ PL]&gt;=Tabela3[Rentabilidade s/ PL Média]),"Sim","Não")</f>
        <v>Não</v>
      </c>
      <c r="AT226" s="22">
        <f>IF(Tabela3[Cotação]&gt;0,Tabela3[[#This Row],[Lucro]]/Tabela3[[#This Row],[Cotação]],0)</f>
        <v>6.5066472505228949E-3</v>
      </c>
      <c r="AU226" s="18">
        <f>((1+Tabela3[[#This Row],[% Yield]])^(1/(3*Tabela3[[#This Row],[Ref]])))^(12)-1</f>
        <v>8.6849242026163509E-3</v>
      </c>
      <c r="AV226" s="10">
        <f>IF(Tabela3[Cotação]&gt;0,($BD$1/Tabela3[[#This Row],[Cotação]]-MOD($BD$1/Tabela3[[#This Row],[Cotação]],100)),)</f>
        <v>0</v>
      </c>
      <c r="AW226" s="7">
        <f>Tabela3[[#This Row],[Ativos]]*Tabela3[Lucro]</f>
        <v>0</v>
      </c>
      <c r="AX226" s="47">
        <f>SUMPRODUCT(N(Tabela1[Código]=Tabela3[[#This Row],[PAPEL]]),Tabela1[Fechamento])</f>
        <v>0</v>
      </c>
      <c r="AY226" s="54">
        <f>SUMPRODUCT(N(Tabela17[Código]=Tabela3[[#This Row],[PAPEL]]),Tabela17[Fechamento])</f>
        <v>43.69</v>
      </c>
      <c r="AZ226" s="7">
        <f>SUMPRODUCT(N(Tabela176[Código]=Tabela3[[#This Row],[PAPEL]]),Tabela176[Fechamento])</f>
        <v>0</v>
      </c>
      <c r="BA226" s="7">
        <f>SUMPRODUCT(N(Tabela1768[Código]=Tabela3[[#This Row],[PAPEL]]),Tabela1768[Fechamento])</f>
        <v>0</v>
      </c>
      <c r="BB226" s="7">
        <f>SUMPRODUCT(N(Tabela17683[Código]=Tabela3[[#This Row],[PAPEL]]),Tabela17683[Fechamento])</f>
        <v>0</v>
      </c>
    </row>
    <row r="227" spans="1:54" hidden="1" x14ac:dyDescent="0.2">
      <c r="A227" s="3" t="s">
        <v>346</v>
      </c>
      <c r="B227" s="58" t="s">
        <v>754</v>
      </c>
      <c r="C227" s="15" t="str">
        <f>LEFT(Tabela3[PAPEL],LEN(Tabela3[PAPEL])-(LEN(Tabela3[PAPEL])-4))</f>
        <v>MULT</v>
      </c>
      <c r="D227" s="16">
        <v>3</v>
      </c>
      <c r="E227" s="6">
        <v>2388062147.3800001</v>
      </c>
      <c r="F227" s="8">
        <v>11858347</v>
      </c>
      <c r="G227" s="81">
        <v>0.25</v>
      </c>
      <c r="H227" s="15"/>
      <c r="I227" s="19"/>
      <c r="J227" s="19"/>
      <c r="K227" s="88"/>
      <c r="L227" s="88"/>
      <c r="M227" s="55"/>
      <c r="N227" s="55"/>
      <c r="O227" s="55"/>
      <c r="P227" s="5">
        <v>3824504000</v>
      </c>
      <c r="Q227" s="5">
        <v>227417000</v>
      </c>
      <c r="R227" s="5">
        <f>IF(Tabela3[[#This Row],[Ativo || Passivo]]&gt;0,Tabela3[[#This Row],[Ativo || Passivo]]-Tabela3[[#This Row],[Patrimônio Líquido]],0)</f>
        <v>0</v>
      </c>
      <c r="S227" s="5">
        <f>Tabela3[[#This Row],[Cotação]]*Tabela3[[#This Row],[Total Ações]]</f>
        <v>0</v>
      </c>
      <c r="T227" s="132">
        <f>IF(Tabela3[[#This Row],[Passivo Circulante]]&gt;0,Tabela3[[#This Row],[Ativo Circulante]]/Tabela3[[#This Row],[Passivo Circulante]],0)</f>
        <v>0</v>
      </c>
      <c r="U227" s="132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27" s="18">
        <f>IF(Tabela3[[#This Row],[Lucro Líquido]]&gt;0,Tabela3[[#This Row],[Lucro Líquido]]/Tabela3[[#This Row],[Patrimônio Líquido]],0)</f>
        <v>5.9463135611833584E-2</v>
      </c>
      <c r="W227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27" s="18">
        <f>IF(Tabela3[[#This Row],[Dívida]]&gt;0,Tabela3[[#This Row],[Dívida]]/Tabela3[[#This Row],[Patrimônio Líquido]],0)</f>
        <v>0</v>
      </c>
      <c r="Y227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27" s="13">
        <f>Tabela3[[#This Row],[Capital Social]]*20%</f>
        <v>477612429.47600007</v>
      </c>
      <c r="AA227" s="13">
        <f>IF((Tabela3[Lucro Líquido]*5%)&gt;Tabela3[Teto R. Legal],Tabela3[Teto R. Legal],Tabela3[Lucro Líquido]*5%)</f>
        <v>11370850</v>
      </c>
      <c r="AB227" s="13">
        <f>IF(Tabela3[Lucro Líquido]&lt;0,0,Tabela3[Lucro Líquido]-Tabela3[Reserva Legal])</f>
        <v>216046150</v>
      </c>
      <c r="AC227" s="13">
        <f>Tabela3[[#This Row],[Lucro Distribuir]]*Tabela3[%Div]</f>
        <v>54011537.5</v>
      </c>
      <c r="AD227" s="56">
        <f>SUMPRODUCT(N(Tabela3[Nome]=Tabela3[[#This Row],[Nome]]),Tabela3[Ações])</f>
        <v>189997214</v>
      </c>
      <c r="AE227" s="6">
        <f>Tabela3[Capital Social]/Tabela3[Total Ações]</f>
        <v>12.568932444346263</v>
      </c>
      <c r="AF227" s="78">
        <f>Tabela3[[#This Row],[Lucro Líquido]]/Tabela3[[#This Row],[Total Ações]]</f>
        <v>1.1969491300014536</v>
      </c>
      <c r="AG227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0.28427541837534526</v>
      </c>
      <c r="AH227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27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27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0.28427541837534526</v>
      </c>
      <c r="AK227" s="13">
        <f>Tabela3[Div Base]*Tabela3[Ações]</f>
        <v>3371036.5546650202</v>
      </c>
      <c r="AL227" s="13">
        <f>SUMPRODUCT(N(Tabela3[Nome]=Tabela3[[#This Row],[Nome]]),Tabela3[Div Base]*Tabela3[Ações])</f>
        <v>54011537.500000007</v>
      </c>
      <c r="AM227" s="6">
        <f>Tabela3[Patrimônio Líquido]/Tabela3[Total Ações]</f>
        <v>20.129263579622805</v>
      </c>
      <c r="AN227" s="48">
        <f>MAX(Tabela3[[#This Row],[Cotação 1]:[Cotação 5]])</f>
        <v>0</v>
      </c>
      <c r="AO227" s="44">
        <f>Tabela3[Cotação]/Tabela3[VPA]</f>
        <v>0</v>
      </c>
      <c r="AP227" s="40">
        <f>IF(Tabela3[[#This Row],[Lucro/Ação]]&gt;0,Tabela3[[#This Row],[Cotação]]/(Tabela3[[#This Row],[Lucro/Ação]]/Tabela3[Ref]*4),0)</f>
        <v>0</v>
      </c>
      <c r="AQ227" s="78">
        <f>Tabela3[Lucro Distribuir]/Tabela3[Total Ações]</f>
        <v>1.137101673501381</v>
      </c>
      <c r="AR227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0.28427541837534526</v>
      </c>
      <c r="AS227" s="14" t="str">
        <f>IF(AND(Tabela3[% A.A.]&gt;=6%,SUMPRODUCT(N(Tabela3[Nome]=Tabela3[[#This Row],[Nome]]),Tabela3[PL])&gt;0,Tabela3[Rentabilidade s/ PL]&gt;=Tabela3[Rentabilidade s/ PL Média]),"Sim","Não")</f>
        <v>Não</v>
      </c>
      <c r="AT227" s="42">
        <f>IF(Tabela3[Cotação]&gt;0,Tabela3[[#This Row],[Lucro]]/Tabela3[[#This Row],[Cotação]],0)</f>
        <v>0</v>
      </c>
      <c r="AU227" s="42">
        <f>((1+Tabela3[[#This Row],[% Yield]])^(1/(3*Tabela3[[#This Row],[Ref]])))^(12)-1</f>
        <v>0</v>
      </c>
      <c r="AV227" s="14">
        <f>IF(Tabela3[Cotação]&gt;0,($BD$1/Tabela3[[#This Row],[Cotação]]-MOD($BD$1/Tabela3[[#This Row],[Cotação]],100)),)</f>
        <v>0</v>
      </c>
      <c r="AW227" s="17">
        <f>Tabela3[[#This Row],[Ativos]]*Tabela3[Lucro]</f>
        <v>0</v>
      </c>
      <c r="AX227" s="17">
        <f>SUMPRODUCT(N(Tabela1[Código]=Tabela3[[#This Row],[PAPEL]]),Tabela1[Fechamento])</f>
        <v>0</v>
      </c>
      <c r="AY227" s="17">
        <f>SUMPRODUCT(N(Tabela17[Código]=Tabela3[[#This Row],[PAPEL]]),Tabela17[Fechamento])</f>
        <v>0</v>
      </c>
      <c r="AZ227" s="17">
        <f>SUMPRODUCT(N(Tabela176[Código]=Tabela3[[#This Row],[PAPEL]]),Tabela176[Fechamento])</f>
        <v>0</v>
      </c>
      <c r="BA227" s="17">
        <f>SUMPRODUCT(N(Tabela1768[Código]=Tabela3[[#This Row],[PAPEL]]),Tabela1768[Fechamento])</f>
        <v>0</v>
      </c>
      <c r="BB227" s="7">
        <f>SUMPRODUCT(N(Tabela17683[Código]=Tabela3[[#This Row],[PAPEL]]),Tabela17683[Fechamento])</f>
        <v>0</v>
      </c>
    </row>
    <row r="228" spans="1:54" hidden="1" x14ac:dyDescent="0.2">
      <c r="A228" s="3" t="s">
        <v>298</v>
      </c>
      <c r="B228" s="58" t="s">
        <v>307</v>
      </c>
      <c r="C228" s="83" t="str">
        <f>LEFT(Tabela3[PAPEL],LEN(Tabela3[PAPEL])-(LEN(Tabela3[PAPEL])-4))</f>
        <v>BAHI</v>
      </c>
      <c r="D228" s="16">
        <v>3</v>
      </c>
      <c r="E228" s="5">
        <v>26186518.66</v>
      </c>
      <c r="F228" s="56">
        <v>5996334</v>
      </c>
      <c r="G228" s="81">
        <v>0.25</v>
      </c>
      <c r="H228" s="16"/>
      <c r="J228" s="18"/>
      <c r="K228" s="87"/>
      <c r="L228" s="87"/>
      <c r="M228" s="54"/>
      <c r="N228" s="54"/>
      <c r="O228" s="54"/>
      <c r="P228" s="5">
        <v>43741000</v>
      </c>
      <c r="Q228" s="5">
        <v>2583000</v>
      </c>
      <c r="R228" s="5">
        <f>IF(Tabela3[[#This Row],[Ativo || Passivo]]&gt;0,Tabela3[[#This Row],[Ativo || Passivo]]-Tabela3[[#This Row],[Patrimônio Líquido]],0)</f>
        <v>0</v>
      </c>
      <c r="S228" s="5">
        <f>Tabela3[[#This Row],[Cotação]]*Tabela3[[#This Row],[Total Ações]]</f>
        <v>30281486.699999999</v>
      </c>
      <c r="T228" s="132">
        <f>IF(Tabela3[[#This Row],[Passivo Circulante]]&gt;0,Tabela3[[#This Row],[Ativo Circulante]]/Tabela3[[#This Row],[Passivo Circulante]],0)</f>
        <v>0</v>
      </c>
      <c r="U228" s="132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28" s="18">
        <f>IF(Tabela3[[#This Row],[Lucro Líquido]]&gt;0,Tabela3[[#This Row],[Lucro Líquido]]/Tabela3[[#This Row],[Patrimônio Líquido]],0)</f>
        <v>5.9052147870419056E-2</v>
      </c>
      <c r="W228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28" s="18">
        <f>IF(Tabela3[[#This Row],[Dívida]]&gt;0,Tabela3[[#This Row],[Dívida]]/Tabela3[[#This Row],[Patrimônio Líquido]],0)</f>
        <v>0</v>
      </c>
      <c r="Y228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28" s="5">
        <f>Tabela3[[#This Row],[Capital Social]]*20%</f>
        <v>5237303.7320000008</v>
      </c>
      <c r="AA228" s="5">
        <f>IF((Tabela3[Lucro Líquido]*5%)&gt;Tabela3[Teto R. Legal],Tabela3[Teto R. Legal],Tabela3[Lucro Líquido]*5%)</f>
        <v>129150</v>
      </c>
      <c r="AB228" s="5">
        <f>IF(Tabela3[Lucro Líquido]&lt;0,0,Tabela3[Lucro Líquido]-Tabela3[Reserva Legal])</f>
        <v>2453850</v>
      </c>
      <c r="AC228" s="5">
        <f>Tabela3[[#This Row],[Lucro Distribuir]]*Tabela3[%Div]</f>
        <v>613462.5</v>
      </c>
      <c r="AD228" s="21">
        <f>SUMPRODUCT(N(Tabela3[Nome]=Tabela3[[#This Row],[Nome]]),Tabela3[Ações])</f>
        <v>5996334</v>
      </c>
      <c r="AE228" s="5">
        <f>Tabela3[Capital Social]/Tabela3[Total Ações]</f>
        <v>4.3670880674758941</v>
      </c>
      <c r="AF228" s="77">
        <f>Tabela3[[#This Row],[Lucro Líquido]]/Tabela3[[#This Row],[Total Ações]]</f>
        <v>0.43076319631294718</v>
      </c>
      <c r="AG228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0.10230625912432496</v>
      </c>
      <c r="AH228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28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28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0.10230625912432496</v>
      </c>
      <c r="AK228" s="5">
        <f>Tabela3[Div Base]*Tabela3[Ações]</f>
        <v>613462.5</v>
      </c>
      <c r="AL228" s="5">
        <f>SUMPRODUCT(N(Tabela3[Nome]=Tabela3[[#This Row],[Nome]]),Tabela3[Div Base]*Tabela3[Ações])</f>
        <v>613462.5</v>
      </c>
      <c r="AM228" s="5">
        <f>Tabela3[Patrimônio Líquido]/Tabela3[Total Ações]</f>
        <v>7.2946236817362076</v>
      </c>
      <c r="AN228" s="52">
        <f>MAX(Tabela3[[#This Row],[Cotação 1]:[Cotação 5]])</f>
        <v>5.05</v>
      </c>
      <c r="AO228" s="53">
        <f>Tabela3[Cotação]/Tabela3[VPA]</f>
        <v>0.69229068151162521</v>
      </c>
      <c r="AP228" s="37">
        <f>IF(Tabela3[[#This Row],[Lucro/Ação]]&gt;0,Tabela3[[#This Row],[Cotação]]/(Tabela3[[#This Row],[Lucro/Ação]]/Tabela3[Ref]*4),0)</f>
        <v>8.7925338850174217</v>
      </c>
      <c r="AQ228" s="77">
        <f>Tabela3[Lucro Distribuir]/Tabela3[Total Ações]</f>
        <v>0.40922503649729985</v>
      </c>
      <c r="AR228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0.10230625912432496</v>
      </c>
      <c r="AS228" s="16" t="str">
        <f>IF(AND(Tabela3[% A.A.]&gt;=6%,SUMPRODUCT(N(Tabela3[Nome]=Tabela3[[#This Row],[Nome]]),Tabela3[PL])&gt;0,Tabela3[Rentabilidade s/ PL]&gt;=Tabela3[Rentabilidade s/ PL Média]),"Sim","Não")</f>
        <v>Não</v>
      </c>
      <c r="AT228" s="22">
        <f>IF(Tabela3[Cotação]&gt;0,Tabela3[[#This Row],[Lucro]]/Tabela3[[#This Row],[Cotação]],0)</f>
        <v>2.0258665173133655E-2</v>
      </c>
      <c r="AU228" s="18">
        <f>((1+Tabela3[[#This Row],[% Yield]])^(1/(3*Tabela3[[#This Row],[Ref]])))^(12)-1</f>
        <v>2.7102349407126969E-2</v>
      </c>
      <c r="AV228" s="10">
        <f>IF(Tabela3[Cotação]&gt;0,($BH$1/Tabela3[[#This Row],[Cotação]]-MOD($BH$1/Tabela3[[#This Row],[Cotação]],100)),)</f>
        <v>0</v>
      </c>
      <c r="AW228" s="7">
        <f>Tabela3[[#This Row],[Ativos]]*Tabela3[Lucro]</f>
        <v>0</v>
      </c>
      <c r="AX228" s="47">
        <f>SUMPRODUCT(N(Tabela1[Código]=Tabela3[[#This Row],[PAPEL]]),Tabela1[Fechamento])</f>
        <v>0</v>
      </c>
      <c r="AY228" s="54">
        <f>SUMPRODUCT(N(Tabela17[Código]=Tabela3[[#This Row],[PAPEL]]),Tabela17[Fechamento])</f>
        <v>5.05</v>
      </c>
      <c r="AZ228" s="7">
        <f>SUMPRODUCT(N(Tabela176[Código]=Tabela3[[#This Row],[PAPEL]]),Tabela176[Fechamento])</f>
        <v>0</v>
      </c>
      <c r="BA228" s="7">
        <f>SUMPRODUCT(N(Tabela1768[Código]=Tabela3[[#This Row],[PAPEL]]),Tabela1768[Fechamento])</f>
        <v>0</v>
      </c>
      <c r="BB228" s="7">
        <f>SUMPRODUCT(N(Tabela17683[Código]=Tabela3[[#This Row],[PAPEL]]),Tabela17683[Fechamento])</f>
        <v>0</v>
      </c>
    </row>
    <row r="229" spans="1:54" hidden="1" x14ac:dyDescent="0.2">
      <c r="A229" s="3" t="s">
        <v>279</v>
      </c>
      <c r="B229" s="58" t="s">
        <v>278</v>
      </c>
      <c r="C229" s="83" t="str">
        <f>LEFT(Tabela3[PAPEL],LEN(Tabela3[PAPEL])-(LEN(Tabela3[PAPEL])-4))</f>
        <v>BRFS</v>
      </c>
      <c r="D229" s="16">
        <v>3</v>
      </c>
      <c r="E229" s="5">
        <v>12553417953.360001</v>
      </c>
      <c r="F229" s="56">
        <v>872473246</v>
      </c>
      <c r="G229" s="81">
        <v>0.25</v>
      </c>
      <c r="H229" s="16"/>
      <c r="J229" s="18"/>
      <c r="K229" s="87"/>
      <c r="L229" s="87"/>
      <c r="M229" s="54"/>
      <c r="N229" s="54"/>
      <c r="O229" s="54"/>
      <c r="P229" s="5">
        <v>14822624000</v>
      </c>
      <c r="Q229" s="5">
        <v>853987000</v>
      </c>
      <c r="R229" s="5">
        <f>IF(Tabela3[[#This Row],[Ativo || Passivo]]&gt;0,Tabela3[[#This Row],[Ativo || Passivo]]-Tabela3[[#This Row],[Patrimônio Líquido]],0)</f>
        <v>0</v>
      </c>
      <c r="S229" s="5">
        <f>Tabela3[[#This Row],[Cotação]]*Tabela3[[#This Row],[Total Ações]]</f>
        <v>35535835309.579994</v>
      </c>
      <c r="T229" s="132">
        <f>IF(Tabela3[[#This Row],[Passivo Circulante]]&gt;0,Tabela3[[#This Row],[Ativo Circulante]]/Tabela3[[#This Row],[Passivo Circulante]],0)</f>
        <v>0</v>
      </c>
      <c r="U229" s="132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29" s="18">
        <f>IF(Tabela3[[#This Row],[Lucro Líquido]]&gt;0,Tabela3[[#This Row],[Lucro Líquido]]/Tabela3[[#This Row],[Patrimônio Líquido]],0)</f>
        <v>5.7613753138445661E-2</v>
      </c>
      <c r="W229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29" s="18">
        <f>IF(Tabela3[[#This Row],[Dívida]]&gt;0,Tabela3[[#This Row],[Dívida]]/Tabela3[[#This Row],[Patrimônio Líquido]],0)</f>
        <v>0</v>
      </c>
      <c r="Y229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29" s="5">
        <f>Tabela3[[#This Row],[Capital Social]]*20%</f>
        <v>2510683590.6720004</v>
      </c>
      <c r="AA229" s="5">
        <f>IF((Tabela3[Lucro Líquido]*5%)&gt;Tabela3[Teto R. Legal],Tabela3[Teto R. Legal],Tabela3[Lucro Líquido]*5%)</f>
        <v>42699350</v>
      </c>
      <c r="AB229" s="5">
        <f>IF(Tabela3[Lucro Líquido]&lt;0,0,Tabela3[Lucro Líquido]-Tabela3[Reserva Legal])</f>
        <v>811287650</v>
      </c>
      <c r="AC229" s="5">
        <f>Tabela3[[#This Row],[Lucro Distribuir]]*Tabela3[%Div]</f>
        <v>202821912.5</v>
      </c>
      <c r="AD229" s="21">
        <f>SUMPRODUCT(N(Tabela3[Nome]=Tabela3[[#This Row],[Nome]]),Tabela3[Ações])</f>
        <v>872473246</v>
      </c>
      <c r="AE229" s="5">
        <f>Tabela3[Capital Social]/Tabela3[Total Ações]</f>
        <v>14.388312777398335</v>
      </c>
      <c r="AF229" s="77">
        <f>Tabela3[[#This Row],[Lucro Líquido]]/Tabela3[[#This Row],[Total Ações]]</f>
        <v>0.97881167579091588</v>
      </c>
      <c r="AG229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0.23246777300034252</v>
      </c>
      <c r="AH229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29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29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0.23246777300034252</v>
      </c>
      <c r="AK229" s="5">
        <f>Tabela3[Div Base]*Tabela3[Ações]</f>
        <v>202821912.5</v>
      </c>
      <c r="AL229" s="5">
        <f>SUMPRODUCT(N(Tabela3[Nome]=Tabela3[[#This Row],[Nome]]),Tabela3[Div Base]*Tabela3[Ações])</f>
        <v>202821912.5</v>
      </c>
      <c r="AM229" s="5">
        <f>Tabela3[Patrimônio Líquido]/Tabela3[Total Ações]</f>
        <v>16.989201752554369</v>
      </c>
      <c r="AN229" s="52">
        <f>MAX(Tabela3[[#This Row],[Cotação 1]:[Cotação 5]])</f>
        <v>40.729999999999997</v>
      </c>
      <c r="AO229" s="53">
        <f>Tabela3[Cotação]/Tabela3[VPA]</f>
        <v>2.397405163187031</v>
      </c>
      <c r="AP229" s="37">
        <f>IF(Tabela3[[#This Row],[Lucro/Ação]]&gt;0,Tabela3[[#This Row],[Cotação]]/(Tabela3[[#This Row],[Lucro/Ação]]/Tabela3[Ref]*4),0)</f>
        <v>31.208761353726693</v>
      </c>
      <c r="AQ229" s="77">
        <f>Tabela3[Lucro Distribuir]/Tabela3[Total Ações]</f>
        <v>0.92987109200137008</v>
      </c>
      <c r="AR229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0.23246777300034252</v>
      </c>
      <c r="AS229" s="16" t="str">
        <f>IF(AND(Tabela3[% A.A.]&gt;=6%,SUMPRODUCT(N(Tabela3[Nome]=Tabela3[[#This Row],[Nome]]),Tabela3[PL])&gt;0,Tabela3[Rentabilidade s/ PL]&gt;=Tabela3[Rentabilidade s/ PL Média]),"Sim","Não")</f>
        <v>Não</v>
      </c>
      <c r="AT229" s="22">
        <f>IF(Tabela3[Cotação]&gt;0,Tabela3[[#This Row],[Lucro]]/Tabela3[[#This Row],[Cotação]],0)</f>
        <v>5.7075318684100792E-3</v>
      </c>
      <c r="AU229" s="18">
        <f>((1+Tabela3[[#This Row],[% Yield]])^(1/(3*Tabela3[[#This Row],[Ref]])))^(12)-1</f>
        <v>7.6172724246863499E-3</v>
      </c>
      <c r="AV229" s="10">
        <f>IF(Tabela3[Cotação]&gt;0,($BH$1/Tabela3[[#This Row],[Cotação]]-MOD($BH$1/Tabela3[[#This Row],[Cotação]],100)),)</f>
        <v>0</v>
      </c>
      <c r="AW229" s="7">
        <f>Tabela3[[#This Row],[Ativos]]*Tabela3[Lucro]</f>
        <v>0</v>
      </c>
      <c r="AX229" s="47">
        <f>SUMPRODUCT(N(Tabela1[Código]=Tabela3[[#This Row],[PAPEL]]),Tabela1[Fechamento])</f>
        <v>0</v>
      </c>
      <c r="AY229" s="54">
        <f>SUMPRODUCT(N(Tabela17[Código]=Tabela3[[#This Row],[PAPEL]]),Tabela17[Fechamento])</f>
        <v>40.729999999999997</v>
      </c>
      <c r="AZ229" s="7">
        <f>SUMPRODUCT(N(Tabela176[Código]=Tabela3[[#This Row],[PAPEL]]),Tabela176[Fechamento])</f>
        <v>0</v>
      </c>
      <c r="BA229" s="7">
        <f>SUMPRODUCT(N(Tabela1768[Código]=Tabela3[[#This Row],[PAPEL]]),Tabela1768[Fechamento])</f>
        <v>0</v>
      </c>
      <c r="BB229" s="7">
        <f>SUMPRODUCT(N(Tabela17683[Código]=Tabela3[[#This Row],[PAPEL]]),Tabela17683[Fechamento])</f>
        <v>0</v>
      </c>
    </row>
    <row r="230" spans="1:54" hidden="1" x14ac:dyDescent="0.2">
      <c r="A230" s="3" t="s">
        <v>293</v>
      </c>
      <c r="B230" s="58" t="s">
        <v>294</v>
      </c>
      <c r="C230" s="83" t="str">
        <f>LEFT(Tabela3[PAPEL],LEN(Tabela3[PAPEL])-(LEN(Tabela3[PAPEL])-4))</f>
        <v>VIVT</v>
      </c>
      <c r="D230" s="16">
        <v>3</v>
      </c>
      <c r="E230" s="5">
        <v>37798109745.029999</v>
      </c>
      <c r="F230" s="56">
        <v>381587111</v>
      </c>
      <c r="G230" s="81">
        <v>0.25</v>
      </c>
      <c r="H230" s="18"/>
      <c r="J230" s="18"/>
      <c r="K230" s="87"/>
      <c r="L230" s="87"/>
      <c r="M230" s="54"/>
      <c r="N230" s="54"/>
      <c r="O230" s="54"/>
      <c r="P230" s="5">
        <v>43631075000</v>
      </c>
      <c r="Q230" s="5">
        <v>2484629000</v>
      </c>
      <c r="R230" s="5">
        <f>IF(Tabela3[[#This Row],[Ativo || Passivo]]&gt;0,Tabela3[[#This Row],[Ativo || Passivo]]-Tabela3[[#This Row],[Patrimônio Líquido]],0)</f>
        <v>0</v>
      </c>
      <c r="S230" s="5">
        <f>Tabela3[[#This Row],[Cotação]]*Tabela3[[#This Row],[Total Ações]]</f>
        <v>42446448780.300003</v>
      </c>
      <c r="T230" s="132">
        <f>IF(Tabela3[[#This Row],[Passivo Circulante]]&gt;0,Tabela3[[#This Row],[Ativo Circulante]]/Tabela3[[#This Row],[Passivo Circulante]],0)</f>
        <v>0</v>
      </c>
      <c r="U230" s="132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30" s="18">
        <f>IF(Tabela3[[#This Row],[Lucro Líquido]]&gt;0,Tabela3[[#This Row],[Lucro Líquido]]/Tabela3[[#This Row],[Patrimônio Líquido]],0)</f>
        <v>5.694631635823779E-2</v>
      </c>
      <c r="W230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30" s="18">
        <f>IF(Tabela3[[#This Row],[Dívida]]&gt;0,Tabela3[[#This Row],[Dívida]]/Tabela3[[#This Row],[Patrimônio Líquido]],0)</f>
        <v>0</v>
      </c>
      <c r="Y230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30" s="5">
        <f>Tabela3[[#This Row],[Capital Social]]*20%</f>
        <v>7559621949.0060005</v>
      </c>
      <c r="AA230" s="5">
        <f>IF((Tabela3[Lucro Líquido]*5%)&gt;Tabela3[Teto R. Legal],Tabela3[Teto R. Legal],Tabela3[Lucro Líquido]*5%)</f>
        <v>124231450</v>
      </c>
      <c r="AB230" s="5">
        <f>IF(Tabela3[Lucro Líquido]&lt;0,0,Tabela3[Lucro Líquido]-Tabela3[Reserva Legal])</f>
        <v>2360397550</v>
      </c>
      <c r="AC230" s="5">
        <f>Tabela3[[#This Row],[Lucro Distribuir]]*Tabela3[%Div]</f>
        <v>590099387.5</v>
      </c>
      <c r="AD230" s="56">
        <f>SUMPRODUCT(N(Tabela3[Nome]=Tabela3[[#This Row],[Nome]]),Tabela3[Ações])</f>
        <v>1125601930</v>
      </c>
      <c r="AE230" s="5">
        <f>Tabela3[Capital Social]/Tabela3[Total Ações]</f>
        <v>33.580352642989872</v>
      </c>
      <c r="AF230" s="77">
        <f>Tabela3[[#This Row],[Lucro Líquido]]/Tabela3[[#This Row],[Total Ações]]</f>
        <v>2.2073780559349254</v>
      </c>
      <c r="AG230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0.50794080607426118</v>
      </c>
      <c r="AH230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30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30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0.50794080607426118</v>
      </c>
      <c r="AK230" s="5">
        <f>Tabela3[Div Base]*Tabela3[Ações]</f>
        <v>193823664.74888858</v>
      </c>
      <c r="AL230" s="5">
        <f>SUMPRODUCT(N(Tabela3[Nome]=Tabela3[[#This Row],[Nome]]),Tabela3[Div Base]*Tabela3[Ações])</f>
        <v>609530700.90182471</v>
      </c>
      <c r="AM230" s="5">
        <f>Tabela3[Patrimônio Líquido]/Tabela3[Total Ações]</f>
        <v>38.762437978406808</v>
      </c>
      <c r="AN230" s="52">
        <f>MAX(Tabela3[[#This Row],[Cotação 1]:[Cotação 5]])</f>
        <v>37.71</v>
      </c>
      <c r="AO230" s="53">
        <f>Tabela3[Cotação]/Tabela3[VPA]</f>
        <v>0.97284902515695515</v>
      </c>
      <c r="AP230" s="37">
        <f>IF(Tabela3[[#This Row],[Lucro/Ação]]&gt;0,Tabela3[[#This Row],[Cotação]]/(Tabela3[[#This Row],[Lucro/Ação]]/Tabela3[Ref]*4),0)</f>
        <v>12.812712314484376</v>
      </c>
      <c r="AQ230" s="77">
        <f>Tabela3[Lucro Distribuir]/Tabela3[Total Ações]</f>
        <v>2.0970091531381789</v>
      </c>
      <c r="AR230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0.50794080607426118</v>
      </c>
      <c r="AS230" s="16" t="str">
        <f>IF(AND(Tabela3[% A.A.]&gt;=6%,SUMPRODUCT(N(Tabela3[Nome]=Tabela3[[#This Row],[Nome]]),Tabela3[PL])&gt;0,Tabela3[Rentabilidade s/ PL]&gt;=Tabela3[Rentabilidade s/ PL Média]),"Sim","Não")</f>
        <v>Não</v>
      </c>
      <c r="AT230" s="22">
        <f>IF(Tabela3[Cotação]&gt;0,Tabela3[[#This Row],[Lucro]]/Tabela3[[#This Row],[Cotação]],0)</f>
        <v>1.3469658076750496E-2</v>
      </c>
      <c r="AU230" s="18">
        <f>((1+Tabela3[[#This Row],[% Yield]])^(1/(3*Tabela3[[#This Row],[Ref]])))^(12)-1</f>
        <v>1.7999742245258465E-2</v>
      </c>
      <c r="AV230" s="10">
        <f>IF(Tabela3[Cotação]&gt;0,($BC$1/Tabela3[[#This Row],[Cotação]]-MOD($BC$1/Tabela3[[#This Row],[Cotação]],100)),)</f>
        <v>0</v>
      </c>
      <c r="AW230" s="7">
        <f>Tabela3[[#This Row],[Ativos]]*Tabela3[Lucro]</f>
        <v>0</v>
      </c>
      <c r="AX230" s="47">
        <f>SUMPRODUCT(N(Tabela1[Código]=Tabela3[[#This Row],[PAPEL]]),Tabela1[Fechamento])</f>
        <v>0</v>
      </c>
      <c r="AY230" s="54">
        <f>SUMPRODUCT(N(Tabela17[Código]=Tabela3[[#This Row],[PAPEL]]),Tabela17[Fechamento])</f>
        <v>37.71</v>
      </c>
      <c r="AZ230" s="7">
        <f>SUMPRODUCT(N(Tabela176[Código]=Tabela3[[#This Row],[PAPEL]]),Tabela176[Fechamento])</f>
        <v>0</v>
      </c>
      <c r="BA230" s="7">
        <f>SUMPRODUCT(N(Tabela1768[Código]=Tabela3[[#This Row],[PAPEL]]),Tabela1768[Fechamento])</f>
        <v>0</v>
      </c>
      <c r="BB230" s="7">
        <f>SUMPRODUCT(N(Tabela17683[Código]=Tabela3[[#This Row],[PAPEL]]),Tabela17683[Fechamento])</f>
        <v>0</v>
      </c>
    </row>
    <row r="231" spans="1:54" hidden="1" x14ac:dyDescent="0.2">
      <c r="A231" s="3" t="s">
        <v>293</v>
      </c>
      <c r="B231" s="58" t="s">
        <v>295</v>
      </c>
      <c r="C231" s="83" t="str">
        <f>LEFT(Tabela3[PAPEL],LEN(Tabela3[PAPEL])-(LEN(Tabela3[PAPEL])-4))</f>
        <v>VIVT</v>
      </c>
      <c r="D231" s="16">
        <v>3</v>
      </c>
      <c r="E231" s="5">
        <v>37798109745.029999</v>
      </c>
      <c r="F231" s="56">
        <v>744014819</v>
      </c>
      <c r="G231" s="86">
        <v>0.25</v>
      </c>
      <c r="H231" s="18"/>
      <c r="J231" s="18">
        <v>0.1</v>
      </c>
      <c r="K231" s="87"/>
      <c r="L231" s="87"/>
      <c r="M231" s="54"/>
      <c r="N231" s="54"/>
      <c r="O231" s="54"/>
      <c r="P231" s="5">
        <v>43631075000</v>
      </c>
      <c r="Q231" s="5">
        <v>2484629000</v>
      </c>
      <c r="R231" s="5">
        <f>IF(Tabela3[[#This Row],[Ativo || Passivo]]&gt;0,Tabela3[[#This Row],[Ativo || Passivo]]-Tabela3[[#This Row],[Patrimônio Líquido]],0)</f>
        <v>0</v>
      </c>
      <c r="S231" s="5">
        <f>Tabela3[[#This Row],[Cotação]]*Tabela3[[#This Row],[Total Ações]]</f>
        <v>48423395028.600006</v>
      </c>
      <c r="T231" s="132">
        <f>IF(Tabela3[[#This Row],[Passivo Circulante]]&gt;0,Tabela3[[#This Row],[Ativo Circulante]]/Tabela3[[#This Row],[Passivo Circulante]],0)</f>
        <v>0</v>
      </c>
      <c r="U231" s="132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31" s="18">
        <f>IF(Tabela3[[#This Row],[Lucro Líquido]]&gt;0,Tabela3[[#This Row],[Lucro Líquido]]/Tabela3[[#This Row],[Patrimônio Líquido]],0)</f>
        <v>5.694631635823779E-2</v>
      </c>
      <c r="W231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31" s="18">
        <f>IF(Tabela3[[#This Row],[Dívida]]&gt;0,Tabela3[[#This Row],[Dívida]]/Tabela3[[#This Row],[Patrimônio Líquido]],0)</f>
        <v>0</v>
      </c>
      <c r="Y231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31" s="5">
        <f>Tabela3[[#This Row],[Capital Social]]*20%</f>
        <v>7559621949.0060005</v>
      </c>
      <c r="AA231" s="5">
        <f>IF((Tabela3[Lucro Líquido]*5%)&gt;Tabela3[Teto R. Legal],Tabela3[Teto R. Legal],Tabela3[Lucro Líquido]*5%)</f>
        <v>124231450</v>
      </c>
      <c r="AB231" s="5">
        <f>IF(Tabela3[Lucro Líquido]&lt;0,0,Tabela3[Lucro Líquido]-Tabela3[Reserva Legal])</f>
        <v>2360397550</v>
      </c>
      <c r="AC231" s="5">
        <f>Tabela3[[#This Row],[Lucro Distribuir]]*Tabela3[%Div]</f>
        <v>590099387.5</v>
      </c>
      <c r="AD231" s="56">
        <f>SUMPRODUCT(N(Tabela3[Nome]=Tabela3[[#This Row],[Nome]]),Tabela3[Ações])</f>
        <v>1125601930</v>
      </c>
      <c r="AE231" s="5">
        <f>Tabela3[Capital Social]/Tabela3[Total Ações]</f>
        <v>33.580352642989872</v>
      </c>
      <c r="AF231" s="77">
        <f>Tabela3[[#This Row],[Lucro Líquido]]/Tabela3[[#This Row],[Total Ações]]</f>
        <v>2.2073780559349254</v>
      </c>
      <c r="AG231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0.55873488744709554</v>
      </c>
      <c r="AH231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31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31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0.55873488744709554</v>
      </c>
      <c r="AK231" s="5">
        <f>Tabela3[Div Base]*Tabela3[Ações]</f>
        <v>415707036.15293616</v>
      </c>
      <c r="AL231" s="5">
        <f>SUMPRODUCT(N(Tabela3[Nome]=Tabela3[[#This Row],[Nome]]),Tabela3[Div Base]*Tabela3[Ações])</f>
        <v>609530700.90182471</v>
      </c>
      <c r="AM231" s="5">
        <f>Tabela3[Patrimônio Líquido]/Tabela3[Total Ações]</f>
        <v>38.762437978406808</v>
      </c>
      <c r="AN231" s="52">
        <f>MAX(Tabela3[[#This Row],[Cotação 1]:[Cotação 5]])</f>
        <v>43.02</v>
      </c>
      <c r="AO231" s="53">
        <f>Tabela3[Cotação]/Tabela3[VPA]</f>
        <v>1.1098373127088892</v>
      </c>
      <c r="AP231" s="37">
        <f>IF(Tabela3[[#This Row],[Lucro/Ação]]&gt;0,Tabela3[[#This Row],[Cotação]]/(Tabela3[[#This Row],[Lucro/Ação]]/Tabela3[Ref]*4),0)</f>
        <v>14.61688898883898</v>
      </c>
      <c r="AQ231" s="77">
        <f>Tabela3[Lucro Distribuir]/Tabela3[Total Ações]</f>
        <v>2.0970091531381789</v>
      </c>
      <c r="AR231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0.55873488744709554</v>
      </c>
      <c r="AS231" s="16" t="str">
        <f>IF(AND(Tabela3[% A.A.]&gt;=6%,SUMPRODUCT(N(Tabela3[Nome]=Tabela3[[#This Row],[Nome]]),Tabela3[PL])&gt;0,Tabela3[Rentabilidade s/ PL]&gt;=Tabela3[Rentabilidade s/ PL Média]),"Sim","Não")</f>
        <v>Não</v>
      </c>
      <c r="AT231" s="22">
        <f>IF(Tabela3[Cotação]&gt;0,Tabela3[[#This Row],[Lucro]]/Tabela3[[#This Row],[Cotação]],0)</f>
        <v>1.298779375748711E-2</v>
      </c>
      <c r="AU231" s="18">
        <f>((1+Tabela3[[#This Row],[% Yield]])^(1/(3*Tabela3[[#This Row],[Ref]])))^(12)-1</f>
        <v>1.7354435799966206E-2</v>
      </c>
      <c r="AV231" s="10">
        <f>IF(Tabela3[Cotação]&gt;0,($BC$1/Tabela3[[#This Row],[Cotação]]-MOD($BC$1/Tabela3[[#This Row],[Cotação]],100)),)</f>
        <v>0</v>
      </c>
      <c r="AW231" s="7">
        <f>Tabela3[[#This Row],[Ativos]]*Tabela3[Lucro]</f>
        <v>0</v>
      </c>
      <c r="AX231" s="47">
        <f>SUMPRODUCT(N(Tabela1[Código]=Tabela3[[#This Row],[PAPEL]]),Tabela1[Fechamento])</f>
        <v>0</v>
      </c>
      <c r="AY231" s="54">
        <f>SUMPRODUCT(N(Tabela17[Código]=Tabela3[[#This Row],[PAPEL]]),Tabela17[Fechamento])</f>
        <v>43.02</v>
      </c>
      <c r="AZ231" s="7">
        <f>SUMPRODUCT(N(Tabela176[Código]=Tabela3[[#This Row],[PAPEL]]),Tabela176[Fechamento])</f>
        <v>0</v>
      </c>
      <c r="BA231" s="7">
        <f>SUMPRODUCT(N(Tabela1768[Código]=Tabela3[[#This Row],[PAPEL]]),Tabela1768[Fechamento])</f>
        <v>0</v>
      </c>
      <c r="BB231" s="7">
        <f>SUMPRODUCT(N(Tabela17683[Código]=Tabela3[[#This Row],[PAPEL]]),Tabela17683[Fechamento])</f>
        <v>0</v>
      </c>
    </row>
    <row r="232" spans="1:54" hidden="1" x14ac:dyDescent="0.2">
      <c r="A232" s="4" t="s">
        <v>379</v>
      </c>
      <c r="B232" s="57" t="s">
        <v>378</v>
      </c>
      <c r="C232" s="82" t="str">
        <f>LEFT(Tabela3[PAPEL],LEN(Tabela3[PAPEL])-(LEN(Tabela3[PAPEL])-4))</f>
        <v>BVMF</v>
      </c>
      <c r="D232" s="15">
        <v>4</v>
      </c>
      <c r="E232" s="6">
        <v>2540239563.8800001</v>
      </c>
      <c r="F232" s="38">
        <v>1980000000</v>
      </c>
      <c r="G232" s="86">
        <v>0.25</v>
      </c>
      <c r="H232" s="15"/>
      <c r="I232" s="19"/>
      <c r="J232" s="19"/>
      <c r="K232" s="88"/>
      <c r="L232" s="88"/>
      <c r="M232" s="55"/>
      <c r="N232" s="55"/>
      <c r="O232" s="55"/>
      <c r="P232" s="6">
        <v>19284229000</v>
      </c>
      <c r="Q232" s="6">
        <v>1081516000</v>
      </c>
      <c r="R232" s="6">
        <f>IF(Tabela3[[#This Row],[Ativo || Passivo]]&gt;0,Tabela3[[#This Row],[Ativo || Passivo]]-Tabela3[[#This Row],[Patrimônio Líquido]],0)</f>
        <v>0</v>
      </c>
      <c r="S232" s="6">
        <f>Tabela3[[#This Row],[Cotação]]*Tabela3[[#This Row],[Total Ações]]</f>
        <v>18691200000</v>
      </c>
      <c r="T232" s="134">
        <f>IF(Tabela3[[#This Row],[Passivo Circulante]]&gt;0,Tabela3[[#This Row],[Ativo Circulante]]/Tabela3[[#This Row],[Passivo Circulante]],0)</f>
        <v>0</v>
      </c>
      <c r="U232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32" s="19">
        <f>IF(Tabela3[[#This Row],[Lucro Líquido]]&gt;0,Tabela3[[#This Row],[Lucro Líquido]]/Tabela3[[#This Row],[Patrimônio Líquido]],0)</f>
        <v>5.6082926623615595E-2</v>
      </c>
      <c r="W232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32" s="19">
        <f>IF(Tabela3[[#This Row],[Dívida]]&gt;0,Tabela3[[#This Row],[Dívida]]/Tabela3[[#This Row],[Patrimônio Líquido]],0)</f>
        <v>0</v>
      </c>
      <c r="Y232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32" s="6">
        <f>Tabela3[[#This Row],[Capital Social]]*20%</f>
        <v>508047912.77600002</v>
      </c>
      <c r="AA232" s="6">
        <f>IF((Tabela3[Lucro Líquido]*5%)&gt;Tabela3[Teto R. Legal],Tabela3[Teto R. Legal],Tabela3[Lucro Líquido]*5%)</f>
        <v>54075800</v>
      </c>
      <c r="AB232" s="6">
        <f>IF(Tabela3[Lucro Líquido]&lt;0,0,Tabela3[Lucro Líquido]-Tabela3[Reserva Legal])</f>
        <v>1027440200</v>
      </c>
      <c r="AC232" s="6">
        <f>Tabela3[[#This Row],[Lucro Distribuir]]*Tabela3[%Div]</f>
        <v>256860050</v>
      </c>
      <c r="AD232" s="56">
        <f>SUMPRODUCT(N(Tabela3[Nome]=Tabela3[[#This Row],[Nome]]),Tabela3[Ações])</f>
        <v>1980000000</v>
      </c>
      <c r="AE232" s="6">
        <f>Tabela3[Capital Social]/Tabela3[Total Ações]</f>
        <v>1.2829492746868687</v>
      </c>
      <c r="AF232" s="78">
        <f>Tabela3[[#This Row],[Lucro Líquido]]/Tabela3[[#This Row],[Total Ações]]</f>
        <v>0.54622020202020205</v>
      </c>
      <c r="AG232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0.12972729797979798</v>
      </c>
      <c r="AH232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32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32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0.12972729797979798</v>
      </c>
      <c r="AK232" s="6">
        <f>Tabela3[Div Base]*Tabela3[Ações]</f>
        <v>256860050</v>
      </c>
      <c r="AL232" s="6">
        <f>SUMPRODUCT(N(Tabela3[Nome]=Tabela3[[#This Row],[Nome]]),Tabela3[Div Base]*Tabela3[Ações])</f>
        <v>256860050</v>
      </c>
      <c r="AM232" s="6">
        <f>Tabela3[Patrimônio Líquido]/Tabela3[Total Ações]</f>
        <v>9.7395095959595963</v>
      </c>
      <c r="AN232" s="48">
        <f>MAX(Tabela3[[#This Row],[Cotação 1]:[Cotação 5]])</f>
        <v>9.44</v>
      </c>
      <c r="AO232" s="44">
        <f>Tabela3[Cotação]/Tabela3[VPA]</f>
        <v>0.96924797978700616</v>
      </c>
      <c r="AP232" s="40">
        <f>IF(Tabela3[[#This Row],[Lucro/Ação]]&gt;0,Tabela3[[#This Row],[Cotação]]/(Tabela3[[#This Row],[Lucro/Ação]]/Tabela3[Ref]*4),0)</f>
        <v>17.282407287548217</v>
      </c>
      <c r="AQ232" s="78">
        <f>Tabela3[Lucro Distribuir]/Tabela3[Total Ações]</f>
        <v>0.51890919191919194</v>
      </c>
      <c r="AR232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0.12972729797979798</v>
      </c>
      <c r="AS232" s="15" t="str">
        <f>IF(AND(Tabela3[% A.A.]&gt;=6%,SUMPRODUCT(N(Tabela3[Nome]=Tabela3[[#This Row],[Nome]]),Tabela3[PL])&gt;0,Tabela3[Rentabilidade s/ PL]&gt;=Tabela3[Rentabilidade s/ PL Média]),"Sim","Não")</f>
        <v>Não</v>
      </c>
      <c r="AT232" s="42">
        <f>IF(Tabela3[Cotação]&gt;0,Tabela3[[#This Row],[Lucro]]/Tabela3[[#This Row],[Cotação]],0)</f>
        <v>1.3742298514809109E-2</v>
      </c>
      <c r="AU232" s="19">
        <f>((1+Tabela3[[#This Row],[% Yield]])^(1/(3*Tabela3[[#This Row],[Ref]])))^(12)-1</f>
        <v>1.3742298514808349E-2</v>
      </c>
      <c r="AV232" s="14">
        <f>IF(Tabela3[Cotação]&gt;0,($BH$1/Tabela3[[#This Row],[Cotação]]-MOD($BH$1/Tabela3[[#This Row],[Cotação]],100)),)</f>
        <v>0</v>
      </c>
      <c r="AW232" s="17">
        <f>Tabela3[[#This Row],[Ativos]]*Tabela3[Lucro]</f>
        <v>0</v>
      </c>
      <c r="AX232" s="13">
        <f>SUMPRODUCT(N(Tabela1[Código]=Tabela3[[#This Row],[PAPEL]]),Tabela1[Fechamento])</f>
        <v>0</v>
      </c>
      <c r="AY232" s="55">
        <f>SUMPRODUCT(N(Tabela17[Código]=Tabela3[[#This Row],[PAPEL]]),Tabela17[Fechamento])</f>
        <v>9.44</v>
      </c>
      <c r="AZ232" s="7">
        <f>SUMPRODUCT(N(Tabela176[Código]=Tabela3[[#This Row],[PAPEL]]),Tabela176[Fechamento])</f>
        <v>0</v>
      </c>
      <c r="BA232" s="7">
        <f>SUMPRODUCT(N(Tabela1768[Código]=Tabela3[[#This Row],[PAPEL]]),Tabela1768[Fechamento])</f>
        <v>0</v>
      </c>
      <c r="BB232" s="7">
        <f>SUMPRODUCT(N(Tabela17683[Código]=Tabela3[[#This Row],[PAPEL]]),Tabela17683[Fechamento])</f>
        <v>0</v>
      </c>
    </row>
    <row r="233" spans="1:54" hidden="1" x14ac:dyDescent="0.2">
      <c r="A233" s="4" t="s">
        <v>26</v>
      </c>
      <c r="B233" s="57" t="s">
        <v>715</v>
      </c>
      <c r="C233" s="82" t="str">
        <f>LEFT(Tabela3[PAPEL],LEN(Tabela3[PAPEL])-(LEN(Tabela3[PAPEL])-4))</f>
        <v>SULA</v>
      </c>
      <c r="D233" s="15">
        <v>3</v>
      </c>
      <c r="E233" s="5">
        <v>2319882346.8499999</v>
      </c>
      <c r="F233" s="8">
        <v>509842829</v>
      </c>
      <c r="G233" s="86">
        <v>0.25</v>
      </c>
      <c r="H233" s="15"/>
      <c r="I233" s="19"/>
      <c r="J233" s="19"/>
      <c r="K233" s="88"/>
      <c r="L233" s="88"/>
      <c r="M233" s="55"/>
      <c r="N233" s="55"/>
      <c r="O233" s="55"/>
      <c r="P233" s="6">
        <v>3411209000</v>
      </c>
      <c r="Q233" s="6">
        <v>191254000</v>
      </c>
      <c r="R233" s="6">
        <f>IF(Tabela3[[#This Row],[Ativo || Passivo]]&gt;0,Tabela3[[#This Row],[Ativo || Passivo]]-Tabela3[[#This Row],[Patrimônio Líquido]],0)</f>
        <v>0</v>
      </c>
      <c r="S233" s="6">
        <f>Tabela3[[#This Row],[Cotação]]*Tabela3[[#This Row],[Total Ações]]</f>
        <v>0</v>
      </c>
      <c r="T233" s="134">
        <f>IF(Tabela3[[#This Row],[Passivo Circulante]]&gt;0,Tabela3[[#This Row],[Ativo Circulante]]/Tabela3[[#This Row],[Passivo Circulante]],0)</f>
        <v>0</v>
      </c>
      <c r="U233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33" s="19">
        <f>IF(Tabela3[[#This Row],[Lucro Líquido]]&gt;0,Tabela3[[#This Row],[Lucro Líquido]]/Tabela3[[#This Row],[Patrimônio Líquido]],0)</f>
        <v>5.6066338943172346E-2</v>
      </c>
      <c r="W233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33" s="19">
        <f>IF(Tabela3[[#This Row],[Dívida]]&gt;0,Tabela3[[#This Row],[Dívida]]/Tabela3[[#This Row],[Patrimônio Líquido]],0)</f>
        <v>0</v>
      </c>
      <c r="Y233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33" s="6">
        <f>Tabela3[[#This Row],[Capital Social]]*20%</f>
        <v>463976469.37</v>
      </c>
      <c r="AA233" s="6">
        <f>IF((Tabela3[Lucro Líquido]*5%)&gt;Tabela3[Teto R. Legal],Tabela3[Teto R. Legal],Tabela3[Lucro Líquido]*5%)</f>
        <v>9562700</v>
      </c>
      <c r="AB233" s="6">
        <f>IF(Tabela3[Lucro Líquido]&lt;0,0,Tabela3[Lucro Líquido]-Tabela3[Reserva Legal])</f>
        <v>181691300</v>
      </c>
      <c r="AC233" s="6">
        <f>Tabela3[[#This Row],[Lucro Distribuir]]*Tabela3[%Div]</f>
        <v>45422825</v>
      </c>
      <c r="AD233" s="56">
        <f>SUMPRODUCT(N(Tabela3[Nome]=Tabela3[[#This Row],[Nome]]),Tabela3[Ações])</f>
        <v>1022205493</v>
      </c>
      <c r="AE233" s="6">
        <f>Tabela3[Capital Social]/Tabela3[Total Ações]</f>
        <v>2.2694872633109591</v>
      </c>
      <c r="AF233" s="78">
        <f>Tabela3[[#This Row],[Lucro Líquido]]/Tabela3[[#This Row],[Total Ações]]</f>
        <v>0.18709936633064053</v>
      </c>
      <c r="AG233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4.4436099503527123E-2</v>
      </c>
      <c r="AH233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33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33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4.4436099503527123E-2</v>
      </c>
      <c r="AK233" s="6">
        <f>Tabela3[Div Base]*Tabela3[Ações]</f>
        <v>22655426.680603765</v>
      </c>
      <c r="AL233" s="6">
        <f>SUMPRODUCT(N(Tabela3[Nome]=Tabela3[[#This Row],[Nome]]),Tabela3[Div Base]*Tabela3[Ações])</f>
        <v>78897402.643435329</v>
      </c>
      <c r="AM233" s="6">
        <f>Tabela3[Patrimônio Líquido]/Tabela3[Total Ações]</f>
        <v>3.3371068961766968</v>
      </c>
      <c r="AN233" s="48">
        <f>MAX(Tabela3[[#This Row],[Cotação 1]:[Cotação 5]])</f>
        <v>0</v>
      </c>
      <c r="AO233" s="44">
        <f>Tabela3[Cotação]/Tabela3[VPA]</f>
        <v>0</v>
      </c>
      <c r="AP233" s="40">
        <f>IF(Tabela3[[#This Row],[Lucro/Ação]]&gt;0,Tabela3[[#This Row],[Cotação]]/(Tabela3[[#This Row],[Lucro/Ação]]/Tabela3[Ref]*4),0)</f>
        <v>0</v>
      </c>
      <c r="AQ233" s="78">
        <f>Tabela3[Lucro Distribuir]/Tabela3[Total Ações]</f>
        <v>0.17774439801410849</v>
      </c>
      <c r="AR233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4.4436099503527123E-2</v>
      </c>
      <c r="AS233" s="15" t="str">
        <f>IF(AND(Tabela3[% A.A.]&gt;=6%,SUMPRODUCT(N(Tabela3[Nome]=Tabela3[[#This Row],[Nome]]),Tabela3[PL])&gt;0,Tabela3[Rentabilidade s/ PL]&gt;=Tabela3[Rentabilidade s/ PL Média]),"Sim","Não")</f>
        <v>Não</v>
      </c>
      <c r="AT233" s="42">
        <f>IF(Tabela3[Cotação]&gt;0,Tabela3[[#This Row],[Lucro]]/Tabela3[[#This Row],[Cotação]],0)</f>
        <v>0</v>
      </c>
      <c r="AU233" s="19">
        <f>((1+Tabela3[[#This Row],[% Yield]])^(1/(3*Tabela3[[#This Row],[Ref]])))^(12)-1</f>
        <v>0</v>
      </c>
      <c r="AV233" s="14">
        <f>IF(Tabela3[Cotação]&gt;0,($BD$1/Tabela3[[#This Row],[Cotação]]-MOD($BD$1/Tabela3[[#This Row],[Cotação]],100)),)</f>
        <v>0</v>
      </c>
      <c r="AW233" s="17">
        <f>Tabela3[[#This Row],[Ativos]]*Tabela3[Lucro]</f>
        <v>0</v>
      </c>
      <c r="AX233" s="13">
        <f>SUMPRODUCT(N(Tabela1[Código]=Tabela3[[#This Row],[PAPEL]]),Tabela1[Fechamento])</f>
        <v>0</v>
      </c>
      <c r="AY233" s="13">
        <f>SUMPRODUCT(N(Tabela17[Código]=Tabela3[[#This Row],[PAPEL]]),Tabela17[Fechamento])</f>
        <v>0</v>
      </c>
      <c r="AZ233" s="7">
        <f>SUMPRODUCT(N(Tabela176[Código]=Tabela3[[#This Row],[PAPEL]]),Tabela176[Fechamento])</f>
        <v>0</v>
      </c>
      <c r="BA233" s="7">
        <f>SUMPRODUCT(N(Tabela1768[Código]=Tabela3[[#This Row],[PAPEL]]),Tabela1768[Fechamento])</f>
        <v>0</v>
      </c>
      <c r="BB233" s="7">
        <f>SUMPRODUCT(N(Tabela17683[Código]=Tabela3[[#This Row],[PAPEL]]),Tabela17683[Fechamento])</f>
        <v>0</v>
      </c>
    </row>
    <row r="234" spans="1:54" hidden="1" x14ac:dyDescent="0.2">
      <c r="A234" s="3" t="s">
        <v>346</v>
      </c>
      <c r="B234" s="58" t="s">
        <v>355</v>
      </c>
      <c r="C234" s="83" t="str">
        <f>LEFT(Tabela3[PAPEL],LEN(Tabela3[PAPEL])-(LEN(Tabela3[PAPEL])-4))</f>
        <v>IGTA</v>
      </c>
      <c r="D234" s="16">
        <v>3</v>
      </c>
      <c r="E234" s="5">
        <v>1261727567.1199999</v>
      </c>
      <c r="F234" s="21">
        <v>176611578</v>
      </c>
      <c r="G234" s="86">
        <v>0.25</v>
      </c>
      <c r="H234" s="16"/>
      <c r="J234" s="18"/>
      <c r="K234" s="87"/>
      <c r="L234" s="87"/>
      <c r="M234" s="54"/>
      <c r="N234" s="54"/>
      <c r="O234" s="54"/>
      <c r="P234" s="5">
        <v>2302519000</v>
      </c>
      <c r="Q234" s="5">
        <v>128087000</v>
      </c>
      <c r="R234" s="5">
        <f>IF(Tabela3[[#This Row],[Ativo || Passivo]]&gt;0,Tabela3[[#This Row],[Ativo || Passivo]]-Tabela3[[#This Row],[Patrimônio Líquido]],0)</f>
        <v>0</v>
      </c>
      <c r="S234" s="5">
        <f>Tabela3[[#This Row],[Cotação]]*Tabela3[[#This Row],[Total Ações]]</f>
        <v>3576384454.5</v>
      </c>
      <c r="T234" s="132">
        <f>IF(Tabela3[[#This Row],[Passivo Circulante]]&gt;0,Tabela3[[#This Row],[Ativo Circulante]]/Tabela3[[#This Row],[Passivo Circulante]],0)</f>
        <v>0</v>
      </c>
      <c r="U234" s="132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34" s="18">
        <f>IF(Tabela3[[#This Row],[Lucro Líquido]]&gt;0,Tabela3[[#This Row],[Lucro Líquido]]/Tabela3[[#This Row],[Patrimônio Líquido]],0)</f>
        <v>5.5629074070615701E-2</v>
      </c>
      <c r="W234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34" s="18">
        <f>IF(Tabela3[[#This Row],[Dívida]]&gt;0,Tabela3[[#This Row],[Dívida]]/Tabela3[[#This Row],[Patrimônio Líquido]],0)</f>
        <v>0</v>
      </c>
      <c r="Y234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34" s="5">
        <f>Tabela3[[#This Row],[Capital Social]]*20%</f>
        <v>252345513.42399999</v>
      </c>
      <c r="AA234" s="5">
        <f>IF((Tabela3[Lucro Líquido]*5%)&gt;Tabela3[Teto R. Legal],Tabela3[Teto R. Legal],Tabela3[Lucro Líquido]*5%)</f>
        <v>6404350</v>
      </c>
      <c r="AB234" s="5">
        <f>IF(Tabela3[Lucro Líquido]&lt;0,0,Tabela3[Lucro Líquido]-Tabela3[Reserva Legal])</f>
        <v>121682650</v>
      </c>
      <c r="AC234" s="5">
        <f>Tabela3[[#This Row],[Lucro Distribuir]]*Tabela3[%Div]</f>
        <v>30420662.5</v>
      </c>
      <c r="AD234" s="56">
        <f>SUMPRODUCT(N(Tabela3[Nome]=Tabela3[[#This Row],[Nome]]),Tabela3[Ações])</f>
        <v>176611578</v>
      </c>
      <c r="AE234" s="5">
        <f>Tabela3[Capital Social]/Tabela3[Total Ações]</f>
        <v>7.1440818399799353</v>
      </c>
      <c r="AF234" s="77">
        <f>Tabela3[[#This Row],[Lucro Líquido]]/Tabela3[[#This Row],[Total Ações]]</f>
        <v>0.72524690312205919</v>
      </c>
      <c r="AG234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0.17224613949148906</v>
      </c>
      <c r="AH234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34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34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0.17224613949148906</v>
      </c>
      <c r="AK234" s="5">
        <f>Tabela3[Div Base]*Tabela3[Ações]</f>
        <v>30420662.5</v>
      </c>
      <c r="AL234" s="5">
        <f>SUMPRODUCT(N(Tabela3[Nome]=Tabela3[[#This Row],[Nome]]),Tabela3[Div Base]*Tabela3[Ações])</f>
        <v>30420662.5</v>
      </c>
      <c r="AM234" s="5">
        <f>Tabela3[Patrimônio Líquido]/Tabela3[Total Ações]</f>
        <v>13.037191706650173</v>
      </c>
      <c r="AN234" s="52">
        <f>MAX(Tabela3[[#This Row],[Cotação 1]:[Cotação 5]])</f>
        <v>20.25</v>
      </c>
      <c r="AO234" s="53">
        <f>Tabela3[Cotação]/Tabela3[VPA]</f>
        <v>1.553248617926714</v>
      </c>
      <c r="AP234" s="37">
        <f>IF(Tabela3[[#This Row],[Lucro/Ação]]&gt;0,Tabela3[[#This Row],[Cotação]]/(Tabela3[[#This Row],[Lucro/Ação]]/Tabela3[Ref]*4),0)</f>
        <v>20.941144229117707</v>
      </c>
      <c r="AQ234" s="77">
        <f>Tabela3[Lucro Distribuir]/Tabela3[Total Ações]</f>
        <v>0.68898455796595626</v>
      </c>
      <c r="AR234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0.17224613949148906</v>
      </c>
      <c r="AS234" s="16" t="str">
        <f>IF(AND(Tabela3[% A.A.]&gt;=6%,SUMPRODUCT(N(Tabela3[Nome]=Tabela3[[#This Row],[Nome]]),Tabela3[PL])&gt;0,Tabela3[Rentabilidade s/ PL]&gt;=Tabela3[Rentabilidade s/ PL Média]),"Sim","Não")</f>
        <v>Não</v>
      </c>
      <c r="AT234" s="22">
        <f>IF(Tabela3[Cotação]&gt;0,Tabela3[[#This Row],[Lucro]]/Tabela3[[#This Row],[Cotação]],0)</f>
        <v>8.5059821971105714E-3</v>
      </c>
      <c r="AU234" s="18">
        <f>((1+Tabela3[[#This Row],[% Yield]])^(1/(3*Tabela3[[#This Row],[Ref]])))^(12)-1</f>
        <v>1.1357357475054064E-2</v>
      </c>
      <c r="AV234" s="10">
        <f>IF(Tabela3[Cotação]&gt;0,($BD$1/Tabela3[[#This Row],[Cotação]]-MOD($BD$1/Tabela3[[#This Row],[Cotação]],100)),)</f>
        <v>0</v>
      </c>
      <c r="AW234" s="7">
        <f>Tabela3[[#This Row],[Ativos]]*Tabela3[Lucro]</f>
        <v>0</v>
      </c>
      <c r="AX234" s="47">
        <f>SUMPRODUCT(N(Tabela1[Código]=Tabela3[[#This Row],[PAPEL]]),Tabela1[Fechamento])</f>
        <v>0</v>
      </c>
      <c r="AY234" s="54">
        <f>SUMPRODUCT(N(Tabela17[Código]=Tabela3[[#This Row],[PAPEL]]),Tabela17[Fechamento])</f>
        <v>20.25</v>
      </c>
      <c r="AZ234" s="7">
        <f>SUMPRODUCT(N(Tabela176[Código]=Tabela3[[#This Row],[PAPEL]]),Tabela176[Fechamento])</f>
        <v>0</v>
      </c>
      <c r="BA234" s="7">
        <f>SUMPRODUCT(N(Tabela1768[Código]=Tabela3[[#This Row],[PAPEL]]),Tabela1768[Fechamento])</f>
        <v>0</v>
      </c>
      <c r="BB234" s="7">
        <f>SUMPRODUCT(N(Tabela17683[Código]=Tabela3[[#This Row],[PAPEL]]),Tabela17683[Fechamento])</f>
        <v>0</v>
      </c>
    </row>
    <row r="235" spans="1:54" hidden="1" x14ac:dyDescent="0.2">
      <c r="A235" s="4" t="s">
        <v>298</v>
      </c>
      <c r="B235" s="57" t="s">
        <v>731</v>
      </c>
      <c r="C235" s="15" t="str">
        <f>LEFT(Tabela3[PAPEL],LEN(Tabela3[PAPEL])-(LEN(Tabela3[PAPEL])-4))</f>
        <v>JBDU</v>
      </c>
      <c r="D235" s="15">
        <v>4</v>
      </c>
      <c r="E235" s="6">
        <v>96610827.730000004</v>
      </c>
      <c r="F235" s="8">
        <v>92915020</v>
      </c>
      <c r="G235" s="86">
        <v>0.25</v>
      </c>
      <c r="H235" s="15"/>
      <c r="I235" s="19"/>
      <c r="J235" s="19"/>
      <c r="K235" s="88"/>
      <c r="L235" s="88"/>
      <c r="M235" s="55"/>
      <c r="N235" s="55"/>
      <c r="O235" s="55"/>
      <c r="P235" s="92">
        <v>42441000</v>
      </c>
      <c r="Q235" s="93">
        <v>2353000</v>
      </c>
      <c r="R235" s="93">
        <f>IF(Tabela3[[#This Row],[Ativo || Passivo]]&gt;0,Tabela3[[#This Row],[Ativo || Passivo]]-Tabela3[[#This Row],[Patrimônio Líquido]],0)</f>
        <v>0</v>
      </c>
      <c r="S235" s="93">
        <f>Tabela3[[#This Row],[Cotação]]*Tabela3[[#This Row],[Total Ações]]</f>
        <v>75259395</v>
      </c>
      <c r="T235" s="40">
        <f>IF(Tabela3[[#This Row],[Passivo Circulante]]&gt;0,Tabela3[[#This Row],[Ativo Circulante]]/Tabela3[[#This Row],[Passivo Circulante]],0)</f>
        <v>0</v>
      </c>
      <c r="U235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35" s="19">
        <f>IF(Tabela3[[#This Row],[Lucro Líquido]]&gt;0,Tabela3[[#This Row],[Lucro Líquido]]/Tabela3[[#This Row],[Patrimônio Líquido]],0)</f>
        <v>5.5441671968144014E-2</v>
      </c>
      <c r="W235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35" s="19">
        <f>IF(Tabela3[[#This Row],[Dívida]]&gt;0,Tabela3[[#This Row],[Dívida]]/Tabela3[[#This Row],[Patrimônio Líquido]],0)</f>
        <v>0</v>
      </c>
      <c r="Y235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35" s="13">
        <f>Tabela3[[#This Row],[Capital Social]]*20%</f>
        <v>19322165.546</v>
      </c>
      <c r="AA235" s="13">
        <f>IF((Tabela3[Lucro Líquido]*5%)&gt;Tabela3[Teto R. Legal],Tabela3[Teto R. Legal],Tabela3[Lucro Líquido]*5%)</f>
        <v>117650</v>
      </c>
      <c r="AB235" s="13">
        <f>IF(Tabela3[Lucro Líquido]&lt;0,0,Tabela3[Lucro Líquido]-Tabela3[Reserva Legal])</f>
        <v>2235350</v>
      </c>
      <c r="AC235" s="13">
        <f>Tabela3[[#This Row],[Lucro Distribuir]]*Tabela3[%Div]</f>
        <v>558837.5</v>
      </c>
      <c r="AD235" s="21">
        <f>SUMPRODUCT(N(Tabela3[Nome]=Tabela3[[#This Row],[Nome]]),Tabela3[Ações])</f>
        <v>278738500</v>
      </c>
      <c r="AE235" s="6">
        <f>Tabela3[Capital Social]/Tabela3[Total Ações]</f>
        <v>0.34660022827847609</v>
      </c>
      <c r="AF235" s="78">
        <f>Tabela3[[#This Row],[Lucro Líquido]]/Tabela3[[#This Row],[Total Ações]]</f>
        <v>8.4416038688591641E-3</v>
      </c>
      <c r="AG235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2.0048809188540516E-3</v>
      </c>
      <c r="AH235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35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35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2.0048809188540516E-3</v>
      </c>
      <c r="AK235" s="13">
        <f>Tabela3[Div Base]*Tabela3[Ações]</f>
        <v>186283.55067294257</v>
      </c>
      <c r="AL235" s="13">
        <f>SUMPRODUCT(N(Tabela3[Nome]=Tabela3[[#This Row],[Nome]]),Tabela3[Div Base]*Tabela3[Ações])</f>
        <v>558837.5</v>
      </c>
      <c r="AM235" s="6">
        <f>Tabela3[Patrimônio Líquido]/Tabela3[Total Ações]</f>
        <v>0.1522609901395035</v>
      </c>
      <c r="AN235" s="48">
        <f>MAX(Tabela3[[#This Row],[Cotação 1]:[Cotação 5]])</f>
        <v>0.27</v>
      </c>
      <c r="AO235" s="44">
        <f>Tabela3[Cotação]/Tabela3[VPA]</f>
        <v>1.7732710115218777</v>
      </c>
      <c r="AP235" s="40">
        <f>IF(Tabela3[[#This Row],[Lucro/Ação]]&gt;0,Tabela3[[#This Row],[Cotação]]/(Tabela3[[#This Row],[Lucro/Ação]]/Tabela3[Ref]*4),0)</f>
        <v>31.984443263918404</v>
      </c>
      <c r="AQ235" s="78">
        <f>Tabela3[Lucro Distribuir]/Tabela3[Total Ações]</f>
        <v>8.0195236754162062E-3</v>
      </c>
      <c r="AR235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2.0048809188540516E-3</v>
      </c>
      <c r="AS235" s="14" t="str">
        <f>IF(AND(Tabela3[% A.A.]&gt;=6%,SUMPRODUCT(N(Tabela3[Nome]=Tabela3[[#This Row],[Nome]]),Tabela3[PL])&gt;0,Tabela3[Rentabilidade s/ PL]&gt;=Tabela3[Rentabilidade s/ PL Média]),"Sim","Não")</f>
        <v>Não</v>
      </c>
      <c r="AT235" s="42">
        <f>IF(Tabela3[Cotação]&gt;0,Tabela3[[#This Row],[Lucro]]/Tabela3[[#This Row],[Cotação]],0)</f>
        <v>7.4254848846446349E-3</v>
      </c>
      <c r="AU235" s="42">
        <f>((1+Tabela3[[#This Row],[% Yield]])^(1/(3*Tabela3[[#This Row],[Ref]])))^(12)-1</f>
        <v>7.4254848846435628E-3</v>
      </c>
      <c r="AV235" s="14">
        <f>IF(Tabela3[Cotação]&gt;0,($BD$1/Tabela3[[#This Row],[Cotação]]-MOD($BD$1/Tabela3[[#This Row],[Cotação]],100)),)</f>
        <v>0</v>
      </c>
      <c r="AW235" s="17">
        <f>Tabela3[[#This Row],[Ativos]]*Tabela3[Lucro]</f>
        <v>0</v>
      </c>
      <c r="AX235" s="17">
        <f>SUMPRODUCT(N(Tabela1[Código]=Tabela3[[#This Row],[PAPEL]]),Tabela1[Fechamento])</f>
        <v>0</v>
      </c>
      <c r="AY235" s="17">
        <f>SUMPRODUCT(N(Tabela17[Código]=Tabela3[[#This Row],[PAPEL]]),Tabela17[Fechamento])</f>
        <v>0</v>
      </c>
      <c r="AZ235" s="17">
        <f>SUMPRODUCT(N(Tabela176[Código]=Tabela3[[#This Row],[PAPEL]]),Tabela176[Fechamento])</f>
        <v>0.27</v>
      </c>
      <c r="BA235" s="17">
        <f>SUMPRODUCT(N(Tabela1768[Código]=Tabela3[[#This Row],[PAPEL]]),Tabela1768[Fechamento])</f>
        <v>0</v>
      </c>
      <c r="BB235" s="7">
        <f>SUMPRODUCT(N(Tabela17683[Código]=Tabela3[[#This Row],[PAPEL]]),Tabela17683[Fechamento])</f>
        <v>0</v>
      </c>
    </row>
    <row r="236" spans="1:54" hidden="1" x14ac:dyDescent="0.2">
      <c r="A236" s="4" t="s">
        <v>298</v>
      </c>
      <c r="B236" s="57" t="s">
        <v>732</v>
      </c>
      <c r="C236" s="15" t="str">
        <f>LEFT(Tabela3[PAPEL],LEN(Tabela3[PAPEL])-(LEN(Tabela3[PAPEL])-4))</f>
        <v>JBDU</v>
      </c>
      <c r="D236" s="15">
        <v>4</v>
      </c>
      <c r="E236" s="6">
        <v>96610827.730000004</v>
      </c>
      <c r="F236" s="8">
        <v>185823480</v>
      </c>
      <c r="G236" s="86">
        <v>0.25</v>
      </c>
      <c r="H236" s="15"/>
      <c r="I236" s="19"/>
      <c r="J236" s="19"/>
      <c r="K236" s="88"/>
      <c r="L236" s="88"/>
      <c r="M236" s="55"/>
      <c r="N236" s="55"/>
      <c r="O236" s="55"/>
      <c r="P236" s="92">
        <v>42441000</v>
      </c>
      <c r="Q236" s="93">
        <v>2353000</v>
      </c>
      <c r="R236" s="93">
        <f>IF(Tabela3[[#This Row],[Ativo || Passivo]]&gt;0,Tabela3[[#This Row],[Ativo || Passivo]]-Tabela3[[#This Row],[Patrimônio Líquido]],0)</f>
        <v>0</v>
      </c>
      <c r="S236" s="93">
        <f>Tabela3[[#This Row],[Cotação]]*Tabela3[[#This Row],[Total Ações]]</f>
        <v>52960315</v>
      </c>
      <c r="T236" s="40">
        <f>IF(Tabela3[[#This Row],[Passivo Circulante]]&gt;0,Tabela3[[#This Row],[Ativo Circulante]]/Tabela3[[#This Row],[Passivo Circulante]],0)</f>
        <v>0</v>
      </c>
      <c r="U236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36" s="19">
        <f>IF(Tabela3[[#This Row],[Lucro Líquido]]&gt;0,Tabela3[[#This Row],[Lucro Líquido]]/Tabela3[[#This Row],[Patrimônio Líquido]],0)</f>
        <v>5.5441671968144014E-2</v>
      </c>
      <c r="W236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36" s="19">
        <f>IF(Tabela3[[#This Row],[Dívida]]&gt;0,Tabela3[[#This Row],[Dívida]]/Tabela3[[#This Row],[Patrimônio Líquido]],0)</f>
        <v>0</v>
      </c>
      <c r="Y236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36" s="13">
        <f>Tabela3[[#This Row],[Capital Social]]*20%</f>
        <v>19322165.546</v>
      </c>
      <c r="AA236" s="13">
        <f>IF((Tabela3[Lucro Líquido]*5%)&gt;Tabela3[Teto R. Legal],Tabela3[Teto R. Legal],Tabela3[Lucro Líquido]*5%)</f>
        <v>117650</v>
      </c>
      <c r="AB236" s="13">
        <f>IF(Tabela3[Lucro Líquido]&lt;0,0,Tabela3[Lucro Líquido]-Tabela3[Reserva Legal])</f>
        <v>2235350</v>
      </c>
      <c r="AC236" s="13">
        <f>Tabela3[[#This Row],[Lucro Distribuir]]*Tabela3[%Div]</f>
        <v>558837.5</v>
      </c>
      <c r="AD236" s="21">
        <f>SUMPRODUCT(N(Tabela3[Nome]=Tabela3[[#This Row],[Nome]]),Tabela3[Ações])</f>
        <v>278738500</v>
      </c>
      <c r="AE236" s="6">
        <f>Tabela3[Capital Social]/Tabela3[Total Ações]</f>
        <v>0.34660022827847609</v>
      </c>
      <c r="AF236" s="78">
        <f>Tabela3[[#This Row],[Lucro Líquido]]/Tabela3[[#This Row],[Total Ações]]</f>
        <v>8.4416038688591641E-3</v>
      </c>
      <c r="AG236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2.0048809188540516E-3</v>
      </c>
      <c r="AH236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36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36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2.0048809188540516E-3</v>
      </c>
      <c r="AK236" s="13">
        <f>Tabela3[Div Base]*Tabela3[Ações]</f>
        <v>372553.94932705746</v>
      </c>
      <c r="AL236" s="13">
        <f>SUMPRODUCT(N(Tabela3[Nome]=Tabela3[[#This Row],[Nome]]),Tabela3[Div Base]*Tabela3[Ações])</f>
        <v>558837.5</v>
      </c>
      <c r="AM236" s="6">
        <f>Tabela3[Patrimônio Líquido]/Tabela3[Total Ações]</f>
        <v>0.1522609901395035</v>
      </c>
      <c r="AN236" s="48">
        <f>MAX(Tabela3[[#This Row],[Cotação 1]:[Cotação 5]])</f>
        <v>0.19</v>
      </c>
      <c r="AO236" s="44">
        <f>Tabela3[Cotação]/Tabela3[VPA]</f>
        <v>1.2478573784783582</v>
      </c>
      <c r="AP236" s="40">
        <f>IF(Tabela3[[#This Row],[Lucro/Ação]]&gt;0,Tabela3[[#This Row],[Cotação]]/(Tabela3[[#This Row],[Lucro/Ação]]/Tabela3[Ref]*4),0)</f>
        <v>22.507571185720355</v>
      </c>
      <c r="AQ236" s="78">
        <f>Tabela3[Lucro Distribuir]/Tabela3[Total Ações]</f>
        <v>8.0195236754162062E-3</v>
      </c>
      <c r="AR236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2.0048809188540516E-3</v>
      </c>
      <c r="AS236" s="14" t="str">
        <f>IF(AND(Tabela3[% A.A.]&gt;=6%,SUMPRODUCT(N(Tabela3[Nome]=Tabela3[[#This Row],[Nome]]),Tabela3[PL])&gt;0,Tabela3[Rentabilidade s/ PL]&gt;=Tabela3[Rentabilidade s/ PL Média]),"Sim","Não")</f>
        <v>Não</v>
      </c>
      <c r="AT236" s="42">
        <f>IF(Tabela3[Cotação]&gt;0,Tabela3[[#This Row],[Lucro]]/Tabela3[[#This Row],[Cotação]],0)</f>
        <v>1.0552004836073955E-2</v>
      </c>
      <c r="AU236" s="42">
        <f>((1+Tabela3[[#This Row],[% Yield]])^(1/(3*Tabela3[[#This Row],[Ref]])))^(12)-1</f>
        <v>1.0552004836073436E-2</v>
      </c>
      <c r="AV236" s="14">
        <f>IF(Tabela3[Cotação]&gt;0,($BD$1/Tabela3[[#This Row],[Cotação]]-MOD($BD$1/Tabela3[[#This Row],[Cotação]],100)),)</f>
        <v>0</v>
      </c>
      <c r="AW236" s="17">
        <f>Tabela3[[#This Row],[Ativos]]*Tabela3[Lucro]</f>
        <v>0</v>
      </c>
      <c r="AX236" s="17">
        <f>SUMPRODUCT(N(Tabela1[Código]=Tabela3[[#This Row],[PAPEL]]),Tabela1[Fechamento])</f>
        <v>0</v>
      </c>
      <c r="AY236" s="17">
        <f>SUMPRODUCT(N(Tabela17[Código]=Tabela3[[#This Row],[PAPEL]]),Tabela17[Fechamento])</f>
        <v>0</v>
      </c>
      <c r="AZ236" s="17">
        <f>SUMPRODUCT(N(Tabela176[Código]=Tabela3[[#This Row],[PAPEL]]),Tabela176[Fechamento])</f>
        <v>0.19</v>
      </c>
      <c r="BA236" s="17">
        <f>SUMPRODUCT(N(Tabela1768[Código]=Tabela3[[#This Row],[PAPEL]]),Tabela1768[Fechamento])</f>
        <v>0</v>
      </c>
      <c r="BB236" s="7">
        <f>SUMPRODUCT(N(Tabela17683[Código]=Tabela3[[#This Row],[PAPEL]]),Tabela17683[Fechamento])</f>
        <v>0</v>
      </c>
    </row>
    <row r="237" spans="1:54" hidden="1" x14ac:dyDescent="0.2">
      <c r="A237" s="3" t="s">
        <v>1425</v>
      </c>
      <c r="B237" s="57" t="s">
        <v>1412</v>
      </c>
      <c r="C237" s="16" t="str">
        <f>LEFT(Tabela3[PAPEL],LEN(Tabela3[PAPEL])-(LEN(Tabela3[PAPEL])-4))</f>
        <v>SOND</v>
      </c>
      <c r="D237" s="16">
        <v>3</v>
      </c>
      <c r="E237" s="5">
        <v>34200000</v>
      </c>
      <c r="F237" s="56">
        <v>856000</v>
      </c>
      <c r="G237" s="81">
        <v>0.25</v>
      </c>
      <c r="H237" s="87"/>
      <c r="J237" s="18"/>
      <c r="K237" s="16"/>
      <c r="L237" s="87"/>
      <c r="M237" s="54"/>
      <c r="N237" s="54"/>
      <c r="O237" s="54"/>
      <c r="P237" s="91">
        <v>89835000</v>
      </c>
      <c r="Q237" s="73">
        <v>4840000</v>
      </c>
      <c r="R237" s="73">
        <f>IF(Tabela3[[#This Row],[Ativo || Passivo]]&gt;0,Tabela3[[#This Row],[Ativo || Passivo]]-Tabela3[[#This Row],[Patrimônio Líquido]],0)</f>
        <v>0</v>
      </c>
      <c r="S237" s="73">
        <f>Tabela3[[#This Row],[Cotação]]*Tabela3[[#This Row],[Total Ações]]</f>
        <v>103231800</v>
      </c>
      <c r="T237" s="37">
        <f>IF(Tabela3[[#This Row],[Passivo Circulante]]&gt;0,Tabela3[[#This Row],[Ativo Circulante]]/Tabela3[[#This Row],[Passivo Circulante]],0)</f>
        <v>0</v>
      </c>
      <c r="U237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37" s="18">
        <f>IF(Tabela3[[#This Row],[Lucro Líquido]]&gt;0,Tabela3[[#This Row],[Lucro Líquido]]/Tabela3[[#This Row],[Patrimônio Líquido]],0)</f>
        <v>5.3876551455446092E-2</v>
      </c>
      <c r="W237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37" s="18">
        <f>IF(Tabela3[[#This Row],[Dívida]]&gt;0,Tabela3[[#This Row],[Dívida]]/Tabela3[[#This Row],[Patrimônio Líquido]],0)</f>
        <v>0</v>
      </c>
      <c r="Y237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37" s="7">
        <f>Tabela3[[#This Row],[Capital Social]]*20%</f>
        <v>6840000</v>
      </c>
      <c r="AA237" s="47">
        <f>IF((Tabela3[Lucro Líquido]*5%)&gt;Tabela3[Teto R. Legal],Tabela3[Teto R. Legal],Tabela3[Lucro Líquido]*5%)</f>
        <v>242000</v>
      </c>
      <c r="AB237" s="47">
        <f>IF(Tabela3[Lucro Líquido]&lt;0,0,Tabela3[Lucro Líquido]-Tabela3[Reserva Legal])</f>
        <v>4598000</v>
      </c>
      <c r="AC237" s="47">
        <f>Tabela3[[#This Row],[Lucro Distribuir]]*Tabela3[%Div]</f>
        <v>1149500</v>
      </c>
      <c r="AD237" s="56">
        <f>SUMPRODUCT(N(Tabela3[Nome]=Tabela3[[#This Row],[Nome]]),Tabela3[Ações])</f>
        <v>2457900</v>
      </c>
      <c r="AE237" s="85">
        <f>Tabela3[Capital Social]/Tabela3[Total Ações]</f>
        <v>13.914317099963384</v>
      </c>
      <c r="AF237" s="85">
        <f>Tabela3[[#This Row],[Lucro Líquido]]/Tabela3[[#This Row],[Total Ações]]</f>
        <v>1.9691606656088532</v>
      </c>
      <c r="AG237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0.45312448997571098</v>
      </c>
      <c r="AH237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37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37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237" s="7">
        <f>Tabela3[Div Base]*Tabela3[Ações]</f>
        <v>0</v>
      </c>
      <c r="AL237" s="121">
        <f>SUMPRODUCT(N(Tabela3[Nome]=Tabela3[[#This Row],[Nome]]),Tabela3[Div Base]*Tabela3[Ações])</f>
        <v>2228934.4562431341</v>
      </c>
      <c r="AM237" s="5">
        <f>Tabela3[Patrimônio Líquido]/Tabela3[Total Ações]</f>
        <v>36.549493470035394</v>
      </c>
      <c r="AN237" s="52">
        <f>MAX(Tabela3[[#This Row],[Cotação 1]:[Cotação 5]])</f>
        <v>42</v>
      </c>
      <c r="AO237" s="53">
        <f>Tabela3[Cotação]/Tabela3[VPA]</f>
        <v>1.1491267323426282</v>
      </c>
      <c r="AP237" s="37">
        <f>IF(Tabela3[[#This Row],[Lucro/Ação]]&gt;0,Tabela3[[#This Row],[Cotação]]/(Tabela3[[#This Row],[Lucro/Ação]]/Tabela3[Ref]*4),0)</f>
        <v>15.996663223140496</v>
      </c>
      <c r="AQ237" s="85">
        <f>Tabela3[Lucro Distribuir]/Tabela3[Total Ações]</f>
        <v>1.8707026323284104</v>
      </c>
      <c r="AR237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237" s="10" t="str">
        <f>IF(AND(Tabela3[% A.A.]&gt;=6%,SUMPRODUCT(N(Tabela3[Nome]=Tabela3[[#This Row],[Nome]]),Tabela3[PL])&gt;0,Tabela3[Rentabilidade s/ PL]&gt;=Tabela3[Rentabilidade s/ PL Média]),"Sim","Não")</f>
        <v>Não</v>
      </c>
      <c r="AT237" s="22">
        <f>IF(Tabela3[Cotação]&gt;0,Tabela3[[#This Row],[Lucro]]/Tabela3[[#This Row],[Cotação]],0)</f>
        <v>0</v>
      </c>
      <c r="AU237" s="22">
        <f>((1+Tabela3[[#This Row],[% Yield]])^(1/(3*Tabela3[[#This Row],[Ref]])))^(12)-1</f>
        <v>0</v>
      </c>
      <c r="AV237" s="10">
        <f>IF(Tabela3[Cotação]&gt;0,($BD$1/Tabela3[[#This Row],[Cotação]]-MOD($BD$1/Tabela3[[#This Row],[Cotação]],100)),)</f>
        <v>0</v>
      </c>
      <c r="AW237" s="7">
        <f>Tabela3[[#This Row],[Ativos]]*Tabela3[Lucro]</f>
        <v>0</v>
      </c>
      <c r="AX237" s="7">
        <f>SUMPRODUCT(N(Tabela1[Código]=Tabela3[[#This Row],[PAPEL]]),Tabela1[Fechamento])</f>
        <v>0</v>
      </c>
      <c r="AY237" s="7">
        <f>SUMPRODUCT(N(Tabela17[Código]=Tabela3[[#This Row],[PAPEL]]),Tabela17[Fechamento])</f>
        <v>0</v>
      </c>
      <c r="AZ237" s="7">
        <f>SUMPRODUCT(N(Tabela176[Código]=Tabela3[[#This Row],[PAPEL]]),Tabela176[Fechamento])</f>
        <v>0</v>
      </c>
      <c r="BA237" s="7">
        <f>SUMPRODUCT(N(Tabela1768[Código]=Tabela3[[#This Row],[PAPEL]]),Tabela1768[Fechamento])</f>
        <v>0</v>
      </c>
      <c r="BB237" s="7">
        <f>SUMPRODUCT(N(Tabela17683[Código]=Tabela3[[#This Row],[PAPEL]]),Tabela17683[Fechamento])</f>
        <v>42</v>
      </c>
    </row>
    <row r="238" spans="1:54" hidden="1" x14ac:dyDescent="0.2">
      <c r="A238" s="3" t="s">
        <v>1425</v>
      </c>
      <c r="B238" s="57" t="s">
        <v>1413</v>
      </c>
      <c r="C238" s="16" t="str">
        <f>LEFT(Tabela3[PAPEL],LEN(Tabela3[PAPEL])-(LEN(Tabela3[PAPEL])-4))</f>
        <v>SOND</v>
      </c>
      <c r="D238" s="16">
        <v>3</v>
      </c>
      <c r="E238" s="5">
        <v>34200000</v>
      </c>
      <c r="F238" s="56">
        <v>784600</v>
      </c>
      <c r="G238" s="81">
        <v>0.25</v>
      </c>
      <c r="H238" s="87"/>
      <c r="I238" s="18">
        <v>0.1</v>
      </c>
      <c r="J238" s="18">
        <v>0.1</v>
      </c>
      <c r="K238" s="16"/>
      <c r="L238" s="87"/>
      <c r="M238" s="54"/>
      <c r="N238" s="54"/>
      <c r="O238" s="54"/>
      <c r="P238" s="91">
        <v>89835000</v>
      </c>
      <c r="Q238" s="73">
        <v>4840000</v>
      </c>
      <c r="R238" s="73">
        <f>IF(Tabela3[[#This Row],[Ativo || Passivo]]&gt;0,Tabela3[[#This Row],[Ativo || Passivo]]-Tabela3[[#This Row],[Patrimônio Líquido]],0)</f>
        <v>0</v>
      </c>
      <c r="S238" s="73">
        <f>Tabela3[[#This Row],[Cotação]]*Tabela3[[#This Row],[Total Ações]]</f>
        <v>100773900</v>
      </c>
      <c r="T238" s="37">
        <f>IF(Tabela3[[#This Row],[Passivo Circulante]]&gt;0,Tabela3[[#This Row],[Ativo Circulante]]/Tabela3[[#This Row],[Passivo Circulante]],0)</f>
        <v>0</v>
      </c>
      <c r="U238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38" s="18">
        <f>IF(Tabela3[[#This Row],[Lucro Líquido]]&gt;0,Tabela3[[#This Row],[Lucro Líquido]]/Tabela3[[#This Row],[Patrimônio Líquido]],0)</f>
        <v>5.3876551455446092E-2</v>
      </c>
      <c r="W238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38" s="18">
        <f>IF(Tabela3[[#This Row],[Dívida]]&gt;0,Tabela3[[#This Row],[Dívida]]/Tabela3[[#This Row],[Patrimônio Líquido]],0)</f>
        <v>0</v>
      </c>
      <c r="Y238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38" s="7">
        <f>Tabela3[[#This Row],[Capital Social]]*20%</f>
        <v>6840000</v>
      </c>
      <c r="AA238" s="47">
        <f>IF((Tabela3[Lucro Líquido]*5%)&gt;Tabela3[Teto R. Legal],Tabela3[Teto R. Legal],Tabela3[Lucro Líquido]*5%)</f>
        <v>242000</v>
      </c>
      <c r="AB238" s="47">
        <f>IF(Tabela3[Lucro Líquido]&lt;0,0,Tabela3[Lucro Líquido]-Tabela3[Reserva Legal])</f>
        <v>4598000</v>
      </c>
      <c r="AC238" s="47">
        <f>Tabela3[[#This Row],[Lucro Distribuir]]*Tabela3[%Div]</f>
        <v>1149500</v>
      </c>
      <c r="AD238" s="56">
        <f>SUMPRODUCT(N(Tabela3[Nome]=Tabela3[[#This Row],[Nome]]),Tabela3[Ações])</f>
        <v>2457900</v>
      </c>
      <c r="AE238" s="85">
        <f>Tabela3[Capital Social]/Tabela3[Total Ações]</f>
        <v>13.914317099963384</v>
      </c>
      <c r="AF238" s="85">
        <f>Tabela3[[#This Row],[Lucro Líquido]]/Tabela3[[#This Row],[Total Ações]]</f>
        <v>1.9691606656088532</v>
      </c>
      <c r="AG238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0.49843693965608854</v>
      </c>
      <c r="AH238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38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1.3914317099963383</v>
      </c>
      <c r="AJ238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1.3914317099963383</v>
      </c>
      <c r="AK238" s="7">
        <f>Tabela3[Div Base]*Tabela3[Ações]</f>
        <v>1091717.319663127</v>
      </c>
      <c r="AL238" s="121">
        <f>SUMPRODUCT(N(Tabela3[Nome]=Tabela3[[#This Row],[Nome]]),Tabela3[Div Base]*Tabela3[Ações])</f>
        <v>2228934.4562431341</v>
      </c>
      <c r="AM238" s="5">
        <f>Tabela3[Patrimônio Líquido]/Tabela3[Total Ações]</f>
        <v>36.549493470035394</v>
      </c>
      <c r="AN238" s="52">
        <f>MAX(Tabela3[[#This Row],[Cotação 1]:[Cotação 5]])</f>
        <v>41</v>
      </c>
      <c r="AO238" s="53">
        <f>Tabela3[Cotação]/Tabela3[VPA]</f>
        <v>1.1217665720487562</v>
      </c>
      <c r="AP238" s="37">
        <f>IF(Tabela3[[#This Row],[Lucro/Ação]]&gt;0,Tabela3[[#This Row],[Cotação]]/(Tabela3[[#This Row],[Lucro/Ação]]/Tabela3[Ref]*4),0)</f>
        <v>15.615790289256198</v>
      </c>
      <c r="AQ238" s="85">
        <f>Tabela3[Lucro Distribuir]/Tabela3[Total Ações]</f>
        <v>1.8707026323284104</v>
      </c>
      <c r="AR238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1.3914317099963383</v>
      </c>
      <c r="AS238" s="10" t="str">
        <f>IF(AND(Tabela3[% A.A.]&gt;=6%,SUMPRODUCT(N(Tabela3[Nome]=Tabela3[[#This Row],[Nome]]),Tabela3[PL])&gt;0,Tabela3[Rentabilidade s/ PL]&gt;=Tabela3[Rentabilidade s/ PL Média]),"Sim","Não")</f>
        <v>Não</v>
      </c>
      <c r="AT238" s="22">
        <f>IF(Tabela3[Cotação]&gt;0,Tabela3[[#This Row],[Lucro]]/Tabela3[[#This Row],[Cotação]],0)</f>
        <v>3.3937358780398497E-2</v>
      </c>
      <c r="AU238" s="22">
        <f>((1+Tabela3[[#This Row],[% Yield]])^(1/(3*Tabela3[[#This Row],[Ref]])))^(12)-1</f>
        <v>4.5503851470041878E-2</v>
      </c>
      <c r="AV238" s="10">
        <f>IF(Tabela3[Cotação]&gt;0,($BD$1/Tabela3[[#This Row],[Cotação]]-MOD($BD$1/Tabela3[[#This Row],[Cotação]],100)),)</f>
        <v>0</v>
      </c>
      <c r="AW238" s="7">
        <f>Tabela3[[#This Row],[Ativos]]*Tabela3[Lucro]</f>
        <v>0</v>
      </c>
      <c r="AX238" s="7">
        <f>SUMPRODUCT(N(Tabela1[Código]=Tabela3[[#This Row],[PAPEL]]),Tabela1[Fechamento])</f>
        <v>0</v>
      </c>
      <c r="AY238" s="7">
        <f>SUMPRODUCT(N(Tabela17[Código]=Tabela3[[#This Row],[PAPEL]]),Tabela17[Fechamento])</f>
        <v>0</v>
      </c>
      <c r="AZ238" s="7">
        <f>SUMPRODUCT(N(Tabela176[Código]=Tabela3[[#This Row],[PAPEL]]),Tabela176[Fechamento])</f>
        <v>0</v>
      </c>
      <c r="BA238" s="7">
        <f>SUMPRODUCT(N(Tabela1768[Código]=Tabela3[[#This Row],[PAPEL]]),Tabela1768[Fechamento])</f>
        <v>0</v>
      </c>
      <c r="BB238" s="7">
        <f>SUMPRODUCT(N(Tabela17683[Código]=Tabela3[[#This Row],[PAPEL]]),Tabela17683[Fechamento])</f>
        <v>41</v>
      </c>
    </row>
    <row r="239" spans="1:54" hidden="1" x14ac:dyDescent="0.2">
      <c r="A239" s="3" t="s">
        <v>1425</v>
      </c>
      <c r="B239" s="57" t="s">
        <v>1414</v>
      </c>
      <c r="C239" s="16" t="str">
        <f>LEFT(Tabela3[PAPEL],LEN(Tabela3[PAPEL])-(LEN(Tabela3[PAPEL])-4))</f>
        <v>SOND</v>
      </c>
      <c r="D239" s="16">
        <v>3</v>
      </c>
      <c r="E239" s="5">
        <v>34200000</v>
      </c>
      <c r="F239" s="56">
        <v>817300</v>
      </c>
      <c r="G239" s="81">
        <v>0.25</v>
      </c>
      <c r="H239" s="87"/>
      <c r="I239" s="18">
        <v>0.1</v>
      </c>
      <c r="J239" s="18">
        <v>0.1</v>
      </c>
      <c r="K239" s="16"/>
      <c r="L239" s="87"/>
      <c r="M239" s="54"/>
      <c r="N239" s="54"/>
      <c r="O239" s="54"/>
      <c r="P239" s="91">
        <v>89835000</v>
      </c>
      <c r="Q239" s="73">
        <v>4840000</v>
      </c>
      <c r="R239" s="73">
        <f>IF(Tabela3[[#This Row],[Ativo || Passivo]]&gt;0,Tabela3[[#This Row],[Ativo || Passivo]]-Tabela3[[#This Row],[Patrimônio Líquido]],0)</f>
        <v>0</v>
      </c>
      <c r="S239" s="73">
        <f>Tabela3[[#This Row],[Cotação]]*Tabela3[[#This Row],[Total Ações]]</f>
        <v>108147600</v>
      </c>
      <c r="T239" s="37">
        <f>IF(Tabela3[[#This Row],[Passivo Circulante]]&gt;0,Tabela3[[#This Row],[Ativo Circulante]]/Tabela3[[#This Row],[Passivo Circulante]],0)</f>
        <v>0</v>
      </c>
      <c r="U239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39" s="18">
        <f>IF(Tabela3[[#This Row],[Lucro Líquido]]&gt;0,Tabela3[[#This Row],[Lucro Líquido]]/Tabela3[[#This Row],[Patrimônio Líquido]],0)</f>
        <v>5.3876551455446092E-2</v>
      </c>
      <c r="W239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39" s="18">
        <f>IF(Tabela3[[#This Row],[Dívida]]&gt;0,Tabela3[[#This Row],[Dívida]]/Tabela3[[#This Row],[Patrimônio Líquido]],0)</f>
        <v>0</v>
      </c>
      <c r="Y239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39" s="7">
        <f>Tabela3[[#This Row],[Capital Social]]*20%</f>
        <v>6840000</v>
      </c>
      <c r="AA239" s="47">
        <f>IF((Tabela3[Lucro Líquido]*5%)&gt;Tabela3[Teto R. Legal],Tabela3[Teto R. Legal],Tabela3[Lucro Líquido]*5%)</f>
        <v>242000</v>
      </c>
      <c r="AB239" s="47">
        <f>IF(Tabela3[Lucro Líquido]&lt;0,0,Tabela3[Lucro Líquido]-Tabela3[Reserva Legal])</f>
        <v>4598000</v>
      </c>
      <c r="AC239" s="47">
        <f>Tabela3[[#This Row],[Lucro Distribuir]]*Tabela3[%Div]</f>
        <v>1149500</v>
      </c>
      <c r="AD239" s="56">
        <f>SUMPRODUCT(N(Tabela3[Nome]=Tabela3[[#This Row],[Nome]]),Tabela3[Ações])</f>
        <v>2457900</v>
      </c>
      <c r="AE239" s="85">
        <f>Tabela3[Capital Social]/Tabela3[Total Ações]</f>
        <v>13.914317099963384</v>
      </c>
      <c r="AF239" s="85">
        <f>Tabela3[[#This Row],[Lucro Líquido]]/Tabela3[[#This Row],[Total Ações]]</f>
        <v>1.9691606656088532</v>
      </c>
      <c r="AG239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0.49843693965608854</v>
      </c>
      <c r="AH239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39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1.3914317099963383</v>
      </c>
      <c r="AJ239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1.3914317099963383</v>
      </c>
      <c r="AK239" s="7">
        <f>Tabela3[Div Base]*Tabela3[Ações]</f>
        <v>1137217.1365800072</v>
      </c>
      <c r="AL239" s="121">
        <f>SUMPRODUCT(N(Tabela3[Nome]=Tabela3[[#This Row],[Nome]]),Tabela3[Div Base]*Tabela3[Ações])</f>
        <v>2228934.4562431341</v>
      </c>
      <c r="AM239" s="5">
        <f>Tabela3[Patrimônio Líquido]/Tabela3[Total Ações]</f>
        <v>36.549493470035394</v>
      </c>
      <c r="AN239" s="52">
        <f>MAX(Tabela3[[#This Row],[Cotação 1]:[Cotação 5]])</f>
        <v>44</v>
      </c>
      <c r="AO239" s="53">
        <f>Tabela3[Cotação]/Tabela3[VPA]</f>
        <v>1.2038470529303724</v>
      </c>
      <c r="AP239" s="37">
        <f>IF(Tabela3[[#This Row],[Lucro/Ação]]&gt;0,Tabela3[[#This Row],[Cotação]]/(Tabela3[[#This Row],[Lucro/Ação]]/Tabela3[Ref]*4),0)</f>
        <v>16.75840909090909</v>
      </c>
      <c r="AQ239" s="85">
        <f>Tabela3[Lucro Distribuir]/Tabela3[Total Ações]</f>
        <v>1.8707026323284104</v>
      </c>
      <c r="AR239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1.3914317099963383</v>
      </c>
      <c r="AS239" s="10" t="str">
        <f>IF(AND(Tabela3[% A.A.]&gt;=6%,SUMPRODUCT(N(Tabela3[Nome]=Tabela3[[#This Row],[Nome]]),Tabela3[PL])&gt;0,Tabela3[Rentabilidade s/ PL]&gt;=Tabela3[Rentabilidade s/ PL Média]),"Sim","Não")</f>
        <v>Não</v>
      </c>
      <c r="AT239" s="22">
        <f>IF(Tabela3[Cotação]&gt;0,Tabela3[[#This Row],[Lucro]]/Tabela3[[#This Row],[Cotação]],0)</f>
        <v>3.162344795446223E-2</v>
      </c>
      <c r="AU239" s="22">
        <f>((1+Tabela3[[#This Row],[% Yield]])^(1/(3*Tabela3[[#This Row],[Ref]])))^(12)-1</f>
        <v>4.2385287449836717E-2</v>
      </c>
      <c r="AV239" s="10">
        <f>IF(Tabela3[Cotação]&gt;0,($BD$1/Tabela3[[#This Row],[Cotação]]-MOD($BD$1/Tabela3[[#This Row],[Cotação]],100)),)</f>
        <v>0</v>
      </c>
      <c r="AW239" s="7">
        <f>Tabela3[[#This Row],[Ativos]]*Tabela3[Lucro]</f>
        <v>0</v>
      </c>
      <c r="AX239" s="7">
        <f>SUMPRODUCT(N(Tabela1[Código]=Tabela3[[#This Row],[PAPEL]]),Tabela1[Fechamento])</f>
        <v>0</v>
      </c>
      <c r="AY239" s="7">
        <f>SUMPRODUCT(N(Tabela17[Código]=Tabela3[[#This Row],[PAPEL]]),Tabela17[Fechamento])</f>
        <v>0</v>
      </c>
      <c r="AZ239" s="7">
        <f>SUMPRODUCT(N(Tabela176[Código]=Tabela3[[#This Row],[PAPEL]]),Tabela176[Fechamento])</f>
        <v>0</v>
      </c>
      <c r="BA239" s="7">
        <f>SUMPRODUCT(N(Tabela1768[Código]=Tabela3[[#This Row],[PAPEL]]),Tabela1768[Fechamento])</f>
        <v>0</v>
      </c>
      <c r="BB239" s="7">
        <f>SUMPRODUCT(N(Tabela17683[Código]=Tabela3[[#This Row],[PAPEL]]),Tabela17683[Fechamento])</f>
        <v>44</v>
      </c>
    </row>
    <row r="240" spans="1:54" hidden="1" x14ac:dyDescent="0.2">
      <c r="A240" s="4" t="s">
        <v>19</v>
      </c>
      <c r="B240" s="58" t="s">
        <v>187</v>
      </c>
      <c r="C240" s="14" t="str">
        <f>LEFT(Tabela3[PAPEL],LEN(Tabela3[PAPEL])-(LEN(Tabela3[PAPEL])-4))</f>
        <v>KLBN</v>
      </c>
      <c r="D240" s="15">
        <v>4</v>
      </c>
      <c r="E240" s="6">
        <v>2271500000</v>
      </c>
      <c r="F240" s="8">
        <v>345102174</v>
      </c>
      <c r="G240" s="86">
        <v>0.25</v>
      </c>
      <c r="H240" s="15"/>
      <c r="I240" s="19"/>
      <c r="J240" s="19"/>
      <c r="K240" s="88"/>
      <c r="L240" s="88"/>
      <c r="M240" s="55"/>
      <c r="N240" s="55"/>
      <c r="O240" s="55"/>
      <c r="P240" s="6">
        <v>5392667000</v>
      </c>
      <c r="Q240" s="6">
        <v>290097000</v>
      </c>
      <c r="R240" s="6">
        <f>IF(Tabela3[[#This Row],[Ativo || Passivo]]&gt;0,Tabela3[[#This Row],[Ativo || Passivo]]-Tabela3[[#This Row],[Patrimônio Líquido]],0)</f>
        <v>0</v>
      </c>
      <c r="S240" s="6">
        <f>Tabela3[[#This Row],[Cotação]]*Tabela3[[#This Row],[Total Ações]]</f>
        <v>11843392995.639999</v>
      </c>
      <c r="T240" s="134">
        <f>IF(Tabela3[[#This Row],[Passivo Circulante]]&gt;0,Tabela3[[#This Row],[Ativo Circulante]]/Tabela3[[#This Row],[Passivo Circulante]],0)</f>
        <v>0</v>
      </c>
      <c r="U240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40" s="19">
        <f>IF(Tabela3[[#This Row],[Lucro Líquido]]&gt;0,Tabela3[[#This Row],[Lucro Líquido]]/Tabela3[[#This Row],[Patrimônio Líquido]],0)</f>
        <v>5.3794717901179512E-2</v>
      </c>
      <c r="W240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40" s="19">
        <f>IF(Tabela3[[#This Row],[Dívida]]&gt;0,Tabela3[[#This Row],[Dívida]]/Tabela3[[#This Row],[Patrimônio Líquido]],0)</f>
        <v>0</v>
      </c>
      <c r="Y240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40" s="6">
        <f>Tabela3[[#This Row],[Capital Social]]*20%</f>
        <v>454300000</v>
      </c>
      <c r="AA240" s="6">
        <f>IF((Tabela3[Lucro Líquido]*5%)&gt;Tabela3[Teto R. Legal],Tabela3[Teto R. Legal],Tabela3[Lucro Líquido]*5%)</f>
        <v>14504850</v>
      </c>
      <c r="AB240" s="6">
        <f>IF(Tabela3[Lucro Líquido]&lt;0,0,Tabela3[Lucro Líquido]-Tabela3[Reserva Legal])</f>
        <v>275592150</v>
      </c>
      <c r="AC240" s="6">
        <f>Tabela3[[#This Row],[Lucro Distribuir]]*Tabela3[%Div]</f>
        <v>68898037.5</v>
      </c>
      <c r="AD240" s="56">
        <f>SUMPRODUCT(N(Tabela3[Nome]=Tabela3[[#This Row],[Nome]]),Tabela3[Ações])</f>
        <v>945957907</v>
      </c>
      <c r="AE240" s="6">
        <f>Tabela3[Capital Social]/Tabela3[Total Ações]</f>
        <v>2.4012696370431628</v>
      </c>
      <c r="AF240" s="78">
        <f>Tabela3[[#This Row],[Lucro Líquido]]/Tabela3[[#This Row],[Total Ações]]</f>
        <v>0.30667009372542831</v>
      </c>
      <c r="AG240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7.283414725978922E-2</v>
      </c>
      <c r="AH240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40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40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7.283414725978922E-2</v>
      </c>
      <c r="AK240" s="6">
        <f>Tabela3[Div Base]*Tabela3[Ações]</f>
        <v>25135222.560789403</v>
      </c>
      <c r="AL240" s="6">
        <f>SUMPRODUCT(N(Tabela3[Nome]=Tabela3[[#This Row],[Nome]]),Tabela3[Div Base]*Tabela3[Ações])</f>
        <v>68898037.5</v>
      </c>
      <c r="AM240" s="6">
        <f>Tabela3[Patrimônio Líquido]/Tabela3[Total Ações]</f>
        <v>5.700747316656237</v>
      </c>
      <c r="AN240" s="48">
        <f>MAX(Tabela3[[#This Row],[Cotação 1]:[Cotação 5]])</f>
        <v>12.52</v>
      </c>
      <c r="AO240" s="44">
        <f>Tabela3[Cotação]/Tabela3[VPA]</f>
        <v>2.1962032878425459</v>
      </c>
      <c r="AP240" s="40">
        <f>IF(Tabela3[[#This Row],[Lucro/Ação]]&gt;0,Tabela3[[#This Row],[Cotação]]/(Tabela3[[#This Row],[Lucro/Ação]]/Tabela3[Ref]*4),0)</f>
        <v>40.825630722275655</v>
      </c>
      <c r="AQ240" s="78">
        <f>Tabela3[Lucro Distribuir]/Tabela3[Total Ações]</f>
        <v>0.29133658903915688</v>
      </c>
      <c r="AR240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7.283414725978922E-2</v>
      </c>
      <c r="AS240" s="15" t="str">
        <f>IF(AND(Tabela3[% A.A.]&gt;=6%,SUMPRODUCT(N(Tabela3[Nome]=Tabela3[[#This Row],[Nome]]),Tabela3[PL])&gt;0,Tabela3[Rentabilidade s/ PL]&gt;=Tabela3[Rentabilidade s/ PL Média]),"Sim","Não")</f>
        <v>Não</v>
      </c>
      <c r="AT240" s="42">
        <f>IF(Tabela3[Cotação]&gt;0,Tabela3[[#This Row],[Lucro]]/Tabela3[[#This Row],[Cotação]],0)</f>
        <v>5.8174239025390751E-3</v>
      </c>
      <c r="AU240" s="19">
        <f>((1+Tabela3[[#This Row],[% Yield]])^(1/(3*Tabela3[[#This Row],[Ref]])))^(12)-1</f>
        <v>5.8174239025388097E-3</v>
      </c>
      <c r="AV240" s="14">
        <f>IF(Tabela3[Cotação]&gt;0,($BD$1/Tabela3[[#This Row],[Cotação]]-MOD($BD$1/Tabela3[[#This Row],[Cotação]],100)),)</f>
        <v>0</v>
      </c>
      <c r="AW240" s="17">
        <f>Tabela3[[#This Row],[Ativos]]*Tabela3[Lucro]</f>
        <v>0</v>
      </c>
      <c r="AX240" s="5">
        <f>SUMPRODUCT(N(Tabela1[Código]=Tabela3[[#This Row],[PAPEL]]),Tabela1[Fechamento])</f>
        <v>12.52</v>
      </c>
      <c r="AY240" s="5">
        <f>SUMPRODUCT(N(Tabela17[Código]=Tabela3[[#This Row],[PAPEL]]),Tabela17[Fechamento])</f>
        <v>0</v>
      </c>
      <c r="AZ240" s="7">
        <f>SUMPRODUCT(N(Tabela176[Código]=Tabela3[[#This Row],[PAPEL]]),Tabela176[Fechamento])</f>
        <v>0</v>
      </c>
      <c r="BA240" s="7">
        <f>SUMPRODUCT(N(Tabela1768[Código]=Tabela3[[#This Row],[PAPEL]]),Tabela1768[Fechamento])</f>
        <v>0</v>
      </c>
      <c r="BB240" s="7">
        <f>SUMPRODUCT(N(Tabela17683[Código]=Tabela3[[#This Row],[PAPEL]]),Tabela17683[Fechamento])</f>
        <v>0</v>
      </c>
    </row>
    <row r="241" spans="1:54" hidden="1" x14ac:dyDescent="0.2">
      <c r="A241" s="4" t="s">
        <v>19</v>
      </c>
      <c r="B241" s="58" t="s">
        <v>54</v>
      </c>
      <c r="C241" s="14" t="str">
        <f>LEFT(Tabela3[PAPEL],LEN(Tabela3[PAPEL])-(LEN(Tabela3[PAPEL])-4))</f>
        <v>KLBN</v>
      </c>
      <c r="D241" s="15">
        <v>4</v>
      </c>
      <c r="E241" s="6">
        <v>2271500000</v>
      </c>
      <c r="F241" s="8">
        <v>600855733</v>
      </c>
      <c r="G241" s="81">
        <v>0.25</v>
      </c>
      <c r="H241" s="15"/>
      <c r="I241" s="19"/>
      <c r="J241" s="19"/>
      <c r="K241" s="88"/>
      <c r="L241" s="88"/>
      <c r="M241" s="55"/>
      <c r="N241" s="55"/>
      <c r="O241" s="55"/>
      <c r="P241" s="6">
        <v>5392667000</v>
      </c>
      <c r="Q241" s="6">
        <v>290097000</v>
      </c>
      <c r="R241" s="6">
        <f>IF(Tabela3[[#This Row],[Ativo || Passivo]]&gt;0,Tabela3[[#This Row],[Ativo || Passivo]]-Tabela3[[#This Row],[Patrimônio Líquido]],0)</f>
        <v>0</v>
      </c>
      <c r="S241" s="6">
        <f>Tabela3[[#This Row],[Cotação]]*Tabela3[[#This Row],[Total Ações]]</f>
        <v>11389333200.279999</v>
      </c>
      <c r="T241" s="134">
        <f>IF(Tabela3[[#This Row],[Passivo Circulante]]&gt;0,Tabela3[[#This Row],[Ativo Circulante]]/Tabela3[[#This Row],[Passivo Circulante]],0)</f>
        <v>0</v>
      </c>
      <c r="U241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41" s="19">
        <f>IF(Tabela3[[#This Row],[Lucro Líquido]]&gt;0,Tabela3[[#This Row],[Lucro Líquido]]/Tabela3[[#This Row],[Patrimônio Líquido]],0)</f>
        <v>5.3794717901179512E-2</v>
      </c>
      <c r="W241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41" s="19">
        <f>IF(Tabela3[[#This Row],[Dívida]]&gt;0,Tabela3[[#This Row],[Dívida]]/Tabela3[[#This Row],[Patrimônio Líquido]],0)</f>
        <v>0</v>
      </c>
      <c r="Y241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41" s="6">
        <f>Tabela3[[#This Row],[Capital Social]]*20%</f>
        <v>454300000</v>
      </c>
      <c r="AA241" s="6">
        <f>IF((Tabela3[Lucro Líquido]*5%)&gt;Tabela3[Teto R. Legal],Tabela3[Teto R. Legal],Tabela3[Lucro Líquido]*5%)</f>
        <v>14504850</v>
      </c>
      <c r="AB241" s="6">
        <f>IF(Tabela3[Lucro Líquido]&lt;0,0,Tabela3[Lucro Líquido]-Tabela3[Reserva Legal])</f>
        <v>275592150</v>
      </c>
      <c r="AC241" s="6">
        <f>Tabela3[[#This Row],[Lucro Distribuir]]*Tabela3[%Div]</f>
        <v>68898037.5</v>
      </c>
      <c r="AD241" s="56">
        <f>SUMPRODUCT(N(Tabela3[Nome]=Tabela3[[#This Row],[Nome]]),Tabela3[Ações])</f>
        <v>945957907</v>
      </c>
      <c r="AE241" s="6">
        <f>Tabela3[Capital Social]/Tabela3[Total Ações]</f>
        <v>2.4012696370431628</v>
      </c>
      <c r="AF241" s="78">
        <f>Tabela3[[#This Row],[Lucro Líquido]]/Tabela3[[#This Row],[Total Ações]]</f>
        <v>0.30667009372542831</v>
      </c>
      <c r="AG241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7.283414725978922E-2</v>
      </c>
      <c r="AH241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41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41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7.283414725978922E-2</v>
      </c>
      <c r="AK241" s="6">
        <f>Tabela3[Div Base]*Tabela3[Ações]</f>
        <v>43762814.939210594</v>
      </c>
      <c r="AL241" s="6">
        <f>SUMPRODUCT(N(Tabela3[Nome]=Tabela3[[#This Row],[Nome]]),Tabela3[Div Base]*Tabela3[Ações])</f>
        <v>68898037.5</v>
      </c>
      <c r="AM241" s="6">
        <f>Tabela3[Patrimônio Líquido]/Tabela3[Total Ações]</f>
        <v>5.700747316656237</v>
      </c>
      <c r="AN241" s="48">
        <f>MAX(Tabela3[[#This Row],[Cotação 1]:[Cotação 5]])</f>
        <v>12.04</v>
      </c>
      <c r="AO241" s="44">
        <f>Tabela3[Cotação]/Tabela3[VPA]</f>
        <v>2.1120038007687105</v>
      </c>
      <c r="AP241" s="40">
        <f>IF(Tabela3[[#This Row],[Lucro/Ação]]&gt;0,Tabela3[[#This Row],[Cotação]]/(Tabela3[[#This Row],[Lucro/Ação]]/Tabela3[Ref]*4),0)</f>
        <v>39.260430822380101</v>
      </c>
      <c r="AQ241" s="78">
        <f>Tabela3[Lucro Distribuir]/Tabela3[Total Ações]</f>
        <v>0.29133658903915688</v>
      </c>
      <c r="AR241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7.283414725978922E-2</v>
      </c>
      <c r="AS241" s="15" t="str">
        <f>IF(AND(Tabela3[% A.A.]&gt;=6%,SUMPRODUCT(N(Tabela3[Nome]=Tabela3[[#This Row],[Nome]]),Tabela3[PL])&gt;0,Tabela3[Rentabilidade s/ PL]&gt;=Tabela3[Rentabilidade s/ PL Média]),"Sim","Não")</f>
        <v>Não</v>
      </c>
      <c r="AT241" s="42">
        <f>IF(Tabela3[Cotação]&gt;0,Tabela3[[#This Row],[Lucro]]/Tabela3[[#This Row],[Cotação]],0)</f>
        <v>6.0493477790522611E-3</v>
      </c>
      <c r="AU241" s="19">
        <f>((1+Tabela3[[#This Row],[% Yield]])^(1/(3*Tabela3[[#This Row],[Ref]])))^(12)-1</f>
        <v>6.0493477790521943E-3</v>
      </c>
      <c r="AV241" s="14">
        <f>IF(Tabela3[Cotação]&gt;0,($BD$1/Tabela3[[#This Row],[Cotação]]-MOD($BD$1/Tabela3[[#This Row],[Cotação]],100)),)</f>
        <v>0</v>
      </c>
      <c r="AW241" s="17">
        <f>Tabela3[[#This Row],[Ativos]]*Tabela3[Lucro]</f>
        <v>0</v>
      </c>
      <c r="AX241" s="5">
        <f>SUMPRODUCT(N(Tabela1[Código]=Tabela3[[#This Row],[PAPEL]]),Tabela1[Fechamento])</f>
        <v>12.04</v>
      </c>
      <c r="AY241" s="5">
        <f>SUMPRODUCT(N(Tabela17[Código]=Tabela3[[#This Row],[PAPEL]]),Tabela17[Fechamento])</f>
        <v>0</v>
      </c>
      <c r="AZ241" s="7">
        <f>SUMPRODUCT(N(Tabela176[Código]=Tabela3[[#This Row],[PAPEL]]),Tabela176[Fechamento])</f>
        <v>0</v>
      </c>
      <c r="BA241" s="7">
        <f>SUMPRODUCT(N(Tabela1768[Código]=Tabela3[[#This Row],[PAPEL]]),Tabela1768[Fechamento])</f>
        <v>0</v>
      </c>
      <c r="BB241" s="7">
        <f>SUMPRODUCT(N(Tabela17683[Código]=Tabela3[[#This Row],[PAPEL]]),Tabela17683[Fechamento])</f>
        <v>0</v>
      </c>
    </row>
    <row r="242" spans="1:54" hidden="1" x14ac:dyDescent="0.2">
      <c r="A242" s="4" t="s">
        <v>365</v>
      </c>
      <c r="B242" s="57" t="s">
        <v>369</v>
      </c>
      <c r="C242" s="82" t="str">
        <f>LEFT(Tabela3[PAPEL],LEN(Tabela3[PAPEL])-(LEN(Tabela3[PAPEL])-4))</f>
        <v>CRIV</v>
      </c>
      <c r="D242" s="15">
        <v>3</v>
      </c>
      <c r="E242" s="6">
        <v>331000000</v>
      </c>
      <c r="F242" s="8">
        <v>59439005</v>
      </c>
      <c r="G242" s="81">
        <v>0.25</v>
      </c>
      <c r="H242" s="15"/>
      <c r="I242" s="19"/>
      <c r="J242" s="19"/>
      <c r="K242" s="88"/>
      <c r="L242" s="88"/>
      <c r="M242" s="13">
        <v>6125481000</v>
      </c>
      <c r="N242" s="13">
        <v>3927516000</v>
      </c>
      <c r="O242" s="13">
        <v>2307942000</v>
      </c>
      <c r="P242" s="6">
        <v>735745000</v>
      </c>
      <c r="Q242" s="6">
        <v>39503000</v>
      </c>
      <c r="R242" s="6">
        <f>IF(Tabela3[[#This Row],[Ativo || Passivo]]&gt;0,Tabela3[[#This Row],[Ativo || Passivo]]-Tabela3[[#This Row],[Patrimônio Líquido]],0)</f>
        <v>5389736000</v>
      </c>
      <c r="S242" s="6">
        <f>Tabela3[[#This Row],[Cotação]]*Tabela3[[#This Row],[Total Ações]]</f>
        <v>420948293.94</v>
      </c>
      <c r="T242" s="134">
        <f>IF(Tabela3[[#This Row],[Passivo Circulante]]&gt;0,Tabela3[[#This Row],[Ativo Circulante]]/Tabela3[[#This Row],[Passivo Circulante]],0)</f>
        <v>1.7017394717891525</v>
      </c>
      <c r="U242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42" s="19">
        <f>IF(Tabela3[[#This Row],[Lucro Líquido]]&gt;0,Tabela3[[#This Row],[Lucro Líquido]]/Tabela3[[#This Row],[Patrimônio Líquido]],0)</f>
        <v>5.3691156582783436E-2</v>
      </c>
      <c r="W242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42" s="19">
        <f>IF(Tabela3[[#This Row],[Dívida]]&gt;0,Tabela3[[#This Row],[Dívida]]/Tabela3[[#This Row],[Patrimônio Líquido]],0)</f>
        <v>7.3255489333940425</v>
      </c>
      <c r="Y242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42" s="6">
        <f>Tabela3[[#This Row],[Capital Social]]*20%</f>
        <v>66200000</v>
      </c>
      <c r="AA242" s="6">
        <f>IF((Tabela3[Lucro Líquido]*5%)&gt;Tabela3[Teto R. Legal],Tabela3[Teto R. Legal],Tabela3[Lucro Líquido]*5%)</f>
        <v>1975150</v>
      </c>
      <c r="AB242" s="6">
        <f>IF(Tabela3[Lucro Líquido]&lt;0,0,Tabela3[Lucro Líquido]-Tabela3[Reserva Legal])</f>
        <v>37527850</v>
      </c>
      <c r="AC242" s="6">
        <f>Tabela3[[#This Row],[Lucro Distribuir]]*Tabela3[%Div]</f>
        <v>9381962.5</v>
      </c>
      <c r="AD242" s="56">
        <f>SUMPRODUCT(N(Tabela3[Nome]=Tabela3[[#This Row],[Nome]]),Tabela3[Ações])</f>
        <v>105765903</v>
      </c>
      <c r="AE242" s="6">
        <f>Tabela3[Capital Social]/Tabela3[Total Ações]</f>
        <v>3.1295530091583483</v>
      </c>
      <c r="AF242" s="78">
        <f>Tabela3[[#This Row],[Lucro Líquido]]/Tabela3[[#This Row],[Total Ações]]</f>
        <v>0.37349466018363214</v>
      </c>
      <c r="AG242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8.8704981793612636E-2</v>
      </c>
      <c r="AH242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42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42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242" s="6">
        <f>Tabela3[Div Base]*Tabela3[Ações]</f>
        <v>0</v>
      </c>
      <c r="AL242" s="6">
        <f>SUMPRODUCT(N(Tabela3[Nome]=Tabela3[[#This Row],[Nome]]),Tabela3[Div Base]*Tabela3[Ações])</f>
        <v>11598598.643269751</v>
      </c>
      <c r="AM242" s="6">
        <f>Tabela3[Patrimônio Líquido]/Tabela3[Total Ações]</f>
        <v>6.9563534100399069</v>
      </c>
      <c r="AN242" s="48">
        <f>MAX(Tabela3[[#This Row],[Cotação 1]:[Cotação 5]])</f>
        <v>3.98</v>
      </c>
      <c r="AO242" s="44">
        <f>Tabela3[Cotação]/Tabela3[VPA]</f>
        <v>0.57213884421912486</v>
      </c>
      <c r="AP242" s="40">
        <f>IF(Tabela3[[#This Row],[Lucro/Ação]]&gt;0,Tabela3[[#This Row],[Cotação]]/(Tabela3[[#This Row],[Lucro/Ação]]/Tabela3[Ref]*4),0)</f>
        <v>7.9920821318634028</v>
      </c>
      <c r="AQ242" s="78">
        <f>Tabela3[Lucro Distribuir]/Tabela3[Total Ações]</f>
        <v>0.35481992717445054</v>
      </c>
      <c r="AR242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242" s="15" t="str">
        <f>IF(AND(Tabela3[% A.A.]&gt;=6%,SUMPRODUCT(N(Tabela3[Nome]=Tabela3[[#This Row],[Nome]]),Tabela3[PL])&gt;0,Tabela3[Rentabilidade s/ PL]&gt;=Tabela3[Rentabilidade s/ PL Média]),"Sim","Não")</f>
        <v>Não</v>
      </c>
      <c r="AT242" s="42">
        <f>IF(Tabela3[Cotação]&gt;0,Tabela3[[#This Row],[Lucro]]/Tabela3[[#This Row],[Cotação]],0)</f>
        <v>0</v>
      </c>
      <c r="AU242" s="19">
        <f>((1+Tabela3[[#This Row],[% Yield]])^(1/(3*Tabela3[[#This Row],[Ref]])))^(12)-1</f>
        <v>0</v>
      </c>
      <c r="AV242" s="14">
        <f>IF(Tabela3[Cotação]&gt;0,($BH$1/Tabela3[[#This Row],[Cotação]]-MOD($BH$1/Tabela3[[#This Row],[Cotação]],100)),)</f>
        <v>100</v>
      </c>
      <c r="AW242" s="17">
        <f>Tabela3[[#This Row],[Ativos]]*Tabela3[Lucro]</f>
        <v>0</v>
      </c>
      <c r="AX242" s="13">
        <f>SUMPRODUCT(N(Tabela1[Código]=Tabela3[[#This Row],[PAPEL]]),Tabela1[Fechamento])</f>
        <v>0</v>
      </c>
      <c r="AY242" s="55">
        <f>SUMPRODUCT(N(Tabela17[Código]=Tabela3[[#This Row],[PAPEL]]),Tabela17[Fechamento])</f>
        <v>3.98</v>
      </c>
      <c r="AZ242" s="7">
        <f>SUMPRODUCT(N(Tabela176[Código]=Tabela3[[#This Row],[PAPEL]]),Tabela176[Fechamento])</f>
        <v>0</v>
      </c>
      <c r="BA242" s="7">
        <f>SUMPRODUCT(N(Tabela1768[Código]=Tabela3[[#This Row],[PAPEL]]),Tabela1768[Fechamento])</f>
        <v>0</v>
      </c>
      <c r="BB242" s="7">
        <f>SUMPRODUCT(N(Tabela17683[Código]=Tabela3[[#This Row],[PAPEL]]),Tabela17683[Fechamento])</f>
        <v>0</v>
      </c>
    </row>
    <row r="243" spans="1:54" hidden="1" x14ac:dyDescent="0.2">
      <c r="A243" s="4" t="s">
        <v>365</v>
      </c>
      <c r="B243" s="57" t="s">
        <v>370</v>
      </c>
      <c r="C243" s="82" t="str">
        <f>LEFT(Tabela3[PAPEL],LEN(Tabela3[PAPEL])-(LEN(Tabela3[PAPEL])-4))</f>
        <v>CRIV</v>
      </c>
      <c r="D243" s="15">
        <v>3</v>
      </c>
      <c r="E243" s="6">
        <v>331000000</v>
      </c>
      <c r="F243" s="8">
        <v>46326898</v>
      </c>
      <c r="G243" s="86">
        <v>0.25</v>
      </c>
      <c r="H243" s="15"/>
      <c r="I243" s="19">
        <v>0.08</v>
      </c>
      <c r="J243" s="19"/>
      <c r="K243" s="88"/>
      <c r="L243" s="88"/>
      <c r="M243" s="13">
        <v>6125481000</v>
      </c>
      <c r="N243" s="13">
        <v>3927516000</v>
      </c>
      <c r="O243" s="13">
        <v>2307942000</v>
      </c>
      <c r="P243" s="6">
        <v>735745000</v>
      </c>
      <c r="Q243" s="6">
        <v>39503000</v>
      </c>
      <c r="R243" s="6">
        <f>IF(Tabela3[[#This Row],[Ativo || Passivo]]&gt;0,Tabela3[[#This Row],[Ativo || Passivo]]-Tabela3[[#This Row],[Patrimônio Líquido]],0)</f>
        <v>5389736000</v>
      </c>
      <c r="S243" s="13">
        <f>Tabela3[[#This Row],[Cotação]]*Tabela3[[#This Row],[Total Ações]]</f>
        <v>412487021.69999999</v>
      </c>
      <c r="T243" s="134">
        <f>IF(Tabela3[[#This Row],[Passivo Circulante]]&gt;0,Tabela3[[#This Row],[Ativo Circulante]]/Tabela3[[#This Row],[Passivo Circulante]],0)</f>
        <v>1.7017394717891525</v>
      </c>
      <c r="U243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43" s="19">
        <f>IF(Tabela3[[#This Row],[Lucro Líquido]]&gt;0,Tabela3[[#This Row],[Lucro Líquido]]/Tabela3[[#This Row],[Patrimônio Líquido]],0)</f>
        <v>5.3691156582783436E-2</v>
      </c>
      <c r="W243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43" s="19">
        <f>IF(Tabela3[[#This Row],[Dívida]]&gt;0,Tabela3[[#This Row],[Dívida]]/Tabela3[[#This Row],[Patrimônio Líquido]],0)</f>
        <v>7.3255489333940425</v>
      </c>
      <c r="Y243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43" s="6">
        <f>Tabela3[[#This Row],[Capital Social]]*20%</f>
        <v>66200000</v>
      </c>
      <c r="AA243" s="6">
        <f>IF((Tabela3[Lucro Líquido]*5%)&gt;Tabela3[Teto R. Legal],Tabela3[Teto R. Legal],Tabela3[Lucro Líquido]*5%)</f>
        <v>1975150</v>
      </c>
      <c r="AB243" s="6">
        <f>IF(Tabela3[Lucro Líquido]&lt;0,0,Tabela3[Lucro Líquido]-Tabela3[Reserva Legal])</f>
        <v>37527850</v>
      </c>
      <c r="AC243" s="6">
        <f>Tabela3[[#This Row],[Lucro Distribuir]]*Tabela3[%Div]</f>
        <v>9381962.5</v>
      </c>
      <c r="AD243" s="56">
        <f>SUMPRODUCT(N(Tabela3[Nome]=Tabela3[[#This Row],[Nome]]),Tabela3[Ações])</f>
        <v>105765903</v>
      </c>
      <c r="AE243" s="6">
        <f>Tabela3[Capital Social]/Tabela3[Total Ações]</f>
        <v>3.1295530091583483</v>
      </c>
      <c r="AF243" s="78">
        <f>Tabela3[[#This Row],[Lucro Líquido]]/Tabela3[[#This Row],[Total Ações]]</f>
        <v>0.37349466018363214</v>
      </c>
      <c r="AG243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8.8704981793612636E-2</v>
      </c>
      <c r="AH243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43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0.25036424073266789</v>
      </c>
      <c r="AJ243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0.25036424073266789</v>
      </c>
      <c r="AK243" s="6">
        <f>Tabela3[Div Base]*Tabela3[Ações]</f>
        <v>11598598.643269751</v>
      </c>
      <c r="AL243" s="6">
        <f>SUMPRODUCT(N(Tabela3[Nome]=Tabela3[[#This Row],[Nome]]),Tabela3[Div Base]*Tabela3[Ações])</f>
        <v>11598598.643269751</v>
      </c>
      <c r="AM243" s="6">
        <f>Tabela3[Patrimônio Líquido]/Tabela3[Total Ações]</f>
        <v>6.9563534100399069</v>
      </c>
      <c r="AN243" s="48">
        <f>MAX(Tabela3[[#This Row],[Cotação 1]:[Cotação 5]])</f>
        <v>3.9</v>
      </c>
      <c r="AO243" s="44">
        <f>Tabela3[Cotação]/Tabela3[VPA]</f>
        <v>0.56063856594336348</v>
      </c>
      <c r="AP243" s="40">
        <f>IF(Tabela3[[#This Row],[Lucro/Ação]]&gt;0,Tabela3[[#This Row],[Cotação]]/(Tabela3[[#This Row],[Lucro/Ação]]/Tabela3[Ref]*4),0)</f>
        <v>7.8314372648912745</v>
      </c>
      <c r="AQ243" s="78">
        <f>Tabela3[Lucro Distribuir]/Tabela3[Total Ações]</f>
        <v>0.35481992717445054</v>
      </c>
      <c r="AR243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0.25036424073266789</v>
      </c>
      <c r="AS243" s="15" t="str">
        <f>IF(AND(Tabela3[% A.A.]&gt;=6%,SUMPRODUCT(N(Tabela3[Nome]=Tabela3[[#This Row],[Nome]]),Tabela3[PL])&gt;0,Tabela3[Rentabilidade s/ PL]&gt;=Tabela3[Rentabilidade s/ PL Média]),"Sim","Não")</f>
        <v>Não</v>
      </c>
      <c r="AT243" s="42">
        <f>IF(Tabela3[Cotação]&gt;0,Tabela3[[#This Row],[Lucro]]/Tabela3[[#This Row],[Cotação]],0)</f>
        <v>6.4195959162222538E-2</v>
      </c>
      <c r="AU243" s="19">
        <f>((1+Tabela3[[#This Row],[% Yield]])^(1/(3*Tabela3[[#This Row],[Ref]])))^(12)-1</f>
        <v>8.6497690206354561E-2</v>
      </c>
      <c r="AV243" s="14">
        <f>IF(Tabela3[Cotação]&gt;0,($BH$1/Tabela3[[#This Row],[Cotação]]-MOD($BH$1/Tabela3[[#This Row],[Cotação]],100)),)</f>
        <v>100</v>
      </c>
      <c r="AW243" s="17">
        <f>Tabela3[[#This Row],[Ativos]]*Tabela3[Lucro]</f>
        <v>25.03642407326679</v>
      </c>
      <c r="AX243" s="13">
        <f>SUMPRODUCT(N(Tabela1[Código]=Tabela3[[#This Row],[PAPEL]]),Tabela1[Fechamento])</f>
        <v>0</v>
      </c>
      <c r="AY243" s="55">
        <f>SUMPRODUCT(N(Tabela17[Código]=Tabela3[[#This Row],[PAPEL]]),Tabela17[Fechamento])</f>
        <v>3.9</v>
      </c>
      <c r="AZ243" s="7">
        <f>SUMPRODUCT(N(Tabela176[Código]=Tabela3[[#This Row],[PAPEL]]),Tabela176[Fechamento])</f>
        <v>0</v>
      </c>
      <c r="BA243" s="7">
        <f>SUMPRODUCT(N(Tabela1768[Código]=Tabela3[[#This Row],[PAPEL]]),Tabela1768[Fechamento])</f>
        <v>0</v>
      </c>
      <c r="BB243" s="7">
        <f>SUMPRODUCT(N(Tabela17683[Código]=Tabela3[[#This Row],[PAPEL]]),Tabela17683[Fechamento])</f>
        <v>0</v>
      </c>
    </row>
    <row r="244" spans="1:54" hidden="1" x14ac:dyDescent="0.2">
      <c r="A244" s="4" t="s">
        <v>19</v>
      </c>
      <c r="B244" s="57" t="s">
        <v>185</v>
      </c>
      <c r="C244" s="14" t="str">
        <f>LEFT(Tabela3[PAPEL],LEN(Tabela3[PAPEL])-(LEN(Tabela3[PAPEL])-4))</f>
        <v>RANI</v>
      </c>
      <c r="D244" s="15">
        <v>3</v>
      </c>
      <c r="E244" s="6">
        <v>116894847.81</v>
      </c>
      <c r="F244" s="8">
        <v>153909975</v>
      </c>
      <c r="G244" s="81">
        <v>0.25</v>
      </c>
      <c r="H244" s="15"/>
      <c r="I244" s="19"/>
      <c r="J244" s="19"/>
      <c r="K244" s="88"/>
      <c r="L244" s="88"/>
      <c r="M244" s="55"/>
      <c r="N244" s="55"/>
      <c r="O244" s="55"/>
      <c r="P244" s="6">
        <v>460223000</v>
      </c>
      <c r="Q244" s="6">
        <v>24584000</v>
      </c>
      <c r="R244" s="6">
        <f>IF(Tabela3[[#This Row],[Ativo || Passivo]]&gt;0,Tabela3[[#This Row],[Ativo || Passivo]]-Tabela3[[#This Row],[Patrimônio Líquido]],0)</f>
        <v>0</v>
      </c>
      <c r="S244" s="6">
        <f>Tabela3[[#This Row],[Cotação]]*Tabela3[[#This Row],[Total Ações]]</f>
        <v>523501537.90000004</v>
      </c>
      <c r="T244" s="134">
        <f>IF(Tabela3[[#This Row],[Passivo Circulante]]&gt;0,Tabela3[[#This Row],[Ativo Circulante]]/Tabela3[[#This Row],[Passivo Circulante]],0)</f>
        <v>0</v>
      </c>
      <c r="U244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44" s="19">
        <f>IF(Tabela3[[#This Row],[Lucro Líquido]]&gt;0,Tabela3[[#This Row],[Lucro Líquido]]/Tabela3[[#This Row],[Patrimônio Líquido]],0)</f>
        <v>5.3417582345949684E-2</v>
      </c>
      <c r="W244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44" s="19">
        <f>IF(Tabela3[[#This Row],[Dívida]]&gt;0,Tabela3[[#This Row],[Dívida]]/Tabela3[[#This Row],[Patrimônio Líquido]],0)</f>
        <v>0</v>
      </c>
      <c r="Y244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44" s="6">
        <f>Tabela3[[#This Row],[Capital Social]]*20%</f>
        <v>23378969.562000003</v>
      </c>
      <c r="AA244" s="6">
        <f>IF((Tabela3[Lucro Líquido]*5%)&gt;Tabela3[Teto R. Legal],Tabela3[Teto R. Legal],Tabela3[Lucro Líquido]*5%)</f>
        <v>1229200</v>
      </c>
      <c r="AB244" s="6">
        <f>IF(Tabela3[Lucro Líquido]&lt;0,0,Tabela3[Lucro Líquido]-Tabela3[Reserva Legal])</f>
        <v>23354800</v>
      </c>
      <c r="AC244" s="6">
        <f>Tabela3[[#This Row],[Lucro Distribuir]]*Tabela3[%Div]</f>
        <v>5838700</v>
      </c>
      <c r="AD244" s="56">
        <f>SUMPRODUCT(N(Tabela3[Nome]=Tabela3[[#This Row],[Nome]]),Tabela3[Ações])</f>
        <v>166720235</v>
      </c>
      <c r="AE244" s="6">
        <f>Tabela3[Capital Social]/Tabela3[Total Ações]</f>
        <v>0.70114373225301663</v>
      </c>
      <c r="AF244" s="78">
        <f>Tabela3[[#This Row],[Lucro Líquido]]/Tabela3[[#This Row],[Total Ações]]</f>
        <v>0.14745660597227445</v>
      </c>
      <c r="AG244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3.5020943918415183E-2</v>
      </c>
      <c r="AH244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44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44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3.5020943918415183E-2</v>
      </c>
      <c r="AK244" s="6">
        <f>Tabela3[Div Base]*Tabela3[Ações]</f>
        <v>5390072.6029596832</v>
      </c>
      <c r="AL244" s="6">
        <f>SUMPRODUCT(N(Tabela3[Nome]=Tabela3[[#This Row],[Nome]]),Tabela3[Div Base]*Tabela3[Ações])</f>
        <v>5838700</v>
      </c>
      <c r="AM244" s="6">
        <f>Tabela3[Patrimônio Líquido]/Tabela3[Total Ações]</f>
        <v>2.760450763520097</v>
      </c>
      <c r="AN244" s="48">
        <f>MAX(Tabela3[[#This Row],[Cotação 1]:[Cotação 5]])</f>
        <v>3.14</v>
      </c>
      <c r="AO244" s="44">
        <f>Tabela3[Cotação]/Tabela3[VPA]</f>
        <v>1.1374953835423263</v>
      </c>
      <c r="AP244" s="40">
        <f>IF(Tabela3[[#This Row],[Lucro/Ação]]&gt;0,Tabela3[[#This Row],[Cotação]]/(Tabela3[[#This Row],[Lucro/Ação]]/Tabela3[Ref]*4),0)</f>
        <v>15.970800253213474</v>
      </c>
      <c r="AQ244" s="78">
        <f>Tabela3[Lucro Distribuir]/Tabela3[Total Ações]</f>
        <v>0.14008377567366073</v>
      </c>
      <c r="AR244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3.5020943918415183E-2</v>
      </c>
      <c r="AS244" s="15" t="str">
        <f>IF(AND(Tabela3[% A.A.]&gt;=6%,SUMPRODUCT(N(Tabela3[Nome]=Tabela3[[#This Row],[Nome]]),Tabela3[PL])&gt;0,Tabela3[Rentabilidade s/ PL]&gt;=Tabela3[Rentabilidade s/ PL Média]),"Sim","Não")</f>
        <v>Não</v>
      </c>
      <c r="AT244" s="42">
        <f>IF(Tabela3[Cotação]&gt;0,Tabela3[[#This Row],[Lucro]]/Tabela3[[#This Row],[Cotação]],0)</f>
        <v>1.1153166852998466E-2</v>
      </c>
      <c r="AU244" s="19">
        <f>((1+Tabela3[[#This Row],[% Yield]])^(1/(3*Tabela3[[#This Row],[Ref]])))^(12)-1</f>
        <v>1.489846385934479E-2</v>
      </c>
      <c r="AV244" s="14">
        <f>IF(Tabela3[Cotação]&gt;0,($BD$1/Tabela3[[#This Row],[Cotação]]-MOD($BD$1/Tabela3[[#This Row],[Cotação]],100)),)</f>
        <v>0</v>
      </c>
      <c r="AW244" s="17">
        <f>Tabela3[[#This Row],[Ativos]]*Tabela3[Lucro]</f>
        <v>0</v>
      </c>
      <c r="AX244" s="5">
        <f>SUMPRODUCT(N(Tabela1[Código]=Tabela3[[#This Row],[PAPEL]]),Tabela1[Fechamento])</f>
        <v>3.14</v>
      </c>
      <c r="AY244" s="5">
        <f>SUMPRODUCT(N(Tabela17[Código]=Tabela3[[#This Row],[PAPEL]]),Tabela17[Fechamento])</f>
        <v>0</v>
      </c>
      <c r="AZ244" s="7">
        <f>SUMPRODUCT(N(Tabela176[Código]=Tabela3[[#This Row],[PAPEL]]),Tabela176[Fechamento])</f>
        <v>0</v>
      </c>
      <c r="BA244" s="7">
        <f>SUMPRODUCT(N(Tabela1768[Código]=Tabela3[[#This Row],[PAPEL]]),Tabela1768[Fechamento])</f>
        <v>0</v>
      </c>
      <c r="BB244" s="7">
        <f>SUMPRODUCT(N(Tabela17683[Código]=Tabela3[[#This Row],[PAPEL]]),Tabela17683[Fechamento])</f>
        <v>0</v>
      </c>
    </row>
    <row r="245" spans="1:54" hidden="1" x14ac:dyDescent="0.2">
      <c r="A245" s="4" t="s">
        <v>19</v>
      </c>
      <c r="B245" s="57" t="s">
        <v>186</v>
      </c>
      <c r="C245" s="14" t="str">
        <f>LEFT(Tabela3[PAPEL],LEN(Tabela3[PAPEL])-(LEN(Tabela3[PAPEL])-4))</f>
        <v>RANI</v>
      </c>
      <c r="D245" s="15">
        <v>3</v>
      </c>
      <c r="E245" s="6">
        <v>116894847.81</v>
      </c>
      <c r="F245" s="8">
        <v>12810260</v>
      </c>
      <c r="G245" s="86">
        <v>0.25</v>
      </c>
      <c r="H245" s="15"/>
      <c r="I245" s="19"/>
      <c r="J245" s="19"/>
      <c r="K245" s="88"/>
      <c r="L245" s="88"/>
      <c r="M245" s="55"/>
      <c r="N245" s="55"/>
      <c r="O245" s="55"/>
      <c r="P245" s="6">
        <v>460223000</v>
      </c>
      <c r="Q245" s="6">
        <v>24584000</v>
      </c>
      <c r="R245" s="6">
        <f>IF(Tabela3[[#This Row],[Ativo || Passivo]]&gt;0,Tabela3[[#This Row],[Ativo || Passivo]]-Tabela3[[#This Row],[Patrimônio Líquido]],0)</f>
        <v>0</v>
      </c>
      <c r="S245" s="6">
        <f>Tabela3[[#This Row],[Cotação]]*Tabela3[[#This Row],[Total Ações]]</f>
        <v>583520822.5</v>
      </c>
      <c r="T245" s="134">
        <f>IF(Tabela3[[#This Row],[Passivo Circulante]]&gt;0,Tabela3[[#This Row],[Ativo Circulante]]/Tabela3[[#This Row],[Passivo Circulante]],0)</f>
        <v>0</v>
      </c>
      <c r="U245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45" s="19">
        <f>IF(Tabela3[[#This Row],[Lucro Líquido]]&gt;0,Tabela3[[#This Row],[Lucro Líquido]]/Tabela3[[#This Row],[Patrimônio Líquido]],0)</f>
        <v>5.3417582345949684E-2</v>
      </c>
      <c r="W245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45" s="19">
        <f>IF(Tabela3[[#This Row],[Dívida]]&gt;0,Tabela3[[#This Row],[Dívida]]/Tabela3[[#This Row],[Patrimônio Líquido]],0)</f>
        <v>0</v>
      </c>
      <c r="Y245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45" s="6">
        <f>Tabela3[[#This Row],[Capital Social]]*20%</f>
        <v>23378969.562000003</v>
      </c>
      <c r="AA245" s="6">
        <f>IF((Tabela3[Lucro Líquido]*5%)&gt;Tabela3[Teto R. Legal],Tabela3[Teto R. Legal],Tabela3[Lucro Líquido]*5%)</f>
        <v>1229200</v>
      </c>
      <c r="AB245" s="6">
        <f>IF(Tabela3[Lucro Líquido]&lt;0,0,Tabela3[Lucro Líquido]-Tabela3[Reserva Legal])</f>
        <v>23354800</v>
      </c>
      <c r="AC245" s="6">
        <f>Tabela3[[#This Row],[Lucro Distribuir]]*Tabela3[%Div]</f>
        <v>5838700</v>
      </c>
      <c r="AD245" s="56">
        <f>SUMPRODUCT(N(Tabela3[Nome]=Tabela3[[#This Row],[Nome]]),Tabela3[Ações])</f>
        <v>166720235</v>
      </c>
      <c r="AE245" s="6">
        <f>Tabela3[Capital Social]/Tabela3[Total Ações]</f>
        <v>0.70114373225301663</v>
      </c>
      <c r="AF245" s="78">
        <f>Tabela3[[#This Row],[Lucro Líquido]]/Tabela3[[#This Row],[Total Ações]]</f>
        <v>0.14745660597227445</v>
      </c>
      <c r="AG245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3.5020943918415183E-2</v>
      </c>
      <c r="AH245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45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45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3.5020943918415183E-2</v>
      </c>
      <c r="AK245" s="6">
        <f>Tabela3[Div Base]*Tabela3[Ações]</f>
        <v>448627.3970403173</v>
      </c>
      <c r="AL245" s="6">
        <f>SUMPRODUCT(N(Tabela3[Nome]=Tabela3[[#This Row],[Nome]]),Tabela3[Div Base]*Tabela3[Ações])</f>
        <v>5838700</v>
      </c>
      <c r="AM245" s="6">
        <f>Tabela3[Patrimônio Líquido]/Tabela3[Total Ações]</f>
        <v>2.760450763520097</v>
      </c>
      <c r="AN245" s="48">
        <f>MAX(Tabela3[[#This Row],[Cotação 1]:[Cotação 5]])</f>
        <v>3.5</v>
      </c>
      <c r="AO245" s="44">
        <f>Tabela3[Cotação]/Tabela3[VPA]</f>
        <v>1.2679088670057777</v>
      </c>
      <c r="AP245" s="40">
        <f>IF(Tabela3[[#This Row],[Lucro/Ação]]&gt;0,Tabela3[[#This Row],[Cotação]]/(Tabela3[[#This Row],[Lucro/Ação]]/Tabela3[Ref]*4),0)</f>
        <v>17.801847416002278</v>
      </c>
      <c r="AQ245" s="78">
        <f>Tabela3[Lucro Distribuir]/Tabela3[Total Ações]</f>
        <v>0.14008377567366073</v>
      </c>
      <c r="AR245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3.5020943918415183E-2</v>
      </c>
      <c r="AS245" s="15" t="str">
        <f>IF(AND(Tabela3[% A.A.]&gt;=6%,SUMPRODUCT(N(Tabela3[Nome]=Tabela3[[#This Row],[Nome]]),Tabela3[PL])&gt;0,Tabela3[Rentabilidade s/ PL]&gt;=Tabela3[Rentabilidade s/ PL Média]),"Sim","Não")</f>
        <v>Não</v>
      </c>
      <c r="AT245" s="42">
        <f>IF(Tabela3[Cotação]&gt;0,Tabela3[[#This Row],[Lucro]]/Tabela3[[#This Row],[Cotação]],0)</f>
        <v>1.0005983976690053E-2</v>
      </c>
      <c r="AU245" s="19">
        <f>((1+Tabela3[[#This Row],[% Yield]])^(1/(3*Tabela3[[#This Row],[Ref]])))^(12)-1</f>
        <v>1.3363511528291516E-2</v>
      </c>
      <c r="AV245" s="14">
        <f>IF(Tabela3[Cotação]&gt;0,($BD$1/Tabela3[[#This Row],[Cotação]]-MOD($BD$1/Tabela3[[#This Row],[Cotação]],100)),)</f>
        <v>0</v>
      </c>
      <c r="AW245" s="17">
        <f>Tabela3[[#This Row],[Ativos]]*Tabela3[Lucro]</f>
        <v>0</v>
      </c>
      <c r="AX245" s="5">
        <f>SUMPRODUCT(N(Tabela1[Código]=Tabela3[[#This Row],[PAPEL]]),Tabela1[Fechamento])</f>
        <v>3.5</v>
      </c>
      <c r="AY245" s="5">
        <f>SUMPRODUCT(N(Tabela17[Código]=Tabela3[[#This Row],[PAPEL]]),Tabela17[Fechamento])</f>
        <v>0</v>
      </c>
      <c r="AZ245" s="7">
        <f>SUMPRODUCT(N(Tabela176[Código]=Tabela3[[#This Row],[PAPEL]]),Tabela176[Fechamento])</f>
        <v>0</v>
      </c>
      <c r="BA245" s="7">
        <f>SUMPRODUCT(N(Tabela1768[Código]=Tabela3[[#This Row],[PAPEL]]),Tabela1768[Fechamento])</f>
        <v>0</v>
      </c>
      <c r="BB245" s="7">
        <f>SUMPRODUCT(N(Tabela17683[Código]=Tabela3[[#This Row],[PAPEL]]),Tabela17683[Fechamento])</f>
        <v>0</v>
      </c>
    </row>
    <row r="246" spans="1:54" hidden="1" x14ac:dyDescent="0.2">
      <c r="A246" s="3" t="s">
        <v>1709</v>
      </c>
      <c r="B246" s="58" t="s">
        <v>1674</v>
      </c>
      <c r="C246" s="16" t="str">
        <f>LEFT(Tabela3[PAPEL],LEN(Tabela3[PAPEL])-(LEN(Tabela3[PAPEL])-4))</f>
        <v>TUPY</v>
      </c>
      <c r="D246" s="16">
        <v>3</v>
      </c>
      <c r="E246" s="5">
        <v>537050760.03999996</v>
      </c>
      <c r="F246" s="56">
        <v>144177500</v>
      </c>
      <c r="G246" s="81">
        <v>0.25</v>
      </c>
      <c r="H246" s="87"/>
      <c r="J246" s="18"/>
      <c r="K246" s="16"/>
      <c r="L246" s="87"/>
      <c r="M246" s="54"/>
      <c r="N246" s="54"/>
      <c r="O246" s="54"/>
      <c r="P246" s="91">
        <v>1336998000</v>
      </c>
      <c r="Q246" s="73">
        <v>70175000</v>
      </c>
      <c r="R246" s="73">
        <f>IF(Tabela3[[#This Row],[Ativo || Passivo]]&gt;0,Tabela3[[#This Row],[Ativo || Passivo]]-Tabela3[[#This Row],[Patrimônio Líquido]],0)</f>
        <v>0</v>
      </c>
      <c r="S246" s="73">
        <f>Tabela3[[#This Row],[Cotação]]*Tabela3[[#This Row],[Total Ações]]</f>
        <v>2507246725</v>
      </c>
      <c r="T246" s="37">
        <f>IF(Tabela3[[#This Row],[Passivo Circulante]]&gt;0,Tabela3[[#This Row],[Ativo Circulante]]/Tabela3[[#This Row],[Passivo Circulante]],0)</f>
        <v>0</v>
      </c>
      <c r="U246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46" s="18">
        <f>IF(Tabela3[[#This Row],[Lucro Líquido]]&gt;0,Tabela3[[#This Row],[Lucro Líquido]]/Tabela3[[#This Row],[Patrimônio Líquido]],0)</f>
        <v>5.2486989509333594E-2</v>
      </c>
      <c r="W246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46" s="18">
        <f>IF(Tabela3[[#This Row],[Dívida]]&gt;0,Tabela3[[#This Row],[Dívida]]/Tabela3[[#This Row],[Patrimônio Líquido]],0)</f>
        <v>0</v>
      </c>
      <c r="Y246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46" s="7">
        <f>Tabela3[[#This Row],[Capital Social]]*20%</f>
        <v>107410152.008</v>
      </c>
      <c r="AA246" s="47">
        <f>IF((Tabela3[Lucro Líquido]*5%)&gt;Tabela3[Teto R. Legal],Tabela3[Teto R. Legal],Tabela3[Lucro Líquido]*5%)</f>
        <v>3508750</v>
      </c>
      <c r="AB246" s="47">
        <f>IF(Tabela3[Lucro Líquido]&lt;0,0,Tabela3[Lucro Líquido]-Tabela3[Reserva Legal])</f>
        <v>66666250</v>
      </c>
      <c r="AC246" s="47">
        <f>Tabela3[[#This Row],[Lucro Distribuir]]*Tabela3[%Div]</f>
        <v>16666562.5</v>
      </c>
      <c r="AD246" s="56">
        <f>SUMPRODUCT(N(Tabela3[Nome]=Tabela3[[#This Row],[Nome]]),Tabela3[Ações])</f>
        <v>144177500</v>
      </c>
      <c r="AE246" s="85">
        <f>Tabela3[Capital Social]/Tabela3[Total Ações]</f>
        <v>3.7249276762324217</v>
      </c>
      <c r="AF246" s="85">
        <f>Tabela3[[#This Row],[Lucro Líquido]]/Tabela3[[#This Row],[Total Ações]]</f>
        <v>0.48672643096183521</v>
      </c>
      <c r="AG246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0.11559752735343587</v>
      </c>
      <c r="AH246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46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46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0.11559752735343587</v>
      </c>
      <c r="AK246" s="7">
        <f>Tabela3[Div Base]*Tabela3[Ações]</f>
        <v>16666562.5</v>
      </c>
      <c r="AL246" s="121">
        <f>SUMPRODUCT(N(Tabela3[Nome]=Tabela3[[#This Row],[Nome]]),Tabela3[Div Base]*Tabela3[Ações])</f>
        <v>16666562.5</v>
      </c>
      <c r="AM246" s="5">
        <f>Tabela3[Patrimônio Líquido]/Tabela3[Total Ações]</f>
        <v>9.2732777305751597</v>
      </c>
      <c r="AN246" s="52">
        <f>MAX(Tabela3[[#This Row],[Cotação 1]:[Cotação 5]])</f>
        <v>17.39</v>
      </c>
      <c r="AO246" s="53">
        <f>Tabela3[Cotação]/Tabela3[VPA]</f>
        <v>1.8752808343767156</v>
      </c>
      <c r="AP246" s="37">
        <f>IF(Tabela3[[#This Row],[Lucro/Ação]]&gt;0,Tabela3[[#This Row],[Cotação]]/(Tabela3[[#This Row],[Lucro/Ação]]/Tabela3[Ref]*4),0)</f>
        <v>26.796366850730319</v>
      </c>
      <c r="AQ246" s="85">
        <f>Tabela3[Lucro Distribuir]/Tabela3[Total Ações]</f>
        <v>0.46239010941374348</v>
      </c>
      <c r="AR246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0.11559752735343587</v>
      </c>
      <c r="AS246" s="10" t="str">
        <f>IF(AND(Tabela3[% A.A.]&gt;=6%,SUMPRODUCT(N(Tabela3[Nome]=Tabela3[[#This Row],[Nome]]),Tabela3[PL])&gt;0,Tabela3[Rentabilidade s/ PL]&gt;=Tabela3[Rentabilidade s/ PL Média]),"Sim","Não")</f>
        <v>Não</v>
      </c>
      <c r="AT246" s="22">
        <f>IF(Tabela3[Cotação]&gt;0,Tabela3[[#This Row],[Lucro]]/Tabela3[[#This Row],[Cotação]],0)</f>
        <v>6.6473563745506536E-3</v>
      </c>
      <c r="AU246" s="22">
        <f>((1+Tabela3[[#This Row],[% Yield]])^(1/(3*Tabela3[[#This Row],[Ref]])))^(12)-1</f>
        <v>8.8729467780244153E-3</v>
      </c>
      <c r="AV246" s="10">
        <f>IF(Tabela3[Cotação]&gt;0,($BD$1/Tabela3[[#This Row],[Cotação]]-MOD($BD$1/Tabela3[[#This Row],[Cotação]],100)),)</f>
        <v>0</v>
      </c>
      <c r="AW246" s="7">
        <f>Tabela3[[#This Row],[Ativos]]*Tabela3[Lucro]</f>
        <v>0</v>
      </c>
      <c r="AX246" s="7">
        <f>SUMPRODUCT(N(Tabela1[Código]=Tabela3[[#This Row],[PAPEL]]),Tabela1[Fechamento])</f>
        <v>0</v>
      </c>
      <c r="AY246" s="7">
        <f>SUMPRODUCT(N(Tabela17[Código]=Tabela3[[#This Row],[PAPEL]]),Tabela17[Fechamento])</f>
        <v>0</v>
      </c>
      <c r="AZ246" s="7">
        <f>SUMPRODUCT(N(Tabela176[Código]=Tabela3[[#This Row],[PAPEL]]),Tabela176[Fechamento])</f>
        <v>0</v>
      </c>
      <c r="BA246" s="7">
        <f>SUMPRODUCT(N(Tabela1768[Código]=Tabela3[[#This Row],[PAPEL]]),Tabela1768[Fechamento])</f>
        <v>0</v>
      </c>
      <c r="BB246" s="7">
        <f>SUMPRODUCT(N(Tabela17683[Código]=Tabela3[[#This Row],[PAPEL]]),Tabela17683[Fechamento])</f>
        <v>17.39</v>
      </c>
    </row>
    <row r="247" spans="1:54" hidden="1" x14ac:dyDescent="0.2">
      <c r="A247" s="4" t="s">
        <v>244</v>
      </c>
      <c r="B247" s="57" t="s">
        <v>20</v>
      </c>
      <c r="C247" s="14" t="str">
        <f>LEFT(Tabela3[PAPEL],LEN(Tabela3[PAPEL])-(LEN(Tabela3[PAPEL])-4))</f>
        <v>PETR</v>
      </c>
      <c r="D247" s="15">
        <v>3</v>
      </c>
      <c r="E247" s="6">
        <v>205392136722.39001</v>
      </c>
      <c r="F247" s="8">
        <v>7442454142</v>
      </c>
      <c r="G247" s="86">
        <v>0.25</v>
      </c>
      <c r="H247" s="9"/>
      <c r="I247" s="9"/>
      <c r="J247" s="19"/>
      <c r="K247" s="88"/>
      <c r="L247" s="88"/>
      <c r="M247" s="13">
        <v>638921476000</v>
      </c>
      <c r="N247" s="13">
        <v>116736316000</v>
      </c>
      <c r="O247" s="13">
        <v>95151901000</v>
      </c>
      <c r="P247" s="6">
        <v>341312244000</v>
      </c>
      <c r="Q247" s="6">
        <v>17288839000</v>
      </c>
      <c r="R247" s="6">
        <f>IF(Tabela3[[#This Row],[Ativo || Passivo]]&gt;0,Tabela3[[#This Row],[Ativo || Passivo]]-Tabela3[[#This Row],[Patrimônio Líquido]],0)</f>
        <v>297609232000</v>
      </c>
      <c r="S247" s="6">
        <f>Tabela3[[#This Row],[Cotação]]*Tabela3[[#This Row],[Total Ações]]</f>
        <v>174144034015.5</v>
      </c>
      <c r="T247" s="134">
        <f>IF(Tabela3[[#This Row],[Passivo Circulante]]&gt;0,Tabela3[[#This Row],[Ativo Circulante]]/Tabela3[[#This Row],[Passivo Circulante]],0)</f>
        <v>1.2268416581608812</v>
      </c>
      <c r="U247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47" s="19">
        <f>IF(Tabela3[[#This Row],[Lucro Líquido]]&gt;0,Tabela3[[#This Row],[Lucro Líquido]]/Tabela3[[#This Row],[Patrimônio Líquido]],0)</f>
        <v>5.0654025174672608E-2</v>
      </c>
      <c r="W247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47" s="19">
        <f>IF(Tabela3[[#This Row],[Dívida]]&gt;0,Tabela3[[#This Row],[Dívida]]/Tabela3[[#This Row],[Patrimônio Líquido]],0)</f>
        <v>0.87195592080781026</v>
      </c>
      <c r="Y247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47" s="6">
        <f>Tabela3[[#This Row],[Capital Social]]*20%</f>
        <v>41078427344.478004</v>
      </c>
      <c r="AA247" s="6">
        <f>IF((Tabela3[Lucro Líquido]*5%)&gt;Tabela3[Teto R. Legal],Tabela3[Teto R. Legal],Tabela3[Lucro Líquido]*5%)</f>
        <v>864441950</v>
      </c>
      <c r="AB247" s="6">
        <f>IF(Tabela3[Lucro Líquido]&lt;0,0,Tabela3[Lucro Líquido]-Tabela3[Reserva Legal])</f>
        <v>16424397050</v>
      </c>
      <c r="AC247" s="6">
        <f>Tabela3[[#This Row],[Lucro Distribuir]]*Tabela3[%Div]</f>
        <v>4106099262.5</v>
      </c>
      <c r="AD247" s="56">
        <f>SUMPRODUCT(N(Tabela3[Nome]=Tabela3[[#This Row],[Nome]]),Tabela3[Ações])</f>
        <v>13044496930</v>
      </c>
      <c r="AE247" s="6">
        <f>Tabela3[Capital Social]/Tabela3[Total Ações]</f>
        <v>15.745500790454019</v>
      </c>
      <c r="AF247" s="78">
        <f>Tabela3[[#This Row],[Lucro Líquido]]/Tabela3[[#This Row],[Total Ações]]</f>
        <v>1.3253741476406633</v>
      </c>
      <c r="AG247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0.31477636006465753</v>
      </c>
      <c r="AH247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47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47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247" s="6">
        <f>Tabela3[Div Base]*Tabela3[Ações]</f>
        <v>0</v>
      </c>
      <c r="AL247" s="6">
        <f>SUMPRODUCT(N(Tabela3[Nome]=Tabela3[[#This Row],[Nome]]),Tabela3[Div Base]*Tabela3[Ações])</f>
        <v>4410348457.3305616</v>
      </c>
      <c r="AM247" s="6">
        <f>Tabela3[Patrimônio Líquido]/Tabela3[Total Ações]</f>
        <v>26.165228588849843</v>
      </c>
      <c r="AN247" s="48">
        <f>MAX(Tabela3[[#This Row],[Cotação 1]:[Cotação 5]])</f>
        <v>13.35</v>
      </c>
      <c r="AO247" s="44">
        <f>Tabela3[Cotação]/Tabela3[VPA]</f>
        <v>0.51021912362305988</v>
      </c>
      <c r="AP247" s="40">
        <f>IF(Tabela3[[#This Row],[Lucro/Ação]]&gt;0,Tabela3[[#This Row],[Cotação]]/(Tabela3[[#This Row],[Lucro/Ação]]/Tabela3[Ref]*4),0)</f>
        <v>7.5544705755907033</v>
      </c>
      <c r="AQ247" s="78">
        <f>Tabela3[Lucro Distribuir]/Tabela3[Total Ações]</f>
        <v>1.2591054402586301</v>
      </c>
      <c r="AR247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247" s="15" t="str">
        <f>IF(AND(Tabela3[% A.A.]&gt;=6%,SUMPRODUCT(N(Tabela3[Nome]=Tabela3[[#This Row],[Nome]]),Tabela3[PL])&gt;0,Tabela3[Rentabilidade s/ PL]&gt;=Tabela3[Rentabilidade s/ PL Média]),"Sim","Não")</f>
        <v>Não</v>
      </c>
      <c r="AT247" s="42">
        <f>IF(Tabela3[Cotação]&gt;0,Tabela3[[#This Row],[Lucro]]/Tabela3[[#This Row],[Cotação]],0)</f>
        <v>0</v>
      </c>
      <c r="AU247" s="19">
        <f>((1+Tabela3[[#This Row],[% Yield]])^(1/(3*Tabela3[[#This Row],[Ref]])))^(12)-1</f>
        <v>0</v>
      </c>
      <c r="AV247" s="14">
        <f>IF(Tabela3[Cotação]&gt;0,($BD$1/Tabela3[[#This Row],[Cotação]]-MOD($BD$1/Tabela3[[#This Row],[Cotação]],100)),)</f>
        <v>0</v>
      </c>
      <c r="AW247" s="17">
        <f>Tabela3[[#This Row],[Ativos]]*Tabela3[Lucro]</f>
        <v>0</v>
      </c>
      <c r="AX247" s="13">
        <f>SUMPRODUCT(N(Tabela1[Código]=Tabela3[[#This Row],[PAPEL]]),Tabela1[Fechamento])</f>
        <v>0</v>
      </c>
      <c r="AY247" s="13">
        <f>SUMPRODUCT(N(Tabela17[Código]=Tabela3[[#This Row],[PAPEL]]),Tabela17[Fechamento])</f>
        <v>13.35</v>
      </c>
      <c r="AZ247" s="7">
        <f>SUMPRODUCT(N(Tabela176[Código]=Tabela3[[#This Row],[PAPEL]]),Tabela176[Fechamento])</f>
        <v>0</v>
      </c>
      <c r="BA247" s="7">
        <f>SUMPRODUCT(N(Tabela1768[Código]=Tabela3[[#This Row],[PAPEL]]),Tabela1768[Fechamento])</f>
        <v>0</v>
      </c>
      <c r="BB247" s="7">
        <f>SUMPRODUCT(N(Tabela17683[Código]=Tabela3[[#This Row],[PAPEL]]),Tabela17683[Fechamento])</f>
        <v>0</v>
      </c>
    </row>
    <row r="248" spans="1:54" hidden="1" x14ac:dyDescent="0.2">
      <c r="A248" s="4" t="s">
        <v>244</v>
      </c>
      <c r="B248" s="57" t="s">
        <v>21</v>
      </c>
      <c r="C248" s="14" t="str">
        <f>LEFT(Tabela3[PAPEL],LEN(Tabela3[PAPEL])-(LEN(Tabela3[PAPEL])-4))</f>
        <v>PETR</v>
      </c>
      <c r="D248" s="15">
        <v>3</v>
      </c>
      <c r="E248" s="6">
        <v>205392136722.39001</v>
      </c>
      <c r="F248" s="8">
        <v>5602042788</v>
      </c>
      <c r="G248" s="81">
        <v>0.25</v>
      </c>
      <c r="H248" s="9">
        <v>0.03</v>
      </c>
      <c r="I248" s="9">
        <v>0.05</v>
      </c>
      <c r="J248" s="19"/>
      <c r="K248" s="88"/>
      <c r="L248" s="88"/>
      <c r="M248" s="13">
        <v>638921476000</v>
      </c>
      <c r="N248" s="13">
        <v>116736316000</v>
      </c>
      <c r="O248" s="13">
        <v>95151901000</v>
      </c>
      <c r="P248" s="6">
        <v>341312244000</v>
      </c>
      <c r="Q248" s="6">
        <v>17288839000</v>
      </c>
      <c r="R248" s="6">
        <f>IF(Tabela3[[#This Row],[Ativo || Passivo]]&gt;0,Tabela3[[#This Row],[Ativo || Passivo]]-Tabela3[[#This Row],[Patrimônio Líquido]],0)</f>
        <v>297609232000</v>
      </c>
      <c r="S248" s="13">
        <f>Tabela3[[#This Row],[Cotação]]*Tabela3[[#This Row],[Total Ações]]</f>
        <v>184188296651.59998</v>
      </c>
      <c r="T248" s="134">
        <f>IF(Tabela3[[#This Row],[Passivo Circulante]]&gt;0,Tabela3[[#This Row],[Ativo Circulante]]/Tabela3[[#This Row],[Passivo Circulante]],0)</f>
        <v>1.2268416581608812</v>
      </c>
      <c r="U248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48" s="19">
        <f>IF(Tabela3[[#This Row],[Lucro Líquido]]&gt;0,Tabela3[[#This Row],[Lucro Líquido]]/Tabela3[[#This Row],[Patrimônio Líquido]],0)</f>
        <v>5.0654025174672608E-2</v>
      </c>
      <c r="W248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48" s="19">
        <f>IF(Tabela3[[#This Row],[Dívida]]&gt;0,Tabela3[[#This Row],[Dívida]]/Tabela3[[#This Row],[Patrimônio Líquido]],0)</f>
        <v>0.87195592080781026</v>
      </c>
      <c r="Y248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48" s="6">
        <f>Tabela3[[#This Row],[Capital Social]]*20%</f>
        <v>41078427344.478004</v>
      </c>
      <c r="AA248" s="6">
        <f>IF((Tabela3[Lucro Líquido]*5%)&gt;Tabela3[Teto R. Legal],Tabela3[Teto R. Legal],Tabela3[Lucro Líquido]*5%)</f>
        <v>864441950</v>
      </c>
      <c r="AB248" s="6">
        <f>IF(Tabela3[Lucro Líquido]&lt;0,0,Tabela3[Lucro Líquido]-Tabela3[Reserva Legal])</f>
        <v>16424397050</v>
      </c>
      <c r="AC248" s="6">
        <f>Tabela3[[#This Row],[Lucro Distribuir]]*Tabela3[%Div]</f>
        <v>4106099262.5</v>
      </c>
      <c r="AD248" s="56">
        <f>SUMPRODUCT(N(Tabela3[Nome]=Tabela3[[#This Row],[Nome]]),Tabela3[Ações])</f>
        <v>13044496930</v>
      </c>
      <c r="AE248" s="6">
        <f>Tabela3[Capital Social]/Tabela3[Total Ações]</f>
        <v>15.745500790454019</v>
      </c>
      <c r="AF248" s="78">
        <f>Tabela3[[#This Row],[Lucro Líquido]]/Tabela3[[#This Row],[Total Ações]]</f>
        <v>1.3253741476406633</v>
      </c>
      <c r="AG248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0.31477636006465753</v>
      </c>
      <c r="AH248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0.78495685766549528</v>
      </c>
      <c r="AI248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0.78727503952270095</v>
      </c>
      <c r="AJ248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0.78727503952270095</v>
      </c>
      <c r="AK248" s="6">
        <f>Tabela3[Div Base]*Tabela3[Ações]</f>
        <v>4410348457.3305616</v>
      </c>
      <c r="AL248" s="6">
        <f>SUMPRODUCT(N(Tabela3[Nome]=Tabela3[[#This Row],[Nome]]),Tabela3[Div Base]*Tabela3[Ações])</f>
        <v>4410348457.3305616</v>
      </c>
      <c r="AM248" s="6">
        <f>Tabela3[Patrimônio Líquido]/Tabela3[Total Ações]</f>
        <v>26.165228588849843</v>
      </c>
      <c r="AN248" s="48">
        <f>MAX(Tabela3[[#This Row],[Cotação 1]:[Cotação 5]])</f>
        <v>14.12</v>
      </c>
      <c r="AO248" s="44">
        <f>Tabela3[Cotação]/Tabela3[VPA]</f>
        <v>0.53964749255113154</v>
      </c>
      <c r="AP248" s="40">
        <f>IF(Tabela3[[#This Row],[Lucro/Ação]]&gt;0,Tabela3[[#This Row],[Cotação]]/(Tabela3[[#This Row],[Lucro/Ação]]/Tabela3[Ref]*4),0)</f>
        <v>7.9901965938082942</v>
      </c>
      <c r="AQ248" s="78">
        <f>Tabela3[Lucro Distribuir]/Tabela3[Total Ações]</f>
        <v>1.2591054402586301</v>
      </c>
      <c r="AR248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0.78727503952270095</v>
      </c>
      <c r="AS248" s="15" t="str">
        <f>IF(AND(Tabela3[% A.A.]&gt;=6%,SUMPRODUCT(N(Tabela3[Nome]=Tabela3[[#This Row],[Nome]]),Tabela3[PL])&gt;0,Tabela3[Rentabilidade s/ PL]&gt;=Tabela3[Rentabilidade s/ PL Média]),"Sim","Não")</f>
        <v>Não</v>
      </c>
      <c r="AT248" s="42">
        <f>IF(Tabela3[Cotação]&gt;0,Tabela3[[#This Row],[Lucro]]/Tabela3[[#This Row],[Cotação]],0)</f>
        <v>5.5756022629086473E-2</v>
      </c>
      <c r="AU248" s="19">
        <f>((1+Tabela3[[#This Row],[% Yield]])^(1/(3*Tabela3[[#This Row],[Ref]])))^(12)-1</f>
        <v>7.5023826891836398E-2</v>
      </c>
      <c r="AV248" s="14">
        <f>IF(Tabela3[Cotação]&gt;0,($BH$1/Tabela3[[#This Row],[Cotação]]-MOD($BH$1/Tabela3[[#This Row],[Cotação]],100)),)</f>
        <v>0</v>
      </c>
      <c r="AW248" s="17">
        <f>Tabela3[[#This Row],[Ativos]]*Tabela3[Lucro]</f>
        <v>0</v>
      </c>
      <c r="AX248" s="13">
        <f>SUMPRODUCT(N(Tabela1[Código]=Tabela3[[#This Row],[PAPEL]]),Tabela1[Fechamento])</f>
        <v>0</v>
      </c>
      <c r="AY248" s="13">
        <f>SUMPRODUCT(N(Tabela17[Código]=Tabela3[[#This Row],[PAPEL]]),Tabela17[Fechamento])</f>
        <v>14.12</v>
      </c>
      <c r="AZ248" s="7">
        <f>SUMPRODUCT(N(Tabela176[Código]=Tabela3[[#This Row],[PAPEL]]),Tabela176[Fechamento])</f>
        <v>0</v>
      </c>
      <c r="BA248" s="7">
        <f>SUMPRODUCT(N(Tabela1768[Código]=Tabela3[[#This Row],[PAPEL]]),Tabela1768[Fechamento])</f>
        <v>0</v>
      </c>
      <c r="BB248" s="7">
        <f>SUMPRODUCT(N(Tabela17683[Código]=Tabela3[[#This Row],[PAPEL]]),Tabela17683[Fechamento])</f>
        <v>0</v>
      </c>
    </row>
    <row r="249" spans="1:54" hidden="1" x14ac:dyDescent="0.2">
      <c r="A249" s="3" t="s">
        <v>886</v>
      </c>
      <c r="B249" s="58" t="s">
        <v>890</v>
      </c>
      <c r="C249" s="16" t="str">
        <f>LEFT(Tabela3[PAPEL],LEN(Tabela3[PAPEL])-(LEN(Tabela3[PAPEL])-4))</f>
        <v>SLCE</v>
      </c>
      <c r="D249" s="16">
        <v>3</v>
      </c>
      <c r="E249" s="5">
        <v>557433909.85000002</v>
      </c>
      <c r="F249" s="56">
        <v>98897500</v>
      </c>
      <c r="G249" s="81">
        <v>0.25</v>
      </c>
      <c r="H249" s="87"/>
      <c r="J249" s="18"/>
      <c r="K249" s="16"/>
      <c r="L249" s="87"/>
      <c r="M249" s="54"/>
      <c r="N249" s="54"/>
      <c r="O249" s="54"/>
      <c r="P249" s="91">
        <v>2020656000</v>
      </c>
      <c r="Q249" s="73">
        <v>97449000</v>
      </c>
      <c r="R249" s="73">
        <f>IF(Tabela3[[#This Row],[Ativo || Passivo]]&gt;0,Tabela3[[#This Row],[Ativo || Passivo]]-Tabela3[[#This Row],[Patrimônio Líquido]],0)</f>
        <v>0</v>
      </c>
      <c r="S249" s="73">
        <f>Tabela3[[#This Row],[Cotação]]*Tabela3[[#This Row],[Total Ações]]</f>
        <v>1700048025.0000002</v>
      </c>
      <c r="T249" s="37">
        <f>IF(Tabela3[[#This Row],[Passivo Circulante]]&gt;0,Tabela3[[#This Row],[Ativo Circulante]]/Tabela3[[#This Row],[Passivo Circulante]],0)</f>
        <v>0</v>
      </c>
      <c r="U249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49" s="18">
        <f>IF(Tabela3[[#This Row],[Lucro Líquido]]&gt;0,Tabela3[[#This Row],[Lucro Líquido]]/Tabela3[[#This Row],[Patrimônio Líquido]],0)</f>
        <v>4.8226417559446039E-2</v>
      </c>
      <c r="W249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49" s="18">
        <f>IF(Tabela3[[#This Row],[Dívida]]&gt;0,Tabela3[[#This Row],[Dívida]]/Tabela3[[#This Row],[Patrimônio Líquido]],0)</f>
        <v>0</v>
      </c>
      <c r="Y249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49" s="7">
        <f>Tabela3[[#This Row],[Capital Social]]*20%</f>
        <v>111486781.97000001</v>
      </c>
      <c r="AA249" s="47">
        <f>IF((Tabela3[Lucro Líquido]*5%)&gt;Tabela3[Teto R. Legal],Tabela3[Teto R. Legal],Tabela3[Lucro Líquido]*5%)</f>
        <v>4872450</v>
      </c>
      <c r="AB249" s="47">
        <f>IF(Tabela3[Lucro Líquido]&lt;0,0,Tabela3[Lucro Líquido]-Tabela3[Reserva Legal])</f>
        <v>92576550</v>
      </c>
      <c r="AC249" s="47">
        <f>Tabela3[[#This Row],[Lucro Distribuir]]*Tabela3[%Div]</f>
        <v>23144137.5</v>
      </c>
      <c r="AD249" s="56">
        <f>SUMPRODUCT(N(Tabela3[Nome]=Tabela3[[#This Row],[Nome]]),Tabela3[Ações])</f>
        <v>98897500</v>
      </c>
      <c r="AE249" s="85">
        <f>Tabela3[Capital Social]/Tabela3[Total Ações]</f>
        <v>5.6364813048863729</v>
      </c>
      <c r="AF249" s="85">
        <f>Tabela3[[#This Row],[Lucro Líquido]]/Tabela3[[#This Row],[Total Ações]]</f>
        <v>0.98535352258651632</v>
      </c>
      <c r="AG249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0.23402146161429763</v>
      </c>
      <c r="AH249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49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49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0.23402146161429763</v>
      </c>
      <c r="AK249" s="7">
        <f>Tabela3[Div Base]*Tabela3[Ações]</f>
        <v>23144137.5</v>
      </c>
      <c r="AL249" s="7">
        <f>SUMPRODUCT(N(Tabela3[Nome]=Tabela3[[#This Row],[Nome]]),Tabela3[Div Base]*Tabela3[Ações])</f>
        <v>23144137.5</v>
      </c>
      <c r="AM249" s="5">
        <f>Tabela3[Patrimônio Líquido]/Tabela3[Total Ações]</f>
        <v>20.431820824591117</v>
      </c>
      <c r="AN249" s="52">
        <f>MAX(Tabela3[[#This Row],[Cotação 1]:[Cotação 5]])</f>
        <v>17.190000000000001</v>
      </c>
      <c r="AO249" s="53">
        <f>Tabela3[Cotação]/Tabela3[VPA]</f>
        <v>0.84133470763949936</v>
      </c>
      <c r="AP249" s="37">
        <f>IF(Tabela3[[#This Row],[Lucro/Ação]]&gt;0,Tabela3[[#This Row],[Cotação]]/(Tabela3[[#This Row],[Lucro/Ação]]/Tabela3[Ref]*4),0)</f>
        <v>13.084136509866701</v>
      </c>
      <c r="AQ249" s="85">
        <f>Tabela3[Lucro Distribuir]/Tabela3[Total Ações]</f>
        <v>0.93608584645719051</v>
      </c>
      <c r="AR249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0.23402146161429763</v>
      </c>
      <c r="AS249" s="10" t="str">
        <f>IF(AND(Tabela3[% A.A.]&gt;=6%,SUMPRODUCT(N(Tabela3[Nome]=Tabela3[[#This Row],[Nome]]),Tabela3[PL])&gt;0,Tabela3[Rentabilidade s/ PL]&gt;=Tabela3[Rentabilidade s/ PL Média]),"Sim","Não")</f>
        <v>Não</v>
      </c>
      <c r="AT249" s="22">
        <f>IF(Tabela3[Cotação]&gt;0,Tabela3[[#This Row],[Lucro]]/Tabela3[[#This Row],[Cotação]],0)</f>
        <v>1.3613813939167982E-2</v>
      </c>
      <c r="AU249" s="22">
        <f>((1+Tabela3[[#This Row],[% Yield]])^(1/(3*Tabela3[[#This Row],[Ref]])))^(12)-1</f>
        <v>1.819281378383919E-2</v>
      </c>
      <c r="AV249" s="10">
        <f>IF(Tabela3[Cotação]&gt;0,($BD$1/Tabela3[[#This Row],[Cotação]]-MOD($BD$1/Tabela3[[#This Row],[Cotação]],100)),)</f>
        <v>0</v>
      </c>
      <c r="AW249" s="7">
        <f>Tabela3[[#This Row],[Ativos]]*Tabela3[Lucro]</f>
        <v>0</v>
      </c>
      <c r="AX249" s="7">
        <f>SUMPRODUCT(N(Tabela1[Código]=Tabela3[[#This Row],[PAPEL]]),Tabela1[Fechamento])</f>
        <v>0</v>
      </c>
      <c r="AY249" s="7">
        <f>SUMPRODUCT(N(Tabela17[Código]=Tabela3[[#This Row],[PAPEL]]),Tabela17[Fechamento])</f>
        <v>0</v>
      </c>
      <c r="AZ249" s="7">
        <f>SUMPRODUCT(N(Tabela176[Código]=Tabela3[[#This Row],[PAPEL]]),Tabela176[Fechamento])</f>
        <v>0</v>
      </c>
      <c r="BA249" s="7">
        <f>SUMPRODUCT(N(Tabela1768[Código]=Tabela3[[#This Row],[PAPEL]]),Tabela1768[Fechamento])</f>
        <v>17.190000000000001</v>
      </c>
      <c r="BB249" s="7">
        <f>SUMPRODUCT(N(Tabela17683[Código]=Tabela3[[#This Row],[PAPEL]]),Tabela17683[Fechamento])</f>
        <v>0</v>
      </c>
    </row>
    <row r="250" spans="1:54" hidden="1" x14ac:dyDescent="0.2">
      <c r="A250" s="3" t="s">
        <v>269</v>
      </c>
      <c r="B250" s="58" t="s">
        <v>272</v>
      </c>
      <c r="C250" s="83" t="str">
        <f>LEFT(Tabela3[PAPEL],LEN(Tabela3[PAPEL])-(LEN(Tabela3[PAPEL])-4))</f>
        <v>SMTO</v>
      </c>
      <c r="D250" s="16">
        <v>3</v>
      </c>
      <c r="E250" s="5">
        <v>737200000</v>
      </c>
      <c r="F250" s="21">
        <v>113000000</v>
      </c>
      <c r="G250" s="86">
        <v>0.25</v>
      </c>
      <c r="H250" s="16"/>
      <c r="J250" s="18"/>
      <c r="K250" s="87"/>
      <c r="L250" s="87"/>
      <c r="M250" s="54"/>
      <c r="N250" s="54"/>
      <c r="O250" s="54"/>
      <c r="P250" s="5">
        <v>2075419000</v>
      </c>
      <c r="Q250" s="5">
        <v>95615000</v>
      </c>
      <c r="R250" s="5">
        <f>IF(Tabela3[[#This Row],[Ativo || Passivo]]&gt;0,Tabela3[[#This Row],[Ativo || Passivo]]-Tabela3[[#This Row],[Patrimônio Líquido]],0)</f>
        <v>0</v>
      </c>
      <c r="S250" s="5">
        <f>Tabela3[[#This Row],[Cotação]]*Tabela3[[#This Row],[Total Ações]]</f>
        <v>3049870000</v>
      </c>
      <c r="T250" s="132">
        <f>IF(Tabela3[[#This Row],[Passivo Circulante]]&gt;0,Tabela3[[#This Row],[Ativo Circulante]]/Tabela3[[#This Row],[Passivo Circulante]],0)</f>
        <v>0</v>
      </c>
      <c r="U250" s="132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50" s="18">
        <f>IF(Tabela3[[#This Row],[Lucro Líquido]]&gt;0,Tabela3[[#This Row],[Lucro Líquido]]/Tabela3[[#This Row],[Patrimônio Líquido]],0)</f>
        <v>4.6070215219191885E-2</v>
      </c>
      <c r="W250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50" s="18">
        <f>IF(Tabela3[[#This Row],[Dívida]]&gt;0,Tabela3[[#This Row],[Dívida]]/Tabela3[[#This Row],[Patrimônio Líquido]],0)</f>
        <v>0</v>
      </c>
      <c r="Y250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50" s="5">
        <f>Tabela3[[#This Row],[Capital Social]]*20%</f>
        <v>147440000</v>
      </c>
      <c r="AA250" s="5">
        <f>IF((Tabela3[Lucro Líquido]*5%)&gt;Tabela3[Teto R. Legal],Tabela3[Teto R. Legal],Tabela3[Lucro Líquido]*5%)</f>
        <v>4780750</v>
      </c>
      <c r="AB250" s="5">
        <f>IF(Tabela3[Lucro Líquido]&lt;0,0,Tabela3[Lucro Líquido]-Tabela3[Reserva Legal])</f>
        <v>90834250</v>
      </c>
      <c r="AC250" s="5">
        <f>Tabela3[[#This Row],[Lucro Distribuir]]*Tabela3[%Div]</f>
        <v>22708562.5</v>
      </c>
      <c r="AD250" s="56">
        <f>SUMPRODUCT(N(Tabela3[Nome]=Tabela3[[#This Row],[Nome]]),Tabela3[Ações])</f>
        <v>113000000</v>
      </c>
      <c r="AE250" s="5">
        <f>Tabela3[Capital Social]/Tabela3[Total Ações]</f>
        <v>6.5238938053097346</v>
      </c>
      <c r="AF250" s="77">
        <f>Tabela3[[#This Row],[Lucro Líquido]]/Tabela3[[#This Row],[Total Ações]]</f>
        <v>0.84615044247787607</v>
      </c>
      <c r="AG250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0.20096073008849558</v>
      </c>
      <c r="AH250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50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50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0.20096073008849558</v>
      </c>
      <c r="AK250" s="5">
        <f>Tabela3[Div Base]*Tabela3[Ações]</f>
        <v>22708562.5</v>
      </c>
      <c r="AL250" s="5">
        <f>SUMPRODUCT(N(Tabela3[Nome]=Tabela3[[#This Row],[Nome]]),Tabela3[Div Base]*Tabela3[Ações])</f>
        <v>22708562.5</v>
      </c>
      <c r="AM250" s="5">
        <f>Tabela3[Patrimônio Líquido]/Tabela3[Total Ações]</f>
        <v>18.36653982300885</v>
      </c>
      <c r="AN250" s="52">
        <f>MAX(Tabela3[[#This Row],[Cotação 1]:[Cotação 5]])</f>
        <v>26.99</v>
      </c>
      <c r="AO250" s="53">
        <f>Tabela3[Cotação]/Tabela3[VPA]</f>
        <v>1.4695201306338623</v>
      </c>
      <c r="AP250" s="37">
        <f>IF(Tabela3[[#This Row],[Lucro/Ação]]&gt;0,Tabela3[[#This Row],[Cotação]]/(Tabela3[[#This Row],[Lucro/Ação]]/Tabela3[Ref]*4),0)</f>
        <v>23.923050776551797</v>
      </c>
      <c r="AQ250" s="77">
        <f>Tabela3[Lucro Distribuir]/Tabela3[Total Ações]</f>
        <v>0.8038429203539823</v>
      </c>
      <c r="AR250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0.20096073008849558</v>
      </c>
      <c r="AS250" s="16" t="str">
        <f>IF(AND(Tabela3[% A.A.]&gt;=6%,SUMPRODUCT(N(Tabela3[Nome]=Tabela3[[#This Row],[Nome]]),Tabela3[PL])&gt;0,Tabela3[Rentabilidade s/ PL]&gt;=Tabela3[Rentabilidade s/ PL Média]),"Sim","Não")</f>
        <v>Não</v>
      </c>
      <c r="AT250" s="22">
        <f>IF(Tabela3[Cotação]&gt;0,Tabela3[[#This Row],[Lucro]]/Tabela3[[#This Row],[Cotação]],0)</f>
        <v>7.4457476876063572E-3</v>
      </c>
      <c r="AU250" s="18">
        <f>((1+Tabela3[[#This Row],[% Yield]])^(1/(3*Tabela3[[#This Row],[Ref]])))^(12)-1</f>
        <v>9.9399630750016676E-3</v>
      </c>
      <c r="AV250" s="10">
        <f>IF(Tabela3[Cotação]&gt;0,($BD$1/Tabela3[[#This Row],[Cotação]]-MOD($BD$1/Tabela3[[#This Row],[Cotação]],100)),)</f>
        <v>0</v>
      </c>
      <c r="AW250" s="7">
        <f>Tabela3[[#This Row],[Ativos]]*Tabela3[Lucro]</f>
        <v>0</v>
      </c>
      <c r="AX250" s="47">
        <f>SUMPRODUCT(N(Tabela1[Código]=Tabela3[[#This Row],[PAPEL]]),Tabela1[Fechamento])</f>
        <v>0</v>
      </c>
      <c r="AY250" s="54">
        <f>SUMPRODUCT(N(Tabela17[Código]=Tabela3[[#This Row],[PAPEL]]),Tabela17[Fechamento])</f>
        <v>26.99</v>
      </c>
      <c r="AZ250" s="7">
        <f>SUMPRODUCT(N(Tabela176[Código]=Tabela3[[#This Row],[PAPEL]]),Tabela176[Fechamento])</f>
        <v>0</v>
      </c>
      <c r="BA250" s="7">
        <f>SUMPRODUCT(N(Tabela1768[Código]=Tabela3[[#This Row],[PAPEL]]),Tabela1768[Fechamento])</f>
        <v>26.99</v>
      </c>
      <c r="BB250" s="7">
        <f>SUMPRODUCT(N(Tabela17683[Código]=Tabela3[[#This Row],[PAPEL]]),Tabela17683[Fechamento])</f>
        <v>0</v>
      </c>
    </row>
    <row r="251" spans="1:54" hidden="1" x14ac:dyDescent="0.2">
      <c r="A251" s="24" t="s">
        <v>12</v>
      </c>
      <c r="B251" s="60" t="s">
        <v>35</v>
      </c>
      <c r="C251" s="15" t="str">
        <f>LEFT(Tabela3[PAPEL],LEN(Tabela3[PAPEL])-(LEN(Tabela3[PAPEL])-4))</f>
        <v>EQTL</v>
      </c>
      <c r="D251" s="16">
        <v>3</v>
      </c>
      <c r="E251" s="5">
        <v>2011701957.72</v>
      </c>
      <c r="F251" s="56">
        <v>198447352</v>
      </c>
      <c r="G251" s="86">
        <v>0.25</v>
      </c>
      <c r="H251" s="16"/>
      <c r="J251" s="18"/>
      <c r="K251" s="87"/>
      <c r="L251" s="87"/>
      <c r="M251" s="54"/>
      <c r="N251" s="54"/>
      <c r="O251" s="54"/>
      <c r="P251" s="90">
        <v>2881205000</v>
      </c>
      <c r="Q251" s="90">
        <v>130778000</v>
      </c>
      <c r="R251" s="90">
        <f>IF(Tabela3[[#This Row],[Ativo || Passivo]]&gt;0,Tabela3[[#This Row],[Ativo || Passivo]]-Tabela3[[#This Row],[Patrimônio Líquido]],0)</f>
        <v>0</v>
      </c>
      <c r="S251" s="90">
        <f>Tabela3[[#This Row],[Cotação]]*Tabela3[[#This Row],[Total Ações]]</f>
        <v>3917350728.4799995</v>
      </c>
      <c r="T251" s="133">
        <f>IF(Tabela3[[#This Row],[Passivo Circulante]]&gt;0,Tabela3[[#This Row],[Ativo Circulante]]/Tabela3[[#This Row],[Passivo Circulante]],0)</f>
        <v>0</v>
      </c>
      <c r="U251" s="133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51" s="49">
        <f>IF(Tabela3[[#This Row],[Lucro Líquido]]&gt;0,Tabela3[[#This Row],[Lucro Líquido]]/Tabela3[[#This Row],[Patrimônio Líquido]],0)</f>
        <v>4.5390036460439293E-2</v>
      </c>
      <c r="W251" s="4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51" s="49">
        <f>IF(Tabela3[[#This Row],[Dívida]]&gt;0,Tabela3[[#This Row],[Dívida]]/Tabela3[[#This Row],[Patrimônio Líquido]],0)</f>
        <v>0</v>
      </c>
      <c r="Y251" s="4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51" s="28">
        <f>Tabela3[[#This Row],[Capital Social]]*20%</f>
        <v>402340391.54400003</v>
      </c>
      <c r="AA251" s="28">
        <f>IF((Tabela3[Lucro Líquido]*5%)&gt;Tabela3[Teto R. Legal],Tabela3[Teto R. Legal],Tabela3[Lucro Líquido]*5%)</f>
        <v>6538900</v>
      </c>
      <c r="AB251" s="90">
        <f>IF(Tabela3[Lucro Líquido]&lt;0,0,Tabela3[Lucro Líquido]-Tabela3[Reserva Legal])</f>
        <v>124239100</v>
      </c>
      <c r="AC251" s="90">
        <f>Tabela3[[#This Row],[Lucro Distribuir]]*Tabela3[%Div]</f>
        <v>31059775</v>
      </c>
      <c r="AD251" s="56">
        <f>SUMPRODUCT(N(Tabela3[Nome]=Tabela3[[#This Row],[Nome]]),Tabela3[Ações])</f>
        <v>198447352</v>
      </c>
      <c r="AE251" s="28">
        <f>Tabela3[Capital Social]/Tabela3[Total Ações]</f>
        <v>10.137207362283171</v>
      </c>
      <c r="AF251" s="79">
        <f>Tabela3[[#This Row],[Lucro Líquido]]/Tabela3[[#This Row],[Total Ações]]</f>
        <v>0.65900602190952895</v>
      </c>
      <c r="AG251" s="79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0.15651393020351312</v>
      </c>
      <c r="AH251" s="79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51" s="79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51" s="79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0.15651393020351312</v>
      </c>
      <c r="AK251" s="28">
        <f>Tabela3[Div Base]*Tabela3[Ações]</f>
        <v>31059775</v>
      </c>
      <c r="AL251" s="28">
        <f>SUMPRODUCT(N(Tabela3[Nome]=Tabela3[[#This Row],[Nome]]),Tabela3[Div Base]*Tabela3[Ações])</f>
        <v>31059775</v>
      </c>
      <c r="AM251" s="28">
        <f>Tabela3[Patrimônio Líquido]/Tabela3[Total Ações]</f>
        <v>14.518737443269083</v>
      </c>
      <c r="AN251" s="29">
        <f>MAX(Tabela3[[#This Row],[Cotação 1]:[Cotação 5]])</f>
        <v>19.739999999999998</v>
      </c>
      <c r="AO251" s="30">
        <f>Tabela3[Cotação]/Tabela3[VPA]</f>
        <v>1.3596223553964399</v>
      </c>
      <c r="AP251" s="35">
        <f>IF(Tabela3[[#This Row],[Lucro/Ação]]&gt;0,Tabela3[[#This Row],[Cotação]]/(Tabela3[[#This Row],[Lucro/Ação]]/Tabela3[Ref]*4),0)</f>
        <v>22.465652069614151</v>
      </c>
      <c r="AQ251" s="78">
        <f>Tabela3[Lucro Distribuir]/Tabela3[Total Ações]</f>
        <v>0.62605572081405247</v>
      </c>
      <c r="AR251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0.15651393020351312</v>
      </c>
      <c r="AS251" s="25" t="str">
        <f>IF(AND(Tabela3[% A.A.]&gt;=6%,SUMPRODUCT(N(Tabela3[Nome]=Tabela3[[#This Row],[Nome]]),Tabela3[PL])&gt;0,Tabela3[Rentabilidade s/ PL]&gt;=Tabela3[Rentabilidade s/ PL Média]),"Sim","Não")</f>
        <v>Não</v>
      </c>
      <c r="AT251" s="27">
        <f>IF(Tabela3[Cotação]&gt;0,Tabela3[[#This Row],[Lucro]]/Tabela3[[#This Row],[Cotação]],0)</f>
        <v>7.928770527027007E-3</v>
      </c>
      <c r="AU251" s="49">
        <f>((1+Tabela3[[#This Row],[% Yield]])^(1/(3*Tabela3[[#This Row],[Ref]])))^(12)-1</f>
        <v>1.0585639591777607E-2</v>
      </c>
      <c r="AV251" s="10">
        <f>IF(Tabela3[Cotação]&gt;0,($BD$1/Tabela3[[#This Row],[Cotação]]-MOD($BD$1/Tabela3[[#This Row],[Cotação]],100)),)</f>
        <v>0</v>
      </c>
      <c r="AW251" s="7">
        <f>Tabela3[[#This Row],[Ativos]]*Tabela3[Lucro]</f>
        <v>0</v>
      </c>
      <c r="AX251" s="5">
        <f>SUMPRODUCT(N(Tabela1[Código]=Tabela3[[#This Row],[PAPEL]]),Tabela1[Fechamento])</f>
        <v>19.739999999999998</v>
      </c>
      <c r="AY251" s="5">
        <f>SUMPRODUCT(N(Tabela17[Código]=Tabela3[[#This Row],[PAPEL]]),Tabela17[Fechamento])</f>
        <v>0</v>
      </c>
      <c r="AZ251" s="7">
        <f>SUMPRODUCT(N(Tabela176[Código]=Tabela3[[#This Row],[PAPEL]]),Tabela176[Fechamento])</f>
        <v>0</v>
      </c>
      <c r="BA251" s="7">
        <f>SUMPRODUCT(N(Tabela1768[Código]=Tabela3[[#This Row],[PAPEL]]),Tabela1768[Fechamento])</f>
        <v>0</v>
      </c>
      <c r="BB251" s="7">
        <f>SUMPRODUCT(N(Tabela17683[Código]=Tabela3[[#This Row],[PAPEL]]),Tabela17683[Fechamento])</f>
        <v>0</v>
      </c>
    </row>
    <row r="252" spans="1:54" hidden="1" x14ac:dyDescent="0.2">
      <c r="A252" s="3" t="s">
        <v>1330</v>
      </c>
      <c r="B252" s="57" t="s">
        <v>1368</v>
      </c>
      <c r="C252" s="16" t="str">
        <f>LEFT(Tabela3[PAPEL],LEN(Tabela3[PAPEL])-(LEN(Tabela3[PAPEL])-4))</f>
        <v>TRIS</v>
      </c>
      <c r="D252" s="16">
        <v>3</v>
      </c>
      <c r="E252" s="5">
        <v>461080000</v>
      </c>
      <c r="F252" s="56">
        <v>81798769</v>
      </c>
      <c r="G252" s="81">
        <v>0.25</v>
      </c>
      <c r="H252" s="87"/>
      <c r="J252" s="18"/>
      <c r="K252" s="16"/>
      <c r="L252" s="87"/>
      <c r="M252" s="54"/>
      <c r="N252" s="54"/>
      <c r="O252" s="54"/>
      <c r="P252" s="91">
        <v>508873000</v>
      </c>
      <c r="Q252" s="73">
        <v>22490000</v>
      </c>
      <c r="R252" s="73">
        <f>IF(Tabela3[[#This Row],[Ativo || Passivo]]&gt;0,Tabela3[[#This Row],[Ativo || Passivo]]-Tabela3[[#This Row],[Patrimônio Líquido]],0)</f>
        <v>0</v>
      </c>
      <c r="S252" s="73">
        <f>Tabela3[[#This Row],[Cotação]]*Tabela3[[#This Row],[Total Ações]]</f>
        <v>292839593.01999998</v>
      </c>
      <c r="T252" s="37">
        <f>IF(Tabela3[[#This Row],[Passivo Circulante]]&gt;0,Tabela3[[#This Row],[Ativo Circulante]]/Tabela3[[#This Row],[Passivo Circulante]],0)</f>
        <v>0</v>
      </c>
      <c r="U252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52" s="18">
        <f>IF(Tabela3[[#This Row],[Lucro Líquido]]&gt;0,Tabela3[[#This Row],[Lucro Líquido]]/Tabela3[[#This Row],[Patrimônio Líquido]],0)</f>
        <v>4.4195703053610626E-2</v>
      </c>
      <c r="W252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52" s="18">
        <f>IF(Tabela3[[#This Row],[Dívida]]&gt;0,Tabela3[[#This Row],[Dívida]]/Tabela3[[#This Row],[Patrimônio Líquido]],0)</f>
        <v>0</v>
      </c>
      <c r="Y252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52" s="7">
        <f>Tabela3[[#This Row],[Capital Social]]*20%</f>
        <v>92216000</v>
      </c>
      <c r="AA252" s="47">
        <f>IF((Tabela3[Lucro Líquido]*5%)&gt;Tabela3[Teto R. Legal],Tabela3[Teto R. Legal],Tabela3[Lucro Líquido]*5%)</f>
        <v>1124500</v>
      </c>
      <c r="AB252" s="47">
        <f>IF(Tabela3[Lucro Líquido]&lt;0,0,Tabela3[Lucro Líquido]-Tabela3[Reserva Legal])</f>
        <v>21365500</v>
      </c>
      <c r="AC252" s="47">
        <f>Tabela3[[#This Row],[Lucro Distribuir]]*Tabela3[%Div]</f>
        <v>5341375</v>
      </c>
      <c r="AD252" s="56">
        <f>SUMPRODUCT(N(Tabela3[Nome]=Tabela3[[#This Row],[Nome]]),Tabela3[Ações])</f>
        <v>81798769</v>
      </c>
      <c r="AE252" s="85">
        <f>Tabela3[Capital Social]/Tabela3[Total Ações]</f>
        <v>5.63675964365674</v>
      </c>
      <c r="AF252" s="85">
        <f>Tabela3[[#This Row],[Lucro Líquido]]/Tabela3[[#This Row],[Total Ações]]</f>
        <v>0.27494301289546302</v>
      </c>
      <c r="AG252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6.5298965562672465E-2</v>
      </c>
      <c r="AH252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52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52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6.5298965562672465E-2</v>
      </c>
      <c r="AK252" s="7">
        <f>Tabela3[Div Base]*Tabela3[Ações]</f>
        <v>5341375</v>
      </c>
      <c r="AL252" s="121">
        <f>SUMPRODUCT(N(Tabela3[Nome]=Tabela3[[#This Row],[Nome]]),Tabela3[Div Base]*Tabela3[Ações])</f>
        <v>5341375</v>
      </c>
      <c r="AM252" s="5">
        <f>Tabela3[Patrimônio Líquido]/Tabela3[Total Ações]</f>
        <v>6.2210349400245866</v>
      </c>
      <c r="AN252" s="52">
        <f>MAX(Tabela3[[#This Row],[Cotação 1]:[Cotação 5]])</f>
        <v>3.58</v>
      </c>
      <c r="AO252" s="53">
        <f>Tabela3[Cotação]/Tabela3[VPA]</f>
        <v>0.57546694955322841</v>
      </c>
      <c r="AP252" s="37">
        <f>IF(Tabela3[[#This Row],[Lucro/Ação]]&gt;0,Tabela3[[#This Row],[Cotação]]/(Tabela3[[#This Row],[Lucro/Ação]]/Tabela3[Ref]*4),0)</f>
        <v>9.7656600606936408</v>
      </c>
      <c r="AQ252" s="85">
        <f>Tabela3[Lucro Distribuir]/Tabela3[Total Ações]</f>
        <v>0.26119586225068986</v>
      </c>
      <c r="AR252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6.5298965562672465E-2</v>
      </c>
      <c r="AS252" s="10" t="str">
        <f>IF(AND(Tabela3[% A.A.]&gt;=6%,SUMPRODUCT(N(Tabela3[Nome]=Tabela3[[#This Row],[Nome]]),Tabela3[PL])&gt;0,Tabela3[Rentabilidade s/ PL]&gt;=Tabela3[Rentabilidade s/ PL Média]),"Sim","Não")</f>
        <v>Não</v>
      </c>
      <c r="AT252" s="22">
        <f>IF(Tabela3[Cotação]&gt;0,Tabela3[[#This Row],[Lucro]]/Tabela3[[#This Row],[Cotação]],0)</f>
        <v>1.823993451471298E-2</v>
      </c>
      <c r="AU252" s="22">
        <f>((1+Tabela3[[#This Row],[% Yield]])^(1/(3*Tabela3[[#This Row],[Ref]])))^(12)-1</f>
        <v>2.439354753994305E-2</v>
      </c>
      <c r="AV252" s="10">
        <f>IF(Tabela3[Cotação]&gt;0,($BD$1/Tabela3[[#This Row],[Cotação]]-MOD($BD$1/Tabela3[[#This Row],[Cotação]],100)),)</f>
        <v>0</v>
      </c>
      <c r="AW252" s="7">
        <f>Tabela3[[#This Row],[Ativos]]*Tabela3[Lucro]</f>
        <v>0</v>
      </c>
      <c r="AX252" s="7">
        <f>SUMPRODUCT(N(Tabela1[Código]=Tabela3[[#This Row],[PAPEL]]),Tabela1[Fechamento])</f>
        <v>0</v>
      </c>
      <c r="AY252" s="7">
        <f>SUMPRODUCT(N(Tabela17[Código]=Tabela3[[#This Row],[PAPEL]]),Tabela17[Fechamento])</f>
        <v>0</v>
      </c>
      <c r="AZ252" s="7">
        <f>SUMPRODUCT(N(Tabela176[Código]=Tabela3[[#This Row],[PAPEL]]),Tabela176[Fechamento])</f>
        <v>0</v>
      </c>
      <c r="BA252" s="7">
        <f>SUMPRODUCT(N(Tabela1768[Código]=Tabela3[[#This Row],[PAPEL]]),Tabela1768[Fechamento])</f>
        <v>3.58</v>
      </c>
      <c r="BB252" s="7">
        <f>SUMPRODUCT(N(Tabela17683[Código]=Tabela3[[#This Row],[PAPEL]]),Tabela17683[Fechamento])</f>
        <v>0</v>
      </c>
    </row>
    <row r="253" spans="1:54" hidden="1" x14ac:dyDescent="0.2">
      <c r="A253" s="3" t="s">
        <v>833</v>
      </c>
      <c r="B253" s="58" t="s">
        <v>843</v>
      </c>
      <c r="C253" s="16" t="str">
        <f>LEFT(Tabela3[PAPEL],LEN(Tabela3[PAPEL])-(LEN(Tabela3[PAPEL])-4))</f>
        <v>PFRM</v>
      </c>
      <c r="D253" s="16">
        <v>3</v>
      </c>
      <c r="E253" s="5">
        <v>400112159.25</v>
      </c>
      <c r="F253" s="56">
        <v>33208341</v>
      </c>
      <c r="G253" s="81">
        <v>0.25</v>
      </c>
      <c r="H253" s="87"/>
      <c r="J253" s="18"/>
      <c r="K253" s="16"/>
      <c r="L253" s="87"/>
      <c r="M253" s="54"/>
      <c r="N253" s="54"/>
      <c r="O253" s="54"/>
      <c r="P253" s="91">
        <v>578216000</v>
      </c>
      <c r="Q253" s="73">
        <v>24956000</v>
      </c>
      <c r="R253" s="73">
        <f>IF(Tabela3[[#This Row],[Ativo || Passivo]]&gt;0,Tabela3[[#This Row],[Ativo || Passivo]]-Tabela3[[#This Row],[Patrimônio Líquido]],0)</f>
        <v>0</v>
      </c>
      <c r="S253" s="73">
        <f>Tabela3[[#This Row],[Cotação]]*Tabela3[[#This Row],[Total Ações]]</f>
        <v>539967624.66000009</v>
      </c>
      <c r="T253" s="37">
        <f>IF(Tabela3[[#This Row],[Passivo Circulante]]&gt;0,Tabela3[[#This Row],[Ativo Circulante]]/Tabela3[[#This Row],[Passivo Circulante]],0)</f>
        <v>0</v>
      </c>
      <c r="U253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53" s="18">
        <f>IF(Tabela3[[#This Row],[Lucro Líquido]]&gt;0,Tabela3[[#This Row],[Lucro Líquido]]/Tabela3[[#This Row],[Patrimônio Líquido]],0)</f>
        <v>4.3160341464089542E-2</v>
      </c>
      <c r="W253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53" s="18">
        <f>IF(Tabela3[[#This Row],[Dívida]]&gt;0,Tabela3[[#This Row],[Dívida]]/Tabela3[[#This Row],[Patrimônio Líquido]],0)</f>
        <v>0</v>
      </c>
      <c r="Y253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53" s="7">
        <f>Tabela3[[#This Row],[Capital Social]]*20%</f>
        <v>80022431.850000009</v>
      </c>
      <c r="AA253" s="47">
        <f>IF((Tabela3[Lucro Líquido]*5%)&gt;Tabela3[Teto R. Legal],Tabela3[Teto R. Legal],Tabela3[Lucro Líquido]*5%)</f>
        <v>1247800</v>
      </c>
      <c r="AB253" s="47">
        <f>IF(Tabela3[Lucro Líquido]&lt;0,0,Tabela3[Lucro Líquido]-Tabela3[Reserva Legal])</f>
        <v>23708200</v>
      </c>
      <c r="AC253" s="47">
        <f>Tabela3[[#This Row],[Lucro Distribuir]]*Tabela3[%Div]</f>
        <v>5927050</v>
      </c>
      <c r="AD253" s="56">
        <f>SUMPRODUCT(N(Tabela3[Nome]=Tabela3[[#This Row],[Nome]]),Tabela3[Ações])</f>
        <v>33208341</v>
      </c>
      <c r="AE253" s="85">
        <f>Tabela3[Capital Social]/Tabela3[Total Ações]</f>
        <v>12.04854404650928</v>
      </c>
      <c r="AF253" s="85">
        <f>Tabela3[[#This Row],[Lucro Líquido]]/Tabela3[[#This Row],[Total Ações]]</f>
        <v>0.75149794444714957</v>
      </c>
      <c r="AG253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0.17848076180619804</v>
      </c>
      <c r="AH253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53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53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0.17848076180619804</v>
      </c>
      <c r="AK253" s="7">
        <f>Tabela3[Div Base]*Tabela3[Ações]</f>
        <v>5927050</v>
      </c>
      <c r="AL253" s="7">
        <f>SUMPRODUCT(N(Tabela3[Nome]=Tabela3[[#This Row],[Nome]]),Tabela3[Div Base]*Tabela3[Ações])</f>
        <v>5927050</v>
      </c>
      <c r="AM253" s="5">
        <f>Tabela3[Patrimônio Líquido]/Tabela3[Total Ações]</f>
        <v>17.411770133292716</v>
      </c>
      <c r="AN253" s="52">
        <f>MAX(Tabela3[[#This Row],[Cotação 1]:[Cotação 5]])</f>
        <v>16.260000000000002</v>
      </c>
      <c r="AO253" s="53">
        <f>Tabela3[Cotação]/Tabela3[VPA]</f>
        <v>0.93385106026121745</v>
      </c>
      <c r="AP253" s="37">
        <f>IF(Tabela3[[#This Row],[Lucro/Ação]]&gt;0,Tabela3[[#This Row],[Cotação]]/(Tabela3[[#This Row],[Lucro/Ação]]/Tabela3[Ref]*4),0)</f>
        <v>16.227589296962655</v>
      </c>
      <c r="AQ253" s="85">
        <f>Tabela3[Lucro Distribuir]/Tabela3[Total Ações]</f>
        <v>0.71392304722479216</v>
      </c>
      <c r="AR253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0.17848076180619804</v>
      </c>
      <c r="AS253" s="10" t="str">
        <f>IF(AND(Tabela3[% A.A.]&gt;=6%,SUMPRODUCT(N(Tabela3[Nome]=Tabela3[[#This Row],[Nome]]),Tabela3[PL])&gt;0,Tabela3[Rentabilidade s/ PL]&gt;=Tabela3[Rentabilidade s/ PL Média]),"Sim","Não")</f>
        <v>Não</v>
      </c>
      <c r="AT253" s="22">
        <f>IF(Tabela3[Cotação]&gt;0,Tabela3[[#This Row],[Lucro]]/Tabela3[[#This Row],[Cotação]],0)</f>
        <v>1.0976676617847356E-2</v>
      </c>
      <c r="AU253" s="22">
        <f>((1+Tabela3[[#This Row],[% Yield]])^(1/(3*Tabela3[[#This Row],[Ref]])))^(12)-1</f>
        <v>1.4662278793931449E-2</v>
      </c>
      <c r="AV253" s="10">
        <f>IF(Tabela3[Cotação]&gt;0,($BD$1/Tabela3[[#This Row],[Cotação]]-MOD($BD$1/Tabela3[[#This Row],[Cotação]],100)),)</f>
        <v>0</v>
      </c>
      <c r="AW253" s="7">
        <f>Tabela3[[#This Row],[Ativos]]*Tabela3[Lucro]</f>
        <v>0</v>
      </c>
      <c r="AX253" s="7">
        <f>SUMPRODUCT(N(Tabela1[Código]=Tabela3[[#This Row],[PAPEL]]),Tabela1[Fechamento])</f>
        <v>0</v>
      </c>
      <c r="AY253" s="7">
        <f>SUMPRODUCT(N(Tabela17[Código]=Tabela3[[#This Row],[PAPEL]]),Tabela17[Fechamento])</f>
        <v>0</v>
      </c>
      <c r="AZ253" s="7">
        <f>SUMPRODUCT(N(Tabela176[Código]=Tabela3[[#This Row],[PAPEL]]),Tabela176[Fechamento])</f>
        <v>16.260000000000002</v>
      </c>
      <c r="BA253" s="7">
        <f>SUMPRODUCT(N(Tabela1768[Código]=Tabela3[[#This Row],[PAPEL]]),Tabela1768[Fechamento])</f>
        <v>0</v>
      </c>
      <c r="BB253" s="7">
        <f>SUMPRODUCT(N(Tabela17683[Código]=Tabela3[[#This Row],[PAPEL]]),Tabela17683[Fechamento])</f>
        <v>0</v>
      </c>
    </row>
    <row r="254" spans="1:54" hidden="1" x14ac:dyDescent="0.2">
      <c r="A254" s="4" t="s">
        <v>14</v>
      </c>
      <c r="B254" s="57" t="s">
        <v>192</v>
      </c>
      <c r="C254" s="14" t="str">
        <f>LEFT(Tabela3[PAPEL],LEN(Tabela3[PAPEL])-(LEN(Tabela3[PAPEL])-4))</f>
        <v>RPAD</v>
      </c>
      <c r="D254" s="15">
        <v>3</v>
      </c>
      <c r="E254" s="6">
        <v>267646990</v>
      </c>
      <c r="F254" s="8">
        <v>46011632</v>
      </c>
      <c r="G254" s="86">
        <v>0.25</v>
      </c>
      <c r="H254" s="15"/>
      <c r="I254" s="19"/>
      <c r="J254" s="19"/>
      <c r="K254" s="88"/>
      <c r="L254" s="88"/>
      <c r="M254" s="13">
        <v>731259000</v>
      </c>
      <c r="N254" s="13">
        <v>6491000</v>
      </c>
      <c r="O254" s="13">
        <v>4087000</v>
      </c>
      <c r="P254" s="6">
        <v>727021000</v>
      </c>
      <c r="Q254" s="6">
        <v>31097000</v>
      </c>
      <c r="R254" s="6">
        <f>IF(Tabela3[[#This Row],[Ativo || Passivo]]&gt;0,Tabela3[[#This Row],[Ativo || Passivo]]-Tabela3[[#This Row],[Patrimônio Líquido]],0)</f>
        <v>4238000</v>
      </c>
      <c r="S254" s="6">
        <f>Tabela3[[#This Row],[Cotação]]*Tabela3[[#This Row],[Total Ações]]</f>
        <v>260821388.52000001</v>
      </c>
      <c r="T254" s="134">
        <f>IF(Tabela3[[#This Row],[Passivo Circulante]]&gt;0,Tabela3[[#This Row],[Ativo Circulante]]/Tabela3[[#This Row],[Passivo Circulante]],0)</f>
        <v>1.5882065084413997</v>
      </c>
      <c r="U254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54" s="19">
        <f>IF(Tabela3[[#This Row],[Lucro Líquido]]&gt;0,Tabela3[[#This Row],[Lucro Líquido]]/Tabela3[[#This Row],[Patrimônio Líquido]],0)</f>
        <v>4.2773179866881422E-2</v>
      </c>
      <c r="W254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54" s="19">
        <f>IF(Tabela3[[#This Row],[Dívida]]&gt;0,Tabela3[[#This Row],[Dívida]]/Tabela3[[#This Row],[Patrimônio Líquido]],0)</f>
        <v>5.829267655267179E-3</v>
      </c>
      <c r="Y254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54" s="6">
        <f>Tabela3[[#This Row],[Capital Social]]*20%</f>
        <v>53529398</v>
      </c>
      <c r="AA254" s="6">
        <f>IF((Tabela3[Lucro Líquido]*5%)&gt;Tabela3[Teto R. Legal],Tabela3[Teto R. Legal],Tabela3[Lucro Líquido]*5%)</f>
        <v>1554850</v>
      </c>
      <c r="AB254" s="6">
        <f>IF(Tabela3[Lucro Líquido]&lt;0,0,Tabela3[Lucro Líquido]-Tabela3[Reserva Legal])</f>
        <v>29542150</v>
      </c>
      <c r="AC254" s="6">
        <f>Tabela3[[#This Row],[Lucro Distribuir]]*Tabela3[%Div]</f>
        <v>7385537.5</v>
      </c>
      <c r="AD254" s="21">
        <f>SUMPRODUCT(N(Tabela3[Nome]=Tabela3[[#This Row],[Nome]]),Tabela3[Ações])</f>
        <v>84682269</v>
      </c>
      <c r="AE254" s="6">
        <f>Tabela3[Capital Social]/Tabela3[Total Ações]</f>
        <v>3.1606024869267495</v>
      </c>
      <c r="AF254" s="78">
        <f>Tabela3[[#This Row],[Lucro Líquido]]/Tabela3[[#This Row],[Total Ações]]</f>
        <v>0.36721973049635692</v>
      </c>
      <c r="AG254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8.7214685992884775E-2</v>
      </c>
      <c r="AH254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54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2.7806221078407752E-2</v>
      </c>
      <c r="AJ254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2.7806221078407752E-2</v>
      </c>
      <c r="AK254" s="6">
        <f>Tabela3[Div Base]*Tabela3[Ações]</f>
        <v>1279409.6115703406</v>
      </c>
      <c r="AL254" s="6">
        <f>SUMPRODUCT(N(Tabela3[Nome]=Tabela3[[#This Row],[Nome]]),Tabela3[Div Base]*Tabela3[Ações])</f>
        <v>7385537.5</v>
      </c>
      <c r="AM254" s="6">
        <f>Tabela3[Patrimônio Líquido]/Tabela3[Total Ações]</f>
        <v>8.5852801133611578</v>
      </c>
      <c r="AN254" s="48">
        <f>MAX(Tabela3[[#This Row],[Cotação 1]:[Cotação 5]])</f>
        <v>3.08</v>
      </c>
      <c r="AO254" s="44">
        <f>Tabela3[Cotação]/Tabela3[VPA]</f>
        <v>0.35875358279884623</v>
      </c>
      <c r="AP254" s="40">
        <f>IF(Tabela3[[#This Row],[Lucro/Ação]]&gt;0,Tabela3[[#This Row],[Cotação]]/(Tabela3[[#This Row],[Lucro/Ação]]/Tabela3[Ref]*4),0)</f>
        <v>6.2905116696144328</v>
      </c>
      <c r="AQ254" s="78">
        <f>Tabela3[Lucro Distribuir]/Tabela3[Total Ações]</f>
        <v>0.3488587439715391</v>
      </c>
      <c r="AR254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2.7806221078407752E-2</v>
      </c>
      <c r="AS254" s="15" t="str">
        <f>IF(AND(Tabela3[% A.A.]&gt;=6%,SUMPRODUCT(N(Tabela3[Nome]=Tabela3[[#This Row],[Nome]]),Tabela3[PL])&gt;0,Tabela3[Rentabilidade s/ PL]&gt;=Tabela3[Rentabilidade s/ PL Média]),"Sim","Não")</f>
        <v>Não</v>
      </c>
      <c r="AT254" s="42">
        <f>IF(Tabela3[Cotação]&gt;0,Tabela3[[#This Row],[Lucro]]/Tabela3[[#This Row],[Cotação]],0)</f>
        <v>9.0279938566258933E-3</v>
      </c>
      <c r="AU254" s="19">
        <f>((1+Tabela3[[#This Row],[% Yield]])^(1/(3*Tabela3[[#This Row],[Ref]])))^(12)-1</f>
        <v>1.2055401090800499E-2</v>
      </c>
      <c r="AV254" s="14">
        <f>IF(Tabela3[Cotação]&gt;0,($BD$1/Tabela3[[#This Row],[Cotação]]-MOD($BD$1/Tabela3[[#This Row],[Cotação]],100)),)</f>
        <v>0</v>
      </c>
      <c r="AW254" s="17">
        <f>Tabela3[[#This Row],[Ativos]]*Tabela3[Lucro]</f>
        <v>0</v>
      </c>
      <c r="AX254" s="5">
        <f>SUMPRODUCT(N(Tabela1[Código]=Tabela3[[#This Row],[PAPEL]]),Tabela1[Fechamento])</f>
        <v>3.08</v>
      </c>
      <c r="AY254" s="5">
        <f>SUMPRODUCT(N(Tabela17[Código]=Tabela3[[#This Row],[PAPEL]]),Tabela17[Fechamento])</f>
        <v>0</v>
      </c>
      <c r="AZ254" s="7">
        <f>SUMPRODUCT(N(Tabela176[Código]=Tabela3[[#This Row],[PAPEL]]),Tabela176[Fechamento])</f>
        <v>0</v>
      </c>
      <c r="BA254" s="7">
        <f>SUMPRODUCT(N(Tabela1768[Código]=Tabela3[[#This Row],[PAPEL]]),Tabela1768[Fechamento])</f>
        <v>0</v>
      </c>
      <c r="BB254" s="7">
        <f>SUMPRODUCT(N(Tabela17683[Código]=Tabela3[[#This Row],[PAPEL]]),Tabela17683[Fechamento])</f>
        <v>0</v>
      </c>
    </row>
    <row r="255" spans="1:54" hidden="1" x14ac:dyDescent="0.2">
      <c r="A255" s="4" t="s">
        <v>14</v>
      </c>
      <c r="B255" s="57" t="s">
        <v>76</v>
      </c>
      <c r="C255" s="14" t="str">
        <f>LEFT(Tabela3[PAPEL],LEN(Tabela3[PAPEL])-(LEN(Tabela3[PAPEL])-4))</f>
        <v>RPAD</v>
      </c>
      <c r="D255" s="15">
        <v>3</v>
      </c>
      <c r="E255" s="6">
        <v>267646990</v>
      </c>
      <c r="F255" s="8">
        <v>14313881</v>
      </c>
      <c r="G255" s="81">
        <v>0.25</v>
      </c>
      <c r="H255" s="15"/>
      <c r="I255" s="19">
        <v>0.12</v>
      </c>
      <c r="J255" s="19"/>
      <c r="K255" s="88"/>
      <c r="L255" s="88"/>
      <c r="M255" s="13">
        <v>731259000</v>
      </c>
      <c r="N255" s="13">
        <v>6491000</v>
      </c>
      <c r="O255" s="13">
        <v>4087000</v>
      </c>
      <c r="P255" s="6">
        <v>727021000</v>
      </c>
      <c r="Q255" s="6">
        <v>31097000</v>
      </c>
      <c r="R255" s="6">
        <f>IF(Tabela3[[#This Row],[Ativo || Passivo]]&gt;0,Tabela3[[#This Row],[Ativo || Passivo]]-Tabela3[[#This Row],[Patrimônio Líquido]],0)</f>
        <v>4238000</v>
      </c>
      <c r="S255" s="13">
        <f>Tabela3[[#This Row],[Cotação]]*Tabela3[[#This Row],[Total Ações]]</f>
        <v>486923046.75</v>
      </c>
      <c r="T255" s="134">
        <f>IF(Tabela3[[#This Row],[Passivo Circulante]]&gt;0,Tabela3[[#This Row],[Ativo Circulante]]/Tabela3[[#This Row],[Passivo Circulante]],0)</f>
        <v>1.5882065084413997</v>
      </c>
      <c r="U255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55" s="19">
        <f>IF(Tabela3[[#This Row],[Lucro Líquido]]&gt;0,Tabela3[[#This Row],[Lucro Líquido]]/Tabela3[[#This Row],[Patrimônio Líquido]],0)</f>
        <v>4.2773179866881422E-2</v>
      </c>
      <c r="W255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55" s="19">
        <f>IF(Tabela3[[#This Row],[Dívida]]&gt;0,Tabela3[[#This Row],[Dívida]]/Tabela3[[#This Row],[Patrimônio Líquido]],0)</f>
        <v>5.829267655267179E-3</v>
      </c>
      <c r="Y255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55" s="6">
        <f>Tabela3[[#This Row],[Capital Social]]*20%</f>
        <v>53529398</v>
      </c>
      <c r="AA255" s="6">
        <f>IF((Tabela3[Lucro Líquido]*5%)&gt;Tabela3[Teto R. Legal],Tabela3[Teto R. Legal],Tabela3[Lucro Líquido]*5%)</f>
        <v>1554850</v>
      </c>
      <c r="AB255" s="6">
        <f>IF(Tabela3[Lucro Líquido]&lt;0,0,Tabela3[Lucro Líquido]-Tabela3[Reserva Legal])</f>
        <v>29542150</v>
      </c>
      <c r="AC255" s="6">
        <f>Tabela3[[#This Row],[Lucro Distribuir]]*Tabela3[%Div]</f>
        <v>7385537.5</v>
      </c>
      <c r="AD255" s="21">
        <f>SUMPRODUCT(N(Tabela3[Nome]=Tabela3[[#This Row],[Nome]]),Tabela3[Ações])</f>
        <v>84682269</v>
      </c>
      <c r="AE255" s="6">
        <f>Tabela3[Capital Social]/Tabela3[Total Ações]</f>
        <v>3.1606024869267495</v>
      </c>
      <c r="AF255" s="78">
        <f>Tabela3[[#This Row],[Lucro Líquido]]/Tabela3[[#This Row],[Total Ações]]</f>
        <v>0.36721973049635692</v>
      </c>
      <c r="AG255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8.7214685992884775E-2</v>
      </c>
      <c r="AH255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55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0.37927229843120991</v>
      </c>
      <c r="AJ255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0.37927229843120991</v>
      </c>
      <c r="AK255" s="6">
        <f>Tabela3[Div Base]*Tabela3[Ações]</f>
        <v>5428858.546340825</v>
      </c>
      <c r="AL255" s="6">
        <f>SUMPRODUCT(N(Tabela3[Nome]=Tabela3[[#This Row],[Nome]]),Tabela3[Div Base]*Tabela3[Ações])</f>
        <v>7385537.5</v>
      </c>
      <c r="AM255" s="6">
        <f>Tabela3[Patrimônio Líquido]/Tabela3[Total Ações]</f>
        <v>8.5852801133611578</v>
      </c>
      <c r="AN255" s="48">
        <f>MAX(Tabela3[[#This Row],[Cotação 1]:[Cotação 5]])</f>
        <v>5.75</v>
      </c>
      <c r="AO255" s="44">
        <f>Tabela3[Cotação]/Tabela3[VPA]</f>
        <v>0.66975100684849542</v>
      </c>
      <c r="AP255" s="40">
        <f>IF(Tabela3[[#This Row],[Lucro/Ação]]&gt;0,Tabela3[[#This Row],[Cotação]]/(Tabela3[[#This Row],[Lucro/Ação]]/Tabela3[Ref]*4),0)</f>
        <v>11.74365003255941</v>
      </c>
      <c r="AQ255" s="78">
        <f>Tabela3[Lucro Distribuir]/Tabela3[Total Ações]</f>
        <v>0.3488587439715391</v>
      </c>
      <c r="AR255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0.37927229843120991</v>
      </c>
      <c r="AS255" s="15" t="str">
        <f>IF(AND(Tabela3[% A.A.]&gt;=6%,SUMPRODUCT(N(Tabela3[Nome]=Tabela3[[#This Row],[Nome]]),Tabela3[PL])&gt;0,Tabela3[Rentabilidade s/ PL]&gt;=Tabela3[Rentabilidade s/ PL Média]),"Sim","Não")</f>
        <v>Não</v>
      </c>
      <c r="AT255" s="42">
        <f>IF(Tabela3[Cotação]&gt;0,Tabela3[[#This Row],[Lucro]]/Tabela3[[#This Row],[Cotação]],0)</f>
        <v>6.5960399727166941E-2</v>
      </c>
      <c r="AU255" s="19">
        <f>((1+Tabela3[[#This Row],[% Yield]])^(1/(3*Tabela3[[#This Row],[Ref]])))^(12)-1</f>
        <v>8.8900242901160498E-2</v>
      </c>
      <c r="AV255" s="14">
        <f>IF(Tabela3[Cotação]&gt;0,($BH$1/Tabela3[[#This Row],[Cotação]]-MOD($BH$1/Tabela3[[#This Row],[Cotação]],100)),)</f>
        <v>0</v>
      </c>
      <c r="AW255" s="17">
        <f>Tabela3[[#This Row],[Ativos]]*Tabela3[Lucro]</f>
        <v>0</v>
      </c>
      <c r="AX255" s="5">
        <f>SUMPRODUCT(N(Tabela1[Código]=Tabela3[[#This Row],[PAPEL]]),Tabela1[Fechamento])</f>
        <v>5.75</v>
      </c>
      <c r="AY255" s="5">
        <f>SUMPRODUCT(N(Tabela17[Código]=Tabela3[[#This Row],[PAPEL]]),Tabela17[Fechamento])</f>
        <v>0</v>
      </c>
      <c r="AZ255" s="7">
        <f>SUMPRODUCT(N(Tabela176[Código]=Tabela3[[#This Row],[PAPEL]]),Tabela176[Fechamento])</f>
        <v>0</v>
      </c>
      <c r="BA255" s="7">
        <f>SUMPRODUCT(N(Tabela1768[Código]=Tabela3[[#This Row],[PAPEL]]),Tabela1768[Fechamento])</f>
        <v>0</v>
      </c>
      <c r="BB255" s="7">
        <f>SUMPRODUCT(N(Tabela17683[Código]=Tabela3[[#This Row],[PAPEL]]),Tabela17683[Fechamento])</f>
        <v>0</v>
      </c>
    </row>
    <row r="256" spans="1:54" hidden="1" x14ac:dyDescent="0.2">
      <c r="A256" s="4" t="s">
        <v>14</v>
      </c>
      <c r="B256" s="57" t="s">
        <v>193</v>
      </c>
      <c r="C256" s="14" t="str">
        <f>LEFT(Tabela3[PAPEL],LEN(Tabela3[PAPEL])-(LEN(Tabela3[PAPEL])-4))</f>
        <v>RPAD</v>
      </c>
      <c r="D256" s="15">
        <v>3</v>
      </c>
      <c r="E256" s="6">
        <v>267646990</v>
      </c>
      <c r="F256" s="8">
        <v>24356756</v>
      </c>
      <c r="G256" s="86">
        <v>0.25</v>
      </c>
      <c r="H256" s="15"/>
      <c r="I256" s="19"/>
      <c r="J256" s="19"/>
      <c r="K256" s="88"/>
      <c r="L256" s="88"/>
      <c r="M256" s="13">
        <v>731259000</v>
      </c>
      <c r="N256" s="13">
        <v>6491000</v>
      </c>
      <c r="O256" s="13">
        <v>4087000</v>
      </c>
      <c r="P256" s="6">
        <v>727021000</v>
      </c>
      <c r="Q256" s="6">
        <v>31097000</v>
      </c>
      <c r="R256" s="6">
        <f>IF(Tabela3[[#This Row],[Ativo || Passivo]]&gt;0,Tabela3[[#This Row],[Ativo || Passivo]]-Tabela3[[#This Row],[Patrimônio Líquido]],0)</f>
        <v>4238000</v>
      </c>
      <c r="S256" s="6">
        <f>Tabela3[[#This Row],[Cotação]]*Tabela3[[#This Row],[Total Ações]]</f>
        <v>188841459.87</v>
      </c>
      <c r="T256" s="134">
        <f>IF(Tabela3[[#This Row],[Passivo Circulante]]&gt;0,Tabela3[[#This Row],[Ativo Circulante]]/Tabela3[[#This Row],[Passivo Circulante]],0)</f>
        <v>1.5882065084413997</v>
      </c>
      <c r="U256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56" s="19">
        <f>IF(Tabela3[[#This Row],[Lucro Líquido]]&gt;0,Tabela3[[#This Row],[Lucro Líquido]]/Tabela3[[#This Row],[Patrimônio Líquido]],0)</f>
        <v>4.2773179866881422E-2</v>
      </c>
      <c r="W256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56" s="19">
        <f>IF(Tabela3[[#This Row],[Dívida]]&gt;0,Tabela3[[#This Row],[Dívida]]/Tabela3[[#This Row],[Patrimônio Líquido]],0)</f>
        <v>5.829267655267179E-3</v>
      </c>
      <c r="Y256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56" s="6">
        <f>Tabela3[[#This Row],[Capital Social]]*20%</f>
        <v>53529398</v>
      </c>
      <c r="AA256" s="6">
        <f>IF((Tabela3[Lucro Líquido]*5%)&gt;Tabela3[Teto R. Legal],Tabela3[Teto R. Legal],Tabela3[Lucro Líquido]*5%)</f>
        <v>1554850</v>
      </c>
      <c r="AB256" s="6">
        <f>IF(Tabela3[Lucro Líquido]&lt;0,0,Tabela3[Lucro Líquido]-Tabela3[Reserva Legal])</f>
        <v>29542150</v>
      </c>
      <c r="AC256" s="6">
        <f>Tabela3[[#This Row],[Lucro Distribuir]]*Tabela3[%Div]</f>
        <v>7385537.5</v>
      </c>
      <c r="AD256" s="21">
        <f>SUMPRODUCT(N(Tabela3[Nome]=Tabela3[[#This Row],[Nome]]),Tabela3[Ações])</f>
        <v>84682269</v>
      </c>
      <c r="AE256" s="6">
        <f>Tabela3[Capital Social]/Tabela3[Total Ações]</f>
        <v>3.1606024869267495</v>
      </c>
      <c r="AF256" s="78">
        <f>Tabela3[[#This Row],[Lucro Líquido]]/Tabela3[[#This Row],[Total Ações]]</f>
        <v>0.36721973049635692</v>
      </c>
      <c r="AG256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8.7214685992884775E-2</v>
      </c>
      <c r="AH256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56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2.7806221078407752E-2</v>
      </c>
      <c r="AJ256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2.7806221078407752E-2</v>
      </c>
      <c r="AK256" s="6">
        <f>Tabela3[Div Base]*Tabela3[Ações]</f>
        <v>677269.3420888345</v>
      </c>
      <c r="AL256" s="6">
        <f>SUMPRODUCT(N(Tabela3[Nome]=Tabela3[[#This Row],[Nome]]),Tabela3[Div Base]*Tabela3[Ações])</f>
        <v>7385537.5</v>
      </c>
      <c r="AM256" s="6">
        <f>Tabela3[Patrimônio Líquido]/Tabela3[Total Ações]</f>
        <v>8.5852801133611578</v>
      </c>
      <c r="AN256" s="48">
        <f>MAX(Tabela3[[#This Row],[Cotação 1]:[Cotação 5]])</f>
        <v>2.23</v>
      </c>
      <c r="AO256" s="44">
        <f>Tabela3[Cotação]/Tabela3[VPA]</f>
        <v>0.25974691222124258</v>
      </c>
      <c r="AP256" s="40">
        <f>IF(Tabela3[[#This Row],[Lucro/Ação]]&gt;0,Tabela3[[#This Row],[Cotação]]/(Tabela3[[#This Row],[Lucro/Ação]]/Tabela3[Ref]*4),0)</f>
        <v>4.554493838714345</v>
      </c>
      <c r="AQ256" s="78">
        <f>Tabela3[Lucro Distribuir]/Tabela3[Total Ações]</f>
        <v>0.3488587439715391</v>
      </c>
      <c r="AR256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2.7806221078407752E-2</v>
      </c>
      <c r="AS256" s="15" t="str">
        <f>IF(AND(Tabela3[% A.A.]&gt;=6%,SUMPRODUCT(N(Tabela3[Nome]=Tabela3[[#This Row],[Nome]]),Tabela3[PL])&gt;0,Tabela3[Rentabilidade s/ PL]&gt;=Tabela3[Rentabilidade s/ PL Média]),"Sim","Não")</f>
        <v>Não</v>
      </c>
      <c r="AT256" s="42">
        <f>IF(Tabela3[Cotação]&gt;0,Tabela3[[#This Row],[Lucro]]/Tabela3[[#This Row],[Cotação]],0)</f>
        <v>1.2469157434263566E-2</v>
      </c>
      <c r="AU256" s="19">
        <f>((1+Tabela3[[#This Row],[% Yield]])^(1/(3*Tabela3[[#This Row],[Ref]])))^(12)-1</f>
        <v>1.6659999087406341E-2</v>
      </c>
      <c r="AV256" s="14">
        <f>IF(Tabela3[Cotação]&gt;0,($BD$1/Tabela3[[#This Row],[Cotação]]-MOD($BD$1/Tabela3[[#This Row],[Cotação]],100)),)</f>
        <v>0</v>
      </c>
      <c r="AW256" s="17">
        <f>Tabela3[[#This Row],[Ativos]]*Tabela3[Lucro]</f>
        <v>0</v>
      </c>
      <c r="AX256" s="5">
        <f>SUMPRODUCT(N(Tabela1[Código]=Tabela3[[#This Row],[PAPEL]]),Tabela1[Fechamento])</f>
        <v>2.23</v>
      </c>
      <c r="AY256" s="5">
        <f>SUMPRODUCT(N(Tabela17[Código]=Tabela3[[#This Row],[PAPEL]]),Tabela17[Fechamento])</f>
        <v>0</v>
      </c>
      <c r="AZ256" s="7">
        <f>SUMPRODUCT(N(Tabela176[Código]=Tabela3[[#This Row],[PAPEL]]),Tabela176[Fechamento])</f>
        <v>0</v>
      </c>
      <c r="BA256" s="7">
        <f>SUMPRODUCT(N(Tabela1768[Código]=Tabela3[[#This Row],[PAPEL]]),Tabela1768[Fechamento])</f>
        <v>0</v>
      </c>
      <c r="BB256" s="7">
        <f>SUMPRODUCT(N(Tabela17683[Código]=Tabela3[[#This Row],[PAPEL]]),Tabela17683[Fechamento])</f>
        <v>0</v>
      </c>
    </row>
    <row r="257" spans="1:54" hidden="1" x14ac:dyDescent="0.2">
      <c r="A257" s="3" t="s">
        <v>909</v>
      </c>
      <c r="B257" s="58" t="s">
        <v>906</v>
      </c>
      <c r="C257" s="16" t="str">
        <f>LEFT(Tabela3[PAPEL],LEN(Tabela3[PAPEL])-(LEN(Tabela3[PAPEL])-4))</f>
        <v>BMKS</v>
      </c>
      <c r="D257" s="16">
        <v>3</v>
      </c>
      <c r="E257" s="5">
        <v>133009849.12</v>
      </c>
      <c r="F257" s="56">
        <v>454750</v>
      </c>
      <c r="G257" s="81">
        <v>0.25</v>
      </c>
      <c r="H257" s="87"/>
      <c r="J257" s="18"/>
      <c r="K257" s="16"/>
      <c r="L257" s="87"/>
      <c r="M257" s="54"/>
      <c r="N257" s="54"/>
      <c r="O257" s="54"/>
      <c r="P257" s="91">
        <v>186899000</v>
      </c>
      <c r="Q257" s="73">
        <v>7815000</v>
      </c>
      <c r="R257" s="73">
        <f>IF(Tabela3[[#This Row],[Ativo || Passivo]]&gt;0,Tabela3[[#This Row],[Ativo || Passivo]]-Tabela3[[#This Row],[Patrimônio Líquido]],0)</f>
        <v>0</v>
      </c>
      <c r="S257" s="73">
        <f>Tabela3[[#This Row],[Cotação]]*Tabela3[[#This Row],[Total Ações]]</f>
        <v>159162500</v>
      </c>
      <c r="T257" s="37">
        <f>IF(Tabela3[[#This Row],[Passivo Circulante]]&gt;0,Tabela3[[#This Row],[Ativo Circulante]]/Tabela3[[#This Row],[Passivo Circulante]],0)</f>
        <v>0</v>
      </c>
      <c r="U257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57" s="18">
        <f>IF(Tabela3[[#This Row],[Lucro Líquido]]&gt;0,Tabela3[[#This Row],[Lucro Líquido]]/Tabela3[[#This Row],[Patrimônio Líquido]],0)</f>
        <v>4.181402789742053E-2</v>
      </c>
      <c r="W257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57" s="18">
        <f>IF(Tabela3[[#This Row],[Dívida]]&gt;0,Tabela3[[#This Row],[Dívida]]/Tabela3[[#This Row],[Patrimônio Líquido]],0)</f>
        <v>0</v>
      </c>
      <c r="Y257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57" s="7">
        <f>Tabela3[[#This Row],[Capital Social]]*20%</f>
        <v>26601969.824000001</v>
      </c>
      <c r="AA257" s="47">
        <f>IF((Tabela3[Lucro Líquido]*5%)&gt;Tabela3[Teto R. Legal],Tabela3[Teto R. Legal],Tabela3[Lucro Líquido]*5%)</f>
        <v>390750</v>
      </c>
      <c r="AB257" s="47">
        <f>IF(Tabela3[Lucro Líquido]&lt;0,0,Tabela3[Lucro Líquido]-Tabela3[Reserva Legal])</f>
        <v>7424250</v>
      </c>
      <c r="AC257" s="47">
        <f>Tabela3[[#This Row],[Lucro Distribuir]]*Tabela3[%Div]</f>
        <v>1856062.5</v>
      </c>
      <c r="AD257" s="56">
        <f>SUMPRODUCT(N(Tabela3[Nome]=Tabela3[[#This Row],[Nome]]),Tabela3[Ações])</f>
        <v>454750</v>
      </c>
      <c r="AE257" s="85">
        <f>Tabela3[Capital Social]/Tabela3[Total Ações]</f>
        <v>292.49004754260585</v>
      </c>
      <c r="AF257" s="85">
        <f>Tabela3[[#This Row],[Lucro Líquido]]/Tabela3[[#This Row],[Total Ações]]</f>
        <v>17.185266630016493</v>
      </c>
      <c r="AG257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4.0815008246289173</v>
      </c>
      <c r="AH257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57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57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4.0815008246289173</v>
      </c>
      <c r="AK257" s="7">
        <f>Tabela3[Div Base]*Tabela3[Ações]</f>
        <v>1856062.5000000002</v>
      </c>
      <c r="AL257" s="7">
        <f>SUMPRODUCT(N(Tabela3[Nome]=Tabela3[[#This Row],[Nome]]),Tabela3[Div Base]*Tabela3[Ações])</f>
        <v>1856062.5000000002</v>
      </c>
      <c r="AM257" s="5">
        <f>Tabela3[Patrimônio Líquido]/Tabela3[Total Ações]</f>
        <v>410.99285321605277</v>
      </c>
      <c r="AN257" s="52">
        <f>MAX(Tabela3[[#This Row],[Cotação 1]:[Cotação 5]])</f>
        <v>350</v>
      </c>
      <c r="AO257" s="53">
        <f>Tabela3[Cotação]/Tabela3[VPA]</f>
        <v>0.85159631672721636</v>
      </c>
      <c r="AP257" s="37">
        <f>IF(Tabela3[[#This Row],[Lucro/Ação]]&gt;0,Tabela3[[#This Row],[Cotação]]/(Tabela3[[#This Row],[Lucro/Ação]]/Tabela3[Ref]*4),0)</f>
        <v>15.274712092130518</v>
      </c>
      <c r="AQ257" s="85">
        <f>Tabela3[Lucro Distribuir]/Tabela3[Total Ações]</f>
        <v>16.326003298515669</v>
      </c>
      <c r="AR257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4.0815008246289173</v>
      </c>
      <c r="AS257" s="10" t="str">
        <f>IF(AND(Tabela3[% A.A.]&gt;=6%,SUMPRODUCT(N(Tabela3[Nome]=Tabela3[[#This Row],[Nome]]),Tabela3[PL])&gt;0,Tabela3[Rentabilidade s/ PL]&gt;=Tabela3[Rentabilidade s/ PL Média]),"Sim","Não")</f>
        <v>Não</v>
      </c>
      <c r="AT257" s="22">
        <f>IF(Tabela3[Cotação]&gt;0,Tabela3[[#This Row],[Lucro]]/Tabela3[[#This Row],[Cotação]],0)</f>
        <v>1.1661430927511192E-2</v>
      </c>
      <c r="AU257" s="22">
        <f>((1+Tabela3[[#This Row],[% Yield]])^(1/(3*Tabela3[[#This Row],[Ref]])))^(12)-1</f>
        <v>1.5578716407179005E-2</v>
      </c>
      <c r="AV257" s="10">
        <f>IF(Tabela3[Cotação]&gt;0,($BH$1/Tabela3[[#This Row],[Cotação]]-MOD($BH$1/Tabela3[[#This Row],[Cotação]],100)),)</f>
        <v>0</v>
      </c>
      <c r="AW257" s="7">
        <f>Tabela3[[#This Row],[Ativos]]*Tabela3[Lucro]</f>
        <v>0</v>
      </c>
      <c r="AX257" s="7">
        <f>SUMPRODUCT(N(Tabela1[Código]=Tabela3[[#This Row],[PAPEL]]),Tabela1[Fechamento])</f>
        <v>0</v>
      </c>
      <c r="AY257" s="7">
        <f>SUMPRODUCT(N(Tabela17[Código]=Tabela3[[#This Row],[PAPEL]]),Tabela17[Fechamento])</f>
        <v>0</v>
      </c>
      <c r="AZ257" s="7">
        <f>SUMPRODUCT(N(Tabela176[Código]=Tabela3[[#This Row],[PAPEL]]),Tabela176[Fechamento])</f>
        <v>0</v>
      </c>
      <c r="BA257" s="7">
        <f>SUMPRODUCT(N(Tabela1768[Código]=Tabela3[[#This Row],[PAPEL]]),Tabela1768[Fechamento])</f>
        <v>350</v>
      </c>
      <c r="BB257" s="7">
        <f>SUMPRODUCT(N(Tabela17683[Código]=Tabela3[[#This Row],[PAPEL]]),Tabela17683[Fechamento])</f>
        <v>0</v>
      </c>
    </row>
    <row r="258" spans="1:54" hidden="1" x14ac:dyDescent="0.2">
      <c r="A258" s="3" t="s">
        <v>239</v>
      </c>
      <c r="B258" s="57" t="s">
        <v>236</v>
      </c>
      <c r="C258" s="14" t="str">
        <f>LEFT(Tabela3[PAPEL],LEN(Tabela3[PAPEL])-(LEN(Tabela3[PAPEL])-4))</f>
        <v>FESA</v>
      </c>
      <c r="D258" s="16">
        <v>3</v>
      </c>
      <c r="E258" s="5">
        <v>897734673.07000005</v>
      </c>
      <c r="F258" s="56">
        <v>29440000</v>
      </c>
      <c r="G258" s="81">
        <v>0.25</v>
      </c>
      <c r="H258" s="16"/>
      <c r="J258" s="18"/>
      <c r="K258" s="87"/>
      <c r="L258" s="87"/>
      <c r="M258" s="54"/>
      <c r="N258" s="54"/>
      <c r="O258" s="54"/>
      <c r="P258" s="5">
        <v>1206918000</v>
      </c>
      <c r="Q258" s="5">
        <v>49929000</v>
      </c>
      <c r="R258" s="5">
        <f>IF(Tabela3[[#This Row],[Ativo || Passivo]]&gt;0,Tabela3[[#This Row],[Ativo || Passivo]]-Tabela3[[#This Row],[Patrimônio Líquido]],0)</f>
        <v>0</v>
      </c>
      <c r="S258" s="5">
        <f>Tabela3[[#This Row],[Cotação]]*Tabela3[[#This Row],[Total Ações]]</f>
        <v>1678080000</v>
      </c>
      <c r="T258" s="132">
        <f>IF(Tabela3[[#This Row],[Passivo Circulante]]&gt;0,Tabela3[[#This Row],[Ativo Circulante]]/Tabela3[[#This Row],[Passivo Circulante]],0)</f>
        <v>0</v>
      </c>
      <c r="U258" s="132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58" s="18">
        <f>IF(Tabela3[[#This Row],[Lucro Líquido]]&gt;0,Tabela3[[#This Row],[Lucro Líquido]]/Tabela3[[#This Row],[Patrimônio Líquido]],0)</f>
        <v>4.1369007670777967E-2</v>
      </c>
      <c r="W258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58" s="18">
        <f>IF(Tabela3[[#This Row],[Dívida]]&gt;0,Tabela3[[#This Row],[Dívida]]/Tabela3[[#This Row],[Patrimônio Líquido]],0)</f>
        <v>0</v>
      </c>
      <c r="Y258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58" s="5">
        <f>Tabela3[[#This Row],[Capital Social]]*20%</f>
        <v>179546934.61400002</v>
      </c>
      <c r="AA258" s="5">
        <f>IF((Tabela3[Lucro Líquido]*5%)&gt;Tabela3[Teto R. Legal],Tabela3[Teto R. Legal],Tabela3[Lucro Líquido]*5%)</f>
        <v>2496450</v>
      </c>
      <c r="AB258" s="5">
        <f>IF(Tabela3[Lucro Líquido]&lt;0,0,Tabela3[Lucro Líquido]-Tabela3[Reserva Legal])</f>
        <v>47432550</v>
      </c>
      <c r="AC258" s="5">
        <f>Tabela3[[#This Row],[Lucro Distribuir]]*Tabela3[%Div]</f>
        <v>11858137.5</v>
      </c>
      <c r="AD258" s="56">
        <f>SUMPRODUCT(N(Tabela3[Nome]=Tabela3[[#This Row],[Nome]]),Tabela3[Ações])</f>
        <v>88320000</v>
      </c>
      <c r="AE258" s="5">
        <f>Tabela3[Capital Social]/Tabela3[Total Ações]</f>
        <v>10.164568309216486</v>
      </c>
      <c r="AF258" s="77">
        <f>Tabela3[[#This Row],[Lucro Líquido]]/Tabela3[[#This Row],[Total Ações]]</f>
        <v>0.56531929347826082</v>
      </c>
      <c r="AG258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0.13008588938656412</v>
      </c>
      <c r="AH258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58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58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0.13008588938656412</v>
      </c>
      <c r="AK258" s="5">
        <f>Tabela3[Div Base]*Tabela3[Ações]</f>
        <v>3829728.583540448</v>
      </c>
      <c r="AL258" s="5">
        <f>SUMPRODUCT(N(Tabela3[Nome]=Tabela3[[#This Row],[Nome]]),Tabela3[Div Base]*Tabela3[Ações])</f>
        <v>12255131.478871353</v>
      </c>
      <c r="AM258" s="5">
        <f>Tabela3[Patrimônio Líquido]/Tabela3[Total Ações]</f>
        <v>13.665285326086957</v>
      </c>
      <c r="AN258" s="52">
        <f>MAX(Tabela3[[#This Row],[Cotação 1]:[Cotação 5]])</f>
        <v>19</v>
      </c>
      <c r="AO258" s="53">
        <f>Tabela3[Cotação]/Tabela3[VPA]</f>
        <v>1.3903844337394917</v>
      </c>
      <c r="AP258" s="37">
        <f>IF(Tabela3[[#This Row],[Lucro/Ação]]&gt;0,Tabela3[[#This Row],[Cotação]]/(Tabela3[[#This Row],[Lucro/Ação]]/Tabela3[Ref]*4),0)</f>
        <v>25.206993931382566</v>
      </c>
      <c r="AQ258" s="77">
        <f>Tabela3[Lucro Distribuir]/Tabela3[Total Ações]</f>
        <v>0.53705332880434786</v>
      </c>
      <c r="AR258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0.13008588938656412</v>
      </c>
      <c r="AS258" s="16" t="str">
        <f>IF(AND(Tabela3[% A.A.]&gt;=6%,SUMPRODUCT(N(Tabela3[Nome]=Tabela3[[#This Row],[Nome]]),Tabela3[PL])&gt;0,Tabela3[Rentabilidade s/ PL]&gt;=Tabela3[Rentabilidade s/ PL Média]),"Sim","Não")</f>
        <v>Não</v>
      </c>
      <c r="AT258" s="22">
        <f>IF(Tabela3[Cotação]&gt;0,Tabela3[[#This Row],[Lucro]]/Tabela3[[#This Row],[Cotação]],0)</f>
        <v>6.8466257571875855E-3</v>
      </c>
      <c r="AU258" s="18">
        <f>((1+Tabela3[[#This Row],[% Yield]])^(1/(3*Tabela3[[#This Row],[Ref]])))^(12)-1</f>
        <v>9.1392354909176632E-3</v>
      </c>
      <c r="AV258" s="10">
        <f>IF(Tabela3[Cotação]&gt;0,($BD$1/Tabela3[[#This Row],[Cotação]]-MOD($BD$1/Tabela3[[#This Row],[Cotação]],100)),)</f>
        <v>0</v>
      </c>
      <c r="AW258" s="7">
        <f>Tabela3[[#This Row],[Ativos]]*Tabela3[Lucro]</f>
        <v>0</v>
      </c>
      <c r="AX258" s="5">
        <f>SUMPRODUCT(N(Tabela1[Código]=Tabela3[[#This Row],[PAPEL]]),Tabela1[Fechamento])</f>
        <v>19</v>
      </c>
      <c r="AY258" s="5">
        <f>SUMPRODUCT(N(Tabela17[Código]=Tabela3[[#This Row],[PAPEL]]),Tabela17[Fechamento])</f>
        <v>0</v>
      </c>
      <c r="AZ258" s="7">
        <f>SUMPRODUCT(N(Tabela176[Código]=Tabela3[[#This Row],[PAPEL]]),Tabela176[Fechamento])</f>
        <v>0</v>
      </c>
      <c r="BA258" s="7">
        <f>SUMPRODUCT(N(Tabela1768[Código]=Tabela3[[#This Row],[PAPEL]]),Tabela1768[Fechamento])</f>
        <v>0</v>
      </c>
      <c r="BB258" s="7">
        <f>SUMPRODUCT(N(Tabela17683[Código]=Tabela3[[#This Row],[PAPEL]]),Tabela17683[Fechamento])</f>
        <v>0</v>
      </c>
    </row>
    <row r="259" spans="1:54" hidden="1" x14ac:dyDescent="0.2">
      <c r="A259" s="3" t="s">
        <v>239</v>
      </c>
      <c r="B259" s="57" t="s">
        <v>79</v>
      </c>
      <c r="C259" s="15" t="str">
        <f>LEFT(Tabela3[PAPEL],LEN(Tabela3[PAPEL])-(LEN(Tabela3[PAPEL])-4))</f>
        <v>FESA</v>
      </c>
      <c r="D259" s="16">
        <v>3</v>
      </c>
      <c r="E259" s="5">
        <v>897734673.07000005</v>
      </c>
      <c r="F259" s="56">
        <v>58880000</v>
      </c>
      <c r="G259" s="86">
        <v>0.25</v>
      </c>
      <c r="H259" s="16"/>
      <c r="J259" s="18">
        <v>0.1</v>
      </c>
      <c r="K259" s="87"/>
      <c r="L259" s="87"/>
      <c r="M259" s="54"/>
      <c r="N259" s="54"/>
      <c r="O259" s="54"/>
      <c r="P259" s="5">
        <v>1206918000</v>
      </c>
      <c r="Q259" s="5">
        <v>49929000</v>
      </c>
      <c r="R259" s="5">
        <f>IF(Tabela3[[#This Row],[Ativo || Passivo]]&gt;0,Tabela3[[#This Row],[Ativo || Passivo]]-Tabela3[[#This Row],[Patrimônio Líquido]],0)</f>
        <v>0</v>
      </c>
      <c r="S259" s="5">
        <f>Tabela3[[#This Row],[Cotação]]*Tabela3[[#This Row],[Total Ações]]</f>
        <v>1077504000</v>
      </c>
      <c r="T259" s="132">
        <f>IF(Tabela3[[#This Row],[Passivo Circulante]]&gt;0,Tabela3[[#This Row],[Ativo Circulante]]/Tabela3[[#This Row],[Passivo Circulante]],0)</f>
        <v>0</v>
      </c>
      <c r="U259" s="132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59" s="18">
        <f>IF(Tabela3[[#This Row],[Lucro Líquido]]&gt;0,Tabela3[[#This Row],[Lucro Líquido]]/Tabela3[[#This Row],[Patrimônio Líquido]],0)</f>
        <v>4.1369007670777967E-2</v>
      </c>
      <c r="W259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59" s="18">
        <f>IF(Tabela3[[#This Row],[Dívida]]&gt;0,Tabela3[[#This Row],[Dívida]]/Tabela3[[#This Row],[Patrimônio Líquido]],0)</f>
        <v>0</v>
      </c>
      <c r="Y259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59" s="5">
        <f>Tabela3[[#This Row],[Capital Social]]*20%</f>
        <v>179546934.61400002</v>
      </c>
      <c r="AA259" s="5">
        <f>IF((Tabela3[Lucro Líquido]*5%)&gt;Tabela3[Teto R. Legal],Tabela3[Teto R. Legal],Tabela3[Lucro Líquido]*5%)</f>
        <v>2496450</v>
      </c>
      <c r="AB259" s="5">
        <f>IF(Tabela3[Lucro Líquido]&lt;0,0,Tabela3[Lucro Líquido]-Tabela3[Reserva Legal])</f>
        <v>47432550</v>
      </c>
      <c r="AC259" s="5">
        <f>Tabela3[[#This Row],[Lucro Distribuir]]*Tabela3[%Div]</f>
        <v>11858137.5</v>
      </c>
      <c r="AD259" s="56">
        <f>SUMPRODUCT(N(Tabela3[Nome]=Tabela3[[#This Row],[Nome]]),Tabela3[Ações])</f>
        <v>88320000</v>
      </c>
      <c r="AE259" s="5">
        <f>Tabela3[Capital Social]/Tabela3[Total Ações]</f>
        <v>10.164568309216486</v>
      </c>
      <c r="AF259" s="77">
        <f>Tabela3[[#This Row],[Lucro Líquido]]/Tabela3[[#This Row],[Total Ações]]</f>
        <v>0.56531929347826082</v>
      </c>
      <c r="AG259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0.14309447852124499</v>
      </c>
      <c r="AH259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59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59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0.14309447852124499</v>
      </c>
      <c r="AK259" s="5">
        <f>Tabela3[Div Base]*Tabela3[Ações]</f>
        <v>8425402.8953309041</v>
      </c>
      <c r="AL259" s="5">
        <f>SUMPRODUCT(N(Tabela3[Nome]=Tabela3[[#This Row],[Nome]]),Tabela3[Div Base]*Tabela3[Ações])</f>
        <v>12255131.478871353</v>
      </c>
      <c r="AM259" s="5">
        <f>Tabela3[Patrimônio Líquido]/Tabela3[Total Ações]</f>
        <v>13.665285326086957</v>
      </c>
      <c r="AN259" s="52">
        <f>MAX(Tabela3[[#This Row],[Cotação 1]:[Cotação 5]])</f>
        <v>12.2</v>
      </c>
      <c r="AO259" s="53">
        <f>Tabela3[Cotação]/Tabela3[VPA]</f>
        <v>0.89277316271693674</v>
      </c>
      <c r="AP259" s="37">
        <f>IF(Tabela3[[#This Row],[Lucro/Ação]]&gt;0,Tabela3[[#This Row],[Cotação]]/(Tabela3[[#This Row],[Lucro/Ação]]/Tabela3[Ref]*4),0)</f>
        <v>16.185543471729858</v>
      </c>
      <c r="AQ259" s="77">
        <f>Tabela3[Lucro Distribuir]/Tabela3[Total Ações]</f>
        <v>0.53705332880434786</v>
      </c>
      <c r="AR259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0.14309447852124499</v>
      </c>
      <c r="AS259" s="16" t="str">
        <f>IF(AND(Tabela3[% A.A.]&gt;=6%,SUMPRODUCT(N(Tabela3[Nome]=Tabela3[[#This Row],[Nome]]),Tabela3[PL])&gt;0,Tabela3[Rentabilidade s/ PL]&gt;=Tabela3[Rentabilidade s/ PL Média]),"Sim","Não")</f>
        <v>Não</v>
      </c>
      <c r="AT259" s="22">
        <f>IF(Tabela3[Cotação]&gt;0,Tabela3[[#This Row],[Lucro]]/Tabela3[[#This Row],[Cotação]],0)</f>
        <v>1.1729055616495492E-2</v>
      </c>
      <c r="AU259" s="18">
        <f>((1+Tabela3[[#This Row],[% Yield]])^(1/(3*Tabela3[[#This Row],[Ref]])))^(12)-1</f>
        <v>1.5669232803094735E-2</v>
      </c>
      <c r="AV259" s="10">
        <f>IF(Tabela3[Cotação]&gt;0,($BD$1/Tabela3[[#This Row],[Cotação]]-MOD($BD$1/Tabela3[[#This Row],[Cotação]],100)),)</f>
        <v>0</v>
      </c>
      <c r="AW259" s="7">
        <f>Tabela3[[#This Row],[Ativos]]*Tabela3[Lucro]</f>
        <v>0</v>
      </c>
      <c r="AX259" s="5">
        <f>SUMPRODUCT(N(Tabela1[Código]=Tabela3[[#This Row],[PAPEL]]),Tabela1[Fechamento])</f>
        <v>12.2</v>
      </c>
      <c r="AY259" s="5">
        <f>SUMPRODUCT(N(Tabela17[Código]=Tabela3[[#This Row],[PAPEL]]),Tabela17[Fechamento])</f>
        <v>0</v>
      </c>
      <c r="AZ259" s="7">
        <f>SUMPRODUCT(N(Tabela176[Código]=Tabela3[[#This Row],[PAPEL]]),Tabela176[Fechamento])</f>
        <v>0</v>
      </c>
      <c r="BA259" s="7">
        <f>SUMPRODUCT(N(Tabela1768[Código]=Tabela3[[#This Row],[PAPEL]]),Tabela1768[Fechamento])</f>
        <v>0</v>
      </c>
      <c r="BB259" s="7">
        <f>SUMPRODUCT(N(Tabela17683[Código]=Tabela3[[#This Row],[PAPEL]]),Tabela17683[Fechamento])</f>
        <v>0</v>
      </c>
    </row>
    <row r="260" spans="1:54" hidden="1" x14ac:dyDescent="0.2">
      <c r="A260" s="4" t="s">
        <v>14</v>
      </c>
      <c r="B260" s="57" t="s">
        <v>223</v>
      </c>
      <c r="C260" s="15" t="str">
        <f>LEFT(Tabela3[PAPEL],LEN(Tabela3[PAPEL])-(LEN(Tabela3[PAPEL])-4))</f>
        <v>BRGE</v>
      </c>
      <c r="D260" s="16">
        <v>3</v>
      </c>
      <c r="E260" s="5">
        <v>303375520</v>
      </c>
      <c r="F260" s="56">
        <v>6759345</v>
      </c>
      <c r="G260" s="86">
        <v>0.25</v>
      </c>
      <c r="H260" s="16"/>
      <c r="I260" s="18">
        <v>0.06</v>
      </c>
      <c r="J260" s="18"/>
      <c r="K260" s="87"/>
      <c r="L260" s="87"/>
      <c r="M260" s="47">
        <v>847911000</v>
      </c>
      <c r="N260" s="47">
        <v>3497000</v>
      </c>
      <c r="O260" s="47">
        <v>3890000</v>
      </c>
      <c r="P260" s="5">
        <v>843867000</v>
      </c>
      <c r="Q260" s="5">
        <v>34502000</v>
      </c>
      <c r="R260" s="5">
        <f>IF(Tabela3[[#This Row],[Ativo || Passivo]]&gt;0,Tabela3[[#This Row],[Ativo || Passivo]]-Tabela3[[#This Row],[Patrimônio Líquido]],0)</f>
        <v>4044000</v>
      </c>
      <c r="S260" s="47">
        <f>Tabela3[[#This Row],[Cotação]]*Tabela3[[#This Row],[Total Ações]]</f>
        <v>285011521.56</v>
      </c>
      <c r="T260" s="132">
        <f>IF(Tabela3[[#This Row],[Passivo Circulante]]&gt;0,Tabela3[[#This Row],[Ativo Circulante]]/Tabela3[[#This Row],[Passivo Circulante]],0)</f>
        <v>0.89897172236503853</v>
      </c>
      <c r="U260" s="132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60" s="18">
        <f>IF(Tabela3[[#This Row],[Lucro Líquido]]&gt;0,Tabela3[[#This Row],[Lucro Líquido]]/Tabela3[[#This Row],[Patrimônio Líquido]],0)</f>
        <v>4.0885589790808266E-2</v>
      </c>
      <c r="W260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60" s="18">
        <f>IF(Tabela3[[#This Row],[Dívida]]&gt;0,Tabela3[[#This Row],[Dívida]]/Tabela3[[#This Row],[Patrimônio Líquido]],0)</f>
        <v>4.7922243671099833E-3</v>
      </c>
      <c r="Y260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60" s="5">
        <f>Tabela3[[#This Row],[Capital Social]]*20%</f>
        <v>60675104</v>
      </c>
      <c r="AA260" s="5">
        <f>IF((Tabela3[Lucro Líquido]*5%)&gt;Tabela3[Teto R. Legal],Tabela3[Teto R. Legal],Tabela3[Lucro Líquido]*5%)</f>
        <v>1725100</v>
      </c>
      <c r="AB260" s="5">
        <f>IF(Tabela3[Lucro Líquido]&lt;0,0,Tabela3[Lucro Líquido]-Tabela3[Reserva Legal])</f>
        <v>32776900</v>
      </c>
      <c r="AC260" s="5">
        <f>Tabela3[[#This Row],[Lucro Distribuir]]*Tabela3[%Div]</f>
        <v>8194225</v>
      </c>
      <c r="AD260" s="21">
        <f>SUMPRODUCT(N(Tabela3[Nome]=Tabela3[[#This Row],[Nome]]),Tabela3[Ações])</f>
        <v>73646388</v>
      </c>
      <c r="AE260" s="5">
        <f>Tabela3[Capital Social]/Tabela3[Total Ações]</f>
        <v>4.1193536877871049</v>
      </c>
      <c r="AF260" s="77">
        <f>Tabela3[[#This Row],[Lucro Líquido]]/Tabela3[[#This Row],[Total Ações]]</f>
        <v>0.46848190300928266</v>
      </c>
      <c r="AG260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0.11126445196470464</v>
      </c>
      <c r="AH260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60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0.24716122126722628</v>
      </c>
      <c r="AJ260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0.24716122126722628</v>
      </c>
      <c r="AK260" s="5">
        <f>Tabela3[Div Base]*Tabela3[Ações]</f>
        <v>1670647.9651665196</v>
      </c>
      <c r="AL260" s="5">
        <f>SUMPRODUCT(N(Tabela3[Nome]=Tabela3[[#This Row],[Nome]]),Tabela3[Div Base]*Tabela3[Ações])</f>
        <v>8194225.0000000019</v>
      </c>
      <c r="AM260" s="5">
        <f>Tabela3[Patrimônio Líquido]/Tabela3[Total Ações]</f>
        <v>11.45836235716</v>
      </c>
      <c r="AN260" s="52">
        <f>MAX(Tabela3[[#This Row],[Cotação 1]:[Cotação 5]])</f>
        <v>3.87</v>
      </c>
      <c r="AO260" s="53">
        <f>Tabela3[Cotação]/Tabela3[VPA]</f>
        <v>0.33774459904226617</v>
      </c>
      <c r="AP260" s="37">
        <f>IF(Tabela3[[#This Row],[Lucro/Ação]]&gt;0,Tabela3[[#This Row],[Cotação]]/(Tabela3[[#This Row],[Lucro/Ação]]/Tabela3[Ref]*4),0)</f>
        <v>6.195543480667788</v>
      </c>
      <c r="AQ260" s="77">
        <f>Tabela3[Lucro Distribuir]/Tabela3[Total Ações]</f>
        <v>0.44505780785881854</v>
      </c>
      <c r="AR260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0.24716122126722628</v>
      </c>
      <c r="AS260" s="16" t="str">
        <f>IF(AND(Tabela3[% A.A.]&gt;=6%,SUMPRODUCT(N(Tabela3[Nome]=Tabela3[[#This Row],[Nome]]),Tabela3[PL])&gt;0,Tabela3[Rentabilidade s/ PL]&gt;=Tabela3[Rentabilidade s/ PL Média]),"Sim","Não")</f>
        <v>Não</v>
      </c>
      <c r="AT260" s="22">
        <f>IF(Tabela3[Cotação]&gt;0,Tabela3[[#This Row],[Lucro]]/Tabela3[[#This Row],[Cotação]],0)</f>
        <v>6.3865948647862089E-2</v>
      </c>
      <c r="AU260" s="18">
        <f>((1+Tabela3[[#This Row],[% Yield]])^(1/(3*Tabela3[[#This Row],[Ref]])))^(12)-1</f>
        <v>8.6048478291082642E-2</v>
      </c>
      <c r="AV260" s="10">
        <f>IF(Tabela3[Cotação]&gt;0,($BH$1/Tabela3[[#This Row],[Cotação]]-MOD($BH$1/Tabela3[[#This Row],[Cotação]],100)),)</f>
        <v>100</v>
      </c>
      <c r="AW260" s="7">
        <f>Tabela3[[#This Row],[Ativos]]*Tabela3[Lucro]</f>
        <v>24.716122126722627</v>
      </c>
      <c r="AX260" s="5">
        <f>SUMPRODUCT(N(Tabela1[Código]=Tabela3[[#This Row],[PAPEL]]),Tabela1[Fechamento])</f>
        <v>3.87</v>
      </c>
      <c r="AY260" s="5">
        <f>SUMPRODUCT(N(Tabela17[Código]=Tabela3[[#This Row],[PAPEL]]),Tabela17[Fechamento])</f>
        <v>0</v>
      </c>
      <c r="AZ260" s="7">
        <f>SUMPRODUCT(N(Tabela176[Código]=Tabela3[[#This Row],[PAPEL]]),Tabela176[Fechamento])</f>
        <v>0</v>
      </c>
      <c r="BA260" s="7">
        <f>SUMPRODUCT(N(Tabela1768[Código]=Tabela3[[#This Row],[PAPEL]]),Tabela1768[Fechamento])</f>
        <v>0</v>
      </c>
      <c r="BB260" s="7">
        <f>SUMPRODUCT(N(Tabela17683[Código]=Tabela3[[#This Row],[PAPEL]]),Tabela17683[Fechamento])</f>
        <v>0</v>
      </c>
    </row>
    <row r="261" spans="1:54" hidden="1" x14ac:dyDescent="0.2">
      <c r="A261" s="4" t="s">
        <v>14</v>
      </c>
      <c r="B261" s="57" t="s">
        <v>224</v>
      </c>
      <c r="C261" s="14" t="str">
        <f>LEFT(Tabela3[PAPEL],LEN(Tabela3[PAPEL])-(LEN(Tabela3[PAPEL])-4))</f>
        <v>BRGE</v>
      </c>
      <c r="D261" s="15">
        <v>3</v>
      </c>
      <c r="E261" s="5">
        <v>303375520</v>
      </c>
      <c r="F261" s="8">
        <v>21717524</v>
      </c>
      <c r="G261" s="81">
        <v>0.25</v>
      </c>
      <c r="H261" s="15"/>
      <c r="I261" s="19"/>
      <c r="J261" s="19"/>
      <c r="K261" s="88"/>
      <c r="L261" s="88"/>
      <c r="M261" s="47">
        <v>847911000</v>
      </c>
      <c r="N261" s="47">
        <v>3497000</v>
      </c>
      <c r="O261" s="47">
        <v>3890000</v>
      </c>
      <c r="P261" s="5">
        <v>843867000</v>
      </c>
      <c r="Q261" s="5">
        <v>34502000</v>
      </c>
      <c r="R261" s="5">
        <f>IF(Tabela3[[#This Row],[Ativo || Passivo]]&gt;0,Tabela3[[#This Row],[Ativo || Passivo]]-Tabela3[[#This Row],[Patrimônio Líquido]],0)</f>
        <v>4044000</v>
      </c>
      <c r="S261" s="5">
        <f>Tabela3[[#This Row],[Cotação]]*Tabela3[[#This Row],[Total Ações]]</f>
        <v>280592738.28000003</v>
      </c>
      <c r="T261" s="132">
        <f>IF(Tabela3[[#This Row],[Passivo Circulante]]&gt;0,Tabela3[[#This Row],[Ativo Circulante]]/Tabela3[[#This Row],[Passivo Circulante]],0)</f>
        <v>0.89897172236503853</v>
      </c>
      <c r="U261" s="132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61" s="18">
        <f>IF(Tabela3[[#This Row],[Lucro Líquido]]&gt;0,Tabela3[[#This Row],[Lucro Líquido]]/Tabela3[[#This Row],[Patrimônio Líquido]],0)</f>
        <v>4.0885589790808266E-2</v>
      </c>
      <c r="W261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61" s="18">
        <f>IF(Tabela3[[#This Row],[Dívida]]&gt;0,Tabela3[[#This Row],[Dívida]]/Tabela3[[#This Row],[Patrimônio Líquido]],0)</f>
        <v>4.7922243671099833E-3</v>
      </c>
      <c r="Y261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61" s="5">
        <f>Tabela3[[#This Row],[Capital Social]]*20%</f>
        <v>60675104</v>
      </c>
      <c r="AA261" s="5">
        <f>IF((Tabela3[Lucro Líquido]*5%)&gt;Tabela3[Teto R. Legal],Tabela3[Teto R. Legal],Tabela3[Lucro Líquido]*5%)</f>
        <v>1725100</v>
      </c>
      <c r="AB261" s="5">
        <f>IF(Tabela3[Lucro Líquido]&lt;0,0,Tabela3[Lucro Líquido]-Tabela3[Reserva Legal])</f>
        <v>32776900</v>
      </c>
      <c r="AC261" s="5">
        <f>Tabela3[[#This Row],[Lucro Distribuir]]*Tabela3[%Div]</f>
        <v>8194225</v>
      </c>
      <c r="AD261" s="21">
        <f>SUMPRODUCT(N(Tabela3[Nome]=Tabela3[[#This Row],[Nome]]),Tabela3[Ações])</f>
        <v>73646388</v>
      </c>
      <c r="AE261" s="5">
        <f>Tabela3[Capital Social]/Tabela3[Total Ações]</f>
        <v>4.1193536877871049</v>
      </c>
      <c r="AF261" s="78">
        <f>Tabela3[[#This Row],[Lucro Líquido]]/Tabela3[[#This Row],[Total Ações]]</f>
        <v>0.46848190300928266</v>
      </c>
      <c r="AG261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0.11126445196470464</v>
      </c>
      <c r="AH261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61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7.8085912537628047E-2</v>
      </c>
      <c r="AJ261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7.8085912537628047E-2</v>
      </c>
      <c r="AK261" s="5">
        <f>Tabela3[Div Base]*Tabela3[Ações]</f>
        <v>1695832.6795978381</v>
      </c>
      <c r="AL261" s="5">
        <f>SUMPRODUCT(N(Tabela3[Nome]=Tabela3[[#This Row],[Nome]]),Tabela3[Div Base]*Tabela3[Ações])</f>
        <v>8194225.0000000019</v>
      </c>
      <c r="AM261" s="6">
        <f>Tabela3[Patrimônio Líquido]/Tabela3[Total Ações]</f>
        <v>11.45836235716</v>
      </c>
      <c r="AN261" s="48">
        <f>MAX(Tabela3[[#This Row],[Cotação 1]:[Cotação 5]])</f>
        <v>3.81</v>
      </c>
      <c r="AO261" s="44">
        <f>Tabela3[Cotação]/Tabela3[VPA]</f>
        <v>0.33250824866951784</v>
      </c>
      <c r="AP261" s="40">
        <f>IF(Tabela3[[#This Row],[Lucro/Ação]]&gt;0,Tabela3[[#This Row],[Cotação]]/(Tabela3[[#This Row],[Lucro/Ação]]/Tabela3[Ref]*4),0)</f>
        <v>6.0994885429830159</v>
      </c>
      <c r="AQ261" s="78">
        <f>Tabela3[Lucro Distribuir]/Tabela3[Total Ações]</f>
        <v>0.44505780785881854</v>
      </c>
      <c r="AR261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7.8085912537628047E-2</v>
      </c>
      <c r="AS261" s="15" t="str">
        <f>IF(AND(Tabela3[% A.A.]&gt;=6%,SUMPRODUCT(N(Tabela3[Nome]=Tabela3[[#This Row],[Nome]]),Tabela3[PL])&gt;0,Tabela3[Rentabilidade s/ PL]&gt;=Tabela3[Rentabilidade s/ PL Média]),"Sim","Não")</f>
        <v>Não</v>
      </c>
      <c r="AT261" s="42">
        <f>IF(Tabela3[Cotação]&gt;0,Tabela3[[#This Row],[Lucro]]/Tabela3[[#This Row],[Cotação]],0)</f>
        <v>2.0494990167356442E-2</v>
      </c>
      <c r="AU261" s="19">
        <f>((1+Tabela3[[#This Row],[% Yield]])^(1/(3*Tabela3[[#This Row],[Ref]])))^(12)-1</f>
        <v>2.7419575270568153E-2</v>
      </c>
      <c r="AV261" s="14">
        <f>IF(Tabela3[Cotação]&gt;0,($BH$1/Tabela3[[#This Row],[Cotação]]-MOD($BH$1/Tabela3[[#This Row],[Cotação]],100)),)</f>
        <v>100</v>
      </c>
      <c r="AW261" s="17">
        <f>Tabela3[[#This Row],[Ativos]]*Tabela3[Lucro]</f>
        <v>7.8085912537628044</v>
      </c>
      <c r="AX261" s="5">
        <f>SUMPRODUCT(N(Tabela1[Código]=Tabela3[[#This Row],[PAPEL]]),Tabela1[Fechamento])</f>
        <v>3.81</v>
      </c>
      <c r="AY261" s="5">
        <f>SUMPRODUCT(N(Tabela17[Código]=Tabela3[[#This Row],[PAPEL]]),Tabela17[Fechamento])</f>
        <v>0</v>
      </c>
      <c r="AZ261" s="7">
        <f>SUMPRODUCT(N(Tabela176[Código]=Tabela3[[#This Row],[PAPEL]]),Tabela176[Fechamento])</f>
        <v>0</v>
      </c>
      <c r="BA261" s="7">
        <f>SUMPRODUCT(N(Tabela1768[Código]=Tabela3[[#This Row],[PAPEL]]),Tabela1768[Fechamento])</f>
        <v>0</v>
      </c>
      <c r="BB261" s="7">
        <f>SUMPRODUCT(N(Tabela17683[Código]=Tabela3[[#This Row],[PAPEL]]),Tabela17683[Fechamento])</f>
        <v>0</v>
      </c>
    </row>
    <row r="262" spans="1:54" hidden="1" x14ac:dyDescent="0.2">
      <c r="A262" s="4" t="s">
        <v>14</v>
      </c>
      <c r="B262" s="57" t="s">
        <v>219</v>
      </c>
      <c r="C262" s="15" t="str">
        <f>LEFT(Tabela3[PAPEL],LEN(Tabela3[PAPEL])-(LEN(Tabela3[PAPEL])-4))</f>
        <v>BRGE</v>
      </c>
      <c r="D262" s="16">
        <v>3</v>
      </c>
      <c r="E262" s="5">
        <v>303375520</v>
      </c>
      <c r="F262" s="56">
        <v>40394932</v>
      </c>
      <c r="G262" s="86">
        <v>0.25</v>
      </c>
      <c r="H262" s="16"/>
      <c r="J262" s="18"/>
      <c r="K262" s="87"/>
      <c r="L262" s="87"/>
      <c r="M262" s="47">
        <v>847911000</v>
      </c>
      <c r="N262" s="47">
        <v>3497000</v>
      </c>
      <c r="O262" s="47">
        <v>3890000</v>
      </c>
      <c r="P262" s="5">
        <v>843867000</v>
      </c>
      <c r="Q262" s="5">
        <v>34502000</v>
      </c>
      <c r="R262" s="5">
        <f>IF(Tabela3[[#This Row],[Ativo || Passivo]]&gt;0,Tabela3[[#This Row],[Ativo || Passivo]]-Tabela3[[#This Row],[Patrimônio Líquido]],0)</f>
        <v>4044000</v>
      </c>
      <c r="S262" s="5">
        <f>Tabela3[[#This Row],[Cotação]]*Tabela3[[#This Row],[Total Ações]]</f>
        <v>285011521.56</v>
      </c>
      <c r="T262" s="132">
        <f>IF(Tabela3[[#This Row],[Passivo Circulante]]&gt;0,Tabela3[[#This Row],[Ativo Circulante]]/Tabela3[[#This Row],[Passivo Circulante]],0)</f>
        <v>0.89897172236503853</v>
      </c>
      <c r="U262" s="132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62" s="18">
        <f>IF(Tabela3[[#This Row],[Lucro Líquido]]&gt;0,Tabela3[[#This Row],[Lucro Líquido]]/Tabela3[[#This Row],[Patrimônio Líquido]],0)</f>
        <v>4.0885589790808266E-2</v>
      </c>
      <c r="W262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62" s="18">
        <f>IF(Tabela3[[#This Row],[Dívida]]&gt;0,Tabela3[[#This Row],[Dívida]]/Tabela3[[#This Row],[Patrimônio Líquido]],0)</f>
        <v>4.7922243671099833E-3</v>
      </c>
      <c r="Y262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62" s="5">
        <f>Tabela3[[#This Row],[Capital Social]]*20%</f>
        <v>60675104</v>
      </c>
      <c r="AA262" s="5">
        <f>IF((Tabela3[Lucro Líquido]*5%)&gt;Tabela3[Teto R. Legal],Tabela3[Teto R. Legal],Tabela3[Lucro Líquido]*5%)</f>
        <v>1725100</v>
      </c>
      <c r="AB262" s="5">
        <f>IF(Tabela3[Lucro Líquido]&lt;0,0,Tabela3[Lucro Líquido]-Tabela3[Reserva Legal])</f>
        <v>32776900</v>
      </c>
      <c r="AC262" s="5">
        <f>Tabela3[[#This Row],[Lucro Distribuir]]*Tabela3[%Div]</f>
        <v>8194225</v>
      </c>
      <c r="AD262" s="21">
        <f>SUMPRODUCT(N(Tabela3[Nome]=Tabela3[[#This Row],[Nome]]),Tabela3[Ações])</f>
        <v>73646388</v>
      </c>
      <c r="AE262" s="5">
        <f>Tabela3[Capital Social]/Tabela3[Total Ações]</f>
        <v>4.1193536877871049</v>
      </c>
      <c r="AF262" s="77">
        <f>Tabela3[[#This Row],[Lucro Líquido]]/Tabela3[[#This Row],[Total Ações]]</f>
        <v>0.46848190300928266</v>
      </c>
      <c r="AG262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0.11126445196470464</v>
      </c>
      <c r="AH262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62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7.8085912537628047E-2</v>
      </c>
      <c r="AJ262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7.8085912537628047E-2</v>
      </c>
      <c r="AK262" s="5">
        <f>Tabela3[Div Base]*Tabela3[Ações]</f>
        <v>3154275.1271154322</v>
      </c>
      <c r="AL262" s="5">
        <f>SUMPRODUCT(N(Tabela3[Nome]=Tabela3[[#This Row],[Nome]]),Tabela3[Div Base]*Tabela3[Ações])</f>
        <v>8194225.0000000019</v>
      </c>
      <c r="AM262" s="5">
        <f>Tabela3[Patrimônio Líquido]/Tabela3[Total Ações]</f>
        <v>11.45836235716</v>
      </c>
      <c r="AN262" s="52">
        <f>MAX(Tabela3[[#This Row],[Cotação 1]:[Cotação 5]])</f>
        <v>3.87</v>
      </c>
      <c r="AO262" s="53">
        <f>Tabela3[Cotação]/Tabela3[VPA]</f>
        <v>0.33774459904226617</v>
      </c>
      <c r="AP262" s="37">
        <f>IF(Tabela3[[#This Row],[Lucro/Ação]]&gt;0,Tabela3[[#This Row],[Cotação]]/(Tabela3[[#This Row],[Lucro/Ação]]/Tabela3[Ref]*4),0)</f>
        <v>6.195543480667788</v>
      </c>
      <c r="AQ262" s="77">
        <f>Tabela3[Lucro Distribuir]/Tabela3[Total Ações]</f>
        <v>0.44505780785881854</v>
      </c>
      <c r="AR262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7.8085912537628047E-2</v>
      </c>
      <c r="AS262" s="16" t="str">
        <f>IF(AND(Tabela3[% A.A.]&gt;=6%,SUMPRODUCT(N(Tabela3[Nome]=Tabela3[[#This Row],[Nome]]),Tabela3[PL])&gt;0,Tabela3[Rentabilidade s/ PL]&gt;=Tabela3[Rentabilidade s/ PL Média]),"Sim","Não")</f>
        <v>Não</v>
      </c>
      <c r="AT262" s="22">
        <f>IF(Tabela3[Cotação]&gt;0,Tabela3[[#This Row],[Lucro]]/Tabela3[[#This Row],[Cotação]],0)</f>
        <v>2.0177238381816034E-2</v>
      </c>
      <c r="AU262" s="18">
        <f>((1+Tabela3[[#This Row],[% Yield]])^(1/(3*Tabela3[[#This Row],[Ref]])))^(12)-1</f>
        <v>2.6993053547117007E-2</v>
      </c>
      <c r="AV262" s="10">
        <f>IF(Tabela3[Cotação]&gt;0,($BH$1/Tabela3[[#This Row],[Cotação]]-MOD($BH$1/Tabela3[[#This Row],[Cotação]],100)),)</f>
        <v>100</v>
      </c>
      <c r="AW262" s="7">
        <f>Tabela3[[#This Row],[Ativos]]*Tabela3[Lucro]</f>
        <v>7.8085912537628044</v>
      </c>
      <c r="AX262" s="5">
        <f>SUMPRODUCT(N(Tabela1[Código]=Tabela3[[#This Row],[PAPEL]]),Tabela1[Fechamento])</f>
        <v>3.87</v>
      </c>
      <c r="AY262" s="5">
        <f>SUMPRODUCT(N(Tabela17[Código]=Tabela3[[#This Row],[PAPEL]]),Tabela17[Fechamento])</f>
        <v>0</v>
      </c>
      <c r="AZ262" s="7">
        <f>SUMPRODUCT(N(Tabela176[Código]=Tabela3[[#This Row],[PAPEL]]),Tabela176[Fechamento])</f>
        <v>0</v>
      </c>
      <c r="BA262" s="7">
        <f>SUMPRODUCT(N(Tabela1768[Código]=Tabela3[[#This Row],[PAPEL]]),Tabela1768[Fechamento])</f>
        <v>0</v>
      </c>
      <c r="BB262" s="7">
        <f>SUMPRODUCT(N(Tabela17683[Código]=Tabela3[[#This Row],[PAPEL]]),Tabela17683[Fechamento])</f>
        <v>0</v>
      </c>
    </row>
    <row r="263" spans="1:54" hidden="1" x14ac:dyDescent="0.2">
      <c r="A263" s="4" t="s">
        <v>14</v>
      </c>
      <c r="B263" s="57" t="s">
        <v>220</v>
      </c>
      <c r="C263" s="10" t="str">
        <f>LEFT(Tabela3[PAPEL],LEN(Tabela3[PAPEL])-(LEN(Tabela3[PAPEL])-4))</f>
        <v>BRGE</v>
      </c>
      <c r="D263" s="16">
        <v>3</v>
      </c>
      <c r="E263" s="5">
        <v>303375520</v>
      </c>
      <c r="F263" s="56">
        <v>164936</v>
      </c>
      <c r="G263" s="81">
        <v>0.25</v>
      </c>
      <c r="H263" s="16"/>
      <c r="I263" s="18">
        <v>0.05</v>
      </c>
      <c r="J263" s="18"/>
      <c r="K263" s="87"/>
      <c r="L263" s="87"/>
      <c r="M263" s="47">
        <v>847911000</v>
      </c>
      <c r="N263" s="47">
        <v>3497000</v>
      </c>
      <c r="O263" s="47">
        <v>3890000</v>
      </c>
      <c r="P263" s="5">
        <v>843867000</v>
      </c>
      <c r="Q263" s="5">
        <v>34502000</v>
      </c>
      <c r="R263" s="5">
        <f>IF(Tabela3[[#This Row],[Ativo || Passivo]]&gt;0,Tabela3[[#This Row],[Ativo || Passivo]]-Tabela3[[#This Row],[Patrimônio Líquido]],0)</f>
        <v>4044000</v>
      </c>
      <c r="S263" s="47">
        <f>Tabela3[[#This Row],[Cotação]]*Tabela3[[#This Row],[Total Ações]]</f>
        <v>240823688.75999999</v>
      </c>
      <c r="T263" s="132">
        <f>IF(Tabela3[[#This Row],[Passivo Circulante]]&gt;0,Tabela3[[#This Row],[Ativo Circulante]]/Tabela3[[#This Row],[Passivo Circulante]],0)</f>
        <v>0.89897172236503853</v>
      </c>
      <c r="U263" s="132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63" s="18">
        <f>IF(Tabela3[[#This Row],[Lucro Líquido]]&gt;0,Tabela3[[#This Row],[Lucro Líquido]]/Tabela3[[#This Row],[Patrimônio Líquido]],0)</f>
        <v>4.0885589790808266E-2</v>
      </c>
      <c r="W263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63" s="18">
        <f>IF(Tabela3[[#This Row],[Dívida]]&gt;0,Tabela3[[#This Row],[Dívida]]/Tabela3[[#This Row],[Patrimônio Líquido]],0)</f>
        <v>4.7922243671099833E-3</v>
      </c>
      <c r="Y263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63" s="5">
        <f>Tabela3[[#This Row],[Capital Social]]*20%</f>
        <v>60675104</v>
      </c>
      <c r="AA263" s="5">
        <f>IF((Tabela3[Lucro Líquido]*5%)&gt;Tabela3[Teto R. Legal],Tabela3[Teto R. Legal],Tabela3[Lucro Líquido]*5%)</f>
        <v>1725100</v>
      </c>
      <c r="AB263" s="5">
        <f>IF(Tabela3[Lucro Líquido]&lt;0,0,Tabela3[Lucro Líquido]-Tabela3[Reserva Legal])</f>
        <v>32776900</v>
      </c>
      <c r="AC263" s="5">
        <f>Tabela3[[#This Row],[Lucro Distribuir]]*Tabela3[%Div]</f>
        <v>8194225</v>
      </c>
      <c r="AD263" s="21">
        <f>SUMPRODUCT(N(Tabela3[Nome]=Tabela3[[#This Row],[Nome]]),Tabela3[Ações])</f>
        <v>73646388</v>
      </c>
      <c r="AE263" s="5">
        <f>Tabela3[Capital Social]/Tabela3[Total Ações]</f>
        <v>4.1193536877871049</v>
      </c>
      <c r="AF263" s="77">
        <f>Tabela3[[#This Row],[Lucro Líquido]]/Tabela3[[#This Row],[Total Ações]]</f>
        <v>0.46848190300928266</v>
      </c>
      <c r="AG263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0.11126445196470464</v>
      </c>
      <c r="AH263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63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0.20596768438935525</v>
      </c>
      <c r="AJ263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0.20596768438935525</v>
      </c>
      <c r="AK263" s="5">
        <f>Tabela3[Div Base]*Tabela3[Ações]</f>
        <v>33971.4859924427</v>
      </c>
      <c r="AL263" s="5">
        <f>SUMPRODUCT(N(Tabela3[Nome]=Tabela3[[#This Row],[Nome]]),Tabela3[Div Base]*Tabela3[Ações])</f>
        <v>8194225.0000000019</v>
      </c>
      <c r="AM263" s="5">
        <f>Tabela3[Patrimônio Líquido]/Tabela3[Total Ações]</f>
        <v>11.45836235716</v>
      </c>
      <c r="AN263" s="52">
        <f>MAX(Tabela3[[#This Row],[Cotação 1]:[Cotação 5]])</f>
        <v>3.27</v>
      </c>
      <c r="AO263" s="53">
        <f>Tabela3[Cotação]/Tabela3[VPA]</f>
        <v>0.28538109531478301</v>
      </c>
      <c r="AP263" s="37">
        <f>IF(Tabela3[[#This Row],[Lucro/Ação]]&gt;0,Tabela3[[#This Row],[Cotação]]/(Tabela3[[#This Row],[Lucro/Ação]]/Tabela3[Ref]*4),0)</f>
        <v>5.2349941038200694</v>
      </c>
      <c r="AQ263" s="77">
        <f>Tabela3[Lucro Distribuir]/Tabela3[Total Ações]</f>
        <v>0.44505780785881854</v>
      </c>
      <c r="AR263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0.20596768438935525</v>
      </c>
      <c r="AS263" s="16" t="str">
        <f>IF(AND(Tabela3[% A.A.]&gt;=6%,SUMPRODUCT(N(Tabela3[Nome]=Tabela3[[#This Row],[Nome]]),Tabela3[PL])&gt;0,Tabela3[Rentabilidade s/ PL]&gt;=Tabela3[Rentabilidade s/ PL Média]),"Sim","Não")</f>
        <v>Não</v>
      </c>
      <c r="AT263" s="22">
        <f>IF(Tabela3[Cotação]&gt;0,Tabela3[[#This Row],[Lucro]]/Tabela3[[#This Row],[Cotação]],0)</f>
        <v>6.2987059446286006E-2</v>
      </c>
      <c r="AU263" s="18">
        <f>((1+Tabela3[[#This Row],[% Yield]])^(1/(3*Tabela3[[#This Row],[Ref]])))^(12)-1</f>
        <v>8.4852356628532188E-2</v>
      </c>
      <c r="AV263" s="10">
        <f>IF(Tabela3[Cotação]&gt;0,($BH$1/Tabela3[[#This Row],[Cotação]]-MOD($BH$1/Tabela3[[#This Row],[Cotação]],100)),)</f>
        <v>100</v>
      </c>
      <c r="AW263" s="7">
        <f>Tabela3[[#This Row],[Ativos]]*Tabela3[Lucro]</f>
        <v>20.596768438935527</v>
      </c>
      <c r="AX263" s="5">
        <f>SUMPRODUCT(N(Tabela1[Código]=Tabela3[[#This Row],[PAPEL]]),Tabela1[Fechamento])</f>
        <v>3.27</v>
      </c>
      <c r="AY263" s="5">
        <f>SUMPRODUCT(N(Tabela17[Código]=Tabela3[[#This Row],[PAPEL]]),Tabela17[Fechamento])</f>
        <v>0</v>
      </c>
      <c r="AZ263" s="7">
        <f>SUMPRODUCT(N(Tabela176[Código]=Tabela3[[#This Row],[PAPEL]]),Tabela176[Fechamento])</f>
        <v>0</v>
      </c>
      <c r="BA263" s="7">
        <f>SUMPRODUCT(N(Tabela1768[Código]=Tabela3[[#This Row],[PAPEL]]),Tabela1768[Fechamento])</f>
        <v>0</v>
      </c>
      <c r="BB263" s="7">
        <f>SUMPRODUCT(N(Tabela17683[Código]=Tabela3[[#This Row],[PAPEL]]),Tabela17683[Fechamento])</f>
        <v>0</v>
      </c>
    </row>
    <row r="264" spans="1:54" hidden="1" x14ac:dyDescent="0.2">
      <c r="A264" s="4" t="s">
        <v>14</v>
      </c>
      <c r="B264" s="57" t="s">
        <v>77</v>
      </c>
      <c r="C264" s="15" t="str">
        <f>LEFT(Tabela3[PAPEL],LEN(Tabela3[PAPEL])-(LEN(Tabela3[PAPEL])-4))</f>
        <v>BRGE</v>
      </c>
      <c r="D264" s="16">
        <v>3</v>
      </c>
      <c r="E264" s="5">
        <v>303375520</v>
      </c>
      <c r="F264" s="56">
        <v>2330271</v>
      </c>
      <c r="G264" s="86">
        <v>0.25</v>
      </c>
      <c r="H264" s="16"/>
      <c r="I264" s="18">
        <v>0.12</v>
      </c>
      <c r="J264" s="18"/>
      <c r="K264" s="87"/>
      <c r="L264" s="87"/>
      <c r="M264" s="47">
        <v>847911000</v>
      </c>
      <c r="N264" s="47">
        <v>3497000</v>
      </c>
      <c r="O264" s="47">
        <v>3890000</v>
      </c>
      <c r="P264" s="5">
        <v>843867000</v>
      </c>
      <c r="Q264" s="5">
        <v>34502000</v>
      </c>
      <c r="R264" s="5">
        <f>IF(Tabela3[[#This Row],[Ativo || Passivo]]&gt;0,Tabela3[[#This Row],[Ativo || Passivo]]-Tabela3[[#This Row],[Patrimônio Líquido]],0)</f>
        <v>4044000</v>
      </c>
      <c r="S264" s="47">
        <f>Tabela3[[#This Row],[Cotação]]*Tabela3[[#This Row],[Total Ações]]</f>
        <v>438932472.48000002</v>
      </c>
      <c r="T264" s="132">
        <f>IF(Tabela3[[#This Row],[Passivo Circulante]]&gt;0,Tabela3[[#This Row],[Ativo Circulante]]/Tabela3[[#This Row],[Passivo Circulante]],0)</f>
        <v>0.89897172236503853</v>
      </c>
      <c r="U264" s="132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64" s="18">
        <f>IF(Tabela3[[#This Row],[Lucro Líquido]]&gt;0,Tabela3[[#This Row],[Lucro Líquido]]/Tabela3[[#This Row],[Patrimônio Líquido]],0)</f>
        <v>4.0885589790808266E-2</v>
      </c>
      <c r="W264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64" s="18">
        <f>IF(Tabela3[[#This Row],[Dívida]]&gt;0,Tabela3[[#This Row],[Dívida]]/Tabela3[[#This Row],[Patrimônio Líquido]],0)</f>
        <v>4.7922243671099833E-3</v>
      </c>
      <c r="Y264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64" s="5">
        <f>Tabela3[[#This Row],[Capital Social]]*20%</f>
        <v>60675104</v>
      </c>
      <c r="AA264" s="5">
        <f>IF((Tabela3[Lucro Líquido]*5%)&gt;Tabela3[Teto R. Legal],Tabela3[Teto R. Legal],Tabela3[Lucro Líquido]*5%)</f>
        <v>1725100</v>
      </c>
      <c r="AB264" s="5">
        <f>IF(Tabela3[Lucro Líquido]&lt;0,0,Tabela3[Lucro Líquido]-Tabela3[Reserva Legal])</f>
        <v>32776900</v>
      </c>
      <c r="AC264" s="5">
        <f>Tabela3[[#This Row],[Lucro Distribuir]]*Tabela3[%Div]</f>
        <v>8194225</v>
      </c>
      <c r="AD264" s="21">
        <f>SUMPRODUCT(N(Tabela3[Nome]=Tabela3[[#This Row],[Nome]]),Tabela3[Ações])</f>
        <v>73646388</v>
      </c>
      <c r="AE264" s="5">
        <f>Tabela3[Capital Social]/Tabela3[Total Ações]</f>
        <v>4.1193536877871049</v>
      </c>
      <c r="AF264" s="77">
        <f>Tabela3[[#This Row],[Lucro Líquido]]/Tabela3[[#This Row],[Total Ações]]</f>
        <v>0.46848190300928266</v>
      </c>
      <c r="AG264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0.11126445196470464</v>
      </c>
      <c r="AH264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64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0.49432244253445257</v>
      </c>
      <c r="AJ264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0.49432244253445257</v>
      </c>
      <c r="AK264" s="5">
        <f>Tabela3[Div Base]*Tabela3[Ações]</f>
        <v>1151905.2524872012</v>
      </c>
      <c r="AL264" s="5">
        <f>SUMPRODUCT(N(Tabela3[Nome]=Tabela3[[#This Row],[Nome]]),Tabela3[Div Base]*Tabela3[Ações])</f>
        <v>8194225.0000000019</v>
      </c>
      <c r="AM264" s="5">
        <f>Tabela3[Patrimônio Líquido]/Tabela3[Total Ações]</f>
        <v>11.45836235716</v>
      </c>
      <c r="AN264" s="52">
        <f>MAX(Tabela3[[#This Row],[Cotação 1]:[Cotação 5]])</f>
        <v>5.96</v>
      </c>
      <c r="AO264" s="53">
        <f>Tabela3[Cotação]/Tabela3[VPA]</f>
        <v>0.52014413702633233</v>
      </c>
      <c r="AP264" s="37">
        <f>IF(Tabela3[[#This Row],[Lucro/Ação]]&gt;0,Tabela3[[#This Row],[Cotação]]/(Tabela3[[#This Row],[Lucro/Ação]]/Tabela3[Ref]*4),0)</f>
        <v>9.541457143354009</v>
      </c>
      <c r="AQ264" s="77">
        <f>Tabela3[Lucro Distribuir]/Tabela3[Total Ações]</f>
        <v>0.44505780785881854</v>
      </c>
      <c r="AR264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0.49432244253445257</v>
      </c>
      <c r="AS264" s="16" t="str">
        <f>IF(AND(Tabela3[% A.A.]&gt;=6%,SUMPRODUCT(N(Tabela3[Nome]=Tabela3[[#This Row],[Nome]]),Tabela3[PL])&gt;0,Tabela3[Rentabilidade s/ PL]&gt;=Tabela3[Rentabilidade s/ PL Média]),"Sim","Não")</f>
        <v>Não</v>
      </c>
      <c r="AT264" s="22">
        <f>IF(Tabela3[Cotação]&gt;0,Tabela3[[#This Row],[Lucro]]/Tabela3[[#This Row],[Cotação]],0)</f>
        <v>8.2940007136653116E-2</v>
      </c>
      <c r="AU264" s="18">
        <f>((1+Tabela3[[#This Row],[% Yield]])^(1/(3*Tabela3[[#This Row],[Ref]])))^(12)-1</f>
        <v>0.11208811027646859</v>
      </c>
      <c r="AV264" s="10">
        <f>IF(Tabela3[Cotação]&gt;0,($BH$1/Tabela3[[#This Row],[Cotação]]-MOD($BH$1/Tabela3[[#This Row],[Cotação]],100)),)</f>
        <v>0</v>
      </c>
      <c r="AW264" s="7">
        <f>Tabela3[[#This Row],[Ativos]]*Tabela3[Lucro]</f>
        <v>0</v>
      </c>
      <c r="AX264" s="5">
        <f>SUMPRODUCT(N(Tabela1[Código]=Tabela3[[#This Row],[PAPEL]]),Tabela1[Fechamento])</f>
        <v>5.96</v>
      </c>
      <c r="AY264" s="5">
        <f>SUMPRODUCT(N(Tabela17[Código]=Tabela3[[#This Row],[PAPEL]]),Tabela17[Fechamento])</f>
        <v>0</v>
      </c>
      <c r="AZ264" s="7">
        <f>SUMPRODUCT(N(Tabela176[Código]=Tabela3[[#This Row],[PAPEL]]),Tabela176[Fechamento])</f>
        <v>0</v>
      </c>
      <c r="BA264" s="7">
        <f>SUMPRODUCT(N(Tabela1768[Código]=Tabela3[[#This Row],[PAPEL]]),Tabela1768[Fechamento])</f>
        <v>0</v>
      </c>
      <c r="BB264" s="7">
        <f>SUMPRODUCT(N(Tabela17683[Código]=Tabela3[[#This Row],[PAPEL]]),Tabela17683[Fechamento])</f>
        <v>0</v>
      </c>
    </row>
    <row r="265" spans="1:54" hidden="1" x14ac:dyDescent="0.2">
      <c r="A265" s="4" t="s">
        <v>14</v>
      </c>
      <c r="B265" s="57" t="s">
        <v>221</v>
      </c>
      <c r="C265" s="15" t="str">
        <f>LEFT(Tabela3[PAPEL],LEN(Tabela3[PAPEL])-(LEN(Tabela3[PAPEL])-4))</f>
        <v>BRGE</v>
      </c>
      <c r="D265" s="16">
        <v>3</v>
      </c>
      <c r="E265" s="5">
        <v>303375520</v>
      </c>
      <c r="F265" s="56">
        <v>219863</v>
      </c>
      <c r="G265" s="81">
        <v>0.25</v>
      </c>
      <c r="H265" s="16"/>
      <c r="I265" s="18">
        <v>7.0000000000000007E-2</v>
      </c>
      <c r="J265" s="18"/>
      <c r="K265" s="87"/>
      <c r="L265" s="87"/>
      <c r="M265" s="47">
        <v>847911000</v>
      </c>
      <c r="N265" s="47">
        <v>3497000</v>
      </c>
      <c r="O265" s="47">
        <v>3890000</v>
      </c>
      <c r="P265" s="5">
        <v>843867000</v>
      </c>
      <c r="Q265" s="6">
        <v>34502000</v>
      </c>
      <c r="R265" s="6">
        <f>IF(Tabela3[[#This Row],[Ativo || Passivo]]&gt;0,Tabela3[[#This Row],[Ativo || Passivo]]-Tabela3[[#This Row],[Patrimônio Líquido]],0)</f>
        <v>4044000</v>
      </c>
      <c r="S265" s="13">
        <f>Tabela3[[#This Row],[Cotação]]*Tabela3[[#This Row],[Total Ações]]</f>
        <v>265126996.80000001</v>
      </c>
      <c r="T265" s="134">
        <f>IF(Tabela3[[#This Row],[Passivo Circulante]]&gt;0,Tabela3[[#This Row],[Ativo Circulante]]/Tabela3[[#This Row],[Passivo Circulante]],0)</f>
        <v>0.89897172236503853</v>
      </c>
      <c r="U265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65" s="19">
        <f>IF(Tabela3[[#This Row],[Lucro Líquido]]&gt;0,Tabela3[[#This Row],[Lucro Líquido]]/Tabela3[[#This Row],[Patrimônio Líquido]],0)</f>
        <v>4.0885589790808266E-2</v>
      </c>
      <c r="W265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65" s="19">
        <f>IF(Tabela3[[#This Row],[Dívida]]&gt;0,Tabela3[[#This Row],[Dívida]]/Tabela3[[#This Row],[Patrimônio Líquido]],0)</f>
        <v>4.7922243671099833E-3</v>
      </c>
      <c r="Y265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65" s="5">
        <f>Tabela3[[#This Row],[Capital Social]]*20%</f>
        <v>60675104</v>
      </c>
      <c r="AA265" s="5">
        <f>IF((Tabela3[Lucro Líquido]*5%)&gt;Tabela3[Teto R. Legal],Tabela3[Teto R. Legal],Tabela3[Lucro Líquido]*5%)</f>
        <v>1725100</v>
      </c>
      <c r="AB265" s="5">
        <f>IF(Tabela3[Lucro Líquido]&lt;0,0,Tabela3[Lucro Líquido]-Tabela3[Reserva Legal])</f>
        <v>32776900</v>
      </c>
      <c r="AC265" s="5">
        <f>Tabela3[[#This Row],[Lucro Distribuir]]*Tabela3[%Div]</f>
        <v>8194225</v>
      </c>
      <c r="AD265" s="21">
        <f>SUMPRODUCT(N(Tabela3[Nome]=Tabela3[[#This Row],[Nome]]),Tabela3[Ações])</f>
        <v>73646388</v>
      </c>
      <c r="AE265" s="5">
        <f>Tabela3[Capital Social]/Tabela3[Total Ações]</f>
        <v>4.1193536877871049</v>
      </c>
      <c r="AF265" s="77">
        <f>Tabela3[[#This Row],[Lucro Líquido]]/Tabela3[[#This Row],[Total Ações]]</f>
        <v>0.46848190300928266</v>
      </c>
      <c r="AG265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0.11126445196470464</v>
      </c>
      <c r="AH265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65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0.28835475814509737</v>
      </c>
      <c r="AJ265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0.28835475814509737</v>
      </c>
      <c r="AK265" s="5">
        <f>Tabela3[Div Base]*Tabela3[Ações]</f>
        <v>63398.542190055545</v>
      </c>
      <c r="AL265" s="5">
        <f>SUMPRODUCT(N(Tabela3[Nome]=Tabela3[[#This Row],[Nome]]),Tabela3[Div Base]*Tabela3[Ações])</f>
        <v>8194225.0000000019</v>
      </c>
      <c r="AM265" s="5">
        <f>Tabela3[Patrimônio Líquido]/Tabela3[Total Ações]</f>
        <v>11.45836235716</v>
      </c>
      <c r="AN265" s="52">
        <f>MAX(Tabela3[[#This Row],[Cotação 1]:[Cotação 5]])</f>
        <v>3.6</v>
      </c>
      <c r="AO265" s="53">
        <f>Tabela3[Cotação]/Tabela3[VPA]</f>
        <v>0.31418102236489875</v>
      </c>
      <c r="AP265" s="37">
        <f>IF(Tabela3[[#This Row],[Lucro/Ação]]&gt;0,Tabela3[[#This Row],[Cotação]]/(Tabela3[[#This Row],[Lucro/Ação]]/Tabela3[Ref]*4),0)</f>
        <v>5.7632962610863148</v>
      </c>
      <c r="AQ265" s="77">
        <f>Tabela3[Lucro Distribuir]/Tabela3[Total Ações]</f>
        <v>0.44505780785881854</v>
      </c>
      <c r="AR265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0.28835475814509737</v>
      </c>
      <c r="AS265" s="16" t="str">
        <f>IF(AND(Tabela3[% A.A.]&gt;=6%,SUMPRODUCT(N(Tabela3[Nome]=Tabela3[[#This Row],[Nome]]),Tabela3[PL])&gt;0,Tabela3[Rentabilidade s/ PL]&gt;=Tabela3[Rentabilidade s/ PL Média]),"Sim","Não")</f>
        <v>Não</v>
      </c>
      <c r="AT265" s="22">
        <f>IF(Tabela3[Cotação]&gt;0,Tabela3[[#This Row],[Lucro]]/Tabela3[[#This Row],[Cotação]],0)</f>
        <v>8.0098543929193716E-2</v>
      </c>
      <c r="AU265" s="18">
        <f>((1+Tabela3[[#This Row],[% Yield]])^(1/(3*Tabela3[[#This Row],[Ref]])))^(12)-1</f>
        <v>0.10819922169540064</v>
      </c>
      <c r="AV265" s="10">
        <f>IF(Tabela3[Cotação]&gt;0,($BH$1/Tabela3[[#This Row],[Cotação]]-MOD($BH$1/Tabela3[[#This Row],[Cotação]],100)),)</f>
        <v>100</v>
      </c>
      <c r="AW265" s="7">
        <f>Tabela3[[#This Row],[Ativos]]*Tabela3[Lucro]</f>
        <v>28.835475814509735</v>
      </c>
      <c r="AX265" s="5">
        <f>SUMPRODUCT(N(Tabela1[Código]=Tabela3[[#This Row],[PAPEL]]),Tabela1[Fechamento])</f>
        <v>3.6</v>
      </c>
      <c r="AY265" s="5">
        <f>SUMPRODUCT(N(Tabela17[Código]=Tabela3[[#This Row],[PAPEL]]),Tabela17[Fechamento])</f>
        <v>0</v>
      </c>
      <c r="AZ265" s="7">
        <f>SUMPRODUCT(N(Tabela176[Código]=Tabela3[[#This Row],[PAPEL]]),Tabela176[Fechamento])</f>
        <v>0</v>
      </c>
      <c r="BA265" s="7">
        <f>SUMPRODUCT(N(Tabela1768[Código]=Tabela3[[#This Row],[PAPEL]]),Tabela1768[Fechamento])</f>
        <v>0</v>
      </c>
      <c r="BB265" s="7">
        <f>SUMPRODUCT(N(Tabela17683[Código]=Tabela3[[#This Row],[PAPEL]]),Tabela17683[Fechamento])</f>
        <v>0</v>
      </c>
    </row>
    <row r="266" spans="1:54" hidden="1" x14ac:dyDescent="0.2">
      <c r="A266" s="4" t="s">
        <v>14</v>
      </c>
      <c r="B266" s="57" t="s">
        <v>222</v>
      </c>
      <c r="C266" s="15" t="str">
        <f>LEFT(Tabela3[PAPEL],LEN(Tabela3[PAPEL])-(LEN(Tabela3[PAPEL])-4))</f>
        <v>BRGE</v>
      </c>
      <c r="D266" s="16">
        <v>3</v>
      </c>
      <c r="E266" s="5">
        <v>303375520</v>
      </c>
      <c r="F266" s="56">
        <v>2059517</v>
      </c>
      <c r="G266" s="86">
        <v>0.25</v>
      </c>
      <c r="H266" s="16"/>
      <c r="I266" s="18">
        <v>0.05</v>
      </c>
      <c r="J266" s="18"/>
      <c r="K266" s="87"/>
      <c r="L266" s="87"/>
      <c r="M266" s="47">
        <v>847911000</v>
      </c>
      <c r="N266" s="47">
        <v>3497000</v>
      </c>
      <c r="O266" s="47">
        <v>3890000</v>
      </c>
      <c r="P266" s="5">
        <v>843867000</v>
      </c>
      <c r="Q266" s="5">
        <v>34502000</v>
      </c>
      <c r="R266" s="5">
        <f>IF(Tabela3[[#This Row],[Ativo || Passivo]]&gt;0,Tabela3[[#This Row],[Ativo || Passivo]]-Tabela3[[#This Row],[Patrimônio Líquido]],0)</f>
        <v>4044000</v>
      </c>
      <c r="S266" s="47">
        <f>Tabela3[[#This Row],[Cotação]]*Tabela3[[#This Row],[Total Ações]]</f>
        <v>278383346.63999999</v>
      </c>
      <c r="T266" s="132">
        <f>IF(Tabela3[[#This Row],[Passivo Circulante]]&gt;0,Tabela3[[#This Row],[Ativo Circulante]]/Tabela3[[#This Row],[Passivo Circulante]],0)</f>
        <v>0.89897172236503853</v>
      </c>
      <c r="U266" s="132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66" s="18">
        <f>IF(Tabela3[[#This Row],[Lucro Líquido]]&gt;0,Tabela3[[#This Row],[Lucro Líquido]]/Tabela3[[#This Row],[Patrimônio Líquido]],0)</f>
        <v>4.0885589790808266E-2</v>
      </c>
      <c r="W266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66" s="18">
        <f>IF(Tabela3[[#This Row],[Dívida]]&gt;0,Tabela3[[#This Row],[Dívida]]/Tabela3[[#This Row],[Patrimônio Líquido]],0)</f>
        <v>4.7922243671099833E-3</v>
      </c>
      <c r="Y266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66" s="5">
        <f>Tabela3[[#This Row],[Capital Social]]*20%</f>
        <v>60675104</v>
      </c>
      <c r="AA266" s="5">
        <f>IF((Tabela3[Lucro Líquido]*5%)&gt;Tabela3[Teto R. Legal],Tabela3[Teto R. Legal],Tabela3[Lucro Líquido]*5%)</f>
        <v>1725100</v>
      </c>
      <c r="AB266" s="5">
        <f>IF(Tabela3[Lucro Líquido]&lt;0,0,Tabela3[Lucro Líquido]-Tabela3[Reserva Legal])</f>
        <v>32776900</v>
      </c>
      <c r="AC266" s="5">
        <f>Tabela3[[#This Row],[Lucro Distribuir]]*Tabela3[%Div]</f>
        <v>8194225</v>
      </c>
      <c r="AD266" s="21">
        <f>SUMPRODUCT(N(Tabela3[Nome]=Tabela3[[#This Row],[Nome]]),Tabela3[Ações])</f>
        <v>73646388</v>
      </c>
      <c r="AE266" s="5">
        <f>Tabela3[Capital Social]/Tabela3[Total Ações]</f>
        <v>4.1193536877871049</v>
      </c>
      <c r="AF266" s="77">
        <f>Tabela3[[#This Row],[Lucro Líquido]]/Tabela3[[#This Row],[Total Ações]]</f>
        <v>0.46848190300928266</v>
      </c>
      <c r="AG266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0.11126445196470464</v>
      </c>
      <c r="AH266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66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0.20596768438935525</v>
      </c>
      <c r="AJ266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0.20596768438935525</v>
      </c>
      <c r="AK266" s="5">
        <f>Tabela3[Div Base]*Tabela3[Ações]</f>
        <v>424193.94745051174</v>
      </c>
      <c r="AL266" s="5">
        <f>SUMPRODUCT(N(Tabela3[Nome]=Tabela3[[#This Row],[Nome]]),Tabela3[Div Base]*Tabela3[Ações])</f>
        <v>8194225.0000000019</v>
      </c>
      <c r="AM266" s="5">
        <f>Tabela3[Patrimônio Líquido]/Tabela3[Total Ações]</f>
        <v>11.45836235716</v>
      </c>
      <c r="AN266" s="52">
        <f>MAX(Tabela3[[#This Row],[Cotação 1]:[Cotação 5]])</f>
        <v>3.78</v>
      </c>
      <c r="AO266" s="53">
        <f>Tabela3[Cotação]/Tabela3[VPA]</f>
        <v>0.32989007348314364</v>
      </c>
      <c r="AP266" s="37">
        <f>IF(Tabela3[[#This Row],[Lucro/Ação]]&gt;0,Tabela3[[#This Row],[Cotação]]/(Tabela3[[#This Row],[Lucro/Ação]]/Tabela3[Ref]*4),0)</f>
        <v>6.0514610741406294</v>
      </c>
      <c r="AQ266" s="77">
        <f>Tabela3[Lucro Distribuir]/Tabela3[Total Ações]</f>
        <v>0.44505780785881854</v>
      </c>
      <c r="AR266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0.20596768438935525</v>
      </c>
      <c r="AS266" s="16" t="str">
        <f>IF(AND(Tabela3[% A.A.]&gt;=6%,SUMPRODUCT(N(Tabela3[Nome]=Tabela3[[#This Row],[Nome]]),Tabela3[PL])&gt;0,Tabela3[Rentabilidade s/ PL]&gt;=Tabela3[Rentabilidade s/ PL Média]),"Sim","Não")</f>
        <v>Não</v>
      </c>
      <c r="AT266" s="22">
        <f>IF(Tabela3[Cotação]&gt;0,Tabela3[[#This Row],[Lucro]]/Tabela3[[#This Row],[Cotação]],0)</f>
        <v>5.4488805394009326E-2</v>
      </c>
      <c r="AU266" s="18">
        <f>((1+Tabela3[[#This Row],[% Yield]])^(1/(3*Tabela3[[#This Row],[Ref]])))^(12)-1</f>
        <v>7.3303712149136002E-2</v>
      </c>
      <c r="AV266" s="10">
        <f>IF(Tabela3[Cotação]&gt;0,($BH$1/Tabela3[[#This Row],[Cotação]]-MOD($BH$1/Tabela3[[#This Row],[Cotação]],100)),)</f>
        <v>100</v>
      </c>
      <c r="AW266" s="7">
        <f>Tabela3[[#This Row],[Ativos]]*Tabela3[Lucro]</f>
        <v>20.596768438935527</v>
      </c>
      <c r="AX266" s="5">
        <f>SUMPRODUCT(N(Tabela1[Código]=Tabela3[[#This Row],[PAPEL]]),Tabela1[Fechamento])</f>
        <v>3.78</v>
      </c>
      <c r="AY266" s="5">
        <f>SUMPRODUCT(N(Tabela17[Código]=Tabela3[[#This Row],[PAPEL]]),Tabela17[Fechamento])</f>
        <v>0</v>
      </c>
      <c r="AZ266" s="7">
        <f>SUMPRODUCT(N(Tabela176[Código]=Tabela3[[#This Row],[PAPEL]]),Tabela176[Fechamento])</f>
        <v>0</v>
      </c>
      <c r="BA266" s="7">
        <f>SUMPRODUCT(N(Tabela1768[Código]=Tabela3[[#This Row],[PAPEL]]),Tabela1768[Fechamento])</f>
        <v>0</v>
      </c>
      <c r="BB266" s="7">
        <f>SUMPRODUCT(N(Tabela17683[Código]=Tabela3[[#This Row],[PAPEL]]),Tabela17683[Fechamento])</f>
        <v>0</v>
      </c>
    </row>
    <row r="267" spans="1:54" hidden="1" x14ac:dyDescent="0.2">
      <c r="A267" s="3" t="s">
        <v>1147</v>
      </c>
      <c r="B267" s="58" t="s">
        <v>1148</v>
      </c>
      <c r="C267" s="16" t="str">
        <f>LEFT(Tabela3[PAPEL],LEN(Tabela3[PAPEL])-(LEN(Tabela3[PAPEL])-4))</f>
        <v>CAMB</v>
      </c>
      <c r="D267" s="16">
        <v>3</v>
      </c>
      <c r="E267" s="5">
        <v>32340000</v>
      </c>
      <c r="F267" s="56">
        <v>13087267</v>
      </c>
      <c r="G267" s="81">
        <v>0.25</v>
      </c>
      <c r="H267" s="87"/>
      <c r="J267" s="18"/>
      <c r="K267" s="16"/>
      <c r="L267" s="87"/>
      <c r="M267" s="54"/>
      <c r="N267" s="54"/>
      <c r="O267" s="54"/>
      <c r="P267" s="91">
        <v>29017000</v>
      </c>
      <c r="Q267" s="73">
        <v>1159000</v>
      </c>
      <c r="R267" s="73">
        <f>IF(Tabela3[[#This Row],[Ativo || Passivo]]&gt;0,Tabela3[[#This Row],[Ativo || Passivo]]-Tabela3[[#This Row],[Patrimônio Líquido]],0)</f>
        <v>0</v>
      </c>
      <c r="S267" s="73">
        <f>Tabela3[[#This Row],[Cotação]]*Tabela3[[#This Row],[Total Ações]]</f>
        <v>0</v>
      </c>
      <c r="T267" s="37">
        <f>IF(Tabela3[[#This Row],[Passivo Circulante]]&gt;0,Tabela3[[#This Row],[Ativo Circulante]]/Tabela3[[#This Row],[Passivo Circulante]],0)</f>
        <v>0</v>
      </c>
      <c r="U267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67" s="18">
        <f>IF(Tabela3[[#This Row],[Lucro Líquido]]&gt;0,Tabela3[[#This Row],[Lucro Líquido]]/Tabela3[[#This Row],[Patrimônio Líquido]],0)</f>
        <v>3.9942102905193511E-2</v>
      </c>
      <c r="W267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67" s="18">
        <f>IF(Tabela3[[#This Row],[Dívida]]&gt;0,Tabela3[[#This Row],[Dívida]]/Tabela3[[#This Row],[Patrimônio Líquido]],0)</f>
        <v>0</v>
      </c>
      <c r="Y267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67" s="7">
        <f>Tabela3[[#This Row],[Capital Social]]*20%</f>
        <v>6468000</v>
      </c>
      <c r="AA267" s="47">
        <f>IF((Tabela3[Lucro Líquido]*5%)&gt;Tabela3[Teto R. Legal],Tabela3[Teto R. Legal],Tabela3[Lucro Líquido]*5%)</f>
        <v>57950</v>
      </c>
      <c r="AB267" s="47">
        <f>IF(Tabela3[Lucro Líquido]&lt;0,0,Tabela3[Lucro Líquido]-Tabela3[Reserva Legal])</f>
        <v>1101050</v>
      </c>
      <c r="AC267" s="47">
        <f>Tabela3[[#This Row],[Lucro Distribuir]]*Tabela3[%Div]</f>
        <v>275262.5</v>
      </c>
      <c r="AD267" s="56">
        <f>SUMPRODUCT(N(Tabela3[Nome]=Tabela3[[#This Row],[Nome]]),Tabela3[Ações])</f>
        <v>38552249</v>
      </c>
      <c r="AE267" s="85">
        <f>Tabela3[Capital Social]/Tabela3[Total Ações]</f>
        <v>0.83886156680509094</v>
      </c>
      <c r="AF267" s="85">
        <f>Tabela3[[#This Row],[Lucro Líquido]]/Tabela3[[#This Row],[Total Ações]]</f>
        <v>3.0063096967442807E-2</v>
      </c>
      <c r="AG267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7.139985529767667E-3</v>
      </c>
      <c r="AH267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67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67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7.139985529767667E-3</v>
      </c>
      <c r="AK267" s="7">
        <f>Tabela3[Div Base]*Tabela3[Ações]</f>
        <v>93442.897004205908</v>
      </c>
      <c r="AL267" s="7">
        <f>SUMPRODUCT(N(Tabela3[Nome]=Tabela3[[#This Row],[Nome]]),Tabela3[Div Base]*Tabela3[Ações])</f>
        <v>275262.5</v>
      </c>
      <c r="AM267" s="5">
        <f>Tabela3[Patrimônio Líquido]/Tabela3[Total Ações]</f>
        <v>0.75266685479231055</v>
      </c>
      <c r="AN267" s="52">
        <f>MAX(Tabela3[[#This Row],[Cotação 1]:[Cotação 5]])</f>
        <v>0</v>
      </c>
      <c r="AO267" s="53">
        <f>Tabela3[Cotação]/Tabela3[VPA]</f>
        <v>0</v>
      </c>
      <c r="AP267" s="37">
        <f>IF(Tabela3[[#This Row],[Lucro/Ação]]&gt;0,Tabela3[[#This Row],[Cotação]]/(Tabela3[[#This Row],[Lucro/Ação]]/Tabela3[Ref]*4),0)</f>
        <v>0</v>
      </c>
      <c r="AQ267" s="85">
        <f>Tabela3[Lucro Distribuir]/Tabela3[Total Ações]</f>
        <v>2.8559942119070668E-2</v>
      </c>
      <c r="AR267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7.139985529767667E-3</v>
      </c>
      <c r="AS267" s="10" t="str">
        <f>IF(AND(Tabela3[% A.A.]&gt;=6%,SUMPRODUCT(N(Tabela3[Nome]=Tabela3[[#This Row],[Nome]]),Tabela3[PL])&gt;0,Tabela3[Rentabilidade s/ PL]&gt;=Tabela3[Rentabilidade s/ PL Média]),"Sim","Não")</f>
        <v>Não</v>
      </c>
      <c r="AT267" s="22">
        <f>IF(Tabela3[Cotação]&gt;0,Tabela3[[#This Row],[Lucro]]/Tabela3[[#This Row],[Cotação]],0)</f>
        <v>0</v>
      </c>
      <c r="AU267" s="22">
        <f>((1+Tabela3[[#This Row],[% Yield]])^(1/(3*Tabela3[[#This Row],[Ref]])))^(12)-1</f>
        <v>0</v>
      </c>
      <c r="AV267" s="10">
        <f>IF(Tabela3[Cotação]&gt;0,($BH$1/Tabela3[[#This Row],[Cotação]]-MOD($BH$1/Tabela3[[#This Row],[Cotação]],100)),)</f>
        <v>0</v>
      </c>
      <c r="AW267" s="7">
        <f>Tabela3[[#This Row],[Ativos]]*Tabela3[Lucro]</f>
        <v>0</v>
      </c>
      <c r="AX267" s="7">
        <f>SUMPRODUCT(N(Tabela1[Código]=Tabela3[[#This Row],[PAPEL]]),Tabela1[Fechamento])</f>
        <v>0</v>
      </c>
      <c r="AY267" s="7">
        <f>SUMPRODUCT(N(Tabela17[Código]=Tabela3[[#This Row],[PAPEL]]),Tabela17[Fechamento])</f>
        <v>0</v>
      </c>
      <c r="AZ267" s="7">
        <f>SUMPRODUCT(N(Tabela176[Código]=Tabela3[[#This Row],[PAPEL]]),Tabela176[Fechamento])</f>
        <v>0</v>
      </c>
      <c r="BA267" s="7">
        <f>SUMPRODUCT(N(Tabela1768[Código]=Tabela3[[#This Row],[PAPEL]]),Tabela1768[Fechamento])</f>
        <v>0</v>
      </c>
      <c r="BB267" s="7">
        <f>SUMPRODUCT(N(Tabela17683[Código]=Tabela3[[#This Row],[PAPEL]]),Tabela17683[Fechamento])</f>
        <v>0</v>
      </c>
    </row>
    <row r="268" spans="1:54" hidden="1" x14ac:dyDescent="0.2">
      <c r="A268" s="3" t="s">
        <v>1147</v>
      </c>
      <c r="B268" s="58" t="s">
        <v>1149</v>
      </c>
      <c r="C268" s="16" t="str">
        <f>LEFT(Tabela3[PAPEL],LEN(Tabela3[PAPEL])-(LEN(Tabela3[PAPEL])-4))</f>
        <v>CAMB</v>
      </c>
      <c r="D268" s="16">
        <v>3</v>
      </c>
      <c r="E268" s="5">
        <v>32340000</v>
      </c>
      <c r="F268" s="56">
        <v>25464982</v>
      </c>
      <c r="G268" s="81">
        <v>0.25</v>
      </c>
      <c r="H268" s="87"/>
      <c r="J268" s="18"/>
      <c r="K268" s="16"/>
      <c r="L268" s="87"/>
      <c r="M268" s="54"/>
      <c r="N268" s="54"/>
      <c r="O268" s="54"/>
      <c r="P268" s="91">
        <v>29017000</v>
      </c>
      <c r="Q268" s="73">
        <v>1159000</v>
      </c>
      <c r="R268" s="73">
        <f>IF(Tabela3[[#This Row],[Ativo || Passivo]]&gt;0,Tabela3[[#This Row],[Ativo || Passivo]]-Tabela3[[#This Row],[Patrimônio Líquido]],0)</f>
        <v>0</v>
      </c>
      <c r="S268" s="73">
        <f>Tabela3[[#This Row],[Cotação]]*Tabela3[[#This Row],[Total Ações]]</f>
        <v>85585992.780000001</v>
      </c>
      <c r="T268" s="37">
        <f>IF(Tabela3[[#This Row],[Passivo Circulante]]&gt;0,Tabela3[[#This Row],[Ativo Circulante]]/Tabela3[[#This Row],[Passivo Circulante]],0)</f>
        <v>0</v>
      </c>
      <c r="U268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68" s="18">
        <f>IF(Tabela3[[#This Row],[Lucro Líquido]]&gt;0,Tabela3[[#This Row],[Lucro Líquido]]/Tabela3[[#This Row],[Patrimônio Líquido]],0)</f>
        <v>3.9942102905193511E-2</v>
      </c>
      <c r="W268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68" s="18">
        <f>IF(Tabela3[[#This Row],[Dívida]]&gt;0,Tabela3[[#This Row],[Dívida]]/Tabela3[[#This Row],[Patrimônio Líquido]],0)</f>
        <v>0</v>
      </c>
      <c r="Y268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68" s="7">
        <f>Tabela3[[#This Row],[Capital Social]]*20%</f>
        <v>6468000</v>
      </c>
      <c r="AA268" s="47">
        <f>IF((Tabela3[Lucro Líquido]*5%)&gt;Tabela3[Teto R. Legal],Tabela3[Teto R. Legal],Tabela3[Lucro Líquido]*5%)</f>
        <v>57950</v>
      </c>
      <c r="AB268" s="47">
        <f>IF(Tabela3[Lucro Líquido]&lt;0,0,Tabela3[Lucro Líquido]-Tabela3[Reserva Legal])</f>
        <v>1101050</v>
      </c>
      <c r="AC268" s="47">
        <f>Tabela3[[#This Row],[Lucro Distribuir]]*Tabela3[%Div]</f>
        <v>275262.5</v>
      </c>
      <c r="AD268" s="56">
        <f>SUMPRODUCT(N(Tabela3[Nome]=Tabela3[[#This Row],[Nome]]),Tabela3[Ações])</f>
        <v>38552249</v>
      </c>
      <c r="AE268" s="85">
        <f>Tabela3[Capital Social]/Tabela3[Total Ações]</f>
        <v>0.83886156680509094</v>
      </c>
      <c r="AF268" s="85">
        <f>Tabela3[[#This Row],[Lucro Líquido]]/Tabela3[[#This Row],[Total Ações]]</f>
        <v>3.0063096967442807E-2</v>
      </c>
      <c r="AG268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7.139985529767667E-3</v>
      </c>
      <c r="AH268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68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68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7.139985529767667E-3</v>
      </c>
      <c r="AK268" s="7">
        <f>Tabela3[Div Base]*Tabela3[Ações]</f>
        <v>181819.60299579409</v>
      </c>
      <c r="AL268" s="7">
        <f>SUMPRODUCT(N(Tabela3[Nome]=Tabela3[[#This Row],[Nome]]),Tabela3[Div Base]*Tabela3[Ações])</f>
        <v>275262.5</v>
      </c>
      <c r="AM268" s="5">
        <f>Tabela3[Patrimônio Líquido]/Tabela3[Total Ações]</f>
        <v>0.75266685479231055</v>
      </c>
      <c r="AN268" s="52">
        <f>MAX(Tabela3[[#This Row],[Cotação 1]:[Cotação 5]])</f>
        <v>2.2200000000000002</v>
      </c>
      <c r="AO268" s="53">
        <f>Tabela3[Cotação]/Tabela3[VPA]</f>
        <v>2.9495121060068241</v>
      </c>
      <c r="AP268" s="37">
        <f>IF(Tabela3[[#This Row],[Lucro/Ação]]&gt;0,Tabela3[[#This Row],[Cotação]]/(Tabela3[[#This Row],[Lucro/Ação]]/Tabela3[Ref]*4),0)</f>
        <v>55.383515603968945</v>
      </c>
      <c r="AQ268" s="85">
        <f>Tabela3[Lucro Distribuir]/Tabela3[Total Ações]</f>
        <v>2.8559942119070668E-2</v>
      </c>
      <c r="AR268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7.139985529767667E-3</v>
      </c>
      <c r="AS268" s="10" t="str">
        <f>IF(AND(Tabela3[% A.A.]&gt;=6%,SUMPRODUCT(N(Tabela3[Nome]=Tabela3[[#This Row],[Nome]]),Tabela3[PL])&gt;0,Tabela3[Rentabilidade s/ PL]&gt;=Tabela3[Rentabilidade s/ PL Média]),"Sim","Não")</f>
        <v>Não</v>
      </c>
      <c r="AT268" s="22">
        <f>IF(Tabela3[Cotação]&gt;0,Tabela3[[#This Row],[Lucro]]/Tabela3[[#This Row],[Cotação]],0)</f>
        <v>3.2162096980935433E-3</v>
      </c>
      <c r="AU268" s="22">
        <f>((1+Tabela3[[#This Row],[% Yield]])^(1/(3*Tabela3[[#This Row],[Ref]])))^(12)-1</f>
        <v>4.2905766245053822E-3</v>
      </c>
      <c r="AV268" s="10">
        <f>IF(Tabela3[Cotação]&gt;0,($BH$1/Tabela3[[#This Row],[Cotação]]-MOD($BH$1/Tabela3[[#This Row],[Cotação]],100)),)</f>
        <v>200</v>
      </c>
      <c r="AW268" s="7">
        <f>Tabela3[[#This Row],[Ativos]]*Tabela3[Lucro]</f>
        <v>1.4279971059535335</v>
      </c>
      <c r="AX268" s="7">
        <f>SUMPRODUCT(N(Tabela1[Código]=Tabela3[[#This Row],[PAPEL]]),Tabela1[Fechamento])</f>
        <v>0</v>
      </c>
      <c r="AY268" s="7">
        <f>SUMPRODUCT(N(Tabela17[Código]=Tabela3[[#This Row],[PAPEL]]),Tabela17[Fechamento])</f>
        <v>0</v>
      </c>
      <c r="AZ268" s="7">
        <f>SUMPRODUCT(N(Tabela176[Código]=Tabela3[[#This Row],[PAPEL]]),Tabela176[Fechamento])</f>
        <v>0</v>
      </c>
      <c r="BA268" s="7">
        <f>SUMPRODUCT(N(Tabela1768[Código]=Tabela3[[#This Row],[PAPEL]]),Tabela1768[Fechamento])</f>
        <v>2.2200000000000002</v>
      </c>
      <c r="BB268" s="7">
        <f>SUMPRODUCT(N(Tabela17683[Código]=Tabela3[[#This Row],[PAPEL]]),Tabela17683[Fechamento])</f>
        <v>0</v>
      </c>
    </row>
    <row r="269" spans="1:54" hidden="1" x14ac:dyDescent="0.2">
      <c r="A269" s="4" t="s">
        <v>14</v>
      </c>
      <c r="B269" s="57" t="s">
        <v>197</v>
      </c>
      <c r="C269" s="14" t="str">
        <f>LEFT(Tabela3[PAPEL],LEN(Tabela3[PAPEL])-(LEN(Tabela3[PAPEL])-4))</f>
        <v>BRIV</v>
      </c>
      <c r="D269" s="15">
        <v>3</v>
      </c>
      <c r="E269" s="6">
        <v>524000000</v>
      </c>
      <c r="F269" s="8">
        <v>53948999</v>
      </c>
      <c r="G269" s="86">
        <v>0.25</v>
      </c>
      <c r="H269" s="15"/>
      <c r="I269" s="19"/>
      <c r="J269" s="19"/>
      <c r="K269" s="88"/>
      <c r="L269" s="88"/>
      <c r="M269" s="13">
        <v>13174261000</v>
      </c>
      <c r="N269" s="13">
        <v>7758446000</v>
      </c>
      <c r="O269" s="13">
        <v>7319074000</v>
      </c>
      <c r="P269" s="6">
        <v>1179411000</v>
      </c>
      <c r="Q269" s="6">
        <v>46761000</v>
      </c>
      <c r="R269" s="6">
        <f>IF(Tabela3[[#This Row],[Ativo || Passivo]]&gt;0,Tabela3[[#This Row],[Ativo || Passivo]]-Tabela3[[#This Row],[Patrimônio Líquido]],0)</f>
        <v>11994850000</v>
      </c>
      <c r="S269" s="6">
        <f>Tabela3[[#This Row],[Cotação]]*Tabela3[[#This Row],[Total Ações]]</f>
        <v>596383892.12</v>
      </c>
      <c r="T269" s="134">
        <f>IF(Tabela3[[#This Row],[Passivo Circulante]]&gt;0,Tabela3[[#This Row],[Ativo Circulante]]/Tabela3[[#This Row],[Passivo Circulante]],0)</f>
        <v>1.0600310913648365</v>
      </c>
      <c r="U269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69" s="19">
        <f>IF(Tabela3[[#This Row],[Lucro Líquido]]&gt;0,Tabela3[[#This Row],[Lucro Líquido]]/Tabela3[[#This Row],[Patrimônio Líquido]],0)</f>
        <v>3.9647756380091416E-2</v>
      </c>
      <c r="W269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69" s="19">
        <f>IF(Tabela3[[#This Row],[Dívida]]&gt;0,Tabela3[[#This Row],[Dívida]]/Tabela3[[#This Row],[Patrimônio Líquido]],0)</f>
        <v>10.17020360162827</v>
      </c>
      <c r="Y269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69" s="6">
        <f>Tabela3[[#This Row],[Capital Social]]*20%</f>
        <v>104800000</v>
      </c>
      <c r="AA269" s="6">
        <f>IF((Tabela3[Lucro Líquido]*5%)&gt;Tabela3[Teto R. Legal],Tabela3[Teto R. Legal],Tabela3[Lucro Líquido]*5%)</f>
        <v>2338050</v>
      </c>
      <c r="AB269" s="6">
        <f>IF(Tabela3[Lucro Líquido]&lt;0,0,Tabela3[Lucro Líquido]-Tabela3[Reserva Legal])</f>
        <v>44422950</v>
      </c>
      <c r="AC269" s="6">
        <f>Tabela3[[#This Row],[Lucro Distribuir]]*Tabela3[%Div]</f>
        <v>11105737.5</v>
      </c>
      <c r="AD269" s="21">
        <f>SUMPRODUCT(N(Tabela3[Nome]=Tabela3[[#This Row],[Nome]]),Tabela3[Ações])</f>
        <v>90224492</v>
      </c>
      <c r="AE269" s="6">
        <f>Tabela3[Capital Social]/Tabela3[Total Ações]</f>
        <v>5.8077356645022729</v>
      </c>
      <c r="AF269" s="78">
        <f>Tabela3[[#This Row],[Lucro Líquido]]/Tabela3[[#This Row],[Total Ações]]</f>
        <v>0.51827390726677625</v>
      </c>
      <c r="AG269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0.12309005297585937</v>
      </c>
      <c r="AH269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69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69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269" s="6">
        <f>Tabela3[Div Base]*Tabela3[Ações]</f>
        <v>0</v>
      </c>
      <c r="AL269" s="6">
        <f>SUMPRODUCT(N(Tabela3[Nome]=Tabela3[[#This Row],[Nome]]),Tabela3[Div Base]*Tabela3[Ações])</f>
        <v>12640708.466610152</v>
      </c>
      <c r="AM269" s="6">
        <f>Tabela3[Patrimônio Líquido]/Tabela3[Total Ações]</f>
        <v>13.071960549248645</v>
      </c>
      <c r="AN269" s="48">
        <f>MAX(Tabela3[[#This Row],[Cotação 1]:[Cotação 5]])</f>
        <v>6.61</v>
      </c>
      <c r="AO269" s="44">
        <f>Tabela3[Cotação]/Tabela3[VPA]</f>
        <v>0.50566248078066089</v>
      </c>
      <c r="AP269" s="40">
        <f>IF(Tabela3[[#This Row],[Lucro/Ação]]&gt;0,Tabela3[[#This Row],[Cotação]]/(Tabela3[[#This Row],[Lucro/Ação]]/Tabela3[Ref]*4),0)</f>
        <v>9.5654053397061674</v>
      </c>
      <c r="AQ269" s="78">
        <f>Tabela3[Lucro Distribuir]/Tabela3[Total Ações]</f>
        <v>0.49236021190343748</v>
      </c>
      <c r="AR269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269" s="15" t="str">
        <f>IF(AND(Tabela3[% A.A.]&gt;=6%,SUMPRODUCT(N(Tabela3[Nome]=Tabela3[[#This Row],[Nome]]),Tabela3[PL])&gt;0,Tabela3[Rentabilidade s/ PL]&gt;=Tabela3[Rentabilidade s/ PL Média]),"Sim","Não")</f>
        <v>Não</v>
      </c>
      <c r="AT269" s="42">
        <f>IF(Tabela3[Cotação]&gt;0,Tabela3[[#This Row],[Lucro]]/Tabela3[[#This Row],[Cotação]],0)</f>
        <v>0</v>
      </c>
      <c r="AU269" s="19">
        <f>((1+Tabela3[[#This Row],[% Yield]])^(1/(3*Tabela3[[#This Row],[Ref]])))^(12)-1</f>
        <v>0</v>
      </c>
      <c r="AV269" s="14">
        <f>IF(Tabela3[Cotação]&gt;0,($BH$1/Tabela3[[#This Row],[Cotação]]-MOD($BH$1/Tabela3[[#This Row],[Cotação]],100)),)</f>
        <v>0</v>
      </c>
      <c r="AW269" s="17">
        <f>Tabela3[[#This Row],[Ativos]]*Tabela3[Lucro]</f>
        <v>0</v>
      </c>
      <c r="AX269" s="5">
        <f>SUMPRODUCT(N(Tabela1[Código]=Tabela3[[#This Row],[PAPEL]]),Tabela1[Fechamento])</f>
        <v>6.61</v>
      </c>
      <c r="AY269" s="5">
        <f>SUMPRODUCT(N(Tabela17[Código]=Tabela3[[#This Row],[PAPEL]]),Tabela17[Fechamento])</f>
        <v>0</v>
      </c>
      <c r="AZ269" s="7">
        <f>SUMPRODUCT(N(Tabela176[Código]=Tabela3[[#This Row],[PAPEL]]),Tabela176[Fechamento])</f>
        <v>0</v>
      </c>
      <c r="BA269" s="7">
        <f>SUMPRODUCT(N(Tabela1768[Código]=Tabela3[[#This Row],[PAPEL]]),Tabela1768[Fechamento])</f>
        <v>0</v>
      </c>
      <c r="BB269" s="7">
        <f>SUMPRODUCT(N(Tabela17683[Código]=Tabela3[[#This Row],[PAPEL]]),Tabela17683[Fechamento])</f>
        <v>0</v>
      </c>
    </row>
    <row r="270" spans="1:54" hidden="1" x14ac:dyDescent="0.2">
      <c r="A270" s="4" t="s">
        <v>14</v>
      </c>
      <c r="B270" s="57" t="s">
        <v>198</v>
      </c>
      <c r="C270" s="14" t="str">
        <f>LEFT(Tabela3[PAPEL],LEN(Tabela3[PAPEL])-(LEN(Tabela3[PAPEL])-4))</f>
        <v>BRIV</v>
      </c>
      <c r="D270" s="15">
        <v>3</v>
      </c>
      <c r="E270" s="6">
        <v>524000000</v>
      </c>
      <c r="F270" s="8">
        <v>36275493</v>
      </c>
      <c r="G270" s="81">
        <v>0.25</v>
      </c>
      <c r="H270" s="15"/>
      <c r="I270" s="19">
        <v>0.06</v>
      </c>
      <c r="J270" s="19"/>
      <c r="K270" s="88"/>
      <c r="L270" s="88"/>
      <c r="M270" s="13">
        <v>13174261000</v>
      </c>
      <c r="N270" s="13">
        <v>7758446000</v>
      </c>
      <c r="O270" s="13">
        <v>7319074000</v>
      </c>
      <c r="P270" s="6">
        <v>1179411000</v>
      </c>
      <c r="Q270" s="6">
        <v>46761000</v>
      </c>
      <c r="R270" s="6">
        <f>IF(Tabela3[[#This Row],[Ativo || Passivo]]&gt;0,Tabela3[[#This Row],[Ativo || Passivo]]-Tabela3[[#This Row],[Patrimônio Líquido]],0)</f>
        <v>11994850000</v>
      </c>
      <c r="S270" s="13">
        <f>Tabela3[[#This Row],[Cotação]]*Tabela3[[#This Row],[Total Ações]]</f>
        <v>516084094.23999995</v>
      </c>
      <c r="T270" s="134">
        <f>IF(Tabela3[[#This Row],[Passivo Circulante]]&gt;0,Tabela3[[#This Row],[Ativo Circulante]]/Tabela3[[#This Row],[Passivo Circulante]],0)</f>
        <v>1.0600310913648365</v>
      </c>
      <c r="U270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70" s="19">
        <f>IF(Tabela3[[#This Row],[Lucro Líquido]]&gt;0,Tabela3[[#This Row],[Lucro Líquido]]/Tabela3[[#This Row],[Patrimônio Líquido]],0)</f>
        <v>3.9647756380091416E-2</v>
      </c>
      <c r="W270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70" s="19">
        <f>IF(Tabela3[[#This Row],[Dívida]]&gt;0,Tabela3[[#This Row],[Dívida]]/Tabela3[[#This Row],[Patrimônio Líquido]],0)</f>
        <v>10.17020360162827</v>
      </c>
      <c r="Y270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70" s="6">
        <f>Tabela3[[#This Row],[Capital Social]]*20%</f>
        <v>104800000</v>
      </c>
      <c r="AA270" s="6">
        <f>IF((Tabela3[Lucro Líquido]*5%)&gt;Tabela3[Teto R. Legal],Tabela3[Teto R. Legal],Tabela3[Lucro Líquido]*5%)</f>
        <v>2338050</v>
      </c>
      <c r="AB270" s="6">
        <f>IF(Tabela3[Lucro Líquido]&lt;0,0,Tabela3[Lucro Líquido]-Tabela3[Reserva Legal])</f>
        <v>44422950</v>
      </c>
      <c r="AC270" s="6">
        <f>Tabela3[[#This Row],[Lucro Distribuir]]*Tabela3[%Div]</f>
        <v>11105737.5</v>
      </c>
      <c r="AD270" s="21">
        <f>SUMPRODUCT(N(Tabela3[Nome]=Tabela3[[#This Row],[Nome]]),Tabela3[Ações])</f>
        <v>90224492</v>
      </c>
      <c r="AE270" s="6">
        <f>Tabela3[Capital Social]/Tabela3[Total Ações]</f>
        <v>5.8077356645022729</v>
      </c>
      <c r="AF270" s="78">
        <f>Tabela3[[#This Row],[Lucro Líquido]]/Tabela3[[#This Row],[Total Ações]]</f>
        <v>0.51827390726677625</v>
      </c>
      <c r="AG270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0.12309005297585937</v>
      </c>
      <c r="AH270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70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0.34846413987013636</v>
      </c>
      <c r="AJ270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0.34846413987013636</v>
      </c>
      <c r="AK270" s="6">
        <f>Tabela3[Div Base]*Tabela3[Ações]</f>
        <v>12640708.466610152</v>
      </c>
      <c r="AL270" s="6">
        <f>SUMPRODUCT(N(Tabela3[Nome]=Tabela3[[#This Row],[Nome]]),Tabela3[Div Base]*Tabela3[Ações])</f>
        <v>12640708.466610152</v>
      </c>
      <c r="AM270" s="6">
        <f>Tabela3[Patrimônio Líquido]/Tabela3[Total Ações]</f>
        <v>13.071960549248645</v>
      </c>
      <c r="AN270" s="48">
        <f>MAX(Tabela3[[#This Row],[Cotação 1]:[Cotação 5]])</f>
        <v>5.72</v>
      </c>
      <c r="AO270" s="44">
        <f>Tabela3[Cotação]/Tabela3[VPA]</f>
        <v>0.43757781997963385</v>
      </c>
      <c r="AP270" s="40">
        <f>IF(Tabela3[[#This Row],[Lucro/Ação]]&gt;0,Tabela3[[#This Row],[Cotação]]/(Tabela3[[#This Row],[Lucro/Ação]]/Tabela3[Ref]*4),0)</f>
        <v>8.2774763302752294</v>
      </c>
      <c r="AQ270" s="78">
        <f>Tabela3[Lucro Distribuir]/Tabela3[Total Ações]</f>
        <v>0.49236021190343748</v>
      </c>
      <c r="AR270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0.34846413987013636</v>
      </c>
      <c r="AS270" s="15" t="str">
        <f>IF(AND(Tabela3[% A.A.]&gt;=6%,SUMPRODUCT(N(Tabela3[Nome]=Tabela3[[#This Row],[Nome]]),Tabela3[PL])&gt;0,Tabela3[Rentabilidade s/ PL]&gt;=Tabela3[Rentabilidade s/ PL Média]),"Sim","Não")</f>
        <v>Não</v>
      </c>
      <c r="AT270" s="42">
        <f>IF(Tabela3[Cotação]&gt;0,Tabela3[[#This Row],[Lucro]]/Tabela3[[#This Row],[Cotação]],0)</f>
        <v>6.0920304173100764E-2</v>
      </c>
      <c r="AU270" s="19">
        <f>((1+Tabela3[[#This Row],[% Yield]])^(1/(3*Tabela3[[#This Row],[Ref]])))^(12)-1</f>
        <v>8.2040911355341528E-2</v>
      </c>
      <c r="AV270" s="14">
        <f>IF(Tabela3[Cotação]&gt;0,($BH$1/Tabela3[[#This Row],[Cotação]]-MOD($BH$1/Tabela3[[#This Row],[Cotação]],100)),)</f>
        <v>0</v>
      </c>
      <c r="AW270" s="17">
        <f>Tabela3[[#This Row],[Ativos]]*Tabela3[Lucro]</f>
        <v>0</v>
      </c>
      <c r="AX270" s="5">
        <f>SUMPRODUCT(N(Tabela1[Código]=Tabela3[[#This Row],[PAPEL]]),Tabela1[Fechamento])</f>
        <v>5.72</v>
      </c>
      <c r="AY270" s="5">
        <f>SUMPRODUCT(N(Tabela17[Código]=Tabela3[[#This Row],[PAPEL]]),Tabela17[Fechamento])</f>
        <v>0</v>
      </c>
      <c r="AZ270" s="7">
        <f>SUMPRODUCT(N(Tabela176[Código]=Tabela3[[#This Row],[PAPEL]]),Tabela176[Fechamento])</f>
        <v>0</v>
      </c>
      <c r="BA270" s="7">
        <f>SUMPRODUCT(N(Tabela1768[Código]=Tabela3[[#This Row],[PAPEL]]),Tabela1768[Fechamento])</f>
        <v>0</v>
      </c>
      <c r="BB270" s="7">
        <f>SUMPRODUCT(N(Tabela17683[Código]=Tabela3[[#This Row],[PAPEL]]),Tabela17683[Fechamento])</f>
        <v>0</v>
      </c>
    </row>
    <row r="271" spans="1:54" hidden="1" x14ac:dyDescent="0.2">
      <c r="A271" s="3" t="s">
        <v>346</v>
      </c>
      <c r="B271" s="58" t="s">
        <v>349</v>
      </c>
      <c r="C271" s="83" t="str">
        <f>LEFT(Tabela3[PAPEL],LEN(Tabela3[PAPEL])-(LEN(Tabela3[PAPEL])-4))</f>
        <v>BRML</v>
      </c>
      <c r="D271" s="16">
        <v>3</v>
      </c>
      <c r="E271" s="5">
        <v>4311136813.4700003</v>
      </c>
      <c r="F271" s="56">
        <v>458882265</v>
      </c>
      <c r="G271" s="81">
        <v>0.25</v>
      </c>
      <c r="H271" s="16"/>
      <c r="J271" s="18"/>
      <c r="K271" s="87"/>
      <c r="L271" s="87"/>
      <c r="M271" s="54"/>
      <c r="N271" s="54"/>
      <c r="O271" s="54"/>
      <c r="P271" s="5">
        <v>8579316000</v>
      </c>
      <c r="Q271" s="5">
        <v>334866000</v>
      </c>
      <c r="R271" s="5">
        <f>IF(Tabela3[[#This Row],[Ativo || Passivo]]&gt;0,Tabela3[[#This Row],[Ativo || Passivo]]-Tabela3[[#This Row],[Patrimônio Líquido]],0)</f>
        <v>0</v>
      </c>
      <c r="S271" s="5">
        <f>Tabela3[[#This Row],[Cotação]]*Tabela3[[#This Row],[Total Ações]]</f>
        <v>7534846791.3000011</v>
      </c>
      <c r="T271" s="132">
        <f>IF(Tabela3[[#This Row],[Passivo Circulante]]&gt;0,Tabela3[[#This Row],[Ativo Circulante]]/Tabela3[[#This Row],[Passivo Circulante]],0)</f>
        <v>0</v>
      </c>
      <c r="U271" s="132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71" s="18">
        <f>IF(Tabela3[[#This Row],[Lucro Líquido]]&gt;0,Tabela3[[#This Row],[Lucro Líquido]]/Tabela3[[#This Row],[Patrimônio Líquido]],0)</f>
        <v>3.9031782953326349E-2</v>
      </c>
      <c r="W271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71" s="18">
        <f>IF(Tabela3[[#This Row],[Dívida]]&gt;0,Tabela3[[#This Row],[Dívida]]/Tabela3[[#This Row],[Patrimônio Líquido]],0)</f>
        <v>0</v>
      </c>
      <c r="Y271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71" s="5">
        <f>Tabela3[[#This Row],[Capital Social]]*20%</f>
        <v>862227362.69400012</v>
      </c>
      <c r="AA271" s="5">
        <f>IF((Tabela3[Lucro Líquido]*5%)&gt;Tabela3[Teto R. Legal],Tabela3[Teto R. Legal],Tabela3[Lucro Líquido]*5%)</f>
        <v>16743300</v>
      </c>
      <c r="AB271" s="5">
        <f>IF(Tabela3[Lucro Líquido]&lt;0,0,Tabela3[Lucro Líquido]-Tabela3[Reserva Legal])</f>
        <v>318122700</v>
      </c>
      <c r="AC271" s="5">
        <f>Tabela3[[#This Row],[Lucro Distribuir]]*Tabela3[%Div]</f>
        <v>79530675</v>
      </c>
      <c r="AD271" s="21">
        <f>SUMPRODUCT(N(Tabela3[Nome]=Tabela3[[#This Row],[Nome]]),Tabela3[Ações])</f>
        <v>458882265</v>
      </c>
      <c r="AE271" s="5">
        <f>Tabela3[Capital Social]/Tabela3[Total Ações]</f>
        <v>9.3948647448164078</v>
      </c>
      <c r="AF271" s="77">
        <f>Tabela3[[#This Row],[Lucro Líquido]]/Tabela3[[#This Row],[Total Ações]]</f>
        <v>0.72974273695236402</v>
      </c>
      <c r="AG271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0.17331390002618646</v>
      </c>
      <c r="AH271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71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71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0.17331390002618646</v>
      </c>
      <c r="AK271" s="5">
        <f>Tabela3[Div Base]*Tabela3[Ações]</f>
        <v>79530675</v>
      </c>
      <c r="AL271" s="5">
        <f>SUMPRODUCT(N(Tabela3[Nome]=Tabela3[[#This Row],[Nome]]),Tabela3[Div Base]*Tabela3[Ações])</f>
        <v>79530675</v>
      </c>
      <c r="AM271" s="5">
        <f>Tabela3[Patrimônio Líquido]/Tabela3[Total Ações]</f>
        <v>18.696115876258588</v>
      </c>
      <c r="AN271" s="52">
        <f>MAX(Tabela3[[#This Row],[Cotação 1]:[Cotação 5]])</f>
        <v>16.420000000000002</v>
      </c>
      <c r="AO271" s="53">
        <f>Tabela3[Cotação]/Tabela3[VPA]</f>
        <v>0.87825728662984326</v>
      </c>
      <c r="AP271" s="37">
        <f>IF(Tabela3[[#This Row],[Lucro/Ação]]&gt;0,Tabela3[[#This Row],[Cotação]]/(Tabela3[[#This Row],[Lucro/Ação]]/Tabela3[Ref]*4),0)</f>
        <v>16.875810304644247</v>
      </c>
      <c r="AQ271" s="77">
        <f>Tabela3[Lucro Distribuir]/Tabela3[Total Ações]</f>
        <v>0.69325560010474585</v>
      </c>
      <c r="AR271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0.17331390002618646</v>
      </c>
      <c r="AS271" s="16" t="str">
        <f>IF(AND(Tabela3[% A.A.]&gt;=6%,SUMPRODUCT(N(Tabela3[Nome]=Tabela3[[#This Row],[Nome]]),Tabela3[PL])&gt;0,Tabela3[Rentabilidade s/ PL]&gt;=Tabela3[Rentabilidade s/ PL Média]),"Sim","Não")</f>
        <v>Não</v>
      </c>
      <c r="AT271" s="22">
        <f>IF(Tabela3[Cotação]&gt;0,Tabela3[[#This Row],[Lucro]]/Tabela3[[#This Row],[Cotação]],0)</f>
        <v>1.0555048722666653E-2</v>
      </c>
      <c r="AU271" s="18">
        <f>((1+Tabela3[[#This Row],[% Yield]])^(1/(3*Tabela3[[#This Row],[Ref]])))^(12)-1</f>
        <v>1.4098098047785168E-2</v>
      </c>
      <c r="AV271" s="10">
        <f>IF(Tabela3[Cotação]&gt;0,($BH$1/Tabela3[[#This Row],[Cotação]]-MOD($BH$1/Tabela3[[#This Row],[Cotação]],100)),)</f>
        <v>0</v>
      </c>
      <c r="AW271" s="7">
        <f>Tabela3[[#This Row],[Ativos]]*Tabela3[Lucro]</f>
        <v>0</v>
      </c>
      <c r="AX271" s="47">
        <f>SUMPRODUCT(N(Tabela1[Código]=Tabela3[[#This Row],[PAPEL]]),Tabela1[Fechamento])</f>
        <v>0</v>
      </c>
      <c r="AY271" s="54">
        <f>SUMPRODUCT(N(Tabela17[Código]=Tabela3[[#This Row],[PAPEL]]),Tabela17[Fechamento])</f>
        <v>16.420000000000002</v>
      </c>
      <c r="AZ271" s="7">
        <f>SUMPRODUCT(N(Tabela176[Código]=Tabela3[[#This Row],[PAPEL]]),Tabela176[Fechamento])</f>
        <v>0</v>
      </c>
      <c r="BA271" s="7">
        <f>SUMPRODUCT(N(Tabela1768[Código]=Tabela3[[#This Row],[PAPEL]]),Tabela1768[Fechamento])</f>
        <v>0</v>
      </c>
      <c r="BB271" s="7">
        <f>SUMPRODUCT(N(Tabela17683[Código]=Tabela3[[#This Row],[PAPEL]]),Tabela17683[Fechamento])</f>
        <v>0</v>
      </c>
    </row>
    <row r="272" spans="1:54" hidden="1" x14ac:dyDescent="0.2">
      <c r="A272" s="4" t="s">
        <v>239</v>
      </c>
      <c r="B272" s="57" t="s">
        <v>617</v>
      </c>
      <c r="C272" s="15" t="str">
        <f>LEFT(Tabela3[PAPEL],LEN(Tabela3[PAPEL])-(LEN(Tabela3[PAPEL])-4))</f>
        <v>GGBR</v>
      </c>
      <c r="D272" s="15">
        <v>3</v>
      </c>
      <c r="E272" s="6">
        <v>19323246666</v>
      </c>
      <c r="F272" s="8">
        <v>573627483</v>
      </c>
      <c r="G272" s="86">
        <v>0</v>
      </c>
      <c r="H272" s="15"/>
      <c r="I272" s="19"/>
      <c r="J272" s="19"/>
      <c r="K272" s="88"/>
      <c r="L272" s="88"/>
      <c r="M272" s="55"/>
      <c r="N272" s="55"/>
      <c r="O272" s="55"/>
      <c r="P272" s="92">
        <v>29203110000</v>
      </c>
      <c r="Q272" s="93">
        <v>1133637000</v>
      </c>
      <c r="R272" s="93">
        <f>IF(Tabela3[[#This Row],[Ativo || Passivo]]&gt;0,Tabela3[[#This Row],[Ativo || Passivo]]-Tabela3[[#This Row],[Patrimônio Líquido]],0)</f>
        <v>0</v>
      </c>
      <c r="S272" s="93">
        <f>Tabela3[[#This Row],[Cotação]]*Tabela3[[#This Row],[Total Ações]]</f>
        <v>21065819418</v>
      </c>
      <c r="T272" s="40">
        <f>IF(Tabela3[[#This Row],[Passivo Circulante]]&gt;0,Tabela3[[#This Row],[Ativo Circulante]]/Tabela3[[#This Row],[Passivo Circulante]],0)</f>
        <v>0</v>
      </c>
      <c r="U272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72" s="19">
        <f>IF(Tabela3[[#This Row],[Lucro Líquido]]&gt;0,Tabela3[[#This Row],[Lucro Líquido]]/Tabela3[[#This Row],[Patrimônio Líquido]],0)</f>
        <v>3.8819050436751427E-2</v>
      </c>
      <c r="W272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72" s="19">
        <f>IF(Tabela3[[#This Row],[Dívida]]&gt;0,Tabela3[[#This Row],[Dívida]]/Tabela3[[#This Row],[Patrimônio Líquido]],0)</f>
        <v>0</v>
      </c>
      <c r="Y272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72" s="13">
        <f>Tabela3[[#This Row],[Capital Social]]*20%</f>
        <v>3864649333.2000003</v>
      </c>
      <c r="AA272" s="13">
        <f>IF((Tabela3[Lucro Líquido]*5%)&gt;Tabela3[Teto R. Legal],Tabela3[Teto R. Legal],Tabela3[Lucro Líquido]*5%)</f>
        <v>56681850</v>
      </c>
      <c r="AB272" s="13">
        <f>IF(Tabela3[Lucro Líquido]&lt;0,0,Tabela3[Lucro Líquido]-Tabela3[Reserva Legal])</f>
        <v>1076955150</v>
      </c>
      <c r="AC272" s="13">
        <f>Tabela3[[#This Row],[Lucro Distribuir]]*Tabela3[%Div]</f>
        <v>0</v>
      </c>
      <c r="AD272" s="56">
        <f>SUMPRODUCT(N(Tabela3[Nome]=Tabela3[[#This Row],[Nome]]),Tabela3[Ações])</f>
        <v>1719658728</v>
      </c>
      <c r="AE272" s="6">
        <f>Tabela3[Capital Social]/Tabela3[Total Ações]</f>
        <v>11.236675249206773</v>
      </c>
      <c r="AF272" s="78">
        <f>Tabela3[[#This Row],[Lucro Líquido]]/Tabela3[[#This Row],[Total Ações]]</f>
        <v>0.65922207792847609</v>
      </c>
      <c r="AG272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272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72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72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272" s="13">
        <f>Tabela3[Div Base]*Tabela3[Ações]</f>
        <v>0</v>
      </c>
      <c r="AL272" s="13">
        <f>SUMPRODUCT(N(Tabela3[Nome]=Tabela3[[#This Row],[Nome]]),Tabela3[Div Base]*Tabela3[Ações])</f>
        <v>323086545</v>
      </c>
      <c r="AM272" s="6">
        <f>Tabela3[Patrimônio Líquido]/Tabela3[Total Ações]</f>
        <v>16.981921775818765</v>
      </c>
      <c r="AN272" s="48">
        <f>MAX(Tabela3[[#This Row],[Cotação 1]:[Cotação 5]])</f>
        <v>12.25</v>
      </c>
      <c r="AO272" s="44">
        <f>Tabela3[Cotação]/Tabela3[VPA]</f>
        <v>0.72135534256454192</v>
      </c>
      <c r="AP272" s="40">
        <f>IF(Tabela3[[#This Row],[Lucro/Ação]]&gt;0,Tabela3[[#This Row],[Cotação]]/(Tabela3[[#This Row],[Lucro/Ação]]/Tabela3[Ref]*4),0)</f>
        <v>13.936881526890883</v>
      </c>
      <c r="AQ272" s="78">
        <f>Tabela3[Lucro Distribuir]/Tabela3[Total Ações]</f>
        <v>0.62626097403205228</v>
      </c>
      <c r="AR272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272" s="14" t="str">
        <f>IF(AND(Tabela3[% A.A.]&gt;=6%,SUMPRODUCT(N(Tabela3[Nome]=Tabela3[[#This Row],[Nome]]),Tabela3[PL])&gt;0,Tabela3[Rentabilidade s/ PL]&gt;=Tabela3[Rentabilidade s/ PL Média]),"Sim","Não")</f>
        <v>Não</v>
      </c>
      <c r="AT272" s="42">
        <f>IF(Tabela3[Cotação]&gt;0,Tabela3[[#This Row],[Lucro]]/Tabela3[[#This Row],[Cotação]],0)</f>
        <v>0</v>
      </c>
      <c r="AU272" s="42">
        <f>((1+Tabela3[[#This Row],[% Yield]])^(1/(3*Tabela3[[#This Row],[Ref]])))^(12)-1</f>
        <v>0</v>
      </c>
      <c r="AV272" s="14">
        <f>IF(Tabela3[Cotação]&gt;0,($BD$1/Tabela3[[#This Row],[Cotação]]-MOD($BD$1/Tabela3[[#This Row],[Cotação]],100)),)</f>
        <v>0</v>
      </c>
      <c r="AW272" s="17">
        <f>Tabela3[[#This Row],[Ativos]]*Tabela3[Lucro]</f>
        <v>0</v>
      </c>
      <c r="AX272" s="17">
        <f>SUMPRODUCT(N(Tabela1[Código]=Tabela3[[#This Row],[PAPEL]]),Tabela1[Fechamento])</f>
        <v>0</v>
      </c>
      <c r="AY272" s="17">
        <f>SUMPRODUCT(N(Tabela17[Código]=Tabela3[[#This Row],[PAPEL]]),Tabela17[Fechamento])</f>
        <v>0</v>
      </c>
      <c r="AZ272" s="17">
        <f>SUMPRODUCT(N(Tabela176[Código]=Tabela3[[#This Row],[PAPEL]]),Tabela176[Fechamento])</f>
        <v>12.25</v>
      </c>
      <c r="BA272" s="17">
        <f>SUMPRODUCT(N(Tabela1768[Código]=Tabela3[[#This Row],[PAPEL]]),Tabela1768[Fechamento])</f>
        <v>0</v>
      </c>
      <c r="BB272" s="7">
        <f>SUMPRODUCT(N(Tabela17683[Código]=Tabela3[[#This Row],[PAPEL]]),Tabela17683[Fechamento])</f>
        <v>0</v>
      </c>
    </row>
    <row r="273" spans="1:54" hidden="1" x14ac:dyDescent="0.2">
      <c r="A273" s="4" t="s">
        <v>239</v>
      </c>
      <c r="B273" s="57" t="s">
        <v>618</v>
      </c>
      <c r="C273" s="15" t="str">
        <f>LEFT(Tabela3[PAPEL],LEN(Tabela3[PAPEL])-(LEN(Tabela3[PAPEL])-4))</f>
        <v>GGBR</v>
      </c>
      <c r="D273" s="15">
        <v>3</v>
      </c>
      <c r="E273" s="6">
        <v>19323246666</v>
      </c>
      <c r="F273" s="8">
        <v>1146031245</v>
      </c>
      <c r="G273" s="86">
        <v>0.3</v>
      </c>
      <c r="H273" s="15"/>
      <c r="I273" s="19"/>
      <c r="J273" s="19"/>
      <c r="K273" s="88"/>
      <c r="L273" s="88"/>
      <c r="M273" s="55"/>
      <c r="N273" s="55"/>
      <c r="O273" s="55"/>
      <c r="P273" s="92">
        <v>29203110000</v>
      </c>
      <c r="Q273" s="93">
        <v>1133637000</v>
      </c>
      <c r="R273" s="93">
        <f>IF(Tabela3[[#This Row],[Ativo || Passivo]]&gt;0,Tabela3[[#This Row],[Ativo || Passivo]]-Tabela3[[#This Row],[Patrimônio Líquido]],0)</f>
        <v>0</v>
      </c>
      <c r="S273" s="93">
        <f>Tabela3[[#This Row],[Cotação]]*Tabela3[[#This Row],[Total Ações]]</f>
        <v>26224795602</v>
      </c>
      <c r="T273" s="40">
        <f>IF(Tabela3[[#This Row],[Passivo Circulante]]&gt;0,Tabela3[[#This Row],[Ativo Circulante]]/Tabela3[[#This Row],[Passivo Circulante]],0)</f>
        <v>0</v>
      </c>
      <c r="U273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73" s="19">
        <f>IF(Tabela3[[#This Row],[Lucro Líquido]]&gt;0,Tabela3[[#This Row],[Lucro Líquido]]/Tabela3[[#This Row],[Patrimônio Líquido]],0)</f>
        <v>3.8819050436751427E-2</v>
      </c>
      <c r="W273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73" s="19">
        <f>IF(Tabela3[[#This Row],[Dívida]]&gt;0,Tabela3[[#This Row],[Dívida]]/Tabela3[[#This Row],[Patrimônio Líquido]],0)</f>
        <v>0</v>
      </c>
      <c r="Y273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73" s="13">
        <f>Tabela3[[#This Row],[Capital Social]]*20%</f>
        <v>3864649333.2000003</v>
      </c>
      <c r="AA273" s="13">
        <f>IF((Tabela3[Lucro Líquido]*5%)&gt;Tabela3[Teto R. Legal],Tabela3[Teto R. Legal],Tabela3[Lucro Líquido]*5%)</f>
        <v>56681850</v>
      </c>
      <c r="AB273" s="13">
        <f>IF(Tabela3[Lucro Líquido]&lt;0,0,Tabela3[Lucro Líquido]-Tabela3[Reserva Legal])</f>
        <v>1076955150</v>
      </c>
      <c r="AC273" s="13">
        <f>Tabela3[[#This Row],[Lucro Distribuir]]*Tabela3[%Div]</f>
        <v>323086545</v>
      </c>
      <c r="AD273" s="56">
        <f>SUMPRODUCT(N(Tabela3[Nome]=Tabela3[[#This Row],[Nome]]),Tabela3[Ações])</f>
        <v>1719658728</v>
      </c>
      <c r="AE273" s="6">
        <f>Tabela3[Capital Social]/Tabela3[Total Ações]</f>
        <v>11.236675249206773</v>
      </c>
      <c r="AF273" s="78">
        <f>Tabela3[[#This Row],[Lucro Líquido]]/Tabela3[[#This Row],[Total Ações]]</f>
        <v>0.65922207792847609</v>
      </c>
      <c r="AG273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0.2819177456195795</v>
      </c>
      <c r="AH273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73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73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0.2819177456195795</v>
      </c>
      <c r="AK273" s="13">
        <f>Tabela3[Div Base]*Tabela3[Ações]</f>
        <v>323086545</v>
      </c>
      <c r="AL273" s="13">
        <f>SUMPRODUCT(N(Tabela3[Nome]=Tabela3[[#This Row],[Nome]]),Tabela3[Div Base]*Tabela3[Ações])</f>
        <v>323086545</v>
      </c>
      <c r="AM273" s="6">
        <f>Tabela3[Patrimônio Líquido]/Tabela3[Total Ações]</f>
        <v>16.981921775818765</v>
      </c>
      <c r="AN273" s="48">
        <f>MAX(Tabela3[[#This Row],[Cotação 1]:[Cotação 5]])</f>
        <v>15.25</v>
      </c>
      <c r="AO273" s="44">
        <f>Tabela3[Cotação]/Tabela3[VPA]</f>
        <v>0.89801379380483792</v>
      </c>
      <c r="AP273" s="40">
        <f>IF(Tabela3[[#This Row],[Lucro/Ação]]&gt;0,Tabela3[[#This Row],[Cotação]]/(Tabela3[[#This Row],[Lucro/Ação]]/Tabela3[Ref]*4),0)</f>
        <v>17.349995370211097</v>
      </c>
      <c r="AQ273" s="78">
        <f>Tabela3[Lucro Distribuir]/Tabela3[Total Ações]</f>
        <v>0.62626097403205228</v>
      </c>
      <c r="AR273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0.2819177456195795</v>
      </c>
      <c r="AS273" s="14" t="str">
        <f>IF(AND(Tabela3[% A.A.]&gt;=6%,SUMPRODUCT(N(Tabela3[Nome]=Tabela3[[#This Row],[Nome]]),Tabela3[PL])&gt;0,Tabela3[Rentabilidade s/ PL]&gt;=Tabela3[Rentabilidade s/ PL Média]),"Sim","Não")</f>
        <v>Não</v>
      </c>
      <c r="AT273" s="42">
        <f>IF(Tabela3[Cotação]&gt;0,Tabela3[[#This Row],[Lucro]]/Tabela3[[#This Row],[Cotação]],0)</f>
        <v>1.8486409548824884E-2</v>
      </c>
      <c r="AU273" s="42">
        <f>((1+Tabela3[[#This Row],[% Yield]])^(1/(3*Tabela3[[#This Row],[Ref]])))^(12)-1</f>
        <v>2.4724180313413058E-2</v>
      </c>
      <c r="AV273" s="14">
        <f>IF(Tabela3[Cotação]&gt;0,($BD$1/Tabela3[[#This Row],[Cotação]]-MOD($BD$1/Tabela3[[#This Row],[Cotação]],100)),)</f>
        <v>0</v>
      </c>
      <c r="AW273" s="17">
        <f>Tabela3[[#This Row],[Ativos]]*Tabela3[Lucro]</f>
        <v>0</v>
      </c>
      <c r="AX273" s="17">
        <f>SUMPRODUCT(N(Tabela1[Código]=Tabela3[[#This Row],[PAPEL]]),Tabela1[Fechamento])</f>
        <v>0</v>
      </c>
      <c r="AY273" s="17">
        <f>SUMPRODUCT(N(Tabela17[Código]=Tabela3[[#This Row],[PAPEL]]),Tabela17[Fechamento])</f>
        <v>0</v>
      </c>
      <c r="AZ273" s="17">
        <f>SUMPRODUCT(N(Tabela176[Código]=Tabela3[[#This Row],[PAPEL]]),Tabela176[Fechamento])</f>
        <v>15.25</v>
      </c>
      <c r="BA273" s="17">
        <f>SUMPRODUCT(N(Tabela1768[Código]=Tabela3[[#This Row],[PAPEL]]),Tabela1768[Fechamento])</f>
        <v>0</v>
      </c>
      <c r="BB273" s="7">
        <f>SUMPRODUCT(N(Tabela17683[Código]=Tabela3[[#This Row],[PAPEL]]),Tabela17683[Fechamento])</f>
        <v>0</v>
      </c>
    </row>
    <row r="274" spans="1:54" hidden="1" x14ac:dyDescent="0.2">
      <c r="A274" s="4" t="s">
        <v>12</v>
      </c>
      <c r="B274" s="57" t="s">
        <v>90</v>
      </c>
      <c r="C274" s="14" t="str">
        <f>LEFT(Tabela3[PAPEL],LEN(Tabela3[PAPEL])-(LEN(Tabela3[PAPEL])-4))</f>
        <v>CEBR</v>
      </c>
      <c r="D274" s="15">
        <v>3</v>
      </c>
      <c r="E274" s="6">
        <v>342056165.62</v>
      </c>
      <c r="F274" s="8">
        <v>4576432</v>
      </c>
      <c r="G274" s="81">
        <v>0.25</v>
      </c>
      <c r="H274" s="15"/>
      <c r="I274" s="19"/>
      <c r="J274" s="19"/>
      <c r="K274" s="88"/>
      <c r="L274" s="88"/>
      <c r="M274" s="13">
        <v>821792000</v>
      </c>
      <c r="N274" s="13">
        <v>37012000</v>
      </c>
      <c r="O274" s="13">
        <v>35888000</v>
      </c>
      <c r="P274" s="89">
        <v>465994000</v>
      </c>
      <c r="Q274" s="89">
        <v>17904000</v>
      </c>
      <c r="R274" s="89">
        <f>IF(Tabela3[[#This Row],[Ativo || Passivo]]&gt;0,Tabela3[[#This Row],[Ativo || Passivo]]-Tabela3[[#This Row],[Patrimônio Líquido]],0)</f>
        <v>355798000</v>
      </c>
      <c r="S274" s="89">
        <f>Tabela3[[#This Row],[Cotação]]*Tabela3[[#This Row],[Total Ações]]</f>
        <v>146935328</v>
      </c>
      <c r="T274" s="134">
        <f>IF(Tabela3[[#This Row],[Passivo Circulante]]&gt;0,Tabela3[[#This Row],[Ativo Circulante]]/Tabela3[[#This Row],[Passivo Circulante]],0)</f>
        <v>1.0313196611680784</v>
      </c>
      <c r="U274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74" s="19">
        <f>IF(Tabela3[[#This Row],[Lucro Líquido]]&gt;0,Tabela3[[#This Row],[Lucro Líquido]]/Tabela3[[#This Row],[Patrimônio Líquido]],0)</f>
        <v>3.8421095550586488E-2</v>
      </c>
      <c r="W274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74" s="19">
        <f>IF(Tabela3[[#This Row],[Dívida]]&gt;0,Tabela3[[#This Row],[Dívida]]/Tabela3[[#This Row],[Patrimônio Líquido]],0)</f>
        <v>0.7635248522513165</v>
      </c>
      <c r="Y274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74" s="6">
        <f>Tabela3[[#This Row],[Capital Social]]*20%</f>
        <v>68411233.123999998</v>
      </c>
      <c r="AA274" s="6">
        <f>IF((Tabela3[Lucro Líquido]*5%)&gt;Tabela3[Teto R. Legal],Tabela3[Teto R. Legal],Tabela3[Lucro Líquido]*5%)</f>
        <v>895200</v>
      </c>
      <c r="AB274" s="89">
        <f>IF(Tabela3[Lucro Líquido]&lt;0,0,Tabela3[Lucro Líquido]-Tabela3[Reserva Legal])</f>
        <v>17008800</v>
      </c>
      <c r="AC274" s="89">
        <f>Tabela3[[#This Row],[Lucro Distribuir]]*Tabela3[%Div]</f>
        <v>4252200</v>
      </c>
      <c r="AD274" s="56">
        <f>SUMPRODUCT(N(Tabela3[Nome]=Tabela3[[#This Row],[Nome]]),Tabela3[Ações])</f>
        <v>9183458</v>
      </c>
      <c r="AE274" s="6">
        <f>Tabela3[Capital Social]/Tabela3[Total Ações]</f>
        <v>37.246989709105222</v>
      </c>
      <c r="AF274" s="78">
        <f>Tabela3[[#This Row],[Lucro Líquido]]/Tabela3[[#This Row],[Total Ações]]</f>
        <v>1.9495924084369962</v>
      </c>
      <c r="AG274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0.46302819700378661</v>
      </c>
      <c r="AH274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74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74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274" s="6">
        <f>Tabela3[Div Base]*Tabela3[Ações]</f>
        <v>0</v>
      </c>
      <c r="AL274" s="6">
        <f>SUMPRODUCT(N(Tabela3[Nome]=Tabela3[[#This Row],[Nome]]),Tabela3[Div Base]*Tabela3[Ações])</f>
        <v>4890537.1982034566</v>
      </c>
      <c r="AM274" s="6">
        <f>Tabela3[Patrimônio Líquido]/Tabela3[Total Ações]</f>
        <v>50.742759426786726</v>
      </c>
      <c r="AN274" s="48">
        <f>MAX(Tabela3[[#This Row],[Cotação 1]:[Cotação 5]])</f>
        <v>16</v>
      </c>
      <c r="AO274" s="44">
        <f>Tabela3[Cotação]/Tabela3[VPA]</f>
        <v>0.31531592252260759</v>
      </c>
      <c r="AP274" s="40">
        <f>IF(Tabela3[[#This Row],[Lucro/Ação]]&gt;0,Tabela3[[#This Row],[Cotação]]/(Tabela3[[#This Row],[Lucro/Ação]]/Tabela3[Ref]*4),0)</f>
        <v>6.1551327077747988</v>
      </c>
      <c r="AQ274" s="78">
        <f>Tabela3[Lucro Distribuir]/Tabela3[Total Ações]</f>
        <v>1.8521127880151464</v>
      </c>
      <c r="AR274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274" s="15" t="str">
        <f>IF(AND(Tabela3[% A.A.]&gt;=6%,SUMPRODUCT(N(Tabela3[Nome]=Tabela3[[#This Row],[Nome]]),Tabela3[PL])&gt;0,Tabela3[Rentabilidade s/ PL]&gt;=Tabela3[Rentabilidade s/ PL Média]),"Sim","Não")</f>
        <v>Não</v>
      </c>
      <c r="AT274" s="42">
        <f>IF(Tabela3[Cotação]&gt;0,Tabela3[[#This Row],[Lucro]]/Tabela3[[#This Row],[Cotação]],0)</f>
        <v>0</v>
      </c>
      <c r="AU274" s="19">
        <f>((1+Tabela3[[#This Row],[% Yield]])^(1/(3*Tabela3[[#This Row],[Ref]])))^(12)-1</f>
        <v>0</v>
      </c>
      <c r="AV274" s="14">
        <f>IF(Tabela3[Cotação]&gt;0,($BH$1/Tabela3[[#This Row],[Cotação]]-MOD($BH$1/Tabela3[[#This Row],[Cotação]],100)),)</f>
        <v>0</v>
      </c>
      <c r="AW274" s="17">
        <f>Tabela3[[#This Row],[Ativos]]*Tabela3[Lucro]</f>
        <v>0</v>
      </c>
      <c r="AX274" s="5">
        <f>SUMPRODUCT(N(Tabela1[Código]=Tabela3[[#This Row],[PAPEL]]),Tabela1[Fechamento])</f>
        <v>16</v>
      </c>
      <c r="AY274" s="5">
        <f>SUMPRODUCT(N(Tabela17[Código]=Tabela3[[#This Row],[PAPEL]]),Tabela17[Fechamento])</f>
        <v>0</v>
      </c>
      <c r="AZ274" s="7">
        <f>SUMPRODUCT(N(Tabela176[Código]=Tabela3[[#This Row],[PAPEL]]),Tabela176[Fechamento])</f>
        <v>0</v>
      </c>
      <c r="BA274" s="7">
        <f>SUMPRODUCT(N(Tabela1768[Código]=Tabela3[[#This Row],[PAPEL]]),Tabela1768[Fechamento])</f>
        <v>0</v>
      </c>
      <c r="BB274" s="7">
        <f>SUMPRODUCT(N(Tabela17683[Código]=Tabela3[[#This Row],[PAPEL]]),Tabela17683[Fechamento])</f>
        <v>0</v>
      </c>
    </row>
    <row r="275" spans="1:54" hidden="1" x14ac:dyDescent="0.2">
      <c r="A275" s="4" t="s">
        <v>12</v>
      </c>
      <c r="B275" s="57" t="s">
        <v>91</v>
      </c>
      <c r="C275" s="14" t="str">
        <f>LEFT(Tabela3[PAPEL],LEN(Tabela3[PAPEL])-(LEN(Tabela3[PAPEL])-4))</f>
        <v>CEBR</v>
      </c>
      <c r="D275" s="15">
        <v>3</v>
      </c>
      <c r="E275" s="6">
        <v>342056165.62</v>
      </c>
      <c r="F275" s="8">
        <v>1313002</v>
      </c>
      <c r="G275" s="86">
        <v>0.25</v>
      </c>
      <c r="H275" s="15"/>
      <c r="I275" s="19">
        <v>0.1</v>
      </c>
      <c r="J275" s="19"/>
      <c r="K275" s="88"/>
      <c r="L275" s="88"/>
      <c r="M275" s="13">
        <v>821792000</v>
      </c>
      <c r="N275" s="13">
        <v>37012000</v>
      </c>
      <c r="O275" s="13">
        <v>35888000</v>
      </c>
      <c r="P275" s="89">
        <v>465994000</v>
      </c>
      <c r="Q275" s="89">
        <v>17904000</v>
      </c>
      <c r="R275" s="89">
        <f>IF(Tabela3[[#This Row],[Ativo || Passivo]]&gt;0,Tabela3[[#This Row],[Ativo || Passivo]]-Tabela3[[#This Row],[Patrimônio Líquido]],0)</f>
        <v>355798000</v>
      </c>
      <c r="S275" s="13">
        <f>Tabela3[[#This Row],[Cotação]]*Tabela3[[#This Row],[Total Ações]]</f>
        <v>211219534</v>
      </c>
      <c r="T275" s="134">
        <f>IF(Tabela3[[#This Row],[Passivo Circulante]]&gt;0,Tabela3[[#This Row],[Ativo Circulante]]/Tabela3[[#This Row],[Passivo Circulante]],0)</f>
        <v>1.0313196611680784</v>
      </c>
      <c r="U275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75" s="19">
        <f>IF(Tabela3[[#This Row],[Lucro Líquido]]&gt;0,Tabela3[[#This Row],[Lucro Líquido]]/Tabela3[[#This Row],[Patrimônio Líquido]],0)</f>
        <v>3.8421095550586488E-2</v>
      </c>
      <c r="W275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75" s="19">
        <f>IF(Tabela3[[#This Row],[Dívida]]&gt;0,Tabela3[[#This Row],[Dívida]]/Tabela3[[#This Row],[Patrimônio Líquido]],0)</f>
        <v>0.7635248522513165</v>
      </c>
      <c r="Y275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75" s="6">
        <f>Tabela3[[#This Row],[Capital Social]]*20%</f>
        <v>68411233.123999998</v>
      </c>
      <c r="AA275" s="6">
        <f>IF((Tabela3[Lucro Líquido]*5%)&gt;Tabela3[Teto R. Legal],Tabela3[Teto R. Legal],Tabela3[Lucro Líquido]*5%)</f>
        <v>895200</v>
      </c>
      <c r="AB275" s="89">
        <f>IF(Tabela3[Lucro Líquido]&lt;0,0,Tabela3[Lucro Líquido]-Tabela3[Reserva Legal])</f>
        <v>17008800</v>
      </c>
      <c r="AC275" s="89">
        <f>Tabela3[[#This Row],[Lucro Distribuir]]*Tabela3[%Div]</f>
        <v>4252200</v>
      </c>
      <c r="AD275" s="56">
        <f>SUMPRODUCT(N(Tabela3[Nome]=Tabela3[[#This Row],[Nome]]),Tabela3[Ações])</f>
        <v>9183458</v>
      </c>
      <c r="AE275" s="6">
        <f>Tabela3[Capital Social]/Tabela3[Total Ações]</f>
        <v>37.246989709105222</v>
      </c>
      <c r="AF275" s="78">
        <f>Tabela3[[#This Row],[Lucro Líquido]]/Tabela3[[#This Row],[Total Ações]]</f>
        <v>1.9495924084369962</v>
      </c>
      <c r="AG275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0.46302819700378661</v>
      </c>
      <c r="AH275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75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3.7246989709105218</v>
      </c>
      <c r="AJ275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3.7246989709105218</v>
      </c>
      <c r="AK275" s="6">
        <f>Tabela3[Div Base]*Tabela3[Ações]</f>
        <v>4890537.1982034566</v>
      </c>
      <c r="AL275" s="6">
        <f>SUMPRODUCT(N(Tabela3[Nome]=Tabela3[[#This Row],[Nome]]),Tabela3[Div Base]*Tabela3[Ações])</f>
        <v>4890537.1982034566</v>
      </c>
      <c r="AM275" s="6">
        <f>Tabela3[Patrimônio Líquido]/Tabela3[Total Ações]</f>
        <v>50.742759426786726</v>
      </c>
      <c r="AN275" s="48">
        <f>MAX(Tabela3[[#This Row],[Cotação 1]:[Cotação 5]])</f>
        <v>23</v>
      </c>
      <c r="AO275" s="44">
        <f>Tabela3[Cotação]/Tabela3[VPA]</f>
        <v>0.45326663862624844</v>
      </c>
      <c r="AP275" s="40">
        <f>IF(Tabela3[[#This Row],[Lucro/Ação]]&gt;0,Tabela3[[#This Row],[Cotação]]/(Tabela3[[#This Row],[Lucro/Ação]]/Tabela3[Ref]*4),0)</f>
        <v>8.8480032674262734</v>
      </c>
      <c r="AQ275" s="78">
        <f>Tabela3[Lucro Distribuir]/Tabela3[Total Ações]</f>
        <v>1.8521127880151464</v>
      </c>
      <c r="AR275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3.7246989709105218</v>
      </c>
      <c r="AS275" s="15" t="str">
        <f>IF(AND(Tabela3[% A.A.]&gt;=6%,SUMPRODUCT(N(Tabela3[Nome]=Tabela3[[#This Row],[Nome]]),Tabela3[PL])&gt;0,Tabela3[Rentabilidade s/ PL]&gt;=Tabela3[Rentabilidade s/ PL Média]),"Sim","Não")</f>
        <v>Não</v>
      </c>
      <c r="AT275" s="42">
        <f>IF(Tabela3[Cotação]&gt;0,Tabela3[[#This Row],[Lucro]]/Tabela3[[#This Row],[Cotação]],0)</f>
        <v>0.16194343351784876</v>
      </c>
      <c r="AU275" s="19">
        <f>((1+Tabela3[[#This Row],[% Yield]])^(1/(3*Tabela3[[#This Row],[Ref]])))^(12)-1</f>
        <v>0.22155581271887548</v>
      </c>
      <c r="AV275" s="14">
        <f>IF(Tabela3[Cotação]&gt;0,($BH$1/Tabela3[[#This Row],[Cotação]]-MOD($BH$1/Tabela3[[#This Row],[Cotação]],100)),)</f>
        <v>0</v>
      </c>
      <c r="AW275" s="17">
        <f>Tabela3[[#This Row],[Ativos]]*Tabela3[Lucro]</f>
        <v>0</v>
      </c>
      <c r="AX275" s="5">
        <f>SUMPRODUCT(N(Tabela1[Código]=Tabela3[[#This Row],[PAPEL]]),Tabela1[Fechamento])</f>
        <v>23</v>
      </c>
      <c r="AY275" s="5">
        <f>SUMPRODUCT(N(Tabela17[Código]=Tabela3[[#This Row],[PAPEL]]),Tabela17[Fechamento])</f>
        <v>0</v>
      </c>
      <c r="AZ275" s="7">
        <f>SUMPRODUCT(N(Tabela176[Código]=Tabela3[[#This Row],[PAPEL]]),Tabela176[Fechamento])</f>
        <v>0</v>
      </c>
      <c r="BA275" s="7">
        <f>SUMPRODUCT(N(Tabela1768[Código]=Tabela3[[#This Row],[PAPEL]]),Tabela1768[Fechamento])</f>
        <v>0</v>
      </c>
      <c r="BB275" s="7">
        <f>SUMPRODUCT(N(Tabela17683[Código]=Tabela3[[#This Row],[PAPEL]]),Tabela17683[Fechamento])</f>
        <v>0</v>
      </c>
    </row>
    <row r="276" spans="1:54" hidden="1" x14ac:dyDescent="0.2">
      <c r="A276" s="4" t="s">
        <v>12</v>
      </c>
      <c r="B276" s="57" t="s">
        <v>69</v>
      </c>
      <c r="C276" s="14" t="str">
        <f>LEFT(Tabela3[PAPEL],LEN(Tabela3[PAPEL])-(LEN(Tabela3[PAPEL])-4))</f>
        <v>CEBR</v>
      </c>
      <c r="D276" s="15">
        <v>3</v>
      </c>
      <c r="E276" s="6">
        <v>342056165.62</v>
      </c>
      <c r="F276" s="8">
        <v>3294024</v>
      </c>
      <c r="G276" s="81">
        <v>0.25</v>
      </c>
      <c r="H276" s="19"/>
      <c r="I276" s="19"/>
      <c r="J276" s="19"/>
      <c r="K276" s="88"/>
      <c r="L276" s="88"/>
      <c r="M276" s="13">
        <v>821792000</v>
      </c>
      <c r="N276" s="13">
        <v>37012000</v>
      </c>
      <c r="O276" s="13">
        <v>35888000</v>
      </c>
      <c r="P276" s="89">
        <v>465994000</v>
      </c>
      <c r="Q276" s="89">
        <v>17904000</v>
      </c>
      <c r="R276" s="89">
        <f>IF(Tabela3[[#This Row],[Ativo || Passivo]]&gt;0,Tabela3[[#This Row],[Ativo || Passivo]]-Tabela3[[#This Row],[Patrimônio Líquido]],0)</f>
        <v>355798000</v>
      </c>
      <c r="S276" s="89">
        <f>Tabela3[[#This Row],[Cotação]]*Tabela3[[#This Row],[Total Ações]]</f>
        <v>161628860.80000001</v>
      </c>
      <c r="T276" s="134">
        <f>IF(Tabela3[[#This Row],[Passivo Circulante]]&gt;0,Tabela3[[#This Row],[Ativo Circulante]]/Tabela3[[#This Row],[Passivo Circulante]],0)</f>
        <v>1.0313196611680784</v>
      </c>
      <c r="U276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76" s="19">
        <f>IF(Tabela3[[#This Row],[Lucro Líquido]]&gt;0,Tabela3[[#This Row],[Lucro Líquido]]/Tabela3[[#This Row],[Patrimônio Líquido]],0)</f>
        <v>3.8421095550586488E-2</v>
      </c>
      <c r="W276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76" s="19">
        <f>IF(Tabela3[[#This Row],[Dívida]]&gt;0,Tabela3[[#This Row],[Dívida]]/Tabela3[[#This Row],[Patrimônio Líquido]],0)</f>
        <v>0.7635248522513165</v>
      </c>
      <c r="Y276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76" s="6">
        <f>Tabela3[[#This Row],[Capital Social]]*20%</f>
        <v>68411233.123999998</v>
      </c>
      <c r="AA276" s="6">
        <f>IF((Tabela3[Lucro Líquido]*5%)&gt;Tabela3[Teto R. Legal],Tabela3[Teto R. Legal],Tabela3[Lucro Líquido]*5%)</f>
        <v>895200</v>
      </c>
      <c r="AB276" s="89">
        <f>IF(Tabela3[Lucro Líquido]&lt;0,0,Tabela3[Lucro Líquido]-Tabela3[Reserva Legal])</f>
        <v>17008800</v>
      </c>
      <c r="AC276" s="89">
        <f>Tabela3[[#This Row],[Lucro Distribuir]]*Tabela3[%Div]</f>
        <v>4252200</v>
      </c>
      <c r="AD276" s="56">
        <f>SUMPRODUCT(N(Tabela3[Nome]=Tabela3[[#This Row],[Nome]]),Tabela3[Ações])</f>
        <v>9183458</v>
      </c>
      <c r="AE276" s="6">
        <f>Tabela3[Capital Social]/Tabela3[Total Ações]</f>
        <v>37.246989709105222</v>
      </c>
      <c r="AF276" s="78">
        <f>Tabela3[[#This Row],[Lucro Líquido]]/Tabela3[[#This Row],[Total Ações]]</f>
        <v>1.9495924084369962</v>
      </c>
      <c r="AG276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0.46302819700378661</v>
      </c>
      <c r="AH276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76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76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276" s="6">
        <f>Tabela3[Div Base]*Tabela3[Ações]</f>
        <v>0</v>
      </c>
      <c r="AL276" s="6">
        <f>SUMPRODUCT(N(Tabela3[Nome]=Tabela3[[#This Row],[Nome]]),Tabela3[Div Base]*Tabela3[Ações])</f>
        <v>4890537.1982034566</v>
      </c>
      <c r="AM276" s="6">
        <f>Tabela3[Patrimônio Líquido]/Tabela3[Total Ações]</f>
        <v>50.742759426786726</v>
      </c>
      <c r="AN276" s="48">
        <f>MAX(Tabela3[[#This Row],[Cotação 1]:[Cotação 5]])</f>
        <v>17.600000000000001</v>
      </c>
      <c r="AO276" s="44">
        <f>Tabela3[Cotação]/Tabela3[VPA]</f>
        <v>0.34684751477486842</v>
      </c>
      <c r="AP276" s="40">
        <f>IF(Tabela3[[#This Row],[Lucro/Ação]]&gt;0,Tabela3[[#This Row],[Cotação]]/(Tabela3[[#This Row],[Lucro/Ação]]/Tabela3[Ref]*4),0)</f>
        <v>6.7706459785522792</v>
      </c>
      <c r="AQ276" s="78">
        <f>Tabela3[Lucro Distribuir]/Tabela3[Total Ações]</f>
        <v>1.8521127880151464</v>
      </c>
      <c r="AR276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276" s="14" t="str">
        <f>IF(AND(Tabela3[% A.A.]&gt;=6%,SUMPRODUCT(N(Tabela3[Nome]=Tabela3[[#This Row],[Nome]]),Tabela3[PL])&gt;0,Tabela3[Rentabilidade s/ PL]&gt;=Tabela3[Rentabilidade s/ PL Média]),"Sim","Não")</f>
        <v>Não</v>
      </c>
      <c r="AT276" s="42">
        <f>IF(Tabela3[Cotação]&gt;0,Tabela3[[#This Row],[Lucro]]/Tabela3[[#This Row],[Cotação]],0)</f>
        <v>0</v>
      </c>
      <c r="AU276" s="19">
        <f>((1+Tabela3[[#This Row],[% Yield]])^(1/(3*Tabela3[[#This Row],[Ref]])))^(12)-1</f>
        <v>0</v>
      </c>
      <c r="AV276" s="14">
        <f>IF(Tabela3[Cotação]&gt;0,($BH$1/Tabela3[[#This Row],[Cotação]]-MOD($BH$1/Tabela3[[#This Row],[Cotação]],100)),)</f>
        <v>0</v>
      </c>
      <c r="AW276" s="17">
        <f>Tabela3[[#This Row],[Ativos]]*Tabela3[Lucro]</f>
        <v>0</v>
      </c>
      <c r="AX276" s="5">
        <f>SUMPRODUCT(N(Tabela1[Código]=Tabela3[[#This Row],[PAPEL]]),Tabela1[Fechamento])</f>
        <v>17.600000000000001</v>
      </c>
      <c r="AY276" s="5">
        <f>SUMPRODUCT(N(Tabela17[Código]=Tabela3[[#This Row],[PAPEL]]),Tabela17[Fechamento])</f>
        <v>0</v>
      </c>
      <c r="AZ276" s="7">
        <f>SUMPRODUCT(N(Tabela176[Código]=Tabela3[[#This Row],[PAPEL]]),Tabela176[Fechamento])</f>
        <v>0</v>
      </c>
      <c r="BA276" s="7">
        <f>SUMPRODUCT(N(Tabela1768[Código]=Tabela3[[#This Row],[PAPEL]]),Tabela1768[Fechamento])</f>
        <v>0</v>
      </c>
      <c r="BB276" s="7">
        <f>SUMPRODUCT(N(Tabela17683[Código]=Tabela3[[#This Row],[PAPEL]]),Tabela17683[Fechamento])</f>
        <v>0</v>
      </c>
    </row>
    <row r="277" spans="1:54" hidden="1" x14ac:dyDescent="0.2">
      <c r="A277" s="4" t="s">
        <v>12</v>
      </c>
      <c r="B277" s="57" t="s">
        <v>508</v>
      </c>
      <c r="C277" s="82" t="str">
        <f>LEFT(Tabela3[PAPEL],LEN(Tabela3[PAPEL])-(LEN(Tabela3[PAPEL])-4))</f>
        <v>EMAE</v>
      </c>
      <c r="D277" s="16">
        <v>3</v>
      </c>
      <c r="E277" s="5">
        <v>285411308.35000002</v>
      </c>
      <c r="F277" s="56">
        <v>14705370</v>
      </c>
      <c r="G277" s="81">
        <v>0.25</v>
      </c>
      <c r="H277" s="18"/>
      <c r="J277" s="18"/>
      <c r="K277" s="87"/>
      <c r="L277" s="87"/>
      <c r="M277" s="54"/>
      <c r="N277" s="54"/>
      <c r="O277" s="54"/>
      <c r="P277" s="89">
        <v>672379000</v>
      </c>
      <c r="Q277" s="89">
        <v>25747000</v>
      </c>
      <c r="R277" s="89">
        <f>IF(Tabela3[[#This Row],[Ativo || Passivo]]&gt;0,Tabela3[[#This Row],[Ativo || Passivo]]-Tabela3[[#This Row],[Patrimônio Líquido]],0)</f>
        <v>0</v>
      </c>
      <c r="S277" s="89">
        <f>Tabela3[[#This Row],[Cotação]]*Tabela3[[#This Row],[Total Ações]]</f>
        <v>0</v>
      </c>
      <c r="T277" s="134">
        <f>IF(Tabela3[[#This Row],[Passivo Circulante]]&gt;0,Tabela3[[#This Row],[Ativo Circulante]]/Tabela3[[#This Row],[Passivo Circulante]],0)</f>
        <v>0</v>
      </c>
      <c r="U277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77" s="19">
        <f>IF(Tabela3[[#This Row],[Lucro Líquido]]&gt;0,Tabela3[[#This Row],[Lucro Líquido]]/Tabela3[[#This Row],[Patrimônio Líquido]],0)</f>
        <v>3.8292391642213694E-2</v>
      </c>
      <c r="W277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77" s="19">
        <f>IF(Tabela3[[#This Row],[Dívida]]&gt;0,Tabela3[[#This Row],[Dívida]]/Tabela3[[#This Row],[Patrimônio Líquido]],0)</f>
        <v>0</v>
      </c>
      <c r="Y277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77" s="6">
        <f>Tabela3[[#This Row],[Capital Social]]*20%</f>
        <v>57082261.670000009</v>
      </c>
      <c r="AA277" s="6">
        <f>IF((Tabela3[Lucro Líquido]*5%)&gt;Tabela3[Teto R. Legal],Tabela3[Teto R. Legal],Tabela3[Lucro Líquido]*5%)</f>
        <v>1287350</v>
      </c>
      <c r="AB277" s="89">
        <f>IF(Tabela3[Lucro Líquido]&lt;0,0,Tabela3[Lucro Líquido]-Tabela3[Reserva Legal])</f>
        <v>24459650</v>
      </c>
      <c r="AC277" s="89">
        <f>Tabela3[[#This Row],[Lucro Distribuir]]*Tabela3[%Div]</f>
        <v>6114912.5</v>
      </c>
      <c r="AD277" s="56">
        <f>SUMPRODUCT(N(Tabela3[Nome]=Tabela3[[#This Row],[Nome]]),Tabela3[Ações])</f>
        <v>36947084</v>
      </c>
      <c r="AE277" s="6">
        <f>Tabela3[Capital Social]/Tabela3[Total Ações]</f>
        <v>7.7248669570242683</v>
      </c>
      <c r="AF277" s="78">
        <f>Tabela3[[#This Row],[Lucro Líquido]]/Tabela3[[#This Row],[Total Ações]]</f>
        <v>0.69686148979984452</v>
      </c>
      <c r="AG277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0.16035512625458417</v>
      </c>
      <c r="AH277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77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77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0.16035512625458417</v>
      </c>
      <c r="AK277" s="6">
        <f>Tabela3[Div Base]*Tabela3[Ações]</f>
        <v>2358081.4629703746</v>
      </c>
      <c r="AL277" s="6">
        <f>SUMPRODUCT(N(Tabela3[Nome]=Tabela3[[#This Row],[Nome]]),Tabela3[Div Base]*Tabela3[Ações])</f>
        <v>6281311.6105919778</v>
      </c>
      <c r="AM277" s="6">
        <f>Tabela3[Patrimônio Líquido]/Tabela3[Total Ações]</f>
        <v>18.198432114426133</v>
      </c>
      <c r="AN277" s="11">
        <f>MAX(Tabela3[[#This Row],[Cotação 1]:[Cotação 5]])</f>
        <v>0</v>
      </c>
      <c r="AO277" s="9">
        <f>Tabela3[Cotação]/Tabela3[VPA]</f>
        <v>0</v>
      </c>
      <c r="AP277" s="36">
        <f>IF(Tabela3[[#This Row],[Lucro/Ação]]&gt;0,Tabela3[[#This Row],[Cotação]]/(Tabela3[[#This Row],[Lucro/Ação]]/Tabela3[Ref]*4),0)</f>
        <v>0</v>
      </c>
      <c r="AQ277" s="78">
        <f>Tabela3[Lucro Distribuir]/Tabela3[Total Ações]</f>
        <v>0.66201841530985228</v>
      </c>
      <c r="AR277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0.16035512625458417</v>
      </c>
      <c r="AS277" s="14" t="str">
        <f>IF(AND(Tabela3[% A.A.]&gt;=6%,SUMPRODUCT(N(Tabela3[Nome]=Tabela3[[#This Row],[Nome]]),Tabela3[PL])&gt;0,Tabela3[Rentabilidade s/ PL]&gt;=Tabela3[Rentabilidade s/ PL Média]),"Sim","Não")</f>
        <v>Não</v>
      </c>
      <c r="AT277" s="19">
        <f>IF(Tabela3[Cotação]&gt;0,Tabela3[[#This Row],[Lucro]]/Tabela3[[#This Row],[Cotação]],0)</f>
        <v>0</v>
      </c>
      <c r="AU277" s="19">
        <f>((1+Tabela3[[#This Row],[% Yield]])^(1/(3*Tabela3[[#This Row],[Ref]])))^(12)-1</f>
        <v>0</v>
      </c>
      <c r="AV277" s="10">
        <f>IF(Tabela3[Cotação]&gt;0,($BD$1/Tabela3[[#This Row],[Cotação]]-MOD($BD$1/Tabela3[[#This Row],[Cotação]],100)),)</f>
        <v>0</v>
      </c>
      <c r="AW277" s="5">
        <f>Tabela3[[#This Row],[Ativos]]*Tabela3[Lucro]</f>
        <v>0</v>
      </c>
      <c r="AX277" s="5">
        <f>SUMPRODUCT(N(Tabela1[Código]=Tabela3[[#This Row],[PAPEL]]),Tabela1[Fechamento])</f>
        <v>0</v>
      </c>
      <c r="AY277" s="5">
        <f>SUMPRODUCT(N(Tabela17[Código]=Tabela3[[#This Row],[PAPEL]]),Tabela17[Fechamento])</f>
        <v>0</v>
      </c>
      <c r="AZ277" s="7">
        <f>SUMPRODUCT(N(Tabela176[Código]=Tabela3[[#This Row],[PAPEL]]),Tabela176[Fechamento])</f>
        <v>0</v>
      </c>
      <c r="BA277" s="7">
        <f>SUMPRODUCT(N(Tabela1768[Código]=Tabela3[[#This Row],[PAPEL]]),Tabela1768[Fechamento])</f>
        <v>0</v>
      </c>
      <c r="BB277" s="7">
        <f>SUMPRODUCT(N(Tabela17683[Código]=Tabela3[[#This Row],[PAPEL]]),Tabela17683[Fechamento])</f>
        <v>0</v>
      </c>
    </row>
    <row r="278" spans="1:54" hidden="1" x14ac:dyDescent="0.2">
      <c r="A278" s="4" t="s">
        <v>12</v>
      </c>
      <c r="B278" s="57" t="s">
        <v>169</v>
      </c>
      <c r="C278" s="14" t="str">
        <f>LEFT(Tabela3[PAPEL],LEN(Tabela3[PAPEL])-(LEN(Tabela3[PAPEL])-4))</f>
        <v>EMAE</v>
      </c>
      <c r="D278" s="15">
        <v>3</v>
      </c>
      <c r="E278" s="5">
        <v>285411308.35000002</v>
      </c>
      <c r="F278" s="8">
        <v>22241714</v>
      </c>
      <c r="G278" s="86">
        <v>0.25</v>
      </c>
      <c r="H278" s="15"/>
      <c r="I278" s="19"/>
      <c r="J278" s="19">
        <v>0.1</v>
      </c>
      <c r="K278" s="88"/>
      <c r="L278" s="88"/>
      <c r="M278" s="55"/>
      <c r="N278" s="55"/>
      <c r="O278" s="55"/>
      <c r="P278" s="89">
        <v>672379000</v>
      </c>
      <c r="Q278" s="89">
        <v>25747000</v>
      </c>
      <c r="R278" s="89">
        <f>IF(Tabela3[[#This Row],[Ativo || Passivo]]&gt;0,Tabela3[[#This Row],[Ativo || Passivo]]-Tabela3[[#This Row],[Patrimônio Líquido]],0)</f>
        <v>0</v>
      </c>
      <c r="S278" s="89">
        <f>Tabela3[[#This Row],[Cotação]]*Tabela3[[#This Row],[Total Ações]]</f>
        <v>203208962</v>
      </c>
      <c r="T278" s="134">
        <f>IF(Tabela3[[#This Row],[Passivo Circulante]]&gt;0,Tabela3[[#This Row],[Ativo Circulante]]/Tabela3[[#This Row],[Passivo Circulante]],0)</f>
        <v>0</v>
      </c>
      <c r="U278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78" s="19">
        <f>IF(Tabela3[[#This Row],[Lucro Líquido]]&gt;0,Tabela3[[#This Row],[Lucro Líquido]]/Tabela3[[#This Row],[Patrimônio Líquido]],0)</f>
        <v>3.8292391642213694E-2</v>
      </c>
      <c r="W278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78" s="19">
        <f>IF(Tabela3[[#This Row],[Dívida]]&gt;0,Tabela3[[#This Row],[Dívida]]/Tabela3[[#This Row],[Patrimônio Líquido]],0)</f>
        <v>0</v>
      </c>
      <c r="Y278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78" s="6">
        <f>Tabela3[[#This Row],[Capital Social]]*20%</f>
        <v>57082261.670000009</v>
      </c>
      <c r="AA278" s="6">
        <f>IF((Tabela3[Lucro Líquido]*5%)&gt;Tabela3[Teto R. Legal],Tabela3[Teto R. Legal],Tabela3[Lucro Líquido]*5%)</f>
        <v>1287350</v>
      </c>
      <c r="AB278" s="89">
        <f>IF(Tabela3[Lucro Líquido]&lt;0,0,Tabela3[Lucro Líquido]-Tabela3[Reserva Legal])</f>
        <v>24459650</v>
      </c>
      <c r="AC278" s="89">
        <f>Tabela3[[#This Row],[Lucro Distribuir]]*Tabela3[%Div]</f>
        <v>6114912.5</v>
      </c>
      <c r="AD278" s="56">
        <f>SUMPRODUCT(N(Tabela3[Nome]=Tabela3[[#This Row],[Nome]]),Tabela3[Ações])</f>
        <v>36947084</v>
      </c>
      <c r="AE278" s="6">
        <f>Tabela3[Capital Social]/Tabela3[Total Ações]</f>
        <v>7.7248669570242683</v>
      </c>
      <c r="AF278" s="78">
        <f>Tabela3[[#This Row],[Lucro Líquido]]/Tabela3[[#This Row],[Total Ações]]</f>
        <v>0.69686148979984452</v>
      </c>
      <c r="AG278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0.17639063912167932</v>
      </c>
      <c r="AH278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78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78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0.17639063912167932</v>
      </c>
      <c r="AK278" s="6">
        <f>Tabela3[Div Base]*Tabela3[Ações]</f>
        <v>3923230.1476216028</v>
      </c>
      <c r="AL278" s="6">
        <f>SUMPRODUCT(N(Tabela3[Nome]=Tabela3[[#This Row],[Nome]]),Tabela3[Div Base]*Tabela3[Ações])</f>
        <v>6281311.6105919778</v>
      </c>
      <c r="AM278" s="6">
        <f>Tabela3[Patrimônio Líquido]/Tabela3[Total Ações]</f>
        <v>18.198432114426133</v>
      </c>
      <c r="AN278" s="48">
        <f>MAX(Tabela3[[#This Row],[Cotação 1]:[Cotação 5]])</f>
        <v>5.5</v>
      </c>
      <c r="AO278" s="44">
        <f>Tabela3[Cotação]/Tabela3[VPA]</f>
        <v>0.30222383804372238</v>
      </c>
      <c r="AP278" s="40">
        <f>IF(Tabela3[[#This Row],[Lucro/Ação]]&gt;0,Tabela3[[#This Row],[Cotação]]/(Tabela3[[#This Row],[Lucro/Ação]]/Tabela3[Ref]*4),0)</f>
        <v>5.9193972695848069</v>
      </c>
      <c r="AQ278" s="78">
        <f>Tabela3[Lucro Distribuir]/Tabela3[Total Ações]</f>
        <v>0.66201841530985228</v>
      </c>
      <c r="AR278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0.17639063912167932</v>
      </c>
      <c r="AS278" s="15" t="str">
        <f>IF(AND(Tabela3[% A.A.]&gt;=6%,SUMPRODUCT(N(Tabela3[Nome]=Tabela3[[#This Row],[Nome]]),Tabela3[PL])&gt;0,Tabela3[Rentabilidade s/ PL]&gt;=Tabela3[Rentabilidade s/ PL Média]),"Sim","Não")</f>
        <v>Não</v>
      </c>
      <c r="AT278" s="42">
        <f>IF(Tabela3[Cotação]&gt;0,Tabela3[[#This Row],[Lucro]]/Tabela3[[#This Row],[Cotação]],0)</f>
        <v>3.2071025294850786E-2</v>
      </c>
      <c r="AU278" s="19">
        <f>((1+Tabela3[[#This Row],[% Yield]])^(1/(3*Tabela3[[#This Row],[Ref]])))^(12)-1</f>
        <v>4.2988326304974844E-2</v>
      </c>
      <c r="AV278" s="14">
        <f>IF(Tabela3[Cotação]&gt;0,($BD$1/Tabela3[[#This Row],[Cotação]]-MOD($BD$1/Tabela3[[#This Row],[Cotação]],100)),)</f>
        <v>0</v>
      </c>
      <c r="AW278" s="17">
        <f>Tabela3[[#This Row],[Ativos]]*Tabela3[Lucro]</f>
        <v>0</v>
      </c>
      <c r="AX278" s="5">
        <f>SUMPRODUCT(N(Tabela1[Código]=Tabela3[[#This Row],[PAPEL]]),Tabela1[Fechamento])</f>
        <v>5.5</v>
      </c>
      <c r="AY278" s="5">
        <f>SUMPRODUCT(N(Tabela17[Código]=Tabela3[[#This Row],[PAPEL]]),Tabela17[Fechamento])</f>
        <v>0</v>
      </c>
      <c r="AZ278" s="7">
        <f>SUMPRODUCT(N(Tabela176[Código]=Tabela3[[#This Row],[PAPEL]]),Tabela176[Fechamento])</f>
        <v>0</v>
      </c>
      <c r="BA278" s="7">
        <f>SUMPRODUCT(N(Tabela1768[Código]=Tabela3[[#This Row],[PAPEL]]),Tabela1768[Fechamento])</f>
        <v>0</v>
      </c>
      <c r="BB278" s="7">
        <f>SUMPRODUCT(N(Tabela17683[Código]=Tabela3[[#This Row],[PAPEL]]),Tabela17683[Fechamento])</f>
        <v>0</v>
      </c>
    </row>
    <row r="279" spans="1:54" hidden="1" x14ac:dyDescent="0.2">
      <c r="A279" s="4" t="s">
        <v>259</v>
      </c>
      <c r="B279" s="60" t="s">
        <v>254</v>
      </c>
      <c r="C279" s="16" t="str">
        <f>LEFT(Tabela3[PAPEL],LEN(Tabela3[PAPEL])-(LEN(Tabela3[PAPEL])-4))</f>
        <v>JOPA</v>
      </c>
      <c r="D279" s="16">
        <v>3</v>
      </c>
      <c r="E279" s="5">
        <v>120000000</v>
      </c>
      <c r="F279" s="56">
        <v>10450993</v>
      </c>
      <c r="G279" s="81">
        <v>0.3</v>
      </c>
      <c r="H279" s="87"/>
      <c r="J279" s="18"/>
      <c r="K279" s="16"/>
      <c r="L279" s="87"/>
      <c r="M279" s="54"/>
      <c r="N279" s="54"/>
      <c r="O279" s="54"/>
      <c r="P279" s="91">
        <v>359366000</v>
      </c>
      <c r="Q279" s="73">
        <v>13211000</v>
      </c>
      <c r="R279" s="73">
        <f>IF(Tabela3[[#This Row],[Ativo || Passivo]]&gt;0,Tabela3[[#This Row],[Ativo || Passivo]]-Tabela3[[#This Row],[Patrimônio Líquido]],0)</f>
        <v>0</v>
      </c>
      <c r="S279" s="73">
        <f>Tabela3[[#This Row],[Cotação]]*Tabela3[[#This Row],[Total Ações]]</f>
        <v>180005960.61000001</v>
      </c>
      <c r="T279" s="37">
        <f>IF(Tabela3[[#This Row],[Passivo Circulante]]&gt;0,Tabela3[[#This Row],[Ativo Circulante]]/Tabela3[[#This Row],[Passivo Circulante]],0)</f>
        <v>0</v>
      </c>
      <c r="U279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79" s="18">
        <f>IF(Tabela3[[#This Row],[Lucro Líquido]]&gt;0,Tabela3[[#This Row],[Lucro Líquido]]/Tabela3[[#This Row],[Patrimônio Líquido]],0)</f>
        <v>3.6761964125710277E-2</v>
      </c>
      <c r="W279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79" s="18">
        <f>IF(Tabela3[[#This Row],[Dívida]]&gt;0,Tabela3[[#This Row],[Dívida]]/Tabela3[[#This Row],[Patrimônio Líquido]],0)</f>
        <v>0</v>
      </c>
      <c r="Y279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79" s="7">
        <f>Tabela3[[#This Row],[Capital Social]]*20%</f>
        <v>24000000</v>
      </c>
      <c r="AA279" s="47">
        <f>IF((Tabela3[Lucro Líquido]*5%)&gt;Tabela3[Teto R. Legal],Tabela3[Teto R. Legal],Tabela3[Lucro Líquido]*5%)</f>
        <v>660550</v>
      </c>
      <c r="AB279" s="47">
        <f>IF(Tabela3[Lucro Líquido]&lt;0,0,Tabela3[Lucro Líquido]-Tabela3[Reserva Legal])</f>
        <v>12550450</v>
      </c>
      <c r="AC279" s="47">
        <f>Tabela3[[#This Row],[Lucro Distribuir]]*Tabela3[%Div]</f>
        <v>3765135</v>
      </c>
      <c r="AD279" s="56">
        <f>SUMPRODUCT(N(Tabela3[Nome]=Tabela3[[#This Row],[Nome]]),Tabela3[Ações])</f>
        <v>10582361</v>
      </c>
      <c r="AE279" s="85">
        <f>Tabela3[Capital Social]/Tabela3[Total Ações]</f>
        <v>11.339624494004694</v>
      </c>
      <c r="AF279" s="85">
        <f>Tabela3[[#This Row],[Lucro Líquido]]/Tabela3[[#This Row],[Total Ações]]</f>
        <v>1.2483981599191334</v>
      </c>
      <c r="AG279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0.35579347557695301</v>
      </c>
      <c r="AH279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79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79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0.35579347557695301</v>
      </c>
      <c r="AK279" s="7">
        <f>Tabela3[Div Base]*Tabela3[Ações]</f>
        <v>3718395.1227004067</v>
      </c>
      <c r="AL279" s="7">
        <f>SUMPRODUCT(N(Tabela3[Nome]=Tabela3[[#This Row],[Nome]]),Tabela3[Div Base]*Tabela3[Ações])</f>
        <v>3765135</v>
      </c>
      <c r="AM279" s="5">
        <f>Tabela3[Patrimônio Líquido]/Tabela3[Total Ações]</f>
        <v>33.958962465937425</v>
      </c>
      <c r="AN279" s="52">
        <f>MAX(Tabela3[[#This Row],[Cotação 1]:[Cotação 5]])</f>
        <v>17.010000000000002</v>
      </c>
      <c r="AO279" s="53">
        <f>Tabela3[Cotação]/Tabela3[VPA]</f>
        <v>0.50089869550820054</v>
      </c>
      <c r="AP279" s="37">
        <f>IF(Tabela3[[#This Row],[Lucro/Ação]]&gt;0,Tabela3[[#This Row],[Cotação]]/(Tabela3[[#This Row],[Lucro/Ação]]/Tabela3[Ref]*4),0)</f>
        <v>10.219095485390962</v>
      </c>
      <c r="AQ279" s="85">
        <f>Tabela3[Lucro Distribuir]/Tabela3[Total Ações]</f>
        <v>1.1859782519231767</v>
      </c>
      <c r="AR279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0.35579347557695301</v>
      </c>
      <c r="AS279" s="10" t="str">
        <f>IF(AND(Tabela3[% A.A.]&gt;=6%,SUMPRODUCT(N(Tabela3[Nome]=Tabela3[[#This Row],[Nome]]),Tabela3[PL])&gt;0,Tabela3[Rentabilidade s/ PL]&gt;=Tabela3[Rentabilidade s/ PL Média]),"Sim","Não")</f>
        <v>Não</v>
      </c>
      <c r="AT279" s="22">
        <f>IF(Tabela3[Cotação]&gt;0,Tabela3[[#This Row],[Lucro]]/Tabela3[[#This Row],[Cotação]],0)</f>
        <v>2.091672401980911E-2</v>
      </c>
      <c r="AU279" s="22">
        <f>((1+Tabela3[[#This Row],[% Yield]])^(1/(3*Tabela3[[#This Row],[Ref]])))^(12)-1</f>
        <v>2.7985741639352968E-2</v>
      </c>
      <c r="AV279" s="10">
        <f>IF(Tabela3[Cotação]&gt;0,($BD$1/Tabela3[[#This Row],[Cotação]]-MOD($BD$1/Tabela3[[#This Row],[Cotação]],100)),)</f>
        <v>0</v>
      </c>
      <c r="AW279" s="7">
        <f>Tabela3[[#This Row],[Ativos]]*Tabela3[Lucro]</f>
        <v>0</v>
      </c>
      <c r="AX279" s="7">
        <f>SUMPRODUCT(N(Tabela1[Código]=Tabela3[[#This Row],[PAPEL]]),Tabela1[Fechamento])</f>
        <v>0</v>
      </c>
      <c r="AY279" s="7">
        <f>SUMPRODUCT(N(Tabela17[Código]=Tabela3[[#This Row],[PAPEL]]),Tabela17[Fechamento])</f>
        <v>17.010000000000002</v>
      </c>
      <c r="AZ279" s="7">
        <f>SUMPRODUCT(N(Tabela176[Código]=Tabela3[[#This Row],[PAPEL]]),Tabela176[Fechamento])</f>
        <v>0</v>
      </c>
      <c r="BA279" s="7">
        <f>SUMPRODUCT(N(Tabela1768[Código]=Tabela3[[#This Row],[PAPEL]]),Tabela1768[Fechamento])</f>
        <v>17.010000000000002</v>
      </c>
      <c r="BB279" s="7">
        <f>SUMPRODUCT(N(Tabela17683[Código]=Tabela3[[#This Row],[PAPEL]]),Tabela17683[Fechamento])</f>
        <v>0</v>
      </c>
    </row>
    <row r="280" spans="1:54" hidden="1" x14ac:dyDescent="0.2">
      <c r="A280" s="4" t="s">
        <v>259</v>
      </c>
      <c r="B280" s="60" t="s">
        <v>255</v>
      </c>
      <c r="C280" s="16" t="str">
        <f>LEFT(Tabela3[PAPEL],LEN(Tabela3[PAPEL])-(LEN(Tabela3[PAPEL])-4))</f>
        <v>JOPA</v>
      </c>
      <c r="D280" s="16">
        <v>3</v>
      </c>
      <c r="E280" s="5">
        <v>120000000</v>
      </c>
      <c r="F280" s="56">
        <v>131368</v>
      </c>
      <c r="G280" s="81">
        <v>0.3</v>
      </c>
      <c r="H280" s="87"/>
      <c r="J280" s="18"/>
      <c r="K280" s="16"/>
      <c r="L280" s="87"/>
      <c r="M280" s="54"/>
      <c r="N280" s="54"/>
      <c r="O280" s="54"/>
      <c r="P280" s="91">
        <v>359366000</v>
      </c>
      <c r="Q280" s="73">
        <v>13211000</v>
      </c>
      <c r="R280" s="73">
        <f>IF(Tabela3[[#This Row],[Ativo || Passivo]]&gt;0,Tabela3[[#This Row],[Ativo || Passivo]]-Tabela3[[#This Row],[Patrimônio Líquido]],0)</f>
        <v>0</v>
      </c>
      <c r="S280" s="73">
        <f>Tabela3[[#This Row],[Cotação]]*Tabela3[[#This Row],[Total Ações]]</f>
        <v>211647220</v>
      </c>
      <c r="T280" s="37">
        <f>IF(Tabela3[[#This Row],[Passivo Circulante]]&gt;0,Tabela3[[#This Row],[Ativo Circulante]]/Tabela3[[#This Row],[Passivo Circulante]],0)</f>
        <v>0</v>
      </c>
      <c r="U280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80" s="18">
        <f>IF(Tabela3[[#This Row],[Lucro Líquido]]&gt;0,Tabela3[[#This Row],[Lucro Líquido]]/Tabela3[[#This Row],[Patrimônio Líquido]],0)</f>
        <v>3.6761964125710277E-2</v>
      </c>
      <c r="W280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80" s="18">
        <f>IF(Tabela3[[#This Row],[Dívida]]&gt;0,Tabela3[[#This Row],[Dívida]]/Tabela3[[#This Row],[Patrimônio Líquido]],0)</f>
        <v>0</v>
      </c>
      <c r="Y280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80" s="7">
        <f>Tabela3[[#This Row],[Capital Social]]*20%</f>
        <v>24000000</v>
      </c>
      <c r="AA280" s="47">
        <f>IF((Tabela3[Lucro Líquido]*5%)&gt;Tabela3[Teto R. Legal],Tabela3[Teto R. Legal],Tabela3[Lucro Líquido]*5%)</f>
        <v>660550</v>
      </c>
      <c r="AB280" s="47">
        <f>IF(Tabela3[Lucro Líquido]&lt;0,0,Tabela3[Lucro Líquido]-Tabela3[Reserva Legal])</f>
        <v>12550450</v>
      </c>
      <c r="AC280" s="47">
        <f>Tabela3[[#This Row],[Lucro Distribuir]]*Tabela3[%Div]</f>
        <v>3765135</v>
      </c>
      <c r="AD280" s="56">
        <f>SUMPRODUCT(N(Tabela3[Nome]=Tabela3[[#This Row],[Nome]]),Tabela3[Ações])</f>
        <v>10582361</v>
      </c>
      <c r="AE280" s="85">
        <f>Tabela3[Capital Social]/Tabela3[Total Ações]</f>
        <v>11.339624494004694</v>
      </c>
      <c r="AF280" s="85">
        <f>Tabela3[[#This Row],[Lucro Líquido]]/Tabela3[[#This Row],[Total Ações]]</f>
        <v>1.2483981599191334</v>
      </c>
      <c r="AG280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0.35579347557695301</v>
      </c>
      <c r="AH280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80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80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0.35579347557695301</v>
      </c>
      <c r="AK280" s="7">
        <f>Tabela3[Div Base]*Tabela3[Ações]</f>
        <v>46739.877299593165</v>
      </c>
      <c r="AL280" s="7">
        <f>SUMPRODUCT(N(Tabela3[Nome]=Tabela3[[#This Row],[Nome]]),Tabela3[Div Base]*Tabela3[Ações])</f>
        <v>3765135</v>
      </c>
      <c r="AM280" s="5">
        <f>Tabela3[Patrimônio Líquido]/Tabela3[Total Ações]</f>
        <v>33.958962465937425</v>
      </c>
      <c r="AN280" s="52">
        <f>MAX(Tabela3[[#This Row],[Cotação 1]:[Cotação 5]])</f>
        <v>20</v>
      </c>
      <c r="AO280" s="53">
        <f>Tabela3[Cotação]/Tabela3[VPA]</f>
        <v>0.58894614404256374</v>
      </c>
      <c r="AP280" s="37">
        <f>IF(Tabela3[[#This Row],[Lucro/Ação]]&gt;0,Tabela3[[#This Row],[Cotação]]/(Tabela3[[#This Row],[Lucro/Ação]]/Tabela3[Ref]*4),0)</f>
        <v>12.015397396109302</v>
      </c>
      <c r="AQ280" s="85">
        <f>Tabela3[Lucro Distribuir]/Tabela3[Total Ações]</f>
        <v>1.1859782519231767</v>
      </c>
      <c r="AR280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0.35579347557695301</v>
      </c>
      <c r="AS280" s="10" t="str">
        <f>IF(AND(Tabela3[% A.A.]&gt;=6%,SUMPRODUCT(N(Tabela3[Nome]=Tabela3[[#This Row],[Nome]]),Tabela3[PL])&gt;0,Tabela3[Rentabilidade s/ PL]&gt;=Tabela3[Rentabilidade s/ PL Média]),"Sim","Não")</f>
        <v>Não</v>
      </c>
      <c r="AT280" s="22">
        <f>IF(Tabela3[Cotação]&gt;0,Tabela3[[#This Row],[Lucro]]/Tabela3[[#This Row],[Cotação]],0)</f>
        <v>1.7789673778847652E-2</v>
      </c>
      <c r="AU280" s="22">
        <f>((1+Tabela3[[#This Row],[% Yield]])^(1/(3*Tabela3[[#This Row],[Ref]])))^(12)-1</f>
        <v>2.3789616278773851E-2</v>
      </c>
      <c r="AV280" s="10">
        <f>IF(Tabela3[Cotação]&gt;0,($BD$1/Tabela3[[#This Row],[Cotação]]-MOD($BD$1/Tabela3[[#This Row],[Cotação]],100)),)</f>
        <v>0</v>
      </c>
      <c r="AW280" s="7">
        <f>Tabela3[[#This Row],[Ativos]]*Tabela3[Lucro]</f>
        <v>0</v>
      </c>
      <c r="AX280" s="7">
        <f>SUMPRODUCT(N(Tabela1[Código]=Tabela3[[#This Row],[PAPEL]]),Tabela1[Fechamento])</f>
        <v>0</v>
      </c>
      <c r="AY280" s="7">
        <f>SUMPRODUCT(N(Tabela17[Código]=Tabela3[[#This Row],[PAPEL]]),Tabela17[Fechamento])</f>
        <v>20</v>
      </c>
      <c r="AZ280" s="7">
        <f>SUMPRODUCT(N(Tabela176[Código]=Tabela3[[#This Row],[PAPEL]]),Tabela176[Fechamento])</f>
        <v>0</v>
      </c>
      <c r="BA280" s="7">
        <f>SUMPRODUCT(N(Tabela1768[Código]=Tabela3[[#This Row],[PAPEL]]),Tabela1768[Fechamento])</f>
        <v>20</v>
      </c>
      <c r="BB280" s="7">
        <f>SUMPRODUCT(N(Tabela17683[Código]=Tabela3[[#This Row],[PAPEL]]),Tabela17683[Fechamento])</f>
        <v>0</v>
      </c>
    </row>
    <row r="281" spans="1:54" hidden="1" x14ac:dyDescent="0.2">
      <c r="A281" s="3" t="s">
        <v>1330</v>
      </c>
      <c r="B281" s="58" t="s">
        <v>1346</v>
      </c>
      <c r="C281" s="16" t="str">
        <f>LEFT(Tabela3[PAPEL],LEN(Tabela3[PAPEL])-(LEN(Tabela3[PAPEL])-4))</f>
        <v>JHSF</v>
      </c>
      <c r="D281" s="16">
        <v>3</v>
      </c>
      <c r="E281" s="5">
        <v>719259210.82000005</v>
      </c>
      <c r="F281" s="56">
        <v>432043157</v>
      </c>
      <c r="G281" s="81">
        <v>0.25</v>
      </c>
      <c r="H281" s="87"/>
      <c r="J281" s="18"/>
      <c r="K281" s="16"/>
      <c r="L281" s="87"/>
      <c r="M281" s="54"/>
      <c r="N281" s="54"/>
      <c r="O281" s="54"/>
      <c r="P281" s="91">
        <v>1316434000</v>
      </c>
      <c r="Q281" s="73">
        <v>47981000</v>
      </c>
      <c r="R281" s="73">
        <f>IF(Tabela3[[#This Row],[Ativo || Passivo]]&gt;0,Tabela3[[#This Row],[Ativo || Passivo]]-Tabela3[[#This Row],[Patrimônio Líquido]],0)</f>
        <v>0</v>
      </c>
      <c r="S281" s="73">
        <f>Tabela3[[#This Row],[Cotação]]*Tabela3[[#This Row],[Total Ações]]</f>
        <v>1792979101.5500002</v>
      </c>
      <c r="T281" s="37">
        <f>IF(Tabela3[[#This Row],[Passivo Circulante]]&gt;0,Tabela3[[#This Row],[Ativo Circulante]]/Tabela3[[#This Row],[Passivo Circulante]],0)</f>
        <v>0</v>
      </c>
      <c r="U281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81" s="18">
        <f>IF(Tabela3[[#This Row],[Lucro Líquido]]&gt;0,Tabela3[[#This Row],[Lucro Líquido]]/Tabela3[[#This Row],[Patrimônio Líquido]],0)</f>
        <v>3.6447706455469853E-2</v>
      </c>
      <c r="W281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81" s="18">
        <f>IF(Tabela3[[#This Row],[Dívida]]&gt;0,Tabela3[[#This Row],[Dívida]]/Tabela3[[#This Row],[Patrimônio Líquido]],0)</f>
        <v>0</v>
      </c>
      <c r="Y281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81" s="7">
        <f>Tabela3[[#This Row],[Capital Social]]*20%</f>
        <v>143851842.164</v>
      </c>
      <c r="AA281" s="47">
        <f>IF((Tabela3[Lucro Líquido]*5%)&gt;Tabela3[Teto R. Legal],Tabela3[Teto R. Legal],Tabela3[Lucro Líquido]*5%)</f>
        <v>2399050</v>
      </c>
      <c r="AB281" s="47">
        <f>IF(Tabela3[Lucro Líquido]&lt;0,0,Tabela3[Lucro Líquido]-Tabela3[Reserva Legal])</f>
        <v>45581950</v>
      </c>
      <c r="AC281" s="47">
        <f>Tabela3[[#This Row],[Lucro Distribuir]]*Tabela3[%Div]</f>
        <v>11395487.5</v>
      </c>
      <c r="AD281" s="56">
        <f>SUMPRODUCT(N(Tabela3[Nome]=Tabela3[[#This Row],[Nome]]),Tabela3[Ações])</f>
        <v>432043157</v>
      </c>
      <c r="AE281" s="85">
        <f>Tabela3[Capital Social]/Tabela3[Total Ações]</f>
        <v>1.6647855640495657</v>
      </c>
      <c r="AF281" s="85">
        <f>Tabela3[[#This Row],[Lucro Líquido]]/Tabela3[[#This Row],[Total Ações]]</f>
        <v>0.11105603508031027</v>
      </c>
      <c r="AG281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2.6375808331573689E-2</v>
      </c>
      <c r="AH281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81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81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2.6375808331573689E-2</v>
      </c>
      <c r="AK281" s="7">
        <f>Tabela3[Div Base]*Tabela3[Ações]</f>
        <v>11395487.5</v>
      </c>
      <c r="AL281" s="121">
        <f>SUMPRODUCT(N(Tabela3[Nome]=Tabela3[[#This Row],[Nome]]),Tabela3[Div Base]*Tabela3[Ações])</f>
        <v>11395487.5</v>
      </c>
      <c r="AM281" s="5">
        <f>Tabela3[Patrimônio Líquido]/Tabela3[Total Ações]</f>
        <v>3.0469965295619761</v>
      </c>
      <c r="AN281" s="52">
        <f>MAX(Tabela3[[#This Row],[Cotação 1]:[Cotação 5]])</f>
        <v>4.1500000000000004</v>
      </c>
      <c r="AO281" s="53">
        <f>Tabela3[Cotação]/Tabela3[VPA]</f>
        <v>1.3619969565887846</v>
      </c>
      <c r="AP281" s="37">
        <f>IF(Tabela3[[#This Row],[Lucro/Ação]]&gt;0,Tabela3[[#This Row],[Cotação]]/(Tabela3[[#This Row],[Lucro/Ação]]/Tabela3[Ref]*4),0)</f>
        <v>28.026392241981203</v>
      </c>
      <c r="AQ281" s="85">
        <f>Tabela3[Lucro Distribuir]/Tabela3[Total Ações]</f>
        <v>0.10550323332629476</v>
      </c>
      <c r="AR281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2.6375808331573689E-2</v>
      </c>
      <c r="AS281" s="10" t="str">
        <f>IF(AND(Tabela3[% A.A.]&gt;=6%,SUMPRODUCT(N(Tabela3[Nome]=Tabela3[[#This Row],[Nome]]),Tabela3[PL])&gt;0,Tabela3[Rentabilidade s/ PL]&gt;=Tabela3[Rentabilidade s/ PL Média]),"Sim","Não")</f>
        <v>Não</v>
      </c>
      <c r="AT281" s="22">
        <f>IF(Tabela3[Cotação]&gt;0,Tabela3[[#This Row],[Lucro]]/Tabela3[[#This Row],[Cotação]],0)</f>
        <v>6.3556164654394428E-3</v>
      </c>
      <c r="AU281" s="22">
        <f>((1+Tabela3[[#This Row],[% Yield]])^(1/(3*Tabela3[[#This Row],[Ref]])))^(12)-1</f>
        <v>8.4831190562704162E-3</v>
      </c>
      <c r="AV281" s="10">
        <f>IF(Tabela3[Cotação]&gt;0,($BD$1/Tabela3[[#This Row],[Cotação]]-MOD($BD$1/Tabela3[[#This Row],[Cotação]],100)),)</f>
        <v>0</v>
      </c>
      <c r="AW281" s="7">
        <f>Tabela3[[#This Row],[Ativos]]*Tabela3[Lucro]</f>
        <v>0</v>
      </c>
      <c r="AX281" s="7">
        <f>SUMPRODUCT(N(Tabela1[Código]=Tabela3[[#This Row],[PAPEL]]),Tabela1[Fechamento])</f>
        <v>0</v>
      </c>
      <c r="AY281" s="7">
        <f>SUMPRODUCT(N(Tabela17[Código]=Tabela3[[#This Row],[PAPEL]]),Tabela17[Fechamento])</f>
        <v>0</v>
      </c>
      <c r="AZ281" s="7">
        <f>SUMPRODUCT(N(Tabela176[Código]=Tabela3[[#This Row],[PAPEL]]),Tabela176[Fechamento])</f>
        <v>0</v>
      </c>
      <c r="BA281" s="7">
        <f>SUMPRODUCT(N(Tabela1768[Código]=Tabela3[[#This Row],[PAPEL]]),Tabela1768[Fechamento])</f>
        <v>4.1500000000000004</v>
      </c>
      <c r="BB281" s="7">
        <f>SUMPRODUCT(N(Tabela17683[Código]=Tabela3[[#This Row],[PAPEL]]),Tabela17683[Fechamento])</f>
        <v>0</v>
      </c>
    </row>
    <row r="282" spans="1:54" hidden="1" x14ac:dyDescent="0.2">
      <c r="A282" s="3" t="s">
        <v>279</v>
      </c>
      <c r="B282" s="58" t="s">
        <v>281</v>
      </c>
      <c r="C282" s="83" t="str">
        <f>LEFT(Tabela3[PAPEL],LEN(Tabela3[PAPEL])-(LEN(Tabela3[PAPEL])-4))</f>
        <v>JBSS</v>
      </c>
      <c r="D282" s="16">
        <v>3</v>
      </c>
      <c r="E282" s="5">
        <v>21561112078.68</v>
      </c>
      <c r="F282" s="21">
        <v>2943644008</v>
      </c>
      <c r="G282" s="81">
        <v>0.25</v>
      </c>
      <c r="H282" s="16"/>
      <c r="J282" s="18"/>
      <c r="K282" s="87"/>
      <c r="L282" s="87"/>
      <c r="M282" s="54"/>
      <c r="N282" s="54"/>
      <c r="O282" s="54"/>
      <c r="P282" s="5">
        <v>21913989000</v>
      </c>
      <c r="Q282" s="5">
        <v>786184000</v>
      </c>
      <c r="R282" s="5">
        <f>IF(Tabela3[[#This Row],[Ativo || Passivo]]&gt;0,Tabela3[[#This Row],[Ativo || Passivo]]-Tabela3[[#This Row],[Patrimônio Líquido]],0)</f>
        <v>0</v>
      </c>
      <c r="S282" s="5">
        <f>Tabela3[[#This Row],[Cotação]]*Tabela3[[#This Row],[Total Ações]]</f>
        <v>21547474138.560001</v>
      </c>
      <c r="T282" s="132">
        <f>IF(Tabela3[[#This Row],[Passivo Circulante]]&gt;0,Tabela3[[#This Row],[Ativo Circulante]]/Tabela3[[#This Row],[Passivo Circulante]],0)</f>
        <v>0</v>
      </c>
      <c r="U282" s="132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82" s="18">
        <f>IF(Tabela3[[#This Row],[Lucro Líquido]]&gt;0,Tabela3[[#This Row],[Lucro Líquido]]/Tabela3[[#This Row],[Patrimônio Líquido]],0)</f>
        <v>3.587589644222236E-2</v>
      </c>
      <c r="W282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82" s="18">
        <f>IF(Tabela3[[#This Row],[Dívida]]&gt;0,Tabela3[[#This Row],[Dívida]]/Tabela3[[#This Row],[Patrimônio Líquido]],0)</f>
        <v>0</v>
      </c>
      <c r="Y282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82" s="5">
        <f>Tabela3[[#This Row],[Capital Social]]*20%</f>
        <v>4312222415.7360001</v>
      </c>
      <c r="AA282" s="5">
        <f>IF((Tabela3[Lucro Líquido]*5%)&gt;Tabela3[Teto R. Legal],Tabela3[Teto R. Legal],Tabela3[Lucro Líquido]*5%)</f>
        <v>39309200</v>
      </c>
      <c r="AB282" s="5">
        <f>IF(Tabela3[Lucro Líquido]&lt;0,0,Tabela3[Lucro Líquido]-Tabela3[Reserva Legal])</f>
        <v>746874800</v>
      </c>
      <c r="AC282" s="5">
        <f>Tabela3[[#This Row],[Lucro Distribuir]]*Tabela3[%Div]</f>
        <v>186718700</v>
      </c>
      <c r="AD282" s="56">
        <f>SUMPRODUCT(N(Tabela3[Nome]=Tabela3[[#This Row],[Nome]]),Tabela3[Ações])</f>
        <v>2943644008</v>
      </c>
      <c r="AE282" s="5">
        <f>Tabela3[Capital Social]/Tabela3[Total Ações]</f>
        <v>7.3246330127158501</v>
      </c>
      <c r="AF282" s="77">
        <f>Tabela3[[#This Row],[Lucro Líquido]]/Tabela3[[#This Row],[Total Ações]]</f>
        <v>0.26707849110265103</v>
      </c>
      <c r="AG282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6.3431141636879615E-2</v>
      </c>
      <c r="AH282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82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82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6.3431141636879615E-2</v>
      </c>
      <c r="AK282" s="5">
        <f>Tabela3[Div Base]*Tabela3[Ações]</f>
        <v>186718700</v>
      </c>
      <c r="AL282" s="5">
        <f>SUMPRODUCT(N(Tabela3[Nome]=Tabela3[[#This Row],[Nome]]),Tabela3[Div Base]*Tabela3[Ações])</f>
        <v>186718700</v>
      </c>
      <c r="AM282" s="5">
        <f>Tabela3[Patrimônio Líquido]/Tabela3[Total Ações]</f>
        <v>7.4445105931437077</v>
      </c>
      <c r="AN282" s="52">
        <f>MAX(Tabela3[[#This Row],[Cotação 1]:[Cotação 5]])</f>
        <v>7.32</v>
      </c>
      <c r="AO282" s="53">
        <f>Tabela3[Cotação]/Tabela3[VPA]</f>
        <v>0.98327484505719154</v>
      </c>
      <c r="AP282" s="37">
        <f>IF(Tabela3[[#This Row],[Lucro/Ação]]&gt;0,Tabela3[[#This Row],[Cotação]]/(Tabela3[[#This Row],[Lucro/Ação]]/Tabela3[Ref]*4),0)</f>
        <v>20.555754891882817</v>
      </c>
      <c r="AQ282" s="77">
        <f>Tabela3[Lucro Distribuir]/Tabela3[Total Ações]</f>
        <v>0.25372456654751846</v>
      </c>
      <c r="AR282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6.3431141636879615E-2</v>
      </c>
      <c r="AS282" s="16" t="str">
        <f>IF(AND(Tabela3[% A.A.]&gt;=6%,SUMPRODUCT(N(Tabela3[Nome]=Tabela3[[#This Row],[Nome]]),Tabela3[PL])&gt;0,Tabela3[Rentabilidade s/ PL]&gt;=Tabela3[Rentabilidade s/ PL Média]),"Sim","Não")</f>
        <v>Não</v>
      </c>
      <c r="AT282" s="22">
        <f>IF(Tabela3[Cotação]&gt;0,Tabela3[[#This Row],[Lucro]]/Tabela3[[#This Row],[Cotação]],0)</f>
        <v>8.6654565077704387E-3</v>
      </c>
      <c r="AU282" s="18">
        <f>((1+Tabela3[[#This Row],[% Yield]])^(1/(3*Tabela3[[#This Row],[Ref]])))^(12)-1</f>
        <v>1.1570596689990165E-2</v>
      </c>
      <c r="AV282" s="10">
        <f>IF(Tabela3[Cotação]&gt;0,($BD$1/Tabela3[[#This Row],[Cotação]]-MOD($BD$1/Tabela3[[#This Row],[Cotação]],100)),)</f>
        <v>0</v>
      </c>
      <c r="AW282" s="7">
        <f>Tabela3[[#This Row],[Ativos]]*Tabela3[Lucro]</f>
        <v>0</v>
      </c>
      <c r="AX282" s="47">
        <f>SUMPRODUCT(N(Tabela1[Código]=Tabela3[[#This Row],[PAPEL]]),Tabela1[Fechamento])</f>
        <v>0</v>
      </c>
      <c r="AY282" s="54">
        <f>SUMPRODUCT(N(Tabela17[Código]=Tabela3[[#This Row],[PAPEL]]),Tabela17[Fechamento])</f>
        <v>7.32</v>
      </c>
      <c r="AZ282" s="7">
        <f>SUMPRODUCT(N(Tabela176[Código]=Tabela3[[#This Row],[PAPEL]]),Tabela176[Fechamento])</f>
        <v>0</v>
      </c>
      <c r="BA282" s="7">
        <f>SUMPRODUCT(N(Tabela1768[Código]=Tabela3[[#This Row],[PAPEL]]),Tabela1768[Fechamento])</f>
        <v>0</v>
      </c>
      <c r="BB282" s="7">
        <f>SUMPRODUCT(N(Tabela17683[Código]=Tabela3[[#This Row],[PAPEL]]),Tabela17683[Fechamento])</f>
        <v>0</v>
      </c>
    </row>
    <row r="283" spans="1:54" hidden="1" x14ac:dyDescent="0.2">
      <c r="A283" s="4" t="s">
        <v>757</v>
      </c>
      <c r="B283" s="57" t="s">
        <v>761</v>
      </c>
      <c r="C283" s="15" t="str">
        <f>LEFT(Tabela3[PAPEL],LEN(Tabela3[PAPEL])-(LEN(Tabela3[PAPEL])-4))</f>
        <v>FLRY</v>
      </c>
      <c r="D283" s="15">
        <v>3</v>
      </c>
      <c r="E283" s="6">
        <v>1402530425.1800001</v>
      </c>
      <c r="F283" s="8">
        <v>156293356</v>
      </c>
      <c r="G283" s="86">
        <v>0.25</v>
      </c>
      <c r="H283" s="15"/>
      <c r="I283" s="19"/>
      <c r="J283" s="19"/>
      <c r="K283" s="88"/>
      <c r="L283" s="88"/>
      <c r="M283" s="55"/>
      <c r="N283" s="55"/>
      <c r="O283" s="55"/>
      <c r="P283" s="92">
        <v>1727199000</v>
      </c>
      <c r="Q283" s="93">
        <v>61932000</v>
      </c>
      <c r="R283" s="93">
        <f>IF(Tabela3[[#This Row],[Ativo || Passivo]]&gt;0,Tabela3[[#This Row],[Ativo || Passivo]]-Tabela3[[#This Row],[Patrimônio Líquido]],0)</f>
        <v>0</v>
      </c>
      <c r="S283" s="93">
        <f>Tabela3[[#This Row],[Cotação]]*Tabela3[[#This Row],[Total Ações]]</f>
        <v>2891427086</v>
      </c>
      <c r="T283" s="40">
        <f>IF(Tabela3[[#This Row],[Passivo Circulante]]&gt;0,Tabela3[[#This Row],[Ativo Circulante]]/Tabela3[[#This Row],[Passivo Circulante]],0)</f>
        <v>0</v>
      </c>
      <c r="U283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83" s="19">
        <f>IF(Tabela3[[#This Row],[Lucro Líquido]]&gt;0,Tabela3[[#This Row],[Lucro Líquido]]/Tabela3[[#This Row],[Patrimônio Líquido]],0)</f>
        <v>3.5856898944475996E-2</v>
      </c>
      <c r="W283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83" s="19">
        <f>IF(Tabela3[[#This Row],[Dívida]]&gt;0,Tabela3[[#This Row],[Dívida]]/Tabela3[[#This Row],[Patrimônio Líquido]],0)</f>
        <v>0</v>
      </c>
      <c r="Y283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83" s="13">
        <f>Tabela3[[#This Row],[Capital Social]]*20%</f>
        <v>280506085.03600001</v>
      </c>
      <c r="AA283" s="13">
        <f>IF((Tabela3[Lucro Líquido]*5%)&gt;Tabela3[Teto R. Legal],Tabela3[Teto R. Legal],Tabela3[Lucro Líquido]*5%)</f>
        <v>3096600</v>
      </c>
      <c r="AB283" s="13">
        <f>IF(Tabela3[Lucro Líquido]&lt;0,0,Tabela3[Lucro Líquido]-Tabela3[Reserva Legal])</f>
        <v>58835400</v>
      </c>
      <c r="AC283" s="13">
        <f>Tabela3[[#This Row],[Lucro Distribuir]]*Tabela3[%Div]</f>
        <v>14708850</v>
      </c>
      <c r="AD283" s="56">
        <f>SUMPRODUCT(N(Tabela3[Nome]=Tabela3[[#This Row],[Nome]]),Tabela3[Ações])</f>
        <v>156293356</v>
      </c>
      <c r="AE283" s="6">
        <f>Tabela3[Capital Social]/Tabela3[Total Ações]</f>
        <v>8.9737047119264624</v>
      </c>
      <c r="AF283" s="78">
        <f>Tabela3[[#This Row],[Lucro Líquido]]/Tabela3[[#This Row],[Total Ações]]</f>
        <v>0.39625484783882942</v>
      </c>
      <c r="AG283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9.4110526361721986E-2</v>
      </c>
      <c r="AH283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83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83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9.4110526361721986E-2</v>
      </c>
      <c r="AK283" s="13">
        <f>Tabela3[Div Base]*Tabela3[Ações]</f>
        <v>14708850</v>
      </c>
      <c r="AL283" s="13">
        <f>SUMPRODUCT(N(Tabela3[Nome]=Tabela3[[#This Row],[Nome]]),Tabela3[Div Base]*Tabela3[Ações])</f>
        <v>14708850</v>
      </c>
      <c r="AM283" s="6">
        <f>Tabela3[Patrimônio Líquido]/Tabela3[Total Ações]</f>
        <v>11.051007184208137</v>
      </c>
      <c r="AN283" s="48">
        <f>MAX(Tabela3[[#This Row],[Cotação 1]:[Cotação 5]])</f>
        <v>18.5</v>
      </c>
      <c r="AO283" s="44">
        <f>Tabela3[Cotação]/Tabela3[VPA]</f>
        <v>1.67405555816093</v>
      </c>
      <c r="AP283" s="40">
        <f>IF(Tabela3[[#This Row],[Lucro/Ação]]&gt;0,Tabela3[[#This Row],[Cotação]]/(Tabela3[[#This Row],[Lucro/Ação]]/Tabela3[Ref]*4),0)</f>
        <v>35.015344482658399</v>
      </c>
      <c r="AQ283" s="78">
        <f>Tabela3[Lucro Distribuir]/Tabela3[Total Ações]</f>
        <v>0.37644210544688794</v>
      </c>
      <c r="AR283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9.4110526361721986E-2</v>
      </c>
      <c r="AS283" s="14" t="str">
        <f>IF(AND(Tabela3[% A.A.]&gt;=6%,SUMPRODUCT(N(Tabela3[Nome]=Tabela3[[#This Row],[Nome]]),Tabela3[PL])&gt;0,Tabela3[Rentabilidade s/ PL]&gt;=Tabela3[Rentabilidade s/ PL Média]),"Sim","Não")</f>
        <v>Não</v>
      </c>
      <c r="AT283" s="42">
        <f>IF(Tabela3[Cotação]&gt;0,Tabela3[[#This Row],[Lucro]]/Tabela3[[#This Row],[Cotação]],0)</f>
        <v>5.0870554790119994E-3</v>
      </c>
      <c r="AU283" s="42">
        <f>((1+Tabela3[[#This Row],[% Yield]])^(1/(3*Tabela3[[#This Row],[Ref]])))^(12)-1</f>
        <v>6.7884848478312332E-3</v>
      </c>
      <c r="AV283" s="14">
        <f>IF(Tabela3[Cotação]&gt;0,($BD$1/Tabela3[[#This Row],[Cotação]]-MOD($BD$1/Tabela3[[#This Row],[Cotação]],100)),)</f>
        <v>0</v>
      </c>
      <c r="AW283" s="17">
        <f>Tabela3[[#This Row],[Ativos]]*Tabela3[Lucro]</f>
        <v>0</v>
      </c>
      <c r="AX283" s="17">
        <f>SUMPRODUCT(N(Tabela1[Código]=Tabela3[[#This Row],[PAPEL]]),Tabela1[Fechamento])</f>
        <v>0</v>
      </c>
      <c r="AY283" s="17">
        <f>SUMPRODUCT(N(Tabela17[Código]=Tabela3[[#This Row],[PAPEL]]),Tabela17[Fechamento])</f>
        <v>0</v>
      </c>
      <c r="AZ283" s="17">
        <f>SUMPRODUCT(N(Tabela176[Código]=Tabela3[[#This Row],[PAPEL]]),Tabela176[Fechamento])</f>
        <v>18.5</v>
      </c>
      <c r="BA283" s="17">
        <f>SUMPRODUCT(N(Tabela1768[Código]=Tabela3[[#This Row],[PAPEL]]),Tabela1768[Fechamento])</f>
        <v>0</v>
      </c>
      <c r="BB283" s="7">
        <f>SUMPRODUCT(N(Tabela17683[Código]=Tabela3[[#This Row],[PAPEL]]),Tabela17683[Fechamento])</f>
        <v>0</v>
      </c>
    </row>
    <row r="284" spans="1:54" hidden="1" x14ac:dyDescent="0.2">
      <c r="A284" s="4" t="s">
        <v>293</v>
      </c>
      <c r="B284" s="57" t="s">
        <v>538</v>
      </c>
      <c r="C284" s="82" t="str">
        <f>LEFT(Tabela3[PAPEL],LEN(Tabela3[PAPEL])-(LEN(Tabela3[PAPEL])-4))</f>
        <v>EBTP</v>
      </c>
      <c r="D284" s="15">
        <v>3</v>
      </c>
      <c r="E284" s="6">
        <v>7373355808.1999998</v>
      </c>
      <c r="F284" s="8">
        <v>638224661</v>
      </c>
      <c r="G284" s="86">
        <v>0.25</v>
      </c>
      <c r="H284" s="19"/>
      <c r="I284" s="19"/>
      <c r="J284" s="19"/>
      <c r="K284" s="88"/>
      <c r="L284" s="88"/>
      <c r="M284" s="55">
        <v>11675353000</v>
      </c>
      <c r="N284" s="55">
        <v>7657000</v>
      </c>
      <c r="O284" s="55">
        <v>13788000</v>
      </c>
      <c r="P284" s="6">
        <v>11657711000</v>
      </c>
      <c r="Q284" s="6">
        <v>411188000</v>
      </c>
      <c r="R284" s="6">
        <f>IF(Tabela3[[#This Row],[Ativo || Passivo]]&gt;0,Tabela3[[#This Row],[Ativo || Passivo]]-Tabela3[[#This Row],[Patrimônio Líquido]],0)</f>
        <v>17642000</v>
      </c>
      <c r="S284" s="6">
        <f>Tabela3[[#This Row],[Cotação]]*Tabela3[[#This Row],[Total Ações]]</f>
        <v>8988961835.5</v>
      </c>
      <c r="T284" s="134">
        <f>IF(Tabela3[[#This Row],[Passivo Circulante]]&gt;0,Tabela3[[#This Row],[Ativo Circulante]]/Tabela3[[#This Row],[Passivo Circulante]],0)</f>
        <v>0.55533797505076876</v>
      </c>
      <c r="U284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84" s="19">
        <f>IF(Tabela3[[#This Row],[Lucro Líquido]]&gt;0,Tabela3[[#This Row],[Lucro Líquido]]/Tabela3[[#This Row],[Patrimônio Líquido]],0)</f>
        <v>3.5271761326044197E-2</v>
      </c>
      <c r="W284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84" s="19">
        <f>IF(Tabela3[[#This Row],[Dívida]]&gt;0,Tabela3[[#This Row],[Dívida]]/Tabela3[[#This Row],[Patrimônio Líquido]],0)</f>
        <v>1.5133331063019147E-3</v>
      </c>
      <c r="Y284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84" s="6">
        <f>Tabela3[[#This Row],[Capital Social]]*20%</f>
        <v>1474671161.6400001</v>
      </c>
      <c r="AA284" s="6">
        <f>IF((Tabela3[Lucro Líquido]*5%)&gt;Tabela3[Teto R. Legal],Tabela3[Teto R. Legal],Tabela3[Lucro Líquido]*5%)</f>
        <v>20559400</v>
      </c>
      <c r="AB284" s="6">
        <f>IF(Tabela3[Lucro Líquido]&lt;0,0,Tabela3[Lucro Líquido]-Tabela3[Reserva Legal])</f>
        <v>390628600</v>
      </c>
      <c r="AC284" s="6">
        <f>Tabela3[[#This Row],[Lucro Distribuir]]*Tabela3[%Div]</f>
        <v>97657150</v>
      </c>
      <c r="AD284" s="56">
        <f>SUMPRODUCT(N(Tabela3[Nome]=Tabela3[[#This Row],[Nome]]),Tabela3[Ações])</f>
        <v>1231364635</v>
      </c>
      <c r="AE284" s="6">
        <f>Tabela3[Capital Social]/Tabela3[Total Ações]</f>
        <v>5.9879548255825945</v>
      </c>
      <c r="AF284" s="78">
        <f>Tabela3[[#This Row],[Lucro Líquido]]/Tabela3[[#This Row],[Total Ações]]</f>
        <v>0.33392870666616148</v>
      </c>
      <c r="AG284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7.6840492266063348E-2</v>
      </c>
      <c r="AH284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84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84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284" s="6">
        <f>Tabela3[Div Base]*Tabela3[Ações]</f>
        <v>0</v>
      </c>
      <c r="AL284" s="6">
        <f>SUMPRODUCT(N(Tabela3[Nome]=Tabela3[[#This Row],[Nome]]),Tabela3[Div Base]*Tabela3[Ações])</f>
        <v>213101722.17355406</v>
      </c>
      <c r="AM284" s="6">
        <f>Tabela3[Patrimônio Líquido]/Tabela3[Total Ações]</f>
        <v>9.4673102252932573</v>
      </c>
      <c r="AN284" s="48">
        <f>MAX(Tabela3[[#This Row],[Cotação 1]:[Cotação 5]])</f>
        <v>7.3</v>
      </c>
      <c r="AO284" s="44">
        <f>Tabela3[Cotação]/Tabela3[VPA]</f>
        <v>0.77107434173827094</v>
      </c>
      <c r="AP284" s="40">
        <f>IF(Tabela3[[#This Row],[Lucro/Ação]]&gt;0,Tabela3[[#This Row],[Cotação]]/(Tabela3[[#This Row],[Lucro/Ação]]/Tabela3[Ref]*4),0)</f>
        <v>16.39571528503993</v>
      </c>
      <c r="AQ284" s="78">
        <f>Tabela3[Lucro Distribuir]/Tabela3[Total Ações]</f>
        <v>0.31723227133285342</v>
      </c>
      <c r="AR284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284" s="15" t="str">
        <f>IF(AND(Tabela3[% A.A.]&gt;=6%,SUMPRODUCT(N(Tabela3[Nome]=Tabela3[[#This Row],[Nome]]),Tabela3[PL])&gt;0,Tabela3[Rentabilidade s/ PL]&gt;=Tabela3[Rentabilidade s/ PL Média]),"Sim","Não")</f>
        <v>Não</v>
      </c>
      <c r="AT284" s="42">
        <f>IF(Tabela3[Cotação]&gt;0,Tabela3[[#This Row],[Lucro]]/Tabela3[[#This Row],[Cotação]],0)</f>
        <v>0</v>
      </c>
      <c r="AU284" s="19">
        <f>((1+Tabela3[[#This Row],[% Yield]])^(1/(3*Tabela3[[#This Row],[Ref]])))^(12)-1</f>
        <v>0</v>
      </c>
      <c r="AV284" s="14">
        <f>IF(Tabela3[Cotação]&gt;0,($BH$1/Tabela3[[#This Row],[Cotação]]-MOD($BH$1/Tabela3[[#This Row],[Cotação]],100)),)</f>
        <v>0</v>
      </c>
      <c r="AW284" s="17">
        <f>Tabela3[[#This Row],[Ativos]]*Tabela3[Lucro]</f>
        <v>0</v>
      </c>
      <c r="AX284" s="13">
        <f>SUMPRODUCT(N(Tabela1[Código]=Tabela3[[#This Row],[PAPEL]]),Tabela1[Fechamento])</f>
        <v>0</v>
      </c>
      <c r="AY284" s="55">
        <f>SUMPRODUCT(N(Tabela17[Código]=Tabela3[[#This Row],[PAPEL]]),Tabela17[Fechamento])</f>
        <v>7.3</v>
      </c>
      <c r="AZ284" s="55">
        <f>SUMPRODUCT(N(Tabela176[Código]=Tabela3[[#This Row],[PAPEL]]),Tabela176[Fechamento])</f>
        <v>0</v>
      </c>
      <c r="BA284" s="55">
        <f>SUMPRODUCT(N(Tabela1768[Código]=Tabela3[[#This Row],[PAPEL]]),Tabela1768[Fechamento])</f>
        <v>0</v>
      </c>
      <c r="BB284" s="7">
        <f>SUMPRODUCT(N(Tabela17683[Código]=Tabela3[[#This Row],[PAPEL]]),Tabela17683[Fechamento])</f>
        <v>0</v>
      </c>
    </row>
    <row r="285" spans="1:54" hidden="1" x14ac:dyDescent="0.2">
      <c r="A285" s="4" t="s">
        <v>293</v>
      </c>
      <c r="B285" s="57" t="s">
        <v>386</v>
      </c>
      <c r="C285" s="82" t="str">
        <f>LEFT(Tabela3[PAPEL],LEN(Tabela3[PAPEL])-(LEN(Tabela3[PAPEL])-4))</f>
        <v>EBTP</v>
      </c>
      <c r="D285" s="15">
        <v>3</v>
      </c>
      <c r="E285" s="6">
        <v>7373355808.1999998</v>
      </c>
      <c r="F285" s="8">
        <v>593139974</v>
      </c>
      <c r="G285" s="81">
        <v>0.25</v>
      </c>
      <c r="H285" s="19"/>
      <c r="I285" s="19">
        <v>0.06</v>
      </c>
      <c r="J285" s="19">
        <v>0.1</v>
      </c>
      <c r="K285" s="88"/>
      <c r="L285" s="88"/>
      <c r="M285" s="55">
        <v>11675353000</v>
      </c>
      <c r="N285" s="55">
        <v>7657000</v>
      </c>
      <c r="O285" s="55">
        <v>13788000</v>
      </c>
      <c r="P285" s="6">
        <v>11657711000</v>
      </c>
      <c r="Q285" s="6">
        <v>411188000</v>
      </c>
      <c r="R285" s="6">
        <f>IF(Tabela3[[#This Row],[Ativo || Passivo]]&gt;0,Tabela3[[#This Row],[Ativo || Passivo]]-Tabela3[[#This Row],[Patrimônio Líquido]],0)</f>
        <v>17642000</v>
      </c>
      <c r="S285" s="6">
        <f>Tabela3[[#This Row],[Cotação]]*Tabela3[[#This Row],[Total Ações]]</f>
        <v>9173666530.75</v>
      </c>
      <c r="T285" s="134">
        <f>IF(Tabela3[[#This Row],[Passivo Circulante]]&gt;0,Tabela3[[#This Row],[Ativo Circulante]]/Tabela3[[#This Row],[Passivo Circulante]],0)</f>
        <v>0.55533797505076876</v>
      </c>
      <c r="U285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85" s="19">
        <f>IF(Tabela3[[#This Row],[Lucro Líquido]]&gt;0,Tabela3[[#This Row],[Lucro Líquido]]/Tabela3[[#This Row],[Patrimônio Líquido]],0)</f>
        <v>3.5271761326044197E-2</v>
      </c>
      <c r="W285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85" s="19">
        <f>IF(Tabela3[[#This Row],[Dívida]]&gt;0,Tabela3[[#This Row],[Dívida]]/Tabela3[[#This Row],[Patrimônio Líquido]],0)</f>
        <v>1.5133331063019147E-3</v>
      </c>
      <c r="Y285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85" s="6">
        <f>Tabela3[[#This Row],[Capital Social]]*20%</f>
        <v>1474671161.6400001</v>
      </c>
      <c r="AA285" s="6">
        <f>IF((Tabela3[Lucro Líquido]*5%)&gt;Tabela3[Teto R. Legal],Tabela3[Teto R. Legal],Tabela3[Lucro Líquido]*5%)</f>
        <v>20559400</v>
      </c>
      <c r="AB285" s="6">
        <f>IF(Tabela3[Lucro Líquido]&lt;0,0,Tabela3[Lucro Líquido]-Tabela3[Reserva Legal])</f>
        <v>390628600</v>
      </c>
      <c r="AC285" s="6">
        <f>Tabela3[[#This Row],[Lucro Distribuir]]*Tabela3[%Div]</f>
        <v>97657150</v>
      </c>
      <c r="AD285" s="56">
        <f>SUMPRODUCT(N(Tabela3[Nome]=Tabela3[[#This Row],[Nome]]),Tabela3[Ações])</f>
        <v>1231364635</v>
      </c>
      <c r="AE285" s="6">
        <f>Tabela3[Capital Social]/Tabela3[Total Ações]</f>
        <v>5.9879548255825945</v>
      </c>
      <c r="AF285" s="78">
        <f>Tabela3[[#This Row],[Lucro Líquido]]/Tabela3[[#This Row],[Total Ações]]</f>
        <v>0.33392870666616148</v>
      </c>
      <c r="AG285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8.4524541608459458E-2</v>
      </c>
      <c r="AH285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85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0.35927728953495564</v>
      </c>
      <c r="AJ285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0.35927728953495564</v>
      </c>
      <c r="AK285" s="6">
        <f>Tabela3[Div Base]*Tabela3[Ações]</f>
        <v>213101722.17355406</v>
      </c>
      <c r="AL285" s="6">
        <f>SUMPRODUCT(N(Tabela3[Nome]=Tabela3[[#This Row],[Nome]]),Tabela3[Div Base]*Tabela3[Ações])</f>
        <v>213101722.17355406</v>
      </c>
      <c r="AM285" s="6">
        <f>Tabela3[Patrimônio Líquido]/Tabela3[Total Ações]</f>
        <v>9.4673102252932573</v>
      </c>
      <c r="AN285" s="48">
        <f>MAX(Tabela3[[#This Row],[Cotação 1]:[Cotação 5]])</f>
        <v>7.45</v>
      </c>
      <c r="AO285" s="44">
        <f>Tabela3[Cotação]/Tabela3[VPA]</f>
        <v>0.78691833506166009</v>
      </c>
      <c r="AP285" s="40">
        <f>IF(Tabela3[[#This Row],[Lucro/Ação]]&gt;0,Tabela3[[#This Row],[Cotação]]/(Tabela3[[#This Row],[Lucro/Ação]]/Tabela3[Ref]*4),0)</f>
        <v>16.732613544321577</v>
      </c>
      <c r="AQ285" s="78">
        <f>Tabela3[Lucro Distribuir]/Tabela3[Total Ações]</f>
        <v>0.31723227133285342</v>
      </c>
      <c r="AR285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0.35927728953495564</v>
      </c>
      <c r="AS285" s="15" t="str">
        <f>IF(AND(Tabela3[% A.A.]&gt;=6%,SUMPRODUCT(N(Tabela3[Nome]=Tabela3[[#This Row],[Nome]]),Tabela3[PL])&gt;0,Tabela3[Rentabilidade s/ PL]&gt;=Tabela3[Rentabilidade s/ PL Média]),"Sim","Não")</f>
        <v>Não</v>
      </c>
      <c r="AT285" s="42">
        <f>IF(Tabela3[Cotação]&gt;0,Tabela3[[#This Row],[Lucro]]/Tabela3[[#This Row],[Cotação]],0)</f>
        <v>4.8225139534893373E-2</v>
      </c>
      <c r="AU285" s="19">
        <f>((1+Tabela3[[#This Row],[% Yield]])^(1/(3*Tabela3[[#This Row],[Ref]])))^(12)-1</f>
        <v>6.48115702549934E-2</v>
      </c>
      <c r="AV285" s="14">
        <f>IF(Tabela3[Cotação]&gt;0,($BD$1/Tabela3[[#This Row],[Cotação]]-MOD($BD$1/Tabela3[[#This Row],[Cotação]],100)),)</f>
        <v>0</v>
      </c>
      <c r="AW285" s="13">
        <f>Tabela3[[#This Row],[Ativos]]*Tabela3[Lucro]</f>
        <v>0</v>
      </c>
      <c r="AX285" s="55">
        <f>SUMPRODUCT(N(Tabela1[Código]=Tabela3[[#This Row],[PAPEL]]),Tabela1[Fechamento])</f>
        <v>0</v>
      </c>
      <c r="AY285" s="17">
        <f>SUMPRODUCT(N(Tabela17[Código]=Tabela3[[#This Row],[PAPEL]]),Tabela17[Fechamento])</f>
        <v>7.45</v>
      </c>
      <c r="AZ285" s="7">
        <f>SUMPRODUCT(N(Tabela176[Código]=Tabela3[[#This Row],[PAPEL]]),Tabela176[Fechamento])</f>
        <v>0</v>
      </c>
      <c r="BA285" s="7">
        <f>SUMPRODUCT(N(Tabela1768[Código]=Tabela3[[#This Row],[PAPEL]]),Tabela1768[Fechamento])</f>
        <v>0</v>
      </c>
      <c r="BB285" s="7">
        <f>SUMPRODUCT(N(Tabela17683[Código]=Tabela3[[#This Row],[PAPEL]]),Tabela17683[Fechamento])</f>
        <v>0</v>
      </c>
    </row>
    <row r="286" spans="1:54" hidden="1" x14ac:dyDescent="0.2">
      <c r="A286" s="3" t="s">
        <v>1168</v>
      </c>
      <c r="B286" s="58" t="s">
        <v>1169</v>
      </c>
      <c r="C286" s="16" t="str">
        <f>LEFT(Tabela3[PAPEL],LEN(Tabela3[PAPEL])-(LEN(Tabela3[PAPEL])-4))</f>
        <v>NETC</v>
      </c>
      <c r="D286" s="16">
        <v>3</v>
      </c>
      <c r="E286" s="5">
        <v>5612242940.9700003</v>
      </c>
      <c r="F286" s="56">
        <v>114459685</v>
      </c>
      <c r="G286" s="81">
        <v>0.25</v>
      </c>
      <c r="H286" s="87"/>
      <c r="J286" s="18"/>
      <c r="K286" s="16"/>
      <c r="L286" s="87"/>
      <c r="M286" s="54"/>
      <c r="N286" s="54"/>
      <c r="O286" s="54"/>
      <c r="P286" s="91">
        <v>5758900000</v>
      </c>
      <c r="Q286" s="73">
        <v>202336000</v>
      </c>
      <c r="R286" s="73">
        <f>IF(Tabela3[[#This Row],[Ativo || Passivo]]&gt;0,Tabela3[[#This Row],[Ativo || Passivo]]-Tabela3[[#This Row],[Patrimônio Líquido]],0)</f>
        <v>0</v>
      </c>
      <c r="S286" s="73">
        <f>Tabela3[[#This Row],[Cotação]]*Tabela3[[#This Row],[Total Ações]]</f>
        <v>10196307857.73</v>
      </c>
      <c r="T286" s="37">
        <f>IF(Tabela3[[#This Row],[Passivo Circulante]]&gt;0,Tabela3[[#This Row],[Ativo Circulante]]/Tabela3[[#This Row],[Passivo Circulante]],0)</f>
        <v>0</v>
      </c>
      <c r="U286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86" s="18">
        <f>IF(Tabela3[[#This Row],[Lucro Líquido]]&gt;0,Tabela3[[#This Row],[Lucro Líquido]]/Tabela3[[#This Row],[Patrimônio Líquido]],0)</f>
        <v>3.513448748893018E-2</v>
      </c>
      <c r="W286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86" s="18">
        <f>IF(Tabela3[[#This Row],[Dívida]]&gt;0,Tabela3[[#This Row],[Dívida]]/Tabela3[[#This Row],[Patrimônio Líquido]],0)</f>
        <v>0</v>
      </c>
      <c r="Y286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86" s="7">
        <f>Tabela3[[#This Row],[Capital Social]]*20%</f>
        <v>1122448588.194</v>
      </c>
      <c r="AA286" s="47">
        <f>IF((Tabela3[Lucro Líquido]*5%)&gt;Tabela3[Teto R. Legal],Tabela3[Teto R. Legal],Tabela3[Lucro Líquido]*5%)</f>
        <v>10116800</v>
      </c>
      <c r="AB286" s="47">
        <f>IF(Tabela3[Lucro Líquido]&lt;0,0,Tabela3[Lucro Líquido]-Tabela3[Reserva Legal])</f>
        <v>192219200</v>
      </c>
      <c r="AC286" s="47">
        <f>Tabela3[[#This Row],[Lucro Distribuir]]*Tabela3[%Div]</f>
        <v>48054800</v>
      </c>
      <c r="AD286" s="56">
        <f>SUMPRODUCT(N(Tabela3[Nome]=Tabela3[[#This Row],[Nome]]),Tabela3[Ações])</f>
        <v>342963601</v>
      </c>
      <c r="AE286" s="85">
        <f>Tabela3[Capital Social]/Tabela3[Total Ações]</f>
        <v>16.363960853589241</v>
      </c>
      <c r="AF286" s="85">
        <f>Tabela3[[#This Row],[Lucro Líquido]]/Tabela3[[#This Row],[Total Ações]]</f>
        <v>0.58996348128500087</v>
      </c>
      <c r="AG286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0.13575677507193401</v>
      </c>
      <c r="AH286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86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86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0.13575677507193401</v>
      </c>
      <c r="AK286" s="7">
        <f>Tabela3[Div Base]*Tabela3[Ações]</f>
        <v>15538677.711349418</v>
      </c>
      <c r="AL286" s="7">
        <f>SUMPRODUCT(N(Tabela3[Nome]=Tabela3[[#This Row],[Nome]]),Tabela3[Div Base]*Tabela3[Ações])</f>
        <v>49661727.958309345</v>
      </c>
      <c r="AM286" s="5">
        <f>Tabela3[Patrimônio Líquido]/Tabela3[Total Ações]</f>
        <v>16.791577832774156</v>
      </c>
      <c r="AN286" s="52">
        <f>MAX(Tabela3[[#This Row],[Cotação 1]:[Cotação 5]])</f>
        <v>29.73</v>
      </c>
      <c r="AO286" s="53">
        <f>Tabela3[Cotação]/Tabela3[VPA]</f>
        <v>1.7705304585476394</v>
      </c>
      <c r="AP286" s="37">
        <f>IF(Tabela3[[#This Row],[Lucro/Ação]]&gt;0,Tabela3[[#This Row],[Cotação]]/(Tabela3[[#This Row],[Lucro/Ação]]/Tabela3[Ref]*4),0)</f>
        <v>37.794712227668334</v>
      </c>
      <c r="AQ286" s="85">
        <f>Tabela3[Lucro Distribuir]/Tabela3[Total Ações]</f>
        <v>0.56046530722075083</v>
      </c>
      <c r="AR286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0.13575677507193401</v>
      </c>
      <c r="AS286" s="10" t="str">
        <f>IF(AND(Tabela3[% A.A.]&gt;=6%,SUMPRODUCT(N(Tabela3[Nome]=Tabela3[[#This Row],[Nome]]),Tabela3[PL])&gt;0,Tabela3[Rentabilidade s/ PL]&gt;=Tabela3[Rentabilidade s/ PL Média]),"Sim","Não")</f>
        <v>Não</v>
      </c>
      <c r="AT286" s="22">
        <f>IF(Tabela3[Cotação]&gt;0,Tabela3[[#This Row],[Lucro]]/Tabela3[[#This Row],[Cotação]],0)</f>
        <v>4.5663227403946859E-3</v>
      </c>
      <c r="AU286" s="22">
        <f>((1+Tabela3[[#This Row],[% Yield]])^(1/(3*Tabela3[[#This Row],[Ref]])))^(12)-1</f>
        <v>6.0930592505072934E-3</v>
      </c>
      <c r="AV286" s="10">
        <f>IF(Tabela3[Cotação]&gt;0,($BD$1/Tabela3[[#This Row],[Cotação]]-MOD($BD$1/Tabela3[[#This Row],[Cotação]],100)),)</f>
        <v>0</v>
      </c>
      <c r="AW286" s="7">
        <f>Tabela3[[#This Row],[Ativos]]*Tabela3[Lucro]</f>
        <v>0</v>
      </c>
      <c r="AX286" s="7">
        <f>SUMPRODUCT(N(Tabela1[Código]=Tabela3[[#This Row],[PAPEL]]),Tabela1[Fechamento])</f>
        <v>0</v>
      </c>
      <c r="AY286" s="7">
        <f>SUMPRODUCT(N(Tabela17[Código]=Tabela3[[#This Row],[PAPEL]]),Tabela17[Fechamento])</f>
        <v>0</v>
      </c>
      <c r="AZ286" s="7">
        <f>SUMPRODUCT(N(Tabela176[Código]=Tabela3[[#This Row],[PAPEL]]),Tabela176[Fechamento])</f>
        <v>0</v>
      </c>
      <c r="BA286" s="7">
        <f>SUMPRODUCT(N(Tabela1768[Código]=Tabela3[[#This Row],[PAPEL]]),Tabela1768[Fechamento])</f>
        <v>29.73</v>
      </c>
      <c r="BB286" s="7">
        <f>SUMPRODUCT(N(Tabela17683[Código]=Tabela3[[#This Row],[PAPEL]]),Tabela17683[Fechamento])</f>
        <v>0</v>
      </c>
    </row>
    <row r="287" spans="1:54" hidden="1" x14ac:dyDescent="0.2">
      <c r="A287" s="3" t="s">
        <v>1168</v>
      </c>
      <c r="B287" s="58" t="s">
        <v>1170</v>
      </c>
      <c r="C287" s="16" t="str">
        <f>LEFT(Tabela3[PAPEL],LEN(Tabela3[PAPEL])-(LEN(Tabela3[PAPEL])-4))</f>
        <v>NETC</v>
      </c>
      <c r="D287" s="16">
        <v>3</v>
      </c>
      <c r="E287" s="5">
        <v>5612242940.9700003</v>
      </c>
      <c r="F287" s="56">
        <v>228503916</v>
      </c>
      <c r="G287" s="81">
        <v>0.25</v>
      </c>
      <c r="H287" s="87"/>
      <c r="J287" s="18">
        <v>0.1</v>
      </c>
      <c r="K287" s="16"/>
      <c r="L287" s="87"/>
      <c r="M287" s="54"/>
      <c r="N287" s="54"/>
      <c r="O287" s="54"/>
      <c r="P287" s="91">
        <v>5758900000</v>
      </c>
      <c r="Q287" s="73">
        <v>202336000</v>
      </c>
      <c r="R287" s="73">
        <f>IF(Tabela3[[#This Row],[Ativo || Passivo]]&gt;0,Tabela3[[#This Row],[Ativo || Passivo]]-Tabela3[[#This Row],[Patrimônio Líquido]],0)</f>
        <v>0</v>
      </c>
      <c r="S287" s="73">
        <f>Tabela3[[#This Row],[Cotação]]*Tabela3[[#This Row],[Total Ações]]</f>
        <v>9945944429</v>
      </c>
      <c r="T287" s="37">
        <f>IF(Tabela3[[#This Row],[Passivo Circulante]]&gt;0,Tabela3[[#This Row],[Ativo Circulante]]/Tabela3[[#This Row],[Passivo Circulante]],0)</f>
        <v>0</v>
      </c>
      <c r="U287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87" s="18">
        <f>IF(Tabela3[[#This Row],[Lucro Líquido]]&gt;0,Tabela3[[#This Row],[Lucro Líquido]]/Tabela3[[#This Row],[Patrimônio Líquido]],0)</f>
        <v>3.513448748893018E-2</v>
      </c>
      <c r="W287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87" s="18">
        <f>IF(Tabela3[[#This Row],[Dívida]]&gt;0,Tabela3[[#This Row],[Dívida]]/Tabela3[[#This Row],[Patrimônio Líquido]],0)</f>
        <v>0</v>
      </c>
      <c r="Y287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87" s="7">
        <f>Tabela3[[#This Row],[Capital Social]]*20%</f>
        <v>1122448588.194</v>
      </c>
      <c r="AA287" s="47">
        <f>IF((Tabela3[Lucro Líquido]*5%)&gt;Tabela3[Teto R. Legal],Tabela3[Teto R. Legal],Tabela3[Lucro Líquido]*5%)</f>
        <v>10116800</v>
      </c>
      <c r="AB287" s="47">
        <f>IF(Tabela3[Lucro Líquido]&lt;0,0,Tabela3[Lucro Líquido]-Tabela3[Reserva Legal])</f>
        <v>192219200</v>
      </c>
      <c r="AC287" s="47">
        <f>Tabela3[[#This Row],[Lucro Distribuir]]*Tabela3[%Div]</f>
        <v>48054800</v>
      </c>
      <c r="AD287" s="56">
        <f>SUMPRODUCT(N(Tabela3[Nome]=Tabela3[[#This Row],[Nome]]),Tabela3[Ações])</f>
        <v>342963601</v>
      </c>
      <c r="AE287" s="85">
        <f>Tabela3[Capital Social]/Tabela3[Total Ações]</f>
        <v>16.363960853589241</v>
      </c>
      <c r="AF287" s="85">
        <f>Tabela3[[#This Row],[Lucro Líquido]]/Tabela3[[#This Row],[Total Ações]]</f>
        <v>0.58996348128500087</v>
      </c>
      <c r="AG287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0.14933245278369725</v>
      </c>
      <c r="AH287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87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87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0.14933245278369725</v>
      </c>
      <c r="AK287" s="7">
        <f>Tabela3[Div Base]*Tabela3[Ações]</f>
        <v>34123050.246959925</v>
      </c>
      <c r="AL287" s="7">
        <f>SUMPRODUCT(N(Tabela3[Nome]=Tabela3[[#This Row],[Nome]]),Tabela3[Div Base]*Tabela3[Ações])</f>
        <v>49661727.958309345</v>
      </c>
      <c r="AM287" s="5">
        <f>Tabela3[Patrimônio Líquido]/Tabela3[Total Ações]</f>
        <v>16.791577832774156</v>
      </c>
      <c r="AN287" s="52">
        <f>MAX(Tabela3[[#This Row],[Cotação 1]:[Cotação 5]])</f>
        <v>29</v>
      </c>
      <c r="AO287" s="53">
        <f>Tabela3[Cotação]/Tabela3[VPA]</f>
        <v>1.7270562831443503</v>
      </c>
      <c r="AP287" s="37">
        <f>IF(Tabela3[[#This Row],[Lucro/Ação]]&gt;0,Tabela3[[#This Row],[Cotação]]/(Tabela3[[#This Row],[Lucro/Ação]]/Tabela3[Ref]*4),0)</f>
        <v>36.866688684910244</v>
      </c>
      <c r="AQ287" s="85">
        <f>Tabela3[Lucro Distribuir]/Tabela3[Total Ações]</f>
        <v>0.56046530722075083</v>
      </c>
      <c r="AR287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0.14933245278369725</v>
      </c>
      <c r="AS287" s="10" t="str">
        <f>IF(AND(Tabela3[% A.A.]&gt;=6%,SUMPRODUCT(N(Tabela3[Nome]=Tabela3[[#This Row],[Nome]]),Tabela3[PL])&gt;0,Tabela3[Rentabilidade s/ PL]&gt;=Tabela3[Rentabilidade s/ PL Média]),"Sim","Não")</f>
        <v>Não</v>
      </c>
      <c r="AT287" s="22">
        <f>IF(Tabela3[Cotação]&gt;0,Tabela3[[#This Row],[Lucro]]/Tabela3[[#This Row],[Cotação]],0)</f>
        <v>5.1493949235757669E-3</v>
      </c>
      <c r="AU287" s="22">
        <f>((1+Tabela3[[#This Row],[% Yield]])^(1/(3*Tabela3[[#This Row],[Ref]])))^(12)-1</f>
        <v>6.8717456736955285E-3</v>
      </c>
      <c r="AV287" s="10">
        <f>IF(Tabela3[Cotação]&gt;0,($BD$1/Tabela3[[#This Row],[Cotação]]-MOD($BD$1/Tabela3[[#This Row],[Cotação]],100)),)</f>
        <v>0</v>
      </c>
      <c r="AW287" s="7">
        <f>Tabela3[[#This Row],[Ativos]]*Tabela3[Lucro]</f>
        <v>0</v>
      </c>
      <c r="AX287" s="7">
        <f>SUMPRODUCT(N(Tabela1[Código]=Tabela3[[#This Row],[PAPEL]]),Tabela1[Fechamento])</f>
        <v>0</v>
      </c>
      <c r="AY287" s="7">
        <f>SUMPRODUCT(N(Tabela17[Código]=Tabela3[[#This Row],[PAPEL]]),Tabela17[Fechamento])</f>
        <v>0</v>
      </c>
      <c r="AZ287" s="7">
        <f>SUMPRODUCT(N(Tabela176[Código]=Tabela3[[#This Row],[PAPEL]]),Tabela176[Fechamento])</f>
        <v>0</v>
      </c>
      <c r="BA287" s="7">
        <f>SUMPRODUCT(N(Tabela1768[Código]=Tabela3[[#This Row],[PAPEL]]),Tabela1768[Fechamento])</f>
        <v>29</v>
      </c>
      <c r="BB287" s="7">
        <f>SUMPRODUCT(N(Tabela17683[Código]=Tabela3[[#This Row],[PAPEL]]),Tabela17683[Fechamento])</f>
        <v>0</v>
      </c>
    </row>
    <row r="288" spans="1:54" hidden="1" x14ac:dyDescent="0.2">
      <c r="A288" s="4" t="s">
        <v>324</v>
      </c>
      <c r="B288" s="57" t="s">
        <v>325</v>
      </c>
      <c r="C288" s="82" t="str">
        <f>LEFT(Tabela3[PAPEL],LEN(Tabela3[PAPEL])-(LEN(Tabela3[PAPEL])-4))</f>
        <v>PRVI</v>
      </c>
      <c r="D288" s="15">
        <v>3</v>
      </c>
      <c r="E288" s="6">
        <v>422268606.5</v>
      </c>
      <c r="F288" s="8">
        <v>80041132</v>
      </c>
      <c r="G288" s="81">
        <v>0.25</v>
      </c>
      <c r="H288" s="15"/>
      <c r="I288" s="19"/>
      <c r="J288" s="19"/>
      <c r="K288" s="88"/>
      <c r="L288" s="88"/>
      <c r="M288" s="55"/>
      <c r="N288" s="55"/>
      <c r="O288" s="55"/>
      <c r="P288" s="6">
        <v>662099000</v>
      </c>
      <c r="Q288" s="6">
        <v>23239000</v>
      </c>
      <c r="R288" s="6">
        <f>IF(Tabela3[[#This Row],[Ativo || Passivo]]&gt;0,Tabela3[[#This Row],[Ativo || Passivo]]-Tabela3[[#This Row],[Patrimônio Líquido]],0)</f>
        <v>0</v>
      </c>
      <c r="S288" s="6">
        <f>Tabela3[[#This Row],[Cotação]]*Tabela3[[#This Row],[Total Ações]]</f>
        <v>656337282.39999998</v>
      </c>
      <c r="T288" s="134">
        <f>IF(Tabela3[[#This Row],[Passivo Circulante]]&gt;0,Tabela3[[#This Row],[Ativo Circulante]]/Tabela3[[#This Row],[Passivo Circulante]],0)</f>
        <v>0</v>
      </c>
      <c r="U288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88" s="19">
        <f>IF(Tabela3[[#This Row],[Lucro Líquido]]&gt;0,Tabela3[[#This Row],[Lucro Líquido]]/Tabela3[[#This Row],[Patrimônio Líquido]],0)</f>
        <v>3.5098980666033328E-2</v>
      </c>
      <c r="W288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88" s="19">
        <f>IF(Tabela3[[#This Row],[Dívida]]&gt;0,Tabela3[[#This Row],[Dívida]]/Tabela3[[#This Row],[Patrimônio Líquido]],0)</f>
        <v>0</v>
      </c>
      <c r="Y288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88" s="6">
        <f>Tabela3[[#This Row],[Capital Social]]*20%</f>
        <v>84453721.300000012</v>
      </c>
      <c r="AA288" s="6">
        <f>IF((Tabela3[Lucro Líquido]*5%)&gt;Tabela3[Teto R. Legal],Tabela3[Teto R. Legal],Tabela3[Lucro Líquido]*5%)</f>
        <v>1161950</v>
      </c>
      <c r="AB288" s="6">
        <f>IF(Tabela3[Lucro Líquido]&lt;0,0,Tabela3[Lucro Líquido]-Tabela3[Reserva Legal])</f>
        <v>22077050</v>
      </c>
      <c r="AC288" s="6">
        <f>Tabela3[[#This Row],[Lucro Distribuir]]*Tabela3[%Div]</f>
        <v>5519262.5</v>
      </c>
      <c r="AD288" s="56">
        <f>SUMPRODUCT(N(Tabela3[Nome]=Tabela3[[#This Row],[Nome]]),Tabela3[Ações])</f>
        <v>80041132</v>
      </c>
      <c r="AE288" s="6">
        <f>Tabela3[Capital Social]/Tabela3[Total Ações]</f>
        <v>5.2756451083175584</v>
      </c>
      <c r="AF288" s="78">
        <f>Tabela3[[#This Row],[Lucro Líquido]]/Tabela3[[#This Row],[Total Ações]]</f>
        <v>0.29033822260284875</v>
      </c>
      <c r="AG288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6.8955327868176583E-2</v>
      </c>
      <c r="AH288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88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88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6.8955327868176583E-2</v>
      </c>
      <c r="AK288" s="6">
        <f>Tabela3[Div Base]*Tabela3[Ações]</f>
        <v>5519262.5000000009</v>
      </c>
      <c r="AL288" s="6">
        <f>SUMPRODUCT(N(Tabela3[Nome]=Tabela3[[#This Row],[Nome]]),Tabela3[Div Base]*Tabela3[Ações])</f>
        <v>5519262.5000000009</v>
      </c>
      <c r="AM288" s="6">
        <f>Tabela3[Patrimônio Líquido]/Tabela3[Total Ações]</f>
        <v>8.2719844591903069</v>
      </c>
      <c r="AN288" s="48">
        <f>MAX(Tabela3[[#This Row],[Cotação 1]:[Cotação 5]])</f>
        <v>8.1999999999999993</v>
      </c>
      <c r="AO288" s="44">
        <f>Tabela3[Cotação]/Tabela3[VPA]</f>
        <v>0.99129780047998861</v>
      </c>
      <c r="AP288" s="40">
        <f>IF(Tabela3[[#This Row],[Lucro/Ação]]&gt;0,Tabela3[[#This Row],[Cotação]]/(Tabela3[[#This Row],[Lucro/Ação]]/Tabela3[Ref]*4),0)</f>
        <v>21.182192082275481</v>
      </c>
      <c r="AQ288" s="78">
        <f>Tabela3[Lucro Distribuir]/Tabela3[Total Ações]</f>
        <v>0.27582131147270633</v>
      </c>
      <c r="AR288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6.8955327868176583E-2</v>
      </c>
      <c r="AS288" s="15" t="str">
        <f>IF(AND(Tabela3[% A.A.]&gt;=6%,SUMPRODUCT(N(Tabela3[Nome]=Tabela3[[#This Row],[Nome]]),Tabela3[PL])&gt;0,Tabela3[Rentabilidade s/ PL]&gt;=Tabela3[Rentabilidade s/ PL Média]),"Sim","Não")</f>
        <v>Não</v>
      </c>
      <c r="AT288" s="42">
        <f>IF(Tabela3[Cotação]&gt;0,Tabela3[[#This Row],[Lucro]]/Tabela3[[#This Row],[Cotação]],0)</f>
        <v>8.4091863253873897E-3</v>
      </c>
      <c r="AU288" s="19">
        <f>((1+Tabela3[[#This Row],[% Yield]])^(1/(3*Tabela3[[#This Row],[Ref]])))^(12)-1</f>
        <v>1.1227933485183472E-2</v>
      </c>
      <c r="AV288" s="14">
        <f>IF(Tabela3[Cotação]&gt;0,($BD$1/Tabela3[[#This Row],[Cotação]]-MOD($BD$1/Tabela3[[#This Row],[Cotação]],100)),)</f>
        <v>0</v>
      </c>
      <c r="AW288" s="17">
        <f>Tabela3[[#This Row],[Ativos]]*Tabela3[Lucro]</f>
        <v>0</v>
      </c>
      <c r="AX288" s="13">
        <f>SUMPRODUCT(N(Tabela1[Código]=Tabela3[[#This Row],[PAPEL]]),Tabela1[Fechamento])</f>
        <v>0</v>
      </c>
      <c r="AY288" s="55">
        <f>SUMPRODUCT(N(Tabela17[Código]=Tabela3[[#This Row],[PAPEL]]),Tabela17[Fechamento])</f>
        <v>8.1999999999999993</v>
      </c>
      <c r="AZ288" s="7">
        <f>SUMPRODUCT(N(Tabela176[Código]=Tabela3[[#This Row],[PAPEL]]),Tabela176[Fechamento])</f>
        <v>0</v>
      </c>
      <c r="BA288" s="7">
        <f>SUMPRODUCT(N(Tabela1768[Código]=Tabela3[[#This Row],[PAPEL]]),Tabela1768[Fechamento])</f>
        <v>0</v>
      </c>
      <c r="BB288" s="7">
        <f>SUMPRODUCT(N(Tabela17683[Código]=Tabela3[[#This Row],[PAPEL]]),Tabela17683[Fechamento])</f>
        <v>0</v>
      </c>
    </row>
    <row r="289" spans="1:54" hidden="1" x14ac:dyDescent="0.2">
      <c r="A289" s="4" t="s">
        <v>239</v>
      </c>
      <c r="B289" s="57" t="s">
        <v>621</v>
      </c>
      <c r="C289" s="15" t="str">
        <f>LEFT(Tabela3[PAPEL],LEN(Tabela3[PAPEL])-(LEN(Tabela3[PAPEL])-4))</f>
        <v>GOAU</v>
      </c>
      <c r="D289" s="15">
        <v>3</v>
      </c>
      <c r="E289" s="6">
        <v>6900000000</v>
      </c>
      <c r="F289" s="8">
        <v>137618994</v>
      </c>
      <c r="G289" s="86">
        <v>0</v>
      </c>
      <c r="H289" s="15"/>
      <c r="I289" s="19"/>
      <c r="J289" s="19"/>
      <c r="K289" s="88"/>
      <c r="L289" s="88"/>
      <c r="M289" s="55"/>
      <c r="N289" s="55"/>
      <c r="O289" s="55"/>
      <c r="P289" s="92">
        <v>10689802000</v>
      </c>
      <c r="Q289" s="93">
        <v>374359000</v>
      </c>
      <c r="R289" s="93">
        <f>IF(Tabela3[[#This Row],[Ativo || Passivo]]&gt;0,Tabela3[[#This Row],[Ativo || Passivo]]-Tabela3[[#This Row],[Patrimônio Líquido]],0)</f>
        <v>0</v>
      </c>
      <c r="S289" s="93">
        <f>Tabela3[[#This Row],[Cotação]]*Tabela3[[#This Row],[Total Ações]]</f>
        <v>6413071100.5199995</v>
      </c>
      <c r="T289" s="40">
        <f>IF(Tabela3[[#This Row],[Passivo Circulante]]&gt;0,Tabela3[[#This Row],[Ativo Circulante]]/Tabela3[[#This Row],[Passivo Circulante]],0)</f>
        <v>0</v>
      </c>
      <c r="U289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89" s="19">
        <f>IF(Tabela3[[#This Row],[Lucro Líquido]]&gt;0,Tabela3[[#This Row],[Lucro Líquido]]/Tabela3[[#This Row],[Patrimônio Líquido]],0)</f>
        <v>3.502019962577417E-2</v>
      </c>
      <c r="W289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89" s="19">
        <f>IF(Tabela3[[#This Row],[Dívida]]&gt;0,Tabela3[[#This Row],[Dívida]]/Tabela3[[#This Row],[Patrimônio Líquido]],0)</f>
        <v>0</v>
      </c>
      <c r="Y289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89" s="13">
        <f>Tabela3[[#This Row],[Capital Social]]*20%</f>
        <v>1380000000</v>
      </c>
      <c r="AA289" s="13">
        <f>IF((Tabela3[Lucro Líquido]*5%)&gt;Tabela3[Teto R. Legal],Tabela3[Teto R. Legal],Tabela3[Lucro Líquido]*5%)</f>
        <v>18717950</v>
      </c>
      <c r="AB289" s="13">
        <f>IF(Tabela3[Lucro Líquido]&lt;0,0,Tabela3[Lucro Líquido]-Tabela3[Reserva Legal])</f>
        <v>355641050</v>
      </c>
      <c r="AC289" s="13">
        <f>Tabela3[[#This Row],[Lucro Distribuir]]*Tabela3[%Div]</f>
        <v>0</v>
      </c>
      <c r="AD289" s="56">
        <f>SUMPRODUCT(N(Tabela3[Nome]=Tabela3[[#This Row],[Nome]]),Tabela3[Ações])</f>
        <v>412681538</v>
      </c>
      <c r="AE289" s="6">
        <f>Tabela3[Capital Social]/Tabela3[Total Ações]</f>
        <v>16.719914424667092</v>
      </c>
      <c r="AF289" s="78">
        <f>Tabela3[[#This Row],[Lucro Líquido]]/Tabela3[[#This Row],[Total Ações]]</f>
        <v>0.90713774552231119</v>
      </c>
      <c r="AG289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289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89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89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289" s="13">
        <f>Tabela3[Div Base]*Tabela3[Ações]</f>
        <v>0</v>
      </c>
      <c r="AL289" s="13">
        <f>SUMPRODUCT(N(Tabela3[Nome]=Tabela3[[#This Row],[Nome]]),Tabela3[Div Base]*Tabela3[Ações])</f>
        <v>106692315</v>
      </c>
      <c r="AM289" s="6">
        <f>Tabela3[Patrimônio Líquido]/Tabela3[Total Ações]</f>
        <v>25.903271689367408</v>
      </c>
      <c r="AN289" s="48">
        <f>MAX(Tabela3[[#This Row],[Cotação 1]:[Cotação 5]])</f>
        <v>15.54</v>
      </c>
      <c r="AO289" s="44">
        <f>Tabela3[Cotação]/Tabela3[VPA]</f>
        <v>0.59992421754116676</v>
      </c>
      <c r="AP289" s="40">
        <f>IF(Tabela3[[#This Row],[Lucro/Ação]]&gt;0,Tabela3[[#This Row],[Cotação]]/(Tabela3[[#This Row],[Lucro/Ação]]/Tabela3[Ref]*4),0)</f>
        <v>12.848103893294937</v>
      </c>
      <c r="AQ289" s="78">
        <f>Tabela3[Lucro Distribuir]/Tabela3[Total Ações]</f>
        <v>0.86178085824619566</v>
      </c>
      <c r="AR289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289" s="14" t="str">
        <f>IF(AND(Tabela3[% A.A.]&gt;=6%,SUMPRODUCT(N(Tabela3[Nome]=Tabela3[[#This Row],[Nome]]),Tabela3[PL])&gt;0,Tabela3[Rentabilidade s/ PL]&gt;=Tabela3[Rentabilidade s/ PL Média]),"Sim","Não")</f>
        <v>Não</v>
      </c>
      <c r="AT289" s="42">
        <f>IF(Tabela3[Cotação]&gt;0,Tabela3[[#This Row],[Lucro]]/Tabela3[[#This Row],[Cotação]],0)</f>
        <v>0</v>
      </c>
      <c r="AU289" s="42">
        <f>((1+Tabela3[[#This Row],[% Yield]])^(1/(3*Tabela3[[#This Row],[Ref]])))^(12)-1</f>
        <v>0</v>
      </c>
      <c r="AV289" s="14">
        <f>IF(Tabela3[Cotação]&gt;0,($BD$1/Tabela3[[#This Row],[Cotação]]-MOD($BD$1/Tabela3[[#This Row],[Cotação]],100)),)</f>
        <v>0</v>
      </c>
      <c r="AW289" s="17">
        <f>Tabela3[[#This Row],[Ativos]]*Tabela3[Lucro]</f>
        <v>0</v>
      </c>
      <c r="AX289" s="17">
        <f>SUMPRODUCT(N(Tabela1[Código]=Tabela3[[#This Row],[PAPEL]]),Tabela1[Fechamento])</f>
        <v>0</v>
      </c>
      <c r="AY289" s="17">
        <f>SUMPRODUCT(N(Tabela17[Código]=Tabela3[[#This Row],[PAPEL]]),Tabela17[Fechamento])</f>
        <v>0</v>
      </c>
      <c r="AZ289" s="17">
        <f>SUMPRODUCT(N(Tabela176[Código]=Tabela3[[#This Row],[PAPEL]]),Tabela176[Fechamento])</f>
        <v>15.54</v>
      </c>
      <c r="BA289" s="17">
        <f>SUMPRODUCT(N(Tabela1768[Código]=Tabela3[[#This Row],[PAPEL]]),Tabela1768[Fechamento])</f>
        <v>0</v>
      </c>
      <c r="BB289" s="7">
        <f>SUMPRODUCT(N(Tabela17683[Código]=Tabela3[[#This Row],[PAPEL]]),Tabela17683[Fechamento])</f>
        <v>0</v>
      </c>
    </row>
    <row r="290" spans="1:54" hidden="1" x14ac:dyDescent="0.2">
      <c r="A290" s="4" t="s">
        <v>239</v>
      </c>
      <c r="B290" s="57" t="s">
        <v>622</v>
      </c>
      <c r="C290" s="15" t="str">
        <f>LEFT(Tabela3[PAPEL],LEN(Tabela3[PAPEL])-(LEN(Tabela3[PAPEL])-4))</f>
        <v>GOAU</v>
      </c>
      <c r="D290" s="15">
        <v>3</v>
      </c>
      <c r="E290" s="6">
        <v>6900000000</v>
      </c>
      <c r="F290" s="8">
        <v>275062544</v>
      </c>
      <c r="G290" s="86">
        <v>0.3</v>
      </c>
      <c r="H290" s="15"/>
      <c r="I290" s="19"/>
      <c r="J290" s="19"/>
      <c r="K290" s="88"/>
      <c r="L290" s="88"/>
      <c r="M290" s="55"/>
      <c r="N290" s="55"/>
      <c r="O290" s="55"/>
      <c r="P290" s="92">
        <v>10689802000</v>
      </c>
      <c r="Q290" s="93">
        <v>374359000</v>
      </c>
      <c r="R290" s="93">
        <f>IF(Tabela3[[#This Row],[Ativo || Passivo]]&gt;0,Tabela3[[#This Row],[Ativo || Passivo]]-Tabela3[[#This Row],[Patrimônio Líquido]],0)</f>
        <v>0</v>
      </c>
      <c r="S290" s="93">
        <f>Tabela3[[#This Row],[Cotação]]*Tabela3[[#This Row],[Total Ações]]</f>
        <v>7807934698.960001</v>
      </c>
      <c r="T290" s="40">
        <f>IF(Tabela3[[#This Row],[Passivo Circulante]]&gt;0,Tabela3[[#This Row],[Ativo Circulante]]/Tabela3[[#This Row],[Passivo Circulante]],0)</f>
        <v>0</v>
      </c>
      <c r="U290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90" s="19">
        <f>IF(Tabela3[[#This Row],[Lucro Líquido]]&gt;0,Tabela3[[#This Row],[Lucro Líquido]]/Tabela3[[#This Row],[Patrimônio Líquido]],0)</f>
        <v>3.502019962577417E-2</v>
      </c>
      <c r="W290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90" s="19">
        <f>IF(Tabela3[[#This Row],[Dívida]]&gt;0,Tabela3[[#This Row],[Dívida]]/Tabela3[[#This Row],[Patrimônio Líquido]],0)</f>
        <v>0</v>
      </c>
      <c r="Y290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90" s="13">
        <f>Tabela3[[#This Row],[Capital Social]]*20%</f>
        <v>1380000000</v>
      </c>
      <c r="AA290" s="13">
        <f>IF((Tabela3[Lucro Líquido]*5%)&gt;Tabela3[Teto R. Legal],Tabela3[Teto R. Legal],Tabela3[Lucro Líquido]*5%)</f>
        <v>18717950</v>
      </c>
      <c r="AB290" s="13">
        <f>IF(Tabela3[Lucro Líquido]&lt;0,0,Tabela3[Lucro Líquido]-Tabela3[Reserva Legal])</f>
        <v>355641050</v>
      </c>
      <c r="AC290" s="13">
        <f>Tabela3[[#This Row],[Lucro Distribuir]]*Tabela3[%Div]</f>
        <v>106692315</v>
      </c>
      <c r="AD290" s="56">
        <f>SUMPRODUCT(N(Tabela3[Nome]=Tabela3[[#This Row],[Nome]]),Tabela3[Ações])</f>
        <v>412681538</v>
      </c>
      <c r="AE290" s="6">
        <f>Tabela3[Capital Social]/Tabela3[Total Ações]</f>
        <v>16.719914424667092</v>
      </c>
      <c r="AF290" s="78">
        <f>Tabela3[[#This Row],[Lucro Líquido]]/Tabela3[[#This Row],[Total Ações]]</f>
        <v>0.90713774552231119</v>
      </c>
      <c r="AG290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0.38788383706652552</v>
      </c>
      <c r="AH290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90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90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0.38788383706652552</v>
      </c>
      <c r="AK290" s="13">
        <f>Tabela3[Div Base]*Tabela3[Ações]</f>
        <v>106692315</v>
      </c>
      <c r="AL290" s="13">
        <f>SUMPRODUCT(N(Tabela3[Nome]=Tabela3[[#This Row],[Nome]]),Tabela3[Div Base]*Tabela3[Ações])</f>
        <v>106692315</v>
      </c>
      <c r="AM290" s="6">
        <f>Tabela3[Patrimônio Líquido]/Tabela3[Total Ações]</f>
        <v>25.903271689367408</v>
      </c>
      <c r="AN290" s="48">
        <f>MAX(Tabela3[[#This Row],[Cotação 1]:[Cotação 5]])</f>
        <v>18.920000000000002</v>
      </c>
      <c r="AO290" s="44">
        <f>Tabela3[Cotação]/Tabela3[VPA]</f>
        <v>0.73040966511447081</v>
      </c>
      <c r="AP290" s="40">
        <f>IF(Tabela3[[#This Row],[Lucro/Ação]]&gt;0,Tabela3[[#This Row],[Cotação]]/(Tabela3[[#This Row],[Lucro/Ação]]/Tabela3[Ref]*4),0)</f>
        <v>15.642607828902204</v>
      </c>
      <c r="AQ290" s="78">
        <f>Tabela3[Lucro Distribuir]/Tabela3[Total Ações]</f>
        <v>0.86178085824619566</v>
      </c>
      <c r="AR290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0.38788383706652552</v>
      </c>
      <c r="AS290" s="14" t="str">
        <f>IF(AND(Tabela3[% A.A.]&gt;=6%,SUMPRODUCT(N(Tabela3[Nome]=Tabela3[[#This Row],[Nome]]),Tabela3[PL])&gt;0,Tabela3[Rentabilidade s/ PL]&gt;=Tabela3[Rentabilidade s/ PL Média]),"Sim","Não")</f>
        <v>Não</v>
      </c>
      <c r="AT290" s="42">
        <f>IF(Tabela3[Cotação]&gt;0,Tabela3[[#This Row],[Lucro]]/Tabela3[[#This Row],[Cotação]],0)</f>
        <v>2.0501259887237076E-2</v>
      </c>
      <c r="AU290" s="42">
        <f>((1+Tabela3[[#This Row],[% Yield]])^(1/(3*Tabela3[[#This Row],[Ref]])))^(12)-1</f>
        <v>2.7427991630075033E-2</v>
      </c>
      <c r="AV290" s="14">
        <f>IF(Tabela3[Cotação]&gt;0,($BD$1/Tabela3[[#This Row],[Cotação]]-MOD($BD$1/Tabela3[[#This Row],[Cotação]],100)),)</f>
        <v>0</v>
      </c>
      <c r="AW290" s="17">
        <f>Tabela3[[#This Row],[Ativos]]*Tabela3[Lucro]</f>
        <v>0</v>
      </c>
      <c r="AX290" s="17">
        <f>SUMPRODUCT(N(Tabela1[Código]=Tabela3[[#This Row],[PAPEL]]),Tabela1[Fechamento])</f>
        <v>0</v>
      </c>
      <c r="AY290" s="17">
        <f>SUMPRODUCT(N(Tabela17[Código]=Tabela3[[#This Row],[PAPEL]]),Tabela17[Fechamento])</f>
        <v>0</v>
      </c>
      <c r="AZ290" s="17">
        <f>SUMPRODUCT(N(Tabela176[Código]=Tabela3[[#This Row],[PAPEL]]),Tabela176[Fechamento])</f>
        <v>18.920000000000002</v>
      </c>
      <c r="BA290" s="17">
        <f>SUMPRODUCT(N(Tabela1768[Código]=Tabela3[[#This Row],[PAPEL]]),Tabela1768[Fechamento])</f>
        <v>0</v>
      </c>
      <c r="BB290" s="7">
        <f>SUMPRODUCT(N(Tabela17683[Código]=Tabela3[[#This Row],[PAPEL]]),Tabela17683[Fechamento])</f>
        <v>0</v>
      </c>
    </row>
    <row r="291" spans="1:54" hidden="1" x14ac:dyDescent="0.2">
      <c r="A291" s="4" t="s">
        <v>757</v>
      </c>
      <c r="B291" s="57" t="s">
        <v>759</v>
      </c>
      <c r="C291" s="15" t="str">
        <f>LEFT(Tabela3[PAPEL],LEN(Tabela3[PAPEL])-(LEN(Tabela3[PAPEL])-4))</f>
        <v>DASA</v>
      </c>
      <c r="D291" s="15">
        <v>3</v>
      </c>
      <c r="E291" s="6">
        <v>2234134819.75</v>
      </c>
      <c r="F291" s="8">
        <v>311803015</v>
      </c>
      <c r="G291" s="86">
        <v>0.25</v>
      </c>
      <c r="H291" s="15"/>
      <c r="I291" s="19"/>
      <c r="J291" s="19"/>
      <c r="K291" s="88"/>
      <c r="L291" s="88"/>
      <c r="M291" s="55"/>
      <c r="N291" s="55"/>
      <c r="O291" s="55"/>
      <c r="P291" s="92">
        <v>2701798000</v>
      </c>
      <c r="Q291" s="93">
        <v>94591000</v>
      </c>
      <c r="R291" s="93">
        <f>IF(Tabela3[[#This Row],[Ativo || Passivo]]&gt;0,Tabela3[[#This Row],[Ativo || Passivo]]-Tabela3[[#This Row],[Patrimônio Líquido]],0)</f>
        <v>0</v>
      </c>
      <c r="S291" s="93">
        <f>Tabela3[[#This Row],[Cotação]]*Tabela3[[#This Row],[Total Ações]]</f>
        <v>4689517345.5999994</v>
      </c>
      <c r="T291" s="40">
        <f>IF(Tabela3[[#This Row],[Passivo Circulante]]&gt;0,Tabela3[[#This Row],[Ativo Circulante]]/Tabela3[[#This Row],[Passivo Circulante]],0)</f>
        <v>0</v>
      </c>
      <c r="U291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91" s="19">
        <f>IF(Tabela3[[#This Row],[Lucro Líquido]]&gt;0,Tabela3[[#This Row],[Lucro Líquido]]/Tabela3[[#This Row],[Patrimônio Líquido]],0)</f>
        <v>3.5010389377740307E-2</v>
      </c>
      <c r="W291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91" s="19">
        <f>IF(Tabela3[[#This Row],[Dívida]]&gt;0,Tabela3[[#This Row],[Dívida]]/Tabela3[[#This Row],[Patrimônio Líquido]],0)</f>
        <v>0</v>
      </c>
      <c r="Y291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91" s="13">
        <f>Tabela3[[#This Row],[Capital Social]]*20%</f>
        <v>446826963.95000005</v>
      </c>
      <c r="AA291" s="13">
        <f>IF((Tabela3[Lucro Líquido]*5%)&gt;Tabela3[Teto R. Legal],Tabela3[Teto R. Legal],Tabela3[Lucro Líquido]*5%)</f>
        <v>4729550</v>
      </c>
      <c r="AB291" s="13">
        <f>IF(Tabela3[Lucro Líquido]&lt;0,0,Tabela3[Lucro Líquido]-Tabela3[Reserva Legal])</f>
        <v>89861450</v>
      </c>
      <c r="AC291" s="13">
        <f>Tabela3[[#This Row],[Lucro Distribuir]]*Tabela3[%Div]</f>
        <v>22465362.5</v>
      </c>
      <c r="AD291" s="56">
        <f>SUMPRODUCT(N(Tabela3[Nome]=Tabela3[[#This Row],[Nome]]),Tabela3[Ações])</f>
        <v>311803015</v>
      </c>
      <c r="AE291" s="6">
        <f>Tabela3[Capital Social]/Tabela3[Total Ações]</f>
        <v>7.1652123689374845</v>
      </c>
      <c r="AF291" s="78">
        <f>Tabela3[[#This Row],[Lucro Líquido]]/Tabela3[[#This Row],[Total Ações]]</f>
        <v>0.30336781701742044</v>
      </c>
      <c r="AG291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7.2049856541637355E-2</v>
      </c>
      <c r="AH291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91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91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7.2049856541637355E-2</v>
      </c>
      <c r="AK291" s="13">
        <f>Tabela3[Div Base]*Tabela3[Ações]</f>
        <v>22465362.5</v>
      </c>
      <c r="AL291" s="13">
        <f>SUMPRODUCT(N(Tabela3[Nome]=Tabela3[[#This Row],[Nome]]),Tabela3[Div Base]*Tabela3[Ações])</f>
        <v>22465362.5</v>
      </c>
      <c r="AM291" s="6">
        <f>Tabela3[Patrimônio Líquido]/Tabela3[Total Ações]</f>
        <v>8.6650797780130517</v>
      </c>
      <c r="AN291" s="48">
        <f>MAX(Tabela3[[#This Row],[Cotação 1]:[Cotação 5]])</f>
        <v>15.04</v>
      </c>
      <c r="AO291" s="44">
        <f>Tabela3[Cotação]/Tabela3[VPA]</f>
        <v>1.7357024269023811</v>
      </c>
      <c r="AP291" s="40">
        <f>IF(Tabela3[[#This Row],[Lucro/Ação]]&gt;0,Tabela3[[#This Row],[Cotação]]/(Tabela3[[#This Row],[Lucro/Ação]]/Tabela3[Ref]*4),0)</f>
        <v>37.182586178389059</v>
      </c>
      <c r="AQ291" s="78">
        <f>Tabela3[Lucro Distribuir]/Tabela3[Total Ações]</f>
        <v>0.28819942616654942</v>
      </c>
      <c r="AR291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7.2049856541637355E-2</v>
      </c>
      <c r="AS291" s="14" t="str">
        <f>IF(AND(Tabela3[% A.A.]&gt;=6%,SUMPRODUCT(N(Tabela3[Nome]=Tabela3[[#This Row],[Nome]]),Tabela3[PL])&gt;0,Tabela3[Rentabilidade s/ PL]&gt;=Tabela3[Rentabilidade s/ PL Média]),"Sim","Não")</f>
        <v>Não</v>
      </c>
      <c r="AT291" s="42">
        <f>IF(Tabela3[Cotação]&gt;0,Tabela3[[#This Row],[Lucro]]/Tabela3[[#This Row],[Cotação]],0)</f>
        <v>4.7905489721833351E-3</v>
      </c>
      <c r="AU291" s="42">
        <f>((1+Tabela3[[#This Row],[% Yield]])^(1/(3*Tabela3[[#This Row],[Ref]])))^(12)-1</f>
        <v>6.3924930689065462E-3</v>
      </c>
      <c r="AV291" s="14">
        <f>IF(Tabela3[Cotação]&gt;0,($BH$1/Tabela3[[#This Row],[Cotação]]-MOD($BH$1/Tabela3[[#This Row],[Cotação]],100)),)</f>
        <v>0</v>
      </c>
      <c r="AW291" s="17">
        <f>Tabela3[[#This Row],[Ativos]]*Tabela3[Lucro]</f>
        <v>0</v>
      </c>
      <c r="AX291" s="17">
        <f>SUMPRODUCT(N(Tabela1[Código]=Tabela3[[#This Row],[PAPEL]]),Tabela1[Fechamento])</f>
        <v>0</v>
      </c>
      <c r="AY291" s="17">
        <f>SUMPRODUCT(N(Tabela17[Código]=Tabela3[[#This Row],[PAPEL]]),Tabela17[Fechamento])</f>
        <v>0</v>
      </c>
      <c r="AZ291" s="17">
        <f>SUMPRODUCT(N(Tabela176[Código]=Tabela3[[#This Row],[PAPEL]]),Tabela176[Fechamento])</f>
        <v>15.04</v>
      </c>
      <c r="BA291" s="17">
        <f>SUMPRODUCT(N(Tabela1768[Código]=Tabela3[[#This Row],[PAPEL]]),Tabela1768[Fechamento])</f>
        <v>0</v>
      </c>
      <c r="BB291" s="7">
        <f>SUMPRODUCT(N(Tabela17683[Código]=Tabela3[[#This Row],[PAPEL]]),Tabela17683[Fechamento])</f>
        <v>0</v>
      </c>
    </row>
    <row r="292" spans="1:54" hidden="1" x14ac:dyDescent="0.2">
      <c r="A292" s="4" t="s">
        <v>12</v>
      </c>
      <c r="B292" s="60" t="s">
        <v>164</v>
      </c>
      <c r="C292" s="14" t="str">
        <f>LEFT(Tabela3[PAPEL],LEN(Tabela3[PAPEL])-(LEN(Tabela3[PAPEL])-4))</f>
        <v>LIPR</v>
      </c>
      <c r="D292" s="15">
        <v>3</v>
      </c>
      <c r="E292" s="6">
        <v>118054887.48</v>
      </c>
      <c r="F292" s="8">
        <v>11764889</v>
      </c>
      <c r="G292" s="86">
        <v>0.25</v>
      </c>
      <c r="H292" s="15"/>
      <c r="I292" s="19"/>
      <c r="J292" s="19"/>
      <c r="K292" s="88"/>
      <c r="L292" s="88"/>
      <c r="M292" s="55"/>
      <c r="N292" s="55"/>
      <c r="O292" s="55"/>
      <c r="P292" s="89">
        <v>143016000</v>
      </c>
      <c r="Q292" s="89">
        <v>5000000</v>
      </c>
      <c r="R292" s="89">
        <f>IF(Tabela3[[#This Row],[Ativo || Passivo]]&gt;0,Tabela3[[#This Row],[Ativo || Passivo]]-Tabela3[[#This Row],[Patrimônio Líquido]],0)</f>
        <v>0</v>
      </c>
      <c r="S292" s="89">
        <f>Tabela3[[#This Row],[Cotação]]*Tabela3[[#This Row],[Total Ações]]</f>
        <v>583538494.39999998</v>
      </c>
      <c r="T292" s="134">
        <f>IF(Tabela3[[#This Row],[Passivo Circulante]]&gt;0,Tabela3[[#This Row],[Ativo Circulante]]/Tabela3[[#This Row],[Passivo Circulante]],0)</f>
        <v>0</v>
      </c>
      <c r="U292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92" s="19">
        <f>IF(Tabela3[[#This Row],[Lucro Líquido]]&gt;0,Tabela3[[#This Row],[Lucro Líquido]]/Tabela3[[#This Row],[Patrimônio Líquido]],0)</f>
        <v>3.4961123230967166E-2</v>
      </c>
      <c r="W292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92" s="19">
        <f>IF(Tabela3[[#This Row],[Dívida]]&gt;0,Tabela3[[#This Row],[Dívida]]/Tabela3[[#This Row],[Patrimônio Líquido]],0)</f>
        <v>0</v>
      </c>
      <c r="Y292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92" s="6">
        <f>Tabela3[[#This Row],[Capital Social]]*20%</f>
        <v>23610977.496000003</v>
      </c>
      <c r="AA292" s="6">
        <f>IF((Tabela3[Lucro Líquido]*5%)&gt;Tabela3[Teto R. Legal],Tabela3[Teto R. Legal],Tabela3[Lucro Líquido]*5%)</f>
        <v>250000</v>
      </c>
      <c r="AB292" s="89">
        <f>IF(Tabela3[Lucro Líquido]&lt;0,0,Tabela3[Lucro Líquido]-Tabela3[Reserva Legal])</f>
        <v>4750000</v>
      </c>
      <c r="AC292" s="89">
        <f>Tabela3[[#This Row],[Lucro Distribuir]]*Tabela3[%Div]</f>
        <v>1187500</v>
      </c>
      <c r="AD292" s="56">
        <f>SUMPRODUCT(N(Tabela3[Nome]=Tabela3[[#This Row],[Nome]]),Tabela3[Ações])</f>
        <v>11764889</v>
      </c>
      <c r="AE292" s="6">
        <f>Tabela3[Capital Social]/Tabela3[Total Ações]</f>
        <v>10.034509248663545</v>
      </c>
      <c r="AF292" s="78">
        <f>Tabela3[[#This Row],[Lucro Líquido]]/Tabela3[[#This Row],[Total Ações]]</f>
        <v>0.4249933849779628</v>
      </c>
      <c r="AG292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0.10093592893226618</v>
      </c>
      <c r="AH292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92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92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0.10093592893226618</v>
      </c>
      <c r="AK292" s="6">
        <f>Tabela3[Div Base]*Tabela3[Ações]</f>
        <v>1187500</v>
      </c>
      <c r="AL292" s="6">
        <f>SUMPRODUCT(N(Tabela3[Nome]=Tabela3[[#This Row],[Nome]]),Tabela3[Div Base]*Tabela3[Ações])</f>
        <v>1187500</v>
      </c>
      <c r="AM292" s="6">
        <f>Tabela3[Patrimônio Líquido]/Tabela3[Total Ações]</f>
        <v>12.156170789201665</v>
      </c>
      <c r="AN292" s="48">
        <f>MAX(Tabela3[[#This Row],[Cotação 1]:[Cotação 5]])</f>
        <v>49.6</v>
      </c>
      <c r="AO292" s="44">
        <f>Tabela3[Cotação]/Tabela3[VPA]</f>
        <v>4.0802322425462894</v>
      </c>
      <c r="AP292" s="40">
        <f>IF(Tabela3[[#This Row],[Lucro/Ação]]&gt;0,Tabela3[[#This Row],[Cotação]]/(Tabela3[[#This Row],[Lucro/Ação]]/Tabela3[Ref]*4),0)</f>
        <v>87.530774160000007</v>
      </c>
      <c r="AQ292" s="78">
        <f>Tabela3[Lucro Distribuir]/Tabela3[Total Ações]</f>
        <v>0.4037437157290647</v>
      </c>
      <c r="AR292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0.10093592893226618</v>
      </c>
      <c r="AS292" s="15" t="str">
        <f>IF(AND(Tabela3[% A.A.]&gt;=6%,SUMPRODUCT(N(Tabela3[Nome]=Tabela3[[#This Row],[Nome]]),Tabela3[PL])&gt;0,Tabela3[Rentabilidade s/ PL]&gt;=Tabela3[Rentabilidade s/ PL Média]),"Sim","Não")</f>
        <v>Não</v>
      </c>
      <c r="AT292" s="42">
        <f>IF(Tabela3[Cotação]&gt;0,Tabela3[[#This Row],[Lucro]]/Tabela3[[#This Row],[Cotação]],0)</f>
        <v>2.0349985671827856E-3</v>
      </c>
      <c r="AU292" s="19">
        <f>((1+Tabela3[[#This Row],[% Yield]])^(1/(3*Tabela3[[#This Row],[Ref]])))^(12)-1</f>
        <v>2.7142512780218286E-3</v>
      </c>
      <c r="AV292" s="14">
        <f>IF(Tabela3[Cotação]&gt;0,($BD$1/Tabela3[[#This Row],[Cotação]]-MOD($BD$1/Tabela3[[#This Row],[Cotação]],100)),)</f>
        <v>0</v>
      </c>
      <c r="AW292" s="17">
        <f>Tabela3[[#This Row],[Ativos]]*Tabela3[Lucro]</f>
        <v>0</v>
      </c>
      <c r="AX292" s="5">
        <f>SUMPRODUCT(N(Tabela1[Código]=Tabela3[[#This Row],[PAPEL]]),Tabela1[Fechamento])</f>
        <v>49.6</v>
      </c>
      <c r="AY292" s="5">
        <f>SUMPRODUCT(N(Tabela17[Código]=Tabela3[[#This Row],[PAPEL]]),Tabela17[Fechamento])</f>
        <v>0</v>
      </c>
      <c r="AZ292" s="7">
        <f>SUMPRODUCT(N(Tabela176[Código]=Tabela3[[#This Row],[PAPEL]]),Tabela176[Fechamento])</f>
        <v>0</v>
      </c>
      <c r="BA292" s="7">
        <f>SUMPRODUCT(N(Tabela1768[Código]=Tabela3[[#This Row],[PAPEL]]),Tabela1768[Fechamento])</f>
        <v>0</v>
      </c>
      <c r="BB292" s="7">
        <f>SUMPRODUCT(N(Tabela17683[Código]=Tabela3[[#This Row],[PAPEL]]),Tabela17683[Fechamento])</f>
        <v>0</v>
      </c>
    </row>
    <row r="293" spans="1:54" hidden="1" x14ac:dyDescent="0.2">
      <c r="A293" s="3" t="s">
        <v>935</v>
      </c>
      <c r="B293" s="58" t="s">
        <v>936</v>
      </c>
      <c r="C293" s="16" t="str">
        <f>LEFT(Tabela3[PAPEL],LEN(Tabela3[PAPEL])-(LEN(Tabela3[PAPEL])-4))</f>
        <v>CEDO</v>
      </c>
      <c r="D293" s="16">
        <v>3</v>
      </c>
      <c r="E293" s="5">
        <v>150000000</v>
      </c>
      <c r="F293" s="56">
        <v>5707104</v>
      </c>
      <c r="G293" s="81">
        <v>0.25</v>
      </c>
      <c r="H293" s="87"/>
      <c r="J293" s="18"/>
      <c r="K293" s="16"/>
      <c r="L293" s="87"/>
      <c r="M293" s="54"/>
      <c r="N293" s="54"/>
      <c r="O293" s="54"/>
      <c r="P293" s="91">
        <v>305163000</v>
      </c>
      <c r="Q293" s="73">
        <v>10263000</v>
      </c>
      <c r="R293" s="73">
        <f>IF(Tabela3[[#This Row],[Ativo || Passivo]]&gt;0,Tabela3[[#This Row],[Ativo || Passivo]]-Tabela3[[#This Row],[Patrimônio Líquido]],0)</f>
        <v>0</v>
      </c>
      <c r="S293" s="73">
        <f>Tabela3[[#This Row],[Cotação]]*Tabela3[[#This Row],[Total Ações]]</f>
        <v>115000000</v>
      </c>
      <c r="T293" s="37">
        <f>IF(Tabela3[[#This Row],[Passivo Circulante]]&gt;0,Tabela3[[#This Row],[Ativo Circulante]]/Tabela3[[#This Row],[Passivo Circulante]],0)</f>
        <v>0</v>
      </c>
      <c r="U293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93" s="18">
        <f>IF(Tabela3[[#This Row],[Lucro Líquido]]&gt;0,Tabela3[[#This Row],[Lucro Líquido]]/Tabela3[[#This Row],[Patrimônio Líquido]],0)</f>
        <v>3.3631206928756111E-2</v>
      </c>
      <c r="W293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93" s="18">
        <f>IF(Tabela3[[#This Row],[Dívida]]&gt;0,Tabela3[[#This Row],[Dívida]]/Tabela3[[#This Row],[Patrimônio Líquido]],0)</f>
        <v>0</v>
      </c>
      <c r="Y293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93" s="7">
        <f>Tabela3[[#This Row],[Capital Social]]*20%</f>
        <v>30000000</v>
      </c>
      <c r="AA293" s="47">
        <f>IF((Tabela3[Lucro Líquido]*5%)&gt;Tabela3[Teto R. Legal],Tabela3[Teto R. Legal],Tabela3[Lucro Líquido]*5%)</f>
        <v>513150</v>
      </c>
      <c r="AB293" s="47">
        <f>IF(Tabela3[Lucro Líquido]&lt;0,0,Tabela3[Lucro Líquido]-Tabela3[Reserva Legal])</f>
        <v>9749850</v>
      </c>
      <c r="AC293" s="47">
        <f>Tabela3[[#This Row],[Lucro Distribuir]]*Tabela3[%Div]</f>
        <v>2437462.5</v>
      </c>
      <c r="AD293" s="56">
        <f>SUMPRODUCT(N(Tabela3[Nome]=Tabela3[[#This Row],[Nome]]),Tabela3[Ações])</f>
        <v>10000000</v>
      </c>
      <c r="AE293" s="85">
        <f>Tabela3[Capital Social]/Tabela3[Total Ações]</f>
        <v>15</v>
      </c>
      <c r="AF293" s="85">
        <f>Tabela3[[#This Row],[Lucro Líquido]]/Tabela3[[#This Row],[Total Ações]]</f>
        <v>1.0263</v>
      </c>
      <c r="AG293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0.24374625</v>
      </c>
      <c r="AH293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93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93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0.24374625</v>
      </c>
      <c r="AK293" s="7">
        <f>Tabela3[Div Base]*Tabela3[Ações]</f>
        <v>1391085.19836</v>
      </c>
      <c r="AL293" s="7">
        <f>SUMPRODUCT(N(Tabela3[Nome]=Tabela3[[#This Row],[Nome]]),Tabela3[Div Base]*Tabela3[Ações])</f>
        <v>2437462.5</v>
      </c>
      <c r="AM293" s="5">
        <f>Tabela3[Patrimônio Líquido]/Tabela3[Total Ações]</f>
        <v>30.516300000000001</v>
      </c>
      <c r="AN293" s="52">
        <f>MAX(Tabela3[[#This Row],[Cotação 1]:[Cotação 5]])</f>
        <v>11.5</v>
      </c>
      <c r="AO293" s="53">
        <f>Tabela3[Cotação]/Tabela3[VPA]</f>
        <v>0.376847782988108</v>
      </c>
      <c r="AP293" s="37">
        <f>IF(Tabela3[[#This Row],[Lucro/Ação]]&gt;0,Tabela3[[#This Row],[Cotação]]/(Tabela3[[#This Row],[Lucro/Ação]]/Tabela3[Ref]*4),0)</f>
        <v>8.4039754457760889</v>
      </c>
      <c r="AQ293" s="85">
        <f>Tabela3[Lucro Distribuir]/Tabela3[Total Ações]</f>
        <v>0.97498499999999999</v>
      </c>
      <c r="AR293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0.24374625</v>
      </c>
      <c r="AS293" s="10" t="str">
        <f>IF(AND(Tabela3[% A.A.]&gt;=6%,SUMPRODUCT(N(Tabela3[Nome]=Tabela3[[#This Row],[Nome]]),Tabela3[PL])&gt;0,Tabela3[Rentabilidade s/ PL]&gt;=Tabela3[Rentabilidade s/ PL Média]),"Sim","Não")</f>
        <v>Não</v>
      </c>
      <c r="AT293" s="22">
        <f>IF(Tabela3[Cotação]&gt;0,Tabela3[[#This Row],[Lucro]]/Tabela3[[#This Row],[Cotação]],0)</f>
        <v>2.1195326086956522E-2</v>
      </c>
      <c r="AU293" s="22">
        <f>((1+Tabela3[[#This Row],[% Yield]])^(1/(3*Tabela3[[#This Row],[Ref]])))^(12)-1</f>
        <v>2.8359800196967155E-2</v>
      </c>
      <c r="AV293" s="10">
        <f>IF(Tabela3[Cotação]&gt;0,($BH$1/Tabela3[[#This Row],[Cotação]]-MOD($BH$1/Tabela3[[#This Row],[Cotação]],100)),)</f>
        <v>0</v>
      </c>
      <c r="AW293" s="7">
        <f>Tabela3[[#This Row],[Ativos]]*Tabela3[Lucro]</f>
        <v>0</v>
      </c>
      <c r="AX293" s="7">
        <f>SUMPRODUCT(N(Tabela1[Código]=Tabela3[[#This Row],[PAPEL]]),Tabela1[Fechamento])</f>
        <v>0</v>
      </c>
      <c r="AY293" s="7">
        <f>SUMPRODUCT(N(Tabela17[Código]=Tabela3[[#This Row],[PAPEL]]),Tabela17[Fechamento])</f>
        <v>0</v>
      </c>
      <c r="AZ293" s="7">
        <f>SUMPRODUCT(N(Tabela176[Código]=Tabela3[[#This Row],[PAPEL]]),Tabela176[Fechamento])</f>
        <v>0</v>
      </c>
      <c r="BA293" s="7">
        <f>SUMPRODUCT(N(Tabela1768[Código]=Tabela3[[#This Row],[PAPEL]]),Tabela1768[Fechamento])</f>
        <v>11.5</v>
      </c>
      <c r="BB293" s="7">
        <f>SUMPRODUCT(N(Tabela17683[Código]=Tabela3[[#This Row],[PAPEL]]),Tabela17683[Fechamento])</f>
        <v>0</v>
      </c>
    </row>
    <row r="294" spans="1:54" hidden="1" x14ac:dyDescent="0.2">
      <c r="A294" s="3" t="s">
        <v>935</v>
      </c>
      <c r="B294" s="58" t="s">
        <v>937</v>
      </c>
      <c r="C294" s="16" t="str">
        <f>LEFT(Tabela3[PAPEL],LEN(Tabela3[PAPEL])-(LEN(Tabela3[PAPEL])-4))</f>
        <v>CEDO</v>
      </c>
      <c r="D294" s="16">
        <v>3</v>
      </c>
      <c r="E294" s="5">
        <v>150000000</v>
      </c>
      <c r="F294" s="56">
        <v>4292896</v>
      </c>
      <c r="G294" s="81">
        <v>0.25</v>
      </c>
      <c r="H294" s="87"/>
      <c r="J294" s="18"/>
      <c r="K294" s="16"/>
      <c r="L294" s="87"/>
      <c r="M294" s="54"/>
      <c r="N294" s="54"/>
      <c r="O294" s="54"/>
      <c r="P294" s="91">
        <v>305163000</v>
      </c>
      <c r="Q294" s="73">
        <v>10263000</v>
      </c>
      <c r="R294" s="73">
        <f>IF(Tabela3[[#This Row],[Ativo || Passivo]]&gt;0,Tabela3[[#This Row],[Ativo || Passivo]]-Tabela3[[#This Row],[Patrimônio Líquido]],0)</f>
        <v>0</v>
      </c>
      <c r="S294" s="73">
        <f>Tabela3[[#This Row],[Cotação]]*Tabela3[[#This Row],[Total Ações]]</f>
        <v>111000000</v>
      </c>
      <c r="T294" s="37">
        <f>IF(Tabela3[[#This Row],[Passivo Circulante]]&gt;0,Tabela3[[#This Row],[Ativo Circulante]]/Tabela3[[#This Row],[Passivo Circulante]],0)</f>
        <v>0</v>
      </c>
      <c r="U294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94" s="18">
        <f>IF(Tabela3[[#This Row],[Lucro Líquido]]&gt;0,Tabela3[[#This Row],[Lucro Líquido]]/Tabela3[[#This Row],[Patrimônio Líquido]],0)</f>
        <v>3.3631206928756111E-2</v>
      </c>
      <c r="W294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94" s="18">
        <f>IF(Tabela3[[#This Row],[Dívida]]&gt;0,Tabela3[[#This Row],[Dívida]]/Tabela3[[#This Row],[Patrimônio Líquido]],0)</f>
        <v>0</v>
      </c>
      <c r="Y294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94" s="7">
        <f>Tabela3[[#This Row],[Capital Social]]*20%</f>
        <v>30000000</v>
      </c>
      <c r="AA294" s="47">
        <f>IF((Tabela3[Lucro Líquido]*5%)&gt;Tabela3[Teto R. Legal],Tabela3[Teto R. Legal],Tabela3[Lucro Líquido]*5%)</f>
        <v>513150</v>
      </c>
      <c r="AB294" s="47">
        <f>IF(Tabela3[Lucro Líquido]&lt;0,0,Tabela3[Lucro Líquido]-Tabela3[Reserva Legal])</f>
        <v>9749850</v>
      </c>
      <c r="AC294" s="47">
        <f>Tabela3[[#This Row],[Lucro Distribuir]]*Tabela3[%Div]</f>
        <v>2437462.5</v>
      </c>
      <c r="AD294" s="56">
        <f>SUMPRODUCT(N(Tabela3[Nome]=Tabela3[[#This Row],[Nome]]),Tabela3[Ações])</f>
        <v>10000000</v>
      </c>
      <c r="AE294" s="85">
        <f>Tabela3[Capital Social]/Tabela3[Total Ações]</f>
        <v>15</v>
      </c>
      <c r="AF294" s="85">
        <f>Tabela3[[#This Row],[Lucro Líquido]]/Tabela3[[#This Row],[Total Ações]]</f>
        <v>1.0263</v>
      </c>
      <c r="AG294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0.24374625</v>
      </c>
      <c r="AH294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94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94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0.24374625</v>
      </c>
      <c r="AK294" s="7">
        <f>Tabela3[Div Base]*Tabela3[Ações]</f>
        <v>1046377.30164</v>
      </c>
      <c r="AL294" s="7">
        <f>SUMPRODUCT(N(Tabela3[Nome]=Tabela3[[#This Row],[Nome]]),Tabela3[Div Base]*Tabela3[Ações])</f>
        <v>2437462.5</v>
      </c>
      <c r="AM294" s="5">
        <f>Tabela3[Patrimônio Líquido]/Tabela3[Total Ações]</f>
        <v>30.516300000000001</v>
      </c>
      <c r="AN294" s="52">
        <f>MAX(Tabela3[[#This Row],[Cotação 1]:[Cotação 5]])</f>
        <v>11.1</v>
      </c>
      <c r="AO294" s="53">
        <f>Tabela3[Cotação]/Tabela3[VPA]</f>
        <v>0.36374003401460858</v>
      </c>
      <c r="AP294" s="37">
        <f>IF(Tabela3[[#This Row],[Lucro/Ação]]&gt;0,Tabela3[[#This Row],[Cotação]]/(Tabela3[[#This Row],[Lucro/Ação]]/Tabela3[Ref]*4),0)</f>
        <v>8.1116632563577902</v>
      </c>
      <c r="AQ294" s="85">
        <f>Tabela3[Lucro Distribuir]/Tabela3[Total Ações]</f>
        <v>0.97498499999999999</v>
      </c>
      <c r="AR294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0.24374625</v>
      </c>
      <c r="AS294" s="10" t="str">
        <f>IF(AND(Tabela3[% A.A.]&gt;=6%,SUMPRODUCT(N(Tabela3[Nome]=Tabela3[[#This Row],[Nome]]),Tabela3[PL])&gt;0,Tabela3[Rentabilidade s/ PL]&gt;=Tabela3[Rentabilidade s/ PL Média]),"Sim","Não")</f>
        <v>Não</v>
      </c>
      <c r="AT294" s="22">
        <f>IF(Tabela3[Cotação]&gt;0,Tabela3[[#This Row],[Lucro]]/Tabela3[[#This Row],[Cotação]],0)</f>
        <v>2.1959121621621624E-2</v>
      </c>
      <c r="AU294" s="22">
        <f>((1+Tabela3[[#This Row],[% Yield]])^(1/(3*Tabela3[[#This Row],[Ref]])))^(12)-1</f>
        <v>2.9385466883620426E-2</v>
      </c>
      <c r="AV294" s="10">
        <f>IF(Tabela3[Cotação]&gt;0,($BH$1/Tabela3[[#This Row],[Cotação]]-MOD($BH$1/Tabela3[[#This Row],[Cotação]],100)),)</f>
        <v>0</v>
      </c>
      <c r="AW294" s="7">
        <f>Tabela3[[#This Row],[Ativos]]*Tabela3[Lucro]</f>
        <v>0</v>
      </c>
      <c r="AX294" s="7">
        <f>SUMPRODUCT(N(Tabela1[Código]=Tabela3[[#This Row],[PAPEL]]),Tabela1[Fechamento])</f>
        <v>0</v>
      </c>
      <c r="AY294" s="7">
        <f>SUMPRODUCT(N(Tabela17[Código]=Tabela3[[#This Row],[PAPEL]]),Tabela17[Fechamento])</f>
        <v>0</v>
      </c>
      <c r="AZ294" s="7">
        <f>SUMPRODUCT(N(Tabela176[Código]=Tabela3[[#This Row],[PAPEL]]),Tabela176[Fechamento])</f>
        <v>0</v>
      </c>
      <c r="BA294" s="7">
        <f>SUMPRODUCT(N(Tabela1768[Código]=Tabela3[[#This Row],[PAPEL]]),Tabela1768[Fechamento])</f>
        <v>11.1</v>
      </c>
      <c r="BB294" s="7">
        <f>SUMPRODUCT(N(Tabela17683[Código]=Tabela3[[#This Row],[PAPEL]]),Tabela17683[Fechamento])</f>
        <v>0</v>
      </c>
    </row>
    <row r="295" spans="1:54" hidden="1" x14ac:dyDescent="0.2">
      <c r="A295" s="4" t="s">
        <v>12</v>
      </c>
      <c r="B295" s="57" t="s">
        <v>67</v>
      </c>
      <c r="C295" s="82" t="str">
        <f>LEFT(Tabela3[PAPEL],LEN(Tabela3[PAPEL])-(LEN(Tabela3[PAPEL])-4))</f>
        <v>AELP</v>
      </c>
      <c r="D295" s="15">
        <v>3</v>
      </c>
      <c r="E295" s="6">
        <v>958781908.12</v>
      </c>
      <c r="F295" s="8">
        <v>95061053</v>
      </c>
      <c r="G295" s="81">
        <v>0.25</v>
      </c>
      <c r="H295" s="15"/>
      <c r="I295" s="19"/>
      <c r="J295" s="19"/>
      <c r="K295" s="88"/>
      <c r="L295" s="88"/>
      <c r="M295" s="55">
        <v>1496959000</v>
      </c>
      <c r="N295" s="55">
        <v>22542000</v>
      </c>
      <c r="O295" s="55">
        <v>2231000</v>
      </c>
      <c r="P295" s="89">
        <v>1476720000</v>
      </c>
      <c r="Q295" s="89">
        <v>48170000</v>
      </c>
      <c r="R295" s="89">
        <f>IF(Tabela3[[#This Row],[Ativo || Passivo]]&gt;0,Tabela3[[#This Row],[Ativo || Passivo]]-Tabela3[[#This Row],[Patrimônio Líquido]],0)</f>
        <v>20239000</v>
      </c>
      <c r="S295" s="89">
        <f>Tabela3[[#This Row],[Cotação]]*Tabela3[[#This Row],[Total Ações]]</f>
        <v>681587750.00999999</v>
      </c>
      <c r="T295" s="134">
        <f>IF(Tabela3[[#This Row],[Passivo Circulante]]&gt;0,Tabela3[[#This Row],[Ativo Circulante]]/Tabela3[[#This Row],[Passivo Circulante]],0)</f>
        <v>10.103989242492156</v>
      </c>
      <c r="U295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95" s="19">
        <f>IF(Tabela3[[#This Row],[Lucro Líquido]]&gt;0,Tabela3[[#This Row],[Lucro Líquido]]/Tabela3[[#This Row],[Patrimônio Líquido]],0)</f>
        <v>3.2619589360203698E-2</v>
      </c>
      <c r="W295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95" s="19">
        <f>IF(Tabela3[[#This Row],[Dívida]]&gt;0,Tabela3[[#This Row],[Dívida]]/Tabela3[[#This Row],[Patrimônio Líquido]],0)</f>
        <v>1.3705374072268271E-2</v>
      </c>
      <c r="Y295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95" s="6">
        <f>Tabela3[[#This Row],[Capital Social]]*20%</f>
        <v>191756381.62400001</v>
      </c>
      <c r="AA295" s="6">
        <f>IF((Tabela3[Lucro Líquido]*5%)&gt;Tabela3[Teto R. Legal],Tabela3[Teto R. Legal],Tabela3[Lucro Líquido]*5%)</f>
        <v>2408500</v>
      </c>
      <c r="AB295" s="89">
        <f>IF(Tabela3[Lucro Líquido]&lt;0,0,Tabela3[Lucro Líquido]-Tabela3[Reserva Legal])</f>
        <v>45761500</v>
      </c>
      <c r="AC295" s="89">
        <f>Tabela3[[#This Row],[Lucro Distribuir]]*Tabela3[%Div]</f>
        <v>11440375</v>
      </c>
      <c r="AD295" s="56">
        <f>SUMPRODUCT(N(Tabela3[Nome]=Tabela3[[#This Row],[Nome]]),Tabela3[Ações])</f>
        <v>95061053</v>
      </c>
      <c r="AE295" s="6">
        <f>Tabela3[Capital Social]/Tabela3[Total Ações]</f>
        <v>10.085959263674473</v>
      </c>
      <c r="AF295" s="78">
        <f>Tabela3[[#This Row],[Lucro Líquido]]/Tabela3[[#This Row],[Total Ações]]</f>
        <v>0.50672697681983392</v>
      </c>
      <c r="AG295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0.12034765699471055</v>
      </c>
      <c r="AH295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95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95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0.12034765699471055</v>
      </c>
      <c r="AK295" s="6">
        <f>Tabela3[Div Base]*Tabela3[Ações]</f>
        <v>11440375</v>
      </c>
      <c r="AL295" s="6">
        <f>SUMPRODUCT(N(Tabela3[Nome]=Tabela3[[#This Row],[Nome]]),Tabela3[Div Base]*Tabela3[Ações])</f>
        <v>11440375</v>
      </c>
      <c r="AM295" s="6">
        <f>Tabela3[Patrimônio Líquido]/Tabela3[Total Ações]</f>
        <v>15.53443764188053</v>
      </c>
      <c r="AN295" s="48">
        <f>MAX(Tabela3[[#This Row],[Cotação 1]:[Cotação 5]])</f>
        <v>7.17</v>
      </c>
      <c r="AO295" s="44">
        <f>Tabela3[Cotação]/Tabela3[VPA]</f>
        <v>0.46155516957175358</v>
      </c>
      <c r="AP295" s="40">
        <f>IF(Tabela3[[#This Row],[Lucro/Ação]]&gt;0,Tabela3[[#This Row],[Cotação]]/(Tabela3[[#This Row],[Lucro/Ação]]/Tabela3[Ref]*4),0)</f>
        <v>10.612223635198255</v>
      </c>
      <c r="AQ295" s="78">
        <f>Tabela3[Lucro Distribuir]/Tabela3[Total Ações]</f>
        <v>0.48139062797884219</v>
      </c>
      <c r="AR295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0.12034765699471055</v>
      </c>
      <c r="AS295" s="14" t="str">
        <f>IF(AND(Tabela3[% A.A.]&gt;=6%,SUMPRODUCT(N(Tabela3[Nome]=Tabela3[[#This Row],[Nome]]),Tabela3[PL])&gt;0,Tabela3[Rentabilidade s/ PL]&gt;=Tabela3[Rentabilidade s/ PL Média]),"Sim","Não")</f>
        <v>Não</v>
      </c>
      <c r="AT295" s="42">
        <f>IF(Tabela3[Cotação]&gt;0,Tabela3[[#This Row],[Lucro]]/Tabela3[[#This Row],[Cotação]],0)</f>
        <v>1.678488939954122E-2</v>
      </c>
      <c r="AU295" s="19">
        <f>((1+Tabela3[[#This Row],[% Yield]])^(1/(3*Tabela3[[#This Row],[Ref]])))^(12)-1</f>
        <v>2.2442227852955021E-2</v>
      </c>
      <c r="AV295" s="14">
        <f>IF(Tabela3[Cotação]&gt;0,($BH$1/Tabela3[[#This Row],[Cotação]]-MOD($BH$1/Tabela3[[#This Row],[Cotação]],100)),)</f>
        <v>0</v>
      </c>
      <c r="AW295" s="17">
        <f>Tabela3[[#This Row],[Ativos]]*Tabela3[Lucro]</f>
        <v>0</v>
      </c>
      <c r="AX295" s="5">
        <f>SUMPRODUCT(N(Tabela1[Código]=Tabela3[[#This Row],[PAPEL]]),Tabela1[Fechamento])</f>
        <v>7.17</v>
      </c>
      <c r="AY295" s="5">
        <f>SUMPRODUCT(N(Tabela17[Código]=Tabela3[[#This Row],[PAPEL]]),Tabela17[Fechamento])</f>
        <v>0</v>
      </c>
      <c r="AZ295" s="7">
        <f>SUMPRODUCT(N(Tabela176[Código]=Tabela3[[#This Row],[PAPEL]]),Tabela176[Fechamento])</f>
        <v>0</v>
      </c>
      <c r="BA295" s="7">
        <f>SUMPRODUCT(N(Tabela1768[Código]=Tabela3[[#This Row],[PAPEL]]),Tabela1768[Fechamento])</f>
        <v>0</v>
      </c>
      <c r="BB295" s="7">
        <f>SUMPRODUCT(N(Tabela17683[Código]=Tabela3[[#This Row],[PAPEL]]),Tabela17683[Fechamento])</f>
        <v>0</v>
      </c>
    </row>
    <row r="296" spans="1:54" hidden="1" x14ac:dyDescent="0.2">
      <c r="A296" s="3" t="s">
        <v>1297</v>
      </c>
      <c r="B296" s="58" t="s">
        <v>1312</v>
      </c>
      <c r="C296" s="16" t="str">
        <f>LEFT(Tabela3[PAPEL],LEN(Tabela3[PAPEL])-(LEN(Tabela3[PAPEL])-4))</f>
        <v>LHER</v>
      </c>
      <c r="D296" s="16">
        <v>3</v>
      </c>
      <c r="E296" s="5">
        <v>17359611.57</v>
      </c>
      <c r="F296" s="56">
        <v>46272</v>
      </c>
      <c r="G296" s="81">
        <v>0.25</v>
      </c>
      <c r="H296" s="87"/>
      <c r="J296" s="18"/>
      <c r="K296" s="16"/>
      <c r="L296" s="87"/>
      <c r="M296" s="54"/>
      <c r="N296" s="54"/>
      <c r="O296" s="54"/>
      <c r="P296" s="91">
        <v>4004000</v>
      </c>
      <c r="Q296" s="73">
        <v>130000</v>
      </c>
      <c r="R296" s="73">
        <f>IF(Tabela3[[#This Row],[Ativo || Passivo]]&gt;0,Tabela3[[#This Row],[Ativo || Passivo]]-Tabela3[[#This Row],[Patrimônio Líquido]],0)</f>
        <v>0</v>
      </c>
      <c r="S296" s="73">
        <f>Tabela3[[#This Row],[Cotação]]*Tabela3[[#This Row],[Total Ações]]</f>
        <v>0</v>
      </c>
      <c r="T296" s="37">
        <f>IF(Tabela3[[#This Row],[Passivo Circulante]]&gt;0,Tabela3[[#This Row],[Ativo Circulante]]/Tabela3[[#This Row],[Passivo Circulante]],0)</f>
        <v>0</v>
      </c>
      <c r="U296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96" s="18">
        <f>IF(Tabela3[[#This Row],[Lucro Líquido]]&gt;0,Tabela3[[#This Row],[Lucro Líquido]]/Tabela3[[#This Row],[Patrimônio Líquido]],0)</f>
        <v>3.2467532467532464E-2</v>
      </c>
      <c r="W296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96" s="18">
        <f>IF(Tabela3[[#This Row],[Dívida]]&gt;0,Tabela3[[#This Row],[Dívida]]/Tabela3[[#This Row],[Patrimônio Líquido]],0)</f>
        <v>0</v>
      </c>
      <c r="Y296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96" s="7">
        <f>Tabela3[[#This Row],[Capital Social]]*20%</f>
        <v>3471922.3140000002</v>
      </c>
      <c r="AA296" s="47">
        <f>IF((Tabela3[Lucro Líquido]*5%)&gt;Tabela3[Teto R. Legal],Tabela3[Teto R. Legal],Tabela3[Lucro Líquido]*5%)</f>
        <v>6500</v>
      </c>
      <c r="AB296" s="47">
        <f>IF(Tabela3[Lucro Líquido]&lt;0,0,Tabela3[Lucro Líquido]-Tabela3[Reserva Legal])</f>
        <v>123500</v>
      </c>
      <c r="AC296" s="47">
        <f>Tabela3[[#This Row],[Lucro Distribuir]]*Tabela3[%Div]</f>
        <v>30875</v>
      </c>
      <c r="AD296" s="56">
        <f>SUMPRODUCT(N(Tabela3[Nome]=Tabela3[[#This Row],[Nome]]),Tabela3[Ações])</f>
        <v>131055</v>
      </c>
      <c r="AE296" s="85">
        <f>Tabela3[Capital Social]/Tabela3[Total Ações]</f>
        <v>132.46050566556028</v>
      </c>
      <c r="AF296" s="85">
        <f>Tabela3[[#This Row],[Lucro Líquido]]/Tabela3[[#This Row],[Total Ações]]</f>
        <v>0.99194994467971465</v>
      </c>
      <c r="AG296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0.23558811186143222</v>
      </c>
      <c r="AH296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96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96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0.23558811186143222</v>
      </c>
      <c r="AK296" s="7">
        <f>Tabela3[Div Base]*Tabela3[Ações]</f>
        <v>10901.133112052192</v>
      </c>
      <c r="AL296" s="121">
        <f>SUMPRODUCT(N(Tabela3[Nome]=Tabela3[[#This Row],[Nome]]),Tabela3[Div Base]*Tabela3[Ações])</f>
        <v>30875</v>
      </c>
      <c r="AM296" s="5">
        <f>Tabela3[Patrimônio Líquido]/Tabela3[Total Ações]</f>
        <v>30.552058296135211</v>
      </c>
      <c r="AN296" s="52">
        <f>MAX(Tabela3[[#This Row],[Cotação 1]:[Cotação 5]])</f>
        <v>0</v>
      </c>
      <c r="AO296" s="53">
        <f>Tabela3[Cotação]/Tabela3[VPA]</f>
        <v>0</v>
      </c>
      <c r="AP296" s="37">
        <f>IF(Tabela3[[#This Row],[Lucro/Ação]]&gt;0,Tabela3[[#This Row],[Cotação]]/(Tabela3[[#This Row],[Lucro/Ação]]/Tabela3[Ref]*4),0)</f>
        <v>0</v>
      </c>
      <c r="AQ296" s="85">
        <f>Tabela3[Lucro Distribuir]/Tabela3[Total Ações]</f>
        <v>0.94235244744572888</v>
      </c>
      <c r="AR296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0.23558811186143222</v>
      </c>
      <c r="AS296" s="10" t="str">
        <f>IF(AND(Tabela3[% A.A.]&gt;=6%,SUMPRODUCT(N(Tabela3[Nome]=Tabela3[[#This Row],[Nome]]),Tabela3[PL])&gt;0,Tabela3[Rentabilidade s/ PL]&gt;=Tabela3[Rentabilidade s/ PL Média]),"Sim","Não")</f>
        <v>Não</v>
      </c>
      <c r="AT296" s="22">
        <f>IF(Tabela3[Cotação]&gt;0,Tabela3[[#This Row],[Lucro]]/Tabela3[[#This Row],[Cotação]],0)</f>
        <v>0</v>
      </c>
      <c r="AU296" s="22">
        <f>((1+Tabela3[[#This Row],[% Yield]])^(1/(3*Tabela3[[#This Row],[Ref]])))^(12)-1</f>
        <v>0</v>
      </c>
      <c r="AV296" s="10">
        <f>IF(Tabela3[Cotação]&gt;0,($BD$1/Tabela3[[#This Row],[Cotação]]-MOD($BD$1/Tabela3[[#This Row],[Cotação]],100)),)</f>
        <v>0</v>
      </c>
      <c r="AW296" s="7">
        <f>Tabela3[[#This Row],[Ativos]]*Tabela3[Lucro]</f>
        <v>0</v>
      </c>
      <c r="AX296" s="7">
        <f>SUMPRODUCT(N(Tabela1[Código]=Tabela3[[#This Row],[PAPEL]]),Tabela1[Fechamento])</f>
        <v>0</v>
      </c>
      <c r="AY296" s="7">
        <f>SUMPRODUCT(N(Tabela17[Código]=Tabela3[[#This Row],[PAPEL]]),Tabela17[Fechamento])</f>
        <v>0</v>
      </c>
      <c r="AZ296" s="7">
        <f>SUMPRODUCT(N(Tabela176[Código]=Tabela3[[#This Row],[PAPEL]]),Tabela176[Fechamento])</f>
        <v>0</v>
      </c>
      <c r="BA296" s="7">
        <f>SUMPRODUCT(N(Tabela1768[Código]=Tabela3[[#This Row],[PAPEL]]),Tabela1768[Fechamento])</f>
        <v>0</v>
      </c>
      <c r="BB296" s="7">
        <f>SUMPRODUCT(N(Tabela17683[Código]=Tabela3[[#This Row],[PAPEL]]),Tabela17683[Fechamento])</f>
        <v>0</v>
      </c>
    </row>
    <row r="297" spans="1:54" hidden="1" x14ac:dyDescent="0.2">
      <c r="A297" s="3" t="s">
        <v>1297</v>
      </c>
      <c r="B297" s="58" t="s">
        <v>1313</v>
      </c>
      <c r="C297" s="16" t="str">
        <f>LEFT(Tabela3[PAPEL],LEN(Tabela3[PAPEL])-(LEN(Tabela3[PAPEL])-4))</f>
        <v>LHER</v>
      </c>
      <c r="D297" s="16">
        <v>3</v>
      </c>
      <c r="E297" s="5">
        <v>17359611.57</v>
      </c>
      <c r="F297" s="56">
        <v>84783</v>
      </c>
      <c r="G297" s="81">
        <v>0.25</v>
      </c>
      <c r="H297" s="87"/>
      <c r="J297" s="18"/>
      <c r="K297" s="16"/>
      <c r="L297" s="87"/>
      <c r="M297" s="54"/>
      <c r="N297" s="54"/>
      <c r="O297" s="54"/>
      <c r="P297" s="91">
        <v>4004000</v>
      </c>
      <c r="Q297" s="73">
        <v>130000</v>
      </c>
      <c r="R297" s="73">
        <f>IF(Tabela3[[#This Row],[Ativo || Passivo]]&gt;0,Tabela3[[#This Row],[Ativo || Passivo]]-Tabela3[[#This Row],[Patrimônio Líquido]],0)</f>
        <v>0</v>
      </c>
      <c r="S297" s="73">
        <f>Tabela3[[#This Row],[Cotação]]*Tabela3[[#This Row],[Total Ações]]</f>
        <v>8518575</v>
      </c>
      <c r="T297" s="37">
        <f>IF(Tabela3[[#This Row],[Passivo Circulante]]&gt;0,Tabela3[[#This Row],[Ativo Circulante]]/Tabela3[[#This Row],[Passivo Circulante]],0)</f>
        <v>0</v>
      </c>
      <c r="U297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97" s="18">
        <f>IF(Tabela3[[#This Row],[Lucro Líquido]]&gt;0,Tabela3[[#This Row],[Lucro Líquido]]/Tabela3[[#This Row],[Patrimônio Líquido]],0)</f>
        <v>3.2467532467532464E-2</v>
      </c>
      <c r="W297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97" s="18">
        <f>IF(Tabela3[[#This Row],[Dívida]]&gt;0,Tabela3[[#This Row],[Dívida]]/Tabela3[[#This Row],[Patrimônio Líquido]],0)</f>
        <v>0</v>
      </c>
      <c r="Y297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97" s="7">
        <f>Tabela3[[#This Row],[Capital Social]]*20%</f>
        <v>3471922.3140000002</v>
      </c>
      <c r="AA297" s="47">
        <f>IF((Tabela3[Lucro Líquido]*5%)&gt;Tabela3[Teto R. Legal],Tabela3[Teto R. Legal],Tabela3[Lucro Líquido]*5%)</f>
        <v>6500</v>
      </c>
      <c r="AB297" s="47">
        <f>IF(Tabela3[Lucro Líquido]&lt;0,0,Tabela3[Lucro Líquido]-Tabela3[Reserva Legal])</f>
        <v>123500</v>
      </c>
      <c r="AC297" s="47">
        <f>Tabela3[[#This Row],[Lucro Distribuir]]*Tabela3[%Div]</f>
        <v>30875</v>
      </c>
      <c r="AD297" s="56">
        <f>SUMPRODUCT(N(Tabela3[Nome]=Tabela3[[#This Row],[Nome]]),Tabela3[Ações])</f>
        <v>131055</v>
      </c>
      <c r="AE297" s="85">
        <f>Tabela3[Capital Social]/Tabela3[Total Ações]</f>
        <v>132.46050566556028</v>
      </c>
      <c r="AF297" s="85">
        <f>Tabela3[[#This Row],[Lucro Líquido]]/Tabela3[[#This Row],[Total Ações]]</f>
        <v>0.99194994467971465</v>
      </c>
      <c r="AG297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0.23558811186143222</v>
      </c>
      <c r="AH297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97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97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0.23558811186143222</v>
      </c>
      <c r="AK297" s="7">
        <f>Tabela3[Div Base]*Tabela3[Ações]</f>
        <v>19973.866887947806</v>
      </c>
      <c r="AL297" s="121">
        <f>SUMPRODUCT(N(Tabela3[Nome]=Tabela3[[#This Row],[Nome]]),Tabela3[Div Base]*Tabela3[Ações])</f>
        <v>30875</v>
      </c>
      <c r="AM297" s="5">
        <f>Tabela3[Patrimônio Líquido]/Tabela3[Total Ações]</f>
        <v>30.552058296135211</v>
      </c>
      <c r="AN297" s="52">
        <f>MAX(Tabela3[[#This Row],[Cotação 1]:[Cotação 5]])</f>
        <v>65</v>
      </c>
      <c r="AO297" s="53">
        <f>Tabela3[Cotação]/Tabela3[VPA]</f>
        <v>2.1275162337662339</v>
      </c>
      <c r="AP297" s="37">
        <f>IF(Tabela3[[#This Row],[Lucro/Ação]]&gt;0,Tabela3[[#This Row],[Cotação]]/(Tabela3[[#This Row],[Lucro/Ação]]/Tabela3[Ref]*4),0)</f>
        <v>49.145624999999995</v>
      </c>
      <c r="AQ297" s="85">
        <f>Tabela3[Lucro Distribuir]/Tabela3[Total Ações]</f>
        <v>0.94235244744572888</v>
      </c>
      <c r="AR297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0.23558811186143222</v>
      </c>
      <c r="AS297" s="10" t="str">
        <f>IF(AND(Tabela3[% A.A.]&gt;=6%,SUMPRODUCT(N(Tabela3[Nome]=Tabela3[[#This Row],[Nome]]),Tabela3[PL])&gt;0,Tabela3[Rentabilidade s/ PL]&gt;=Tabela3[Rentabilidade s/ PL Média]),"Sim","Não")</f>
        <v>Não</v>
      </c>
      <c r="AT297" s="22">
        <f>IF(Tabela3[Cotação]&gt;0,Tabela3[[#This Row],[Lucro]]/Tabela3[[#This Row],[Cotação]],0)</f>
        <v>3.6244324901758803E-3</v>
      </c>
      <c r="AU297" s="22">
        <f>((1+Tabela3[[#This Row],[% Yield]])^(1/(3*Tabela3[[#This Row],[Ref]])))^(12)-1</f>
        <v>4.8354935305212621E-3</v>
      </c>
      <c r="AV297" s="10">
        <f>IF(Tabela3[Cotação]&gt;0,($BD$1/Tabela3[[#This Row],[Cotação]]-MOD($BD$1/Tabela3[[#This Row],[Cotação]],100)),)</f>
        <v>0</v>
      </c>
      <c r="AW297" s="7">
        <f>Tabela3[[#This Row],[Ativos]]*Tabela3[Lucro]</f>
        <v>0</v>
      </c>
      <c r="AX297" s="7">
        <f>SUMPRODUCT(N(Tabela1[Código]=Tabela3[[#This Row],[PAPEL]]),Tabela1[Fechamento])</f>
        <v>0</v>
      </c>
      <c r="AY297" s="7">
        <f>SUMPRODUCT(N(Tabela17[Código]=Tabela3[[#This Row],[PAPEL]]),Tabela17[Fechamento])</f>
        <v>0</v>
      </c>
      <c r="AZ297" s="7">
        <f>SUMPRODUCT(N(Tabela176[Código]=Tabela3[[#This Row],[PAPEL]]),Tabela176[Fechamento])</f>
        <v>0</v>
      </c>
      <c r="BA297" s="7">
        <f>SUMPRODUCT(N(Tabela1768[Código]=Tabela3[[#This Row],[PAPEL]]),Tabela1768[Fechamento])</f>
        <v>65</v>
      </c>
      <c r="BB297" s="7">
        <f>SUMPRODUCT(N(Tabela17683[Código]=Tabela3[[#This Row],[PAPEL]]),Tabela17683[Fechamento])</f>
        <v>0</v>
      </c>
    </row>
    <row r="298" spans="1:54" hidden="1" x14ac:dyDescent="0.2">
      <c r="A298" s="3" t="s">
        <v>833</v>
      </c>
      <c r="B298" s="58" t="s">
        <v>832</v>
      </c>
      <c r="C298" s="16" t="str">
        <f>LEFT(Tabela3[PAPEL],LEN(Tabela3[PAPEL])-(LEN(Tabela3[PAPEL])-4))</f>
        <v>RADL</v>
      </c>
      <c r="D298" s="16">
        <v>3</v>
      </c>
      <c r="E298" s="5">
        <v>908639254.57000005</v>
      </c>
      <c r="F298" s="56">
        <v>330386000</v>
      </c>
      <c r="G298" s="81">
        <v>0.25</v>
      </c>
      <c r="H298" s="87"/>
      <c r="J298" s="18"/>
      <c r="K298" s="16"/>
      <c r="L298" s="87"/>
      <c r="M298" s="54"/>
      <c r="N298" s="54"/>
      <c r="O298" s="54"/>
      <c r="P298" s="91">
        <v>2304867000</v>
      </c>
      <c r="Q298" s="73">
        <v>73167000</v>
      </c>
      <c r="R298" s="73">
        <f>IF(Tabela3[[#This Row],[Ativo || Passivo]]&gt;0,Tabela3[[#This Row],[Ativo || Passivo]]-Tabela3[[#This Row],[Patrimônio Líquido]],0)</f>
        <v>0</v>
      </c>
      <c r="S298" s="73">
        <f>Tabela3[[#This Row],[Cotação]]*Tabela3[[#This Row],[Total Ações]]</f>
        <v>4734431380</v>
      </c>
      <c r="T298" s="37">
        <f>IF(Tabela3[[#This Row],[Passivo Circulante]]&gt;0,Tabela3[[#This Row],[Ativo Circulante]]/Tabela3[[#This Row],[Passivo Circulante]],0)</f>
        <v>0</v>
      </c>
      <c r="U298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98" s="18">
        <f>IF(Tabela3[[#This Row],[Lucro Líquido]]&gt;0,Tabela3[[#This Row],[Lucro Líquido]]/Tabela3[[#This Row],[Patrimônio Líquido]],0)</f>
        <v>3.1744564870771284E-2</v>
      </c>
      <c r="W298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98" s="18">
        <f>IF(Tabela3[[#This Row],[Dívida]]&gt;0,Tabela3[[#This Row],[Dívida]]/Tabela3[[#This Row],[Patrimônio Líquido]],0)</f>
        <v>0</v>
      </c>
      <c r="Y298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98" s="7">
        <f>Tabela3[[#This Row],[Capital Social]]*20%</f>
        <v>181727850.91400003</v>
      </c>
      <c r="AA298" s="47">
        <f>IF((Tabela3[Lucro Líquido]*5%)&gt;Tabela3[Teto R. Legal],Tabela3[Teto R. Legal],Tabela3[Lucro Líquido]*5%)</f>
        <v>3658350</v>
      </c>
      <c r="AB298" s="47">
        <f>IF(Tabela3[Lucro Líquido]&lt;0,0,Tabela3[Lucro Líquido]-Tabela3[Reserva Legal])</f>
        <v>69508650</v>
      </c>
      <c r="AC298" s="47">
        <f>Tabela3[[#This Row],[Lucro Distribuir]]*Tabela3[%Div]</f>
        <v>17377162.5</v>
      </c>
      <c r="AD298" s="56">
        <f>SUMPRODUCT(N(Tabela3[Nome]=Tabela3[[#This Row],[Nome]]),Tabela3[Ações])</f>
        <v>330386000</v>
      </c>
      <c r="AE298" s="85">
        <f>Tabela3[Capital Social]/Tabela3[Total Ações]</f>
        <v>2.7502353446271939</v>
      </c>
      <c r="AF298" s="85">
        <f>Tabela3[[#This Row],[Lucro Líquido]]/Tabela3[[#This Row],[Total Ações]]</f>
        <v>0.22145914173118716</v>
      </c>
      <c r="AG298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5.259654616115695E-2</v>
      </c>
      <c r="AH298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98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98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5.259654616115695E-2</v>
      </c>
      <c r="AK298" s="7">
        <f>Tabela3[Div Base]*Tabela3[Ações]</f>
        <v>17377162.5</v>
      </c>
      <c r="AL298" s="7">
        <f>SUMPRODUCT(N(Tabela3[Nome]=Tabela3[[#This Row],[Nome]]),Tabela3[Div Base]*Tabela3[Ações])</f>
        <v>17377162.5</v>
      </c>
      <c r="AM298" s="5">
        <f>Tabela3[Patrimônio Líquido]/Tabela3[Total Ações]</f>
        <v>6.9762853147530466</v>
      </c>
      <c r="AN298" s="52">
        <f>MAX(Tabela3[[#This Row],[Cotação 1]:[Cotação 5]])</f>
        <v>14.33</v>
      </c>
      <c r="AO298" s="53">
        <f>Tabela3[Cotação]/Tabela3[VPA]</f>
        <v>2.0541017681280525</v>
      </c>
      <c r="AP298" s="37">
        <f>IF(Tabela3[[#This Row],[Lucro/Ação]]&gt;0,Tabela3[[#This Row],[Cotação]]/(Tabela3[[#This Row],[Lucro/Ação]]/Tabela3[Ref]*4),0)</f>
        <v>48.530396695231452</v>
      </c>
      <c r="AQ298" s="85">
        <f>Tabela3[Lucro Distribuir]/Tabela3[Total Ações]</f>
        <v>0.2103861846446278</v>
      </c>
      <c r="AR298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5.259654616115695E-2</v>
      </c>
      <c r="AS298" s="10" t="str">
        <f>IF(AND(Tabela3[% A.A.]&gt;=6%,SUMPRODUCT(N(Tabela3[Nome]=Tabela3[[#This Row],[Nome]]),Tabela3[PL])&gt;0,Tabela3[Rentabilidade s/ PL]&gt;=Tabela3[Rentabilidade s/ PL Média]),"Sim","Não")</f>
        <v>Não</v>
      </c>
      <c r="AT298" s="22">
        <f>IF(Tabela3[Cotação]&gt;0,Tabela3[[#This Row],[Lucro]]/Tabela3[[#This Row],[Cotação]],0)</f>
        <v>3.670380053116326E-3</v>
      </c>
      <c r="AU298" s="22">
        <f>((1+Tabela3[[#This Row],[% Yield]])^(1/(3*Tabela3[[#This Row],[Ref]])))^(12)-1</f>
        <v>4.8968313415895803E-3</v>
      </c>
      <c r="AV298" s="10">
        <f>IF(Tabela3[Cotação]&gt;0,($BD$1/Tabela3[[#This Row],[Cotação]]-MOD($BD$1/Tabela3[[#This Row],[Cotação]],100)),)</f>
        <v>0</v>
      </c>
      <c r="AW298" s="7">
        <f>Tabela3[[#This Row],[Ativos]]*Tabela3[Lucro]</f>
        <v>0</v>
      </c>
      <c r="AX298" s="7">
        <f>SUMPRODUCT(N(Tabela1[Código]=Tabela3[[#This Row],[PAPEL]]),Tabela1[Fechamento])</f>
        <v>0</v>
      </c>
      <c r="AY298" s="7">
        <f>SUMPRODUCT(N(Tabela17[Código]=Tabela3[[#This Row],[PAPEL]]),Tabela17[Fechamento])</f>
        <v>0</v>
      </c>
      <c r="AZ298" s="7">
        <f>SUMPRODUCT(N(Tabela176[Código]=Tabela3[[#This Row],[PAPEL]]),Tabela176[Fechamento])</f>
        <v>14.33</v>
      </c>
      <c r="BA298" s="7">
        <f>SUMPRODUCT(N(Tabela1768[Código]=Tabela3[[#This Row],[PAPEL]]),Tabela1768[Fechamento])</f>
        <v>0</v>
      </c>
      <c r="BB298" s="7">
        <f>SUMPRODUCT(N(Tabela17683[Código]=Tabela3[[#This Row],[PAPEL]]),Tabela17683[Fechamento])</f>
        <v>0</v>
      </c>
    </row>
    <row r="299" spans="1:54" hidden="1" x14ac:dyDescent="0.2">
      <c r="A299" s="3" t="s">
        <v>1525</v>
      </c>
      <c r="B299" s="57" t="s">
        <v>1519</v>
      </c>
      <c r="C299" s="16" t="str">
        <f>LEFT(Tabela3[PAPEL],LEN(Tabela3[PAPEL])-(LEN(Tabela3[PAPEL])-4))</f>
        <v>SGAS</v>
      </c>
      <c r="D299" s="16">
        <v>3</v>
      </c>
      <c r="E299" s="5">
        <v>177375435.61000001</v>
      </c>
      <c r="F299" s="56">
        <v>3314244</v>
      </c>
      <c r="G299" s="81">
        <v>0.25</v>
      </c>
      <c r="H299" s="87"/>
      <c r="J299" s="18"/>
      <c r="K299" s="16"/>
      <c r="L299" s="87"/>
      <c r="M299" s="54"/>
      <c r="N299" s="54"/>
      <c r="O299" s="54"/>
      <c r="P299" s="91">
        <v>493990000</v>
      </c>
      <c r="Q299" s="73">
        <v>15361000</v>
      </c>
      <c r="R299" s="73">
        <f>IF(Tabela3[[#This Row],[Ativo || Passivo]]&gt;0,Tabela3[[#This Row],[Ativo || Passivo]]-Tabela3[[#This Row],[Patrimônio Líquido]],0)</f>
        <v>0</v>
      </c>
      <c r="S299" s="73">
        <f>Tabela3[[#This Row],[Cotação]]*Tabela3[[#This Row],[Total Ações]]</f>
        <v>502522446</v>
      </c>
      <c r="T299" s="37">
        <f>IF(Tabela3[[#This Row],[Passivo Circulante]]&gt;0,Tabela3[[#This Row],[Ativo Circulante]]/Tabela3[[#This Row],[Passivo Circulante]],0)</f>
        <v>0</v>
      </c>
      <c r="U299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299" s="18">
        <f>IF(Tabela3[[#This Row],[Lucro Líquido]]&gt;0,Tabela3[[#This Row],[Lucro Líquido]]/Tabela3[[#This Row],[Patrimônio Líquido]],0)</f>
        <v>3.109577116945687E-2</v>
      </c>
      <c r="W299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299" s="18">
        <f>IF(Tabela3[[#This Row],[Dívida]]&gt;0,Tabela3[[#This Row],[Dívida]]/Tabela3[[#This Row],[Patrimônio Líquido]],0)</f>
        <v>0</v>
      </c>
      <c r="Y299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299" s="7">
        <f>Tabela3[[#This Row],[Capital Social]]*20%</f>
        <v>35475087.122000001</v>
      </c>
      <c r="AA299" s="47">
        <f>IF((Tabela3[Lucro Líquido]*5%)&gt;Tabela3[Teto R. Legal],Tabela3[Teto R. Legal],Tabela3[Lucro Líquido]*5%)</f>
        <v>768050</v>
      </c>
      <c r="AB299" s="47">
        <f>IF(Tabela3[Lucro Líquido]&lt;0,0,Tabela3[Lucro Líquido]-Tabela3[Reserva Legal])</f>
        <v>14592950</v>
      </c>
      <c r="AC299" s="47">
        <f>Tabela3[[#This Row],[Lucro Distribuir]]*Tabela3[%Div]</f>
        <v>3648237.5</v>
      </c>
      <c r="AD299" s="56">
        <f>SUMPRODUCT(N(Tabela3[Nome]=Tabela3[[#This Row],[Nome]]),Tabela3[Ações])</f>
        <v>7282934</v>
      </c>
      <c r="AE299" s="85">
        <f>Tabela3[Capital Social]/Tabela3[Total Ações]</f>
        <v>24.354942061811904</v>
      </c>
      <c r="AF299" s="85">
        <f>Tabela3[[#This Row],[Lucro Líquido]]/Tabela3[[#This Row],[Total Ações]]</f>
        <v>2.1091774276685742</v>
      </c>
      <c r="AG299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0.48534381316473318</v>
      </c>
      <c r="AH299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299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299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0.48534381316473318</v>
      </c>
      <c r="AK299" s="7">
        <f>Tabela3[Div Base]*Tabela3[Ações]</f>
        <v>1608547.820718338</v>
      </c>
      <c r="AL299" s="121">
        <f>SUMPRODUCT(N(Tabela3[Nome]=Tabela3[[#This Row],[Nome]]),Tabela3[Div Base]*Tabela3[Ações])</f>
        <v>3727344.8752764873</v>
      </c>
      <c r="AM299" s="5">
        <f>Tabela3[Patrimônio Líquido]/Tabela3[Total Ações]</f>
        <v>67.828432881583169</v>
      </c>
      <c r="AN299" s="52">
        <f>MAX(Tabela3[[#This Row],[Cotação 1]:[Cotação 5]])</f>
        <v>69</v>
      </c>
      <c r="AO299" s="53">
        <f>Tabela3[Cotação]/Tabela3[VPA]</f>
        <v>1.0172725075406384</v>
      </c>
      <c r="AP299" s="37">
        <f>IF(Tabela3[[#This Row],[Lucro/Ação]]&gt;0,Tabela3[[#This Row],[Cotação]]/(Tabela3[[#This Row],[Lucro/Ação]]/Tabela3[Ref]*4),0)</f>
        <v>24.53563143675542</v>
      </c>
      <c r="AQ299" s="85">
        <f>Tabela3[Lucro Distribuir]/Tabela3[Total Ações]</f>
        <v>2.0037185562851456</v>
      </c>
      <c r="AR299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0.48534381316473318</v>
      </c>
      <c r="AS299" s="10" t="str">
        <f>IF(AND(Tabela3[% A.A.]&gt;=6%,SUMPRODUCT(N(Tabela3[Nome]=Tabela3[[#This Row],[Nome]]),Tabela3[PL])&gt;0,Tabela3[Rentabilidade s/ PL]&gt;=Tabela3[Rentabilidade s/ PL Média]),"Sim","Não")</f>
        <v>Não</v>
      </c>
      <c r="AT299" s="22">
        <f>IF(Tabela3[Cotação]&gt;0,Tabela3[[#This Row],[Lucro]]/Tabela3[[#This Row],[Cotação]],0)</f>
        <v>7.0339683067352637E-3</v>
      </c>
      <c r="AU299" s="22">
        <f>((1+Tabela3[[#This Row],[% Yield]])^(1/(3*Tabela3[[#This Row],[Ref]])))^(12)-1</f>
        <v>9.3896020975812178E-3</v>
      </c>
      <c r="AV299" s="10">
        <f>IF(Tabela3[Cotação]&gt;0,($BD$1/Tabela3[[#This Row],[Cotação]]-MOD($BD$1/Tabela3[[#This Row],[Cotação]],100)),)</f>
        <v>0</v>
      </c>
      <c r="AW299" s="7">
        <f>Tabela3[[#This Row],[Ativos]]*Tabela3[Lucro]</f>
        <v>0</v>
      </c>
      <c r="AX299" s="7">
        <f>SUMPRODUCT(N(Tabela1[Código]=Tabela3[[#This Row],[PAPEL]]),Tabela1[Fechamento])</f>
        <v>0</v>
      </c>
      <c r="AY299" s="7">
        <f>SUMPRODUCT(N(Tabela17[Código]=Tabela3[[#This Row],[PAPEL]]),Tabela17[Fechamento])</f>
        <v>0</v>
      </c>
      <c r="AZ299" s="7">
        <f>SUMPRODUCT(N(Tabela176[Código]=Tabela3[[#This Row],[PAPEL]]),Tabela176[Fechamento])</f>
        <v>0</v>
      </c>
      <c r="BA299" s="7">
        <f>SUMPRODUCT(N(Tabela1768[Código]=Tabela3[[#This Row],[PAPEL]]),Tabela1768[Fechamento])</f>
        <v>0</v>
      </c>
      <c r="BB299" s="7">
        <f>SUMPRODUCT(N(Tabela17683[Código]=Tabela3[[#This Row],[PAPEL]]),Tabela17683[Fechamento])</f>
        <v>69</v>
      </c>
    </row>
    <row r="300" spans="1:54" hidden="1" x14ac:dyDescent="0.2">
      <c r="A300" s="3" t="s">
        <v>1525</v>
      </c>
      <c r="B300" s="57" t="s">
        <v>1520</v>
      </c>
      <c r="C300" s="16" t="str">
        <f>LEFT(Tabela3[PAPEL],LEN(Tabela3[PAPEL])-(LEN(Tabela3[PAPEL])-4))</f>
        <v>SGAS</v>
      </c>
      <c r="D300" s="16">
        <v>3</v>
      </c>
      <c r="E300" s="5">
        <v>177375435.61000001</v>
      </c>
      <c r="F300" s="56">
        <v>3968690</v>
      </c>
      <c r="G300" s="81">
        <v>0.25</v>
      </c>
      <c r="H300" s="87"/>
      <c r="J300" s="18">
        <v>0.1</v>
      </c>
      <c r="K300" s="16"/>
      <c r="L300" s="87"/>
      <c r="M300" s="54"/>
      <c r="N300" s="54"/>
      <c r="O300" s="54"/>
      <c r="P300" s="91">
        <v>493990000</v>
      </c>
      <c r="Q300" s="73">
        <v>15361000</v>
      </c>
      <c r="R300" s="73">
        <f>IF(Tabela3[[#This Row],[Ativo || Passivo]]&gt;0,Tabela3[[#This Row],[Ativo || Passivo]]-Tabela3[[#This Row],[Patrimônio Líquido]],0)</f>
        <v>0</v>
      </c>
      <c r="S300" s="73">
        <f>Tabela3[[#This Row],[Cotação]]*Tabela3[[#This Row],[Total Ações]]</f>
        <v>619049390</v>
      </c>
      <c r="T300" s="37">
        <f>IF(Tabela3[[#This Row],[Passivo Circulante]]&gt;0,Tabela3[[#This Row],[Ativo Circulante]]/Tabela3[[#This Row],[Passivo Circulante]],0)</f>
        <v>0</v>
      </c>
      <c r="U300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00" s="18">
        <f>IF(Tabela3[[#This Row],[Lucro Líquido]]&gt;0,Tabela3[[#This Row],[Lucro Líquido]]/Tabela3[[#This Row],[Patrimônio Líquido]],0)</f>
        <v>3.109577116945687E-2</v>
      </c>
      <c r="W300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00" s="18">
        <f>IF(Tabela3[[#This Row],[Dívida]]&gt;0,Tabela3[[#This Row],[Dívida]]/Tabela3[[#This Row],[Patrimônio Líquido]],0)</f>
        <v>0</v>
      </c>
      <c r="Y300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00" s="7">
        <f>Tabela3[[#This Row],[Capital Social]]*20%</f>
        <v>35475087.122000001</v>
      </c>
      <c r="AA300" s="47">
        <f>IF((Tabela3[Lucro Líquido]*5%)&gt;Tabela3[Teto R. Legal],Tabela3[Teto R. Legal],Tabela3[Lucro Líquido]*5%)</f>
        <v>768050</v>
      </c>
      <c r="AB300" s="47">
        <f>IF(Tabela3[Lucro Líquido]&lt;0,0,Tabela3[Lucro Líquido]-Tabela3[Reserva Legal])</f>
        <v>14592950</v>
      </c>
      <c r="AC300" s="47">
        <f>Tabela3[[#This Row],[Lucro Distribuir]]*Tabela3[%Div]</f>
        <v>3648237.5</v>
      </c>
      <c r="AD300" s="56">
        <f>SUMPRODUCT(N(Tabela3[Nome]=Tabela3[[#This Row],[Nome]]),Tabela3[Ações])</f>
        <v>7282934</v>
      </c>
      <c r="AE300" s="85">
        <f>Tabela3[Capital Social]/Tabela3[Total Ações]</f>
        <v>24.354942061811904</v>
      </c>
      <c r="AF300" s="85">
        <f>Tabela3[[#This Row],[Lucro Líquido]]/Tabela3[[#This Row],[Total Ações]]</f>
        <v>2.1091774276685742</v>
      </c>
      <c r="AG300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0.53387819521256374</v>
      </c>
      <c r="AH300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00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00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0.53387819521256374</v>
      </c>
      <c r="AK300" s="7">
        <f>Tabela3[Div Base]*Tabela3[Ações]</f>
        <v>2118797.0545581495</v>
      </c>
      <c r="AL300" s="121">
        <f>SUMPRODUCT(N(Tabela3[Nome]=Tabela3[[#This Row],[Nome]]),Tabela3[Div Base]*Tabela3[Ações])</f>
        <v>3727344.8752764873</v>
      </c>
      <c r="AM300" s="5">
        <f>Tabela3[Patrimônio Líquido]/Tabela3[Total Ações]</f>
        <v>67.828432881583169</v>
      </c>
      <c r="AN300" s="52">
        <f>MAX(Tabela3[[#This Row],[Cotação 1]:[Cotação 5]])</f>
        <v>85</v>
      </c>
      <c r="AO300" s="53">
        <f>Tabela3[Cotação]/Tabela3[VPA]</f>
        <v>1.2531617846515111</v>
      </c>
      <c r="AP300" s="37">
        <f>IF(Tabela3[[#This Row],[Lucro/Ação]]&gt;0,Tabela3[[#This Row],[Cotação]]/(Tabela3[[#This Row],[Lucro/Ação]]/Tabela3[Ref]*4),0)</f>
        <v>30.225053219191459</v>
      </c>
      <c r="AQ300" s="85">
        <f>Tabela3[Lucro Distribuir]/Tabela3[Total Ações]</f>
        <v>2.0037185562851456</v>
      </c>
      <c r="AR300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0.53387819521256374</v>
      </c>
      <c r="AS300" s="10" t="str">
        <f>IF(AND(Tabela3[% A.A.]&gt;=6%,SUMPRODUCT(N(Tabela3[Nome]=Tabela3[[#This Row],[Nome]]),Tabela3[PL])&gt;0,Tabela3[Rentabilidade s/ PL]&gt;=Tabela3[Rentabilidade s/ PL Média]),"Sim","Não")</f>
        <v>Não</v>
      </c>
      <c r="AT300" s="22">
        <f>IF(Tabela3[Cotação]&gt;0,Tabela3[[#This Row],[Lucro]]/Tabela3[[#This Row],[Cotação]],0)</f>
        <v>6.2809199436772208E-3</v>
      </c>
      <c r="AU300" s="22">
        <f>((1+Tabela3[[#This Row],[% Yield]])^(1/(3*Tabela3[[#This Row],[Ref]])))^(12)-1</f>
        <v>8.3833143774125762E-3</v>
      </c>
      <c r="AV300" s="10">
        <f>IF(Tabela3[Cotação]&gt;0,($BD$1/Tabela3[[#This Row],[Cotação]]-MOD($BD$1/Tabela3[[#This Row],[Cotação]],100)),)</f>
        <v>0</v>
      </c>
      <c r="AW300" s="7">
        <f>Tabela3[[#This Row],[Ativos]]*Tabela3[Lucro]</f>
        <v>0</v>
      </c>
      <c r="AX300" s="7">
        <f>SUMPRODUCT(N(Tabela1[Código]=Tabela3[[#This Row],[PAPEL]]),Tabela1[Fechamento])</f>
        <v>0</v>
      </c>
      <c r="AY300" s="7">
        <f>SUMPRODUCT(N(Tabela17[Código]=Tabela3[[#This Row],[PAPEL]]),Tabela17[Fechamento])</f>
        <v>0</v>
      </c>
      <c r="AZ300" s="7">
        <f>SUMPRODUCT(N(Tabela176[Código]=Tabela3[[#This Row],[PAPEL]]),Tabela176[Fechamento])</f>
        <v>0</v>
      </c>
      <c r="BA300" s="7">
        <f>SUMPRODUCT(N(Tabela1768[Código]=Tabela3[[#This Row],[PAPEL]]),Tabela1768[Fechamento])</f>
        <v>0</v>
      </c>
      <c r="BB300" s="7">
        <f>SUMPRODUCT(N(Tabela17683[Código]=Tabela3[[#This Row],[PAPEL]]),Tabela17683[Fechamento])</f>
        <v>85</v>
      </c>
    </row>
    <row r="301" spans="1:54" hidden="1" x14ac:dyDescent="0.2">
      <c r="A301" s="3" t="s">
        <v>823</v>
      </c>
      <c r="B301" s="58" t="s">
        <v>830</v>
      </c>
      <c r="C301" s="16" t="str">
        <f>LEFT(Tabela3[PAPEL],LEN(Tabela3[PAPEL])-(LEN(Tabela3[PAPEL])-4))</f>
        <v>HYPE</v>
      </c>
      <c r="D301" s="16">
        <v>3</v>
      </c>
      <c r="E301" s="5">
        <v>5269124421.04</v>
      </c>
      <c r="F301" s="56">
        <v>632100787</v>
      </c>
      <c r="G301" s="81">
        <v>0.25</v>
      </c>
      <c r="H301" s="87"/>
      <c r="J301" s="18"/>
      <c r="K301" s="16"/>
      <c r="L301" s="87"/>
      <c r="M301" s="54"/>
      <c r="N301" s="54"/>
      <c r="O301" s="54"/>
      <c r="P301" s="91">
        <v>7017182000</v>
      </c>
      <c r="Q301" s="73">
        <v>201804000</v>
      </c>
      <c r="R301" s="73">
        <f>IF(Tabela3[[#This Row],[Ativo || Passivo]]&gt;0,Tabela3[[#This Row],[Ativo || Passivo]]-Tabela3[[#This Row],[Patrimônio Líquido]],0)</f>
        <v>0</v>
      </c>
      <c r="S301" s="73">
        <f>Tabela3[[#This Row],[Cotação]]*Tabela3[[#This Row],[Total Ações]]</f>
        <v>9494153820.7399998</v>
      </c>
      <c r="T301" s="37">
        <f>IF(Tabela3[[#This Row],[Passivo Circulante]]&gt;0,Tabela3[[#This Row],[Ativo Circulante]]/Tabela3[[#This Row],[Passivo Circulante]],0)</f>
        <v>0</v>
      </c>
      <c r="U301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01" s="18">
        <f>IF(Tabela3[[#This Row],[Lucro Líquido]]&gt;0,Tabela3[[#This Row],[Lucro Líquido]]/Tabela3[[#This Row],[Patrimônio Líquido]],0)</f>
        <v>2.8758552934782081E-2</v>
      </c>
      <c r="W301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01" s="18">
        <f>IF(Tabela3[[#This Row],[Dívida]]&gt;0,Tabela3[[#This Row],[Dívida]]/Tabela3[[#This Row],[Patrimônio Líquido]],0)</f>
        <v>0</v>
      </c>
      <c r="Y301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01" s="7">
        <f>Tabela3[[#This Row],[Capital Social]]*20%</f>
        <v>1053824884.2080001</v>
      </c>
      <c r="AA301" s="47">
        <f>IF((Tabela3[Lucro Líquido]*5%)&gt;Tabela3[Teto R. Legal],Tabela3[Teto R. Legal],Tabela3[Lucro Líquido]*5%)</f>
        <v>10090200</v>
      </c>
      <c r="AB301" s="47">
        <f>IF(Tabela3[Lucro Líquido]&lt;0,0,Tabela3[Lucro Líquido]-Tabela3[Reserva Legal])</f>
        <v>191713800</v>
      </c>
      <c r="AC301" s="47">
        <f>Tabela3[[#This Row],[Lucro Distribuir]]*Tabela3[%Div]</f>
        <v>47928450</v>
      </c>
      <c r="AD301" s="56">
        <f>SUMPRODUCT(N(Tabela3[Nome]=Tabela3[[#This Row],[Nome]]),Tabela3[Ações])</f>
        <v>632100787</v>
      </c>
      <c r="AE301" s="85">
        <f>Tabela3[Capital Social]/Tabela3[Total Ações]</f>
        <v>8.3358928345077352</v>
      </c>
      <c r="AF301" s="85">
        <f>Tabela3[[#This Row],[Lucro Líquido]]/Tabela3[[#This Row],[Total Ações]]</f>
        <v>0.31925921332542179</v>
      </c>
      <c r="AG301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7.5824063164787681E-2</v>
      </c>
      <c r="AH301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01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01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7.5824063164787681E-2</v>
      </c>
      <c r="AK301" s="7">
        <f>Tabela3[Div Base]*Tabela3[Ações]</f>
        <v>47928450</v>
      </c>
      <c r="AL301" s="7">
        <f>SUMPRODUCT(N(Tabela3[Nome]=Tabela3[[#This Row],[Nome]]),Tabela3[Div Base]*Tabela3[Ações])</f>
        <v>47928450</v>
      </c>
      <c r="AM301" s="5">
        <f>Tabela3[Patrimônio Líquido]/Tabela3[Total Ações]</f>
        <v>11.101365706731828</v>
      </c>
      <c r="AN301" s="52">
        <f>MAX(Tabela3[[#This Row],[Cotação 1]:[Cotação 5]])</f>
        <v>15.02</v>
      </c>
      <c r="AO301" s="53">
        <f>Tabela3[Cotação]/Tabela3[VPA]</f>
        <v>1.3529866862139246</v>
      </c>
      <c r="AP301" s="37">
        <f>IF(Tabela3[[#This Row],[Lucro/Ação]]&gt;0,Tabela3[[#This Row],[Cotação]]/(Tabela3[[#This Row],[Lucro/Ação]]/Tabela3[Ref]*4),0)</f>
        <v>35.284807860869954</v>
      </c>
      <c r="AQ301" s="85">
        <f>Tabela3[Lucro Distribuir]/Tabela3[Total Ações]</f>
        <v>0.30329625265915072</v>
      </c>
      <c r="AR301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7.5824063164787681E-2</v>
      </c>
      <c r="AS301" s="10" t="str">
        <f>IF(AND(Tabela3[% A.A.]&gt;=6%,SUMPRODUCT(N(Tabela3[Nome]=Tabela3[[#This Row],[Nome]]),Tabela3[PL])&gt;0,Tabela3[Rentabilidade s/ PL]&gt;=Tabela3[Rentabilidade s/ PL Média]),"Sim","Não")</f>
        <v>Não</v>
      </c>
      <c r="AT301" s="22">
        <f>IF(Tabela3[Cotação]&gt;0,Tabela3[[#This Row],[Lucro]]/Tabela3[[#This Row],[Cotação]],0)</f>
        <v>5.048206602182935E-3</v>
      </c>
      <c r="AU301" s="22">
        <f>((1+Tabela3[[#This Row],[% Yield]])^(1/(3*Tabela3[[#This Row],[Ref]])))^(12)-1</f>
        <v>6.7365989942178572E-3</v>
      </c>
      <c r="AV301" s="10">
        <f>IF(Tabela3[Cotação]&gt;0,($BD$1/Tabela3[[#This Row],[Cotação]]-MOD($BD$1/Tabela3[[#This Row],[Cotação]],100)),)</f>
        <v>0</v>
      </c>
      <c r="AW301" s="7">
        <f>Tabela3[[#This Row],[Ativos]]*Tabela3[Lucro]</f>
        <v>0</v>
      </c>
      <c r="AX301" s="7">
        <f>SUMPRODUCT(N(Tabela1[Código]=Tabela3[[#This Row],[PAPEL]]),Tabela1[Fechamento])</f>
        <v>0</v>
      </c>
      <c r="AY301" s="7">
        <f>SUMPRODUCT(N(Tabela17[Código]=Tabela3[[#This Row],[PAPEL]]),Tabela17[Fechamento])</f>
        <v>0</v>
      </c>
      <c r="AZ301" s="7">
        <f>SUMPRODUCT(N(Tabela176[Código]=Tabela3[[#This Row],[PAPEL]]),Tabela176[Fechamento])</f>
        <v>15.02</v>
      </c>
      <c r="BA301" s="7">
        <f>SUMPRODUCT(N(Tabela1768[Código]=Tabela3[[#This Row],[PAPEL]]),Tabela1768[Fechamento])</f>
        <v>0</v>
      </c>
      <c r="BB301" s="7">
        <f>SUMPRODUCT(N(Tabela17683[Código]=Tabela3[[#This Row],[PAPEL]]),Tabela17683[Fechamento])</f>
        <v>0</v>
      </c>
    </row>
    <row r="302" spans="1:54" hidden="1" x14ac:dyDescent="0.2">
      <c r="A302" s="4" t="s">
        <v>14</v>
      </c>
      <c r="B302" s="57" t="s">
        <v>572</v>
      </c>
      <c r="C302" s="15" t="str">
        <f>LEFT(Tabela3[PAPEL],LEN(Tabela3[PAPEL])-(LEN(Tabela3[PAPEL])-4))</f>
        <v>SANB</v>
      </c>
      <c r="D302" s="15">
        <v>4</v>
      </c>
      <c r="E302" s="6">
        <v>62828201614.209999</v>
      </c>
      <c r="F302" s="8">
        <v>212841731754</v>
      </c>
      <c r="G302" s="86">
        <v>0.25</v>
      </c>
      <c r="H302" s="15"/>
      <c r="I302" s="19"/>
      <c r="J302" s="19"/>
      <c r="K302" s="88"/>
      <c r="L302" s="88"/>
      <c r="M302" s="55"/>
      <c r="N302" s="55"/>
      <c r="O302" s="55"/>
      <c r="P302" s="92">
        <v>62825353000</v>
      </c>
      <c r="Q302" s="93">
        <v>1625558000</v>
      </c>
      <c r="R302" s="93">
        <f>IF(Tabela3[[#This Row],[Ativo || Passivo]]&gt;0,Tabela3[[#This Row],[Ativo || Passivo]]-Tabela3[[#This Row],[Patrimônio Líquido]],0)</f>
        <v>0</v>
      </c>
      <c r="S302" s="93">
        <f>Tabela3[[#This Row],[Cotação]]*Tabela3[[#This Row],[Total Ações]]</f>
        <v>43894852859.550003</v>
      </c>
      <c r="T302" s="40">
        <f>IF(Tabela3[[#This Row],[Passivo Circulante]]&gt;0,Tabela3[[#This Row],[Ativo Circulante]]/Tabela3[[#This Row],[Passivo Circulante]],0)</f>
        <v>0</v>
      </c>
      <c r="U302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02" s="19">
        <f>IF(Tabela3[[#This Row],[Lucro Líquido]]&gt;0,Tabela3[[#This Row],[Lucro Líquido]]/Tabela3[[#This Row],[Patrimônio Líquido]],0)</f>
        <v>2.587423583596896E-2</v>
      </c>
      <c r="W302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02" s="19">
        <f>IF(Tabela3[[#This Row],[Dívida]]&gt;0,Tabela3[[#This Row],[Dívida]]/Tabela3[[#This Row],[Patrimônio Líquido]],0)</f>
        <v>0</v>
      </c>
      <c r="Y302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02" s="13">
        <f>Tabela3[[#This Row],[Capital Social]]*20%</f>
        <v>12565640322.842001</v>
      </c>
      <c r="AA302" s="13">
        <f>IF((Tabela3[Lucro Líquido]*5%)&gt;Tabela3[Teto R. Legal],Tabela3[Teto R. Legal],Tabela3[Lucro Líquido]*5%)</f>
        <v>81277900</v>
      </c>
      <c r="AB302" s="13">
        <f>IF(Tabela3[Lucro Líquido]&lt;0,0,Tabela3[Lucro Líquido]-Tabela3[Reserva Legal])</f>
        <v>1544280100</v>
      </c>
      <c r="AC302" s="13">
        <f>Tabela3[[#This Row],[Lucro Distribuir]]*Tabela3[%Div]</f>
        <v>386070025</v>
      </c>
      <c r="AD302" s="56">
        <f>SUMPRODUCT(N(Tabela3[Nome]=Tabela3[[#This Row],[Nome]]),Tabela3[Ações])</f>
        <v>399044116905</v>
      </c>
      <c r="AE302" s="6">
        <f>Tabela3[Capital Social]/Tabela3[Total Ações]</f>
        <v>0.15744675576602335</v>
      </c>
      <c r="AF302" s="78">
        <f>Tabela3[[#This Row],[Lucro Líquido]]/Tabela3[[#This Row],[Total Ações]]</f>
        <v>4.0736297846160072E-3</v>
      </c>
      <c r="AG302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9.3738487201259634E-4</v>
      </c>
      <c r="AH302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02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02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9.3738487201259634E-4</v>
      </c>
      <c r="AK302" s="13">
        <f>Tabela3[Div Base]*Tabela3[Ações]</f>
        <v>199514619.47916266</v>
      </c>
      <c r="AL302" s="13">
        <f>SUMPRODUCT(N(Tabela3[Nome]=Tabela3[[#This Row],[Nome]]),Tabela3[Div Base]*Tabela3[Ações])</f>
        <v>391512248.61271071</v>
      </c>
      <c r="AM302" s="6">
        <f>Tabela3[Patrimônio Líquido]/Tabela3[Total Ações]</f>
        <v>0.15743961717134339</v>
      </c>
      <c r="AN302" s="48">
        <f>MAX(Tabela3[[#This Row],[Cotação 1]:[Cotação 5]])</f>
        <v>0.11</v>
      </c>
      <c r="AO302" s="44">
        <f>Tabela3[Cotação]/Tabela3[VPA]</f>
        <v>0.69868056068940831</v>
      </c>
      <c r="AP302" s="40">
        <f>IF(Tabela3[[#This Row],[Lucro/Ação]]&gt;0,Tabela3[[#This Row],[Cotação]]/(Tabela3[[#This Row],[Lucro/Ação]]/Tabela3[Ref]*4),0)</f>
        <v>27.002944748541733</v>
      </c>
      <c r="AQ302" s="78">
        <f>Tabela3[Lucro Distribuir]/Tabela3[Total Ações]</f>
        <v>3.869948295385207E-3</v>
      </c>
      <c r="AR302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9.3738487201259634E-4</v>
      </c>
      <c r="AS302" s="14" t="str">
        <f>IF(AND(Tabela3[% A.A.]&gt;=6%,SUMPRODUCT(N(Tabela3[Nome]=Tabela3[[#This Row],[Nome]]),Tabela3[PL])&gt;0,Tabela3[Rentabilidade s/ PL]&gt;=Tabela3[Rentabilidade s/ PL Média]),"Sim","Não")</f>
        <v>Não</v>
      </c>
      <c r="AT302" s="42">
        <f>IF(Tabela3[Cotação]&gt;0,Tabela3[[#This Row],[Lucro]]/Tabela3[[#This Row],[Cotação]],0)</f>
        <v>8.5216806546599671E-3</v>
      </c>
      <c r="AU302" s="42">
        <f>((1+Tabela3[[#This Row],[% Yield]])^(1/(3*Tabela3[[#This Row],[Ref]])))^(12)-1</f>
        <v>8.5216806546599688E-3</v>
      </c>
      <c r="AV302" s="14">
        <f>IF(Tabela3[Cotação]&gt;0,($BD$1/Tabela3[[#This Row],[Cotação]]-MOD($BD$1/Tabela3[[#This Row],[Cotação]],100)),)</f>
        <v>0</v>
      </c>
      <c r="AW302" s="17">
        <f>Tabela3[[#This Row],[Ativos]]*Tabela3[Lucro]</f>
        <v>0</v>
      </c>
      <c r="AX302" s="17">
        <f>SUMPRODUCT(N(Tabela1[Código]=Tabela3[[#This Row],[PAPEL]]),Tabela1[Fechamento])</f>
        <v>0</v>
      </c>
      <c r="AY302" s="17">
        <f>SUMPRODUCT(N(Tabela17[Código]=Tabela3[[#This Row],[PAPEL]]),Tabela17[Fechamento])</f>
        <v>0</v>
      </c>
      <c r="AZ302" s="17">
        <f>SUMPRODUCT(N(Tabela176[Código]=Tabela3[[#This Row],[PAPEL]]),Tabela176[Fechamento])</f>
        <v>0.11</v>
      </c>
      <c r="BA302" s="17">
        <f>SUMPRODUCT(N(Tabela1768[Código]=Tabela3[[#This Row],[PAPEL]]),Tabela1768[Fechamento])</f>
        <v>0</v>
      </c>
      <c r="BB302" s="7">
        <f>SUMPRODUCT(N(Tabela17683[Código]=Tabela3[[#This Row],[PAPEL]]),Tabela17683[Fechamento])</f>
        <v>0</v>
      </c>
    </row>
    <row r="303" spans="1:54" hidden="1" x14ac:dyDescent="0.2">
      <c r="A303" s="4" t="s">
        <v>14</v>
      </c>
      <c r="B303" s="57" t="s">
        <v>573</v>
      </c>
      <c r="C303" s="15" t="str">
        <f>LEFT(Tabela3[PAPEL],LEN(Tabela3[PAPEL])-(LEN(Tabela3[PAPEL])-4))</f>
        <v>SANB</v>
      </c>
      <c r="D303" s="15">
        <v>4</v>
      </c>
      <c r="E303" s="6">
        <v>62828201614.209999</v>
      </c>
      <c r="F303" s="8">
        <v>186202385151</v>
      </c>
      <c r="G303" s="86">
        <v>0.25</v>
      </c>
      <c r="H303" s="15"/>
      <c r="I303" s="19"/>
      <c r="J303" s="19">
        <v>0.1</v>
      </c>
      <c r="K303" s="88"/>
      <c r="L303" s="88"/>
      <c r="M303" s="55"/>
      <c r="N303" s="55"/>
      <c r="O303" s="55"/>
      <c r="P303" s="92">
        <v>62825353000</v>
      </c>
      <c r="Q303" s="93">
        <v>1625558000</v>
      </c>
      <c r="R303" s="93">
        <f>IF(Tabela3[[#This Row],[Ativo || Passivo]]&gt;0,Tabela3[[#This Row],[Ativo || Passivo]]-Tabela3[[#This Row],[Patrimônio Líquido]],0)</f>
        <v>0</v>
      </c>
      <c r="S303" s="93">
        <f>Tabela3[[#This Row],[Cotação]]*Tabela3[[#This Row],[Total Ações]]</f>
        <v>43894852859.550003</v>
      </c>
      <c r="T303" s="40">
        <f>IF(Tabela3[[#This Row],[Passivo Circulante]]&gt;0,Tabela3[[#This Row],[Ativo Circulante]]/Tabela3[[#This Row],[Passivo Circulante]],0)</f>
        <v>0</v>
      </c>
      <c r="U303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03" s="19">
        <f>IF(Tabela3[[#This Row],[Lucro Líquido]]&gt;0,Tabela3[[#This Row],[Lucro Líquido]]/Tabela3[[#This Row],[Patrimônio Líquido]],0)</f>
        <v>2.587423583596896E-2</v>
      </c>
      <c r="W303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03" s="19">
        <f>IF(Tabela3[[#This Row],[Dívida]]&gt;0,Tabela3[[#This Row],[Dívida]]/Tabela3[[#This Row],[Patrimônio Líquido]],0)</f>
        <v>0</v>
      </c>
      <c r="Y303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03" s="13">
        <f>Tabela3[[#This Row],[Capital Social]]*20%</f>
        <v>12565640322.842001</v>
      </c>
      <c r="AA303" s="13">
        <f>IF((Tabela3[Lucro Líquido]*5%)&gt;Tabela3[Teto R. Legal],Tabela3[Teto R. Legal],Tabela3[Lucro Líquido]*5%)</f>
        <v>81277900</v>
      </c>
      <c r="AB303" s="13">
        <f>IF(Tabela3[Lucro Líquido]&lt;0,0,Tabela3[Lucro Líquido]-Tabela3[Reserva Legal])</f>
        <v>1544280100</v>
      </c>
      <c r="AC303" s="13">
        <f>Tabela3[[#This Row],[Lucro Distribuir]]*Tabela3[%Div]</f>
        <v>386070025</v>
      </c>
      <c r="AD303" s="56">
        <f>SUMPRODUCT(N(Tabela3[Nome]=Tabela3[[#This Row],[Nome]]),Tabela3[Ações])</f>
        <v>399044116905</v>
      </c>
      <c r="AE303" s="6">
        <f>Tabela3[Capital Social]/Tabela3[Total Ações]</f>
        <v>0.15744675576602335</v>
      </c>
      <c r="AF303" s="78">
        <f>Tabela3[[#This Row],[Lucro Líquido]]/Tabela3[[#This Row],[Total Ações]]</f>
        <v>4.0736297846160072E-3</v>
      </c>
      <c r="AG303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1.0311233606263872E-3</v>
      </c>
      <c r="AH303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03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03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1.0311233606263872E-3</v>
      </c>
      <c r="AK303" s="13">
        <f>Tabela3[Div Base]*Tabela3[Ações]</f>
        <v>191997629.13354802</v>
      </c>
      <c r="AL303" s="13">
        <f>SUMPRODUCT(N(Tabela3[Nome]=Tabela3[[#This Row],[Nome]]),Tabela3[Div Base]*Tabela3[Ações])</f>
        <v>391512248.61271071</v>
      </c>
      <c r="AM303" s="6">
        <f>Tabela3[Patrimônio Líquido]/Tabela3[Total Ações]</f>
        <v>0.15743961717134339</v>
      </c>
      <c r="AN303" s="48">
        <f>MAX(Tabela3[[#This Row],[Cotação 1]:[Cotação 5]])</f>
        <v>0.11</v>
      </c>
      <c r="AO303" s="44">
        <f>Tabela3[Cotação]/Tabela3[VPA]</f>
        <v>0.69868056068940831</v>
      </c>
      <c r="AP303" s="40">
        <f>IF(Tabela3[[#This Row],[Lucro/Ação]]&gt;0,Tabela3[[#This Row],[Cotação]]/(Tabela3[[#This Row],[Lucro/Ação]]/Tabela3[Ref]*4),0)</f>
        <v>27.002944748541733</v>
      </c>
      <c r="AQ303" s="78">
        <f>Tabela3[Lucro Distribuir]/Tabela3[Total Ações]</f>
        <v>3.869948295385207E-3</v>
      </c>
      <c r="AR303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1.0311233606263872E-3</v>
      </c>
      <c r="AS303" s="14" t="str">
        <f>IF(AND(Tabela3[% A.A.]&gt;=6%,SUMPRODUCT(N(Tabela3[Nome]=Tabela3[[#This Row],[Nome]]),Tabela3[PL])&gt;0,Tabela3[Rentabilidade s/ PL]&gt;=Tabela3[Rentabilidade s/ PL Média]),"Sim","Não")</f>
        <v>Não</v>
      </c>
      <c r="AT303" s="42">
        <f>IF(Tabela3[Cotação]&gt;0,Tabela3[[#This Row],[Lucro]]/Tabela3[[#This Row],[Cotação]],0)</f>
        <v>9.3738487329671563E-3</v>
      </c>
      <c r="AU303" s="42">
        <f>((1+Tabela3[[#This Row],[% Yield]])^(1/(3*Tabela3[[#This Row],[Ref]])))^(12)-1</f>
        <v>9.373848732967538E-3</v>
      </c>
      <c r="AV303" s="14">
        <f>IF(Tabela3[Cotação]&gt;0,($BD$1/Tabela3[[#This Row],[Cotação]]-MOD($BD$1/Tabela3[[#This Row],[Cotação]],100)),)</f>
        <v>0</v>
      </c>
      <c r="AW303" s="17">
        <f>Tabela3[[#This Row],[Ativos]]*Tabela3[Lucro]</f>
        <v>0</v>
      </c>
      <c r="AX303" s="17">
        <f>SUMPRODUCT(N(Tabela1[Código]=Tabela3[[#This Row],[PAPEL]]),Tabela1[Fechamento])</f>
        <v>0</v>
      </c>
      <c r="AY303" s="17">
        <f>SUMPRODUCT(N(Tabela17[Código]=Tabela3[[#This Row],[PAPEL]]),Tabela17[Fechamento])</f>
        <v>0</v>
      </c>
      <c r="AZ303" s="17">
        <f>SUMPRODUCT(N(Tabela176[Código]=Tabela3[[#This Row],[PAPEL]]),Tabela176[Fechamento])</f>
        <v>0.11</v>
      </c>
      <c r="BA303" s="17">
        <f>SUMPRODUCT(N(Tabela1768[Código]=Tabela3[[#This Row],[PAPEL]]),Tabela1768[Fechamento])</f>
        <v>0</v>
      </c>
      <c r="BB303" s="7">
        <f>SUMPRODUCT(N(Tabela17683[Código]=Tabela3[[#This Row],[PAPEL]]),Tabela17683[Fechamento])</f>
        <v>0</v>
      </c>
    </row>
    <row r="304" spans="1:54" hidden="1" x14ac:dyDescent="0.2">
      <c r="A304" s="3" t="s">
        <v>1330</v>
      </c>
      <c r="B304" s="58" t="s">
        <v>1360</v>
      </c>
      <c r="C304" s="16" t="str">
        <f>LEFT(Tabela3[PAPEL],LEN(Tabela3[PAPEL])-(LEN(Tabela3[PAPEL])-4))</f>
        <v>JFEN</v>
      </c>
      <c r="D304" s="16">
        <v>3</v>
      </c>
      <c r="E304" s="5">
        <v>840888586.38999999</v>
      </c>
      <c r="F304" s="56">
        <v>177770363</v>
      </c>
      <c r="G304" s="81">
        <v>0.25</v>
      </c>
      <c r="H304" s="87"/>
      <c r="J304" s="18"/>
      <c r="K304" s="16"/>
      <c r="L304" s="87"/>
      <c r="M304" s="54"/>
      <c r="N304" s="54"/>
      <c r="O304" s="54"/>
      <c r="P304" s="91">
        <v>872441000</v>
      </c>
      <c r="Q304" s="73">
        <v>22038000</v>
      </c>
      <c r="R304" s="73">
        <f>IF(Tabela3[[#This Row],[Ativo || Passivo]]&gt;0,Tabela3[[#This Row],[Ativo || Passivo]]-Tabela3[[#This Row],[Patrimônio Líquido]],0)</f>
        <v>0</v>
      </c>
      <c r="S304" s="73">
        <f>Tabela3[[#This Row],[Cotação]]*Tabela3[[#This Row],[Total Ações]]</f>
        <v>958182256.56999993</v>
      </c>
      <c r="T304" s="37">
        <f>IF(Tabela3[[#This Row],[Passivo Circulante]]&gt;0,Tabela3[[#This Row],[Ativo Circulante]]/Tabela3[[#This Row],[Passivo Circulante]],0)</f>
        <v>0</v>
      </c>
      <c r="U304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04" s="18">
        <f>IF(Tabela3[[#This Row],[Lucro Líquido]]&gt;0,Tabela3[[#This Row],[Lucro Líquido]]/Tabela3[[#This Row],[Patrimônio Líquido]],0)</f>
        <v>2.5260160859015109E-2</v>
      </c>
      <c r="W304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04" s="18">
        <f>IF(Tabela3[[#This Row],[Dívida]]&gt;0,Tabela3[[#This Row],[Dívida]]/Tabela3[[#This Row],[Patrimônio Líquido]],0)</f>
        <v>0</v>
      </c>
      <c r="Y304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04" s="7">
        <f>Tabela3[[#This Row],[Capital Social]]*20%</f>
        <v>168177717.278</v>
      </c>
      <c r="AA304" s="47">
        <f>IF((Tabela3[Lucro Líquido]*5%)&gt;Tabela3[Teto R. Legal],Tabela3[Teto R. Legal],Tabela3[Lucro Líquido]*5%)</f>
        <v>1101900</v>
      </c>
      <c r="AB304" s="47">
        <f>IF(Tabela3[Lucro Líquido]&lt;0,0,Tabela3[Lucro Líquido]-Tabela3[Reserva Legal])</f>
        <v>20936100</v>
      </c>
      <c r="AC304" s="47">
        <f>Tabela3[[#This Row],[Lucro Distribuir]]*Tabela3[%Div]</f>
        <v>5234025</v>
      </c>
      <c r="AD304" s="56">
        <f>SUMPRODUCT(N(Tabela3[Nome]=Tabela3[[#This Row],[Nome]]),Tabela3[Ações])</f>
        <v>177770363</v>
      </c>
      <c r="AE304" s="85">
        <f>Tabela3[Capital Social]/Tabela3[Total Ações]</f>
        <v>4.7301955860325267</v>
      </c>
      <c r="AF304" s="85">
        <f>Tabela3[[#This Row],[Lucro Líquido]]/Tabela3[[#This Row],[Total Ações]]</f>
        <v>0.1239689205112328</v>
      </c>
      <c r="AG304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2.9442618621417789E-2</v>
      </c>
      <c r="AH304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04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04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2.9442618621417789E-2</v>
      </c>
      <c r="AK304" s="7">
        <f>Tabela3[Div Base]*Tabela3[Ações]</f>
        <v>5234025</v>
      </c>
      <c r="AL304" s="121">
        <f>SUMPRODUCT(N(Tabela3[Nome]=Tabela3[[#This Row],[Nome]]),Tabela3[Div Base]*Tabela3[Ações])</f>
        <v>5234025</v>
      </c>
      <c r="AM304" s="5">
        <f>Tabela3[Patrimônio Líquido]/Tabela3[Total Ações]</f>
        <v>4.9076853153525937</v>
      </c>
      <c r="AN304" s="52">
        <f>MAX(Tabela3[[#This Row],[Cotação 1]:[Cotação 5]])</f>
        <v>5.39</v>
      </c>
      <c r="AO304" s="53">
        <f>Tabela3[Cotação]/Tabela3[VPA]</f>
        <v>1.0982774268632491</v>
      </c>
      <c r="AP304" s="37">
        <f>IF(Tabela3[[#This Row],[Lucro/Ação]]&gt;0,Tabela3[[#This Row],[Cotação]]/(Tabela3[[#This Row],[Lucro/Ação]]/Tabela3[Ref]*4),0)</f>
        <v>32.60897960012251</v>
      </c>
      <c r="AQ304" s="85">
        <f>Tabela3[Lucro Distribuir]/Tabela3[Total Ações]</f>
        <v>0.11777047448567116</v>
      </c>
      <c r="AR304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2.9442618621417789E-2</v>
      </c>
      <c r="AS304" s="10" t="str">
        <f>IF(AND(Tabela3[% A.A.]&gt;=6%,SUMPRODUCT(N(Tabela3[Nome]=Tabela3[[#This Row],[Nome]]),Tabela3[PL])&gt;0,Tabela3[Rentabilidade s/ PL]&gt;=Tabela3[Rentabilidade s/ PL Média]),"Sim","Não")</f>
        <v>Não</v>
      </c>
      <c r="AT304" s="22">
        <f>IF(Tabela3[Cotação]&gt;0,Tabela3[[#This Row],[Lucro]]/Tabela3[[#This Row],[Cotação]],0)</f>
        <v>5.4624524344003321E-3</v>
      </c>
      <c r="AU304" s="22">
        <f>((1+Tabela3[[#This Row],[% Yield]])^(1/(3*Tabela3[[#This Row],[Ref]])))^(12)-1</f>
        <v>7.289892634452011E-3</v>
      </c>
      <c r="AV304" s="10">
        <f>IF(Tabela3[Cotação]&gt;0,($BD$1/Tabela3[[#This Row],[Cotação]]-MOD($BD$1/Tabela3[[#This Row],[Cotação]],100)),)</f>
        <v>0</v>
      </c>
      <c r="AW304" s="7">
        <f>Tabela3[[#This Row],[Ativos]]*Tabela3[Lucro]</f>
        <v>0</v>
      </c>
      <c r="AX304" s="7">
        <f>SUMPRODUCT(N(Tabela1[Código]=Tabela3[[#This Row],[PAPEL]]),Tabela1[Fechamento])</f>
        <v>0</v>
      </c>
      <c r="AY304" s="7">
        <f>SUMPRODUCT(N(Tabela17[Código]=Tabela3[[#This Row],[PAPEL]]),Tabela17[Fechamento])</f>
        <v>0</v>
      </c>
      <c r="AZ304" s="7">
        <f>SUMPRODUCT(N(Tabela176[Código]=Tabela3[[#This Row],[PAPEL]]),Tabela176[Fechamento])</f>
        <v>0</v>
      </c>
      <c r="BA304" s="7">
        <f>SUMPRODUCT(N(Tabela1768[Código]=Tabela3[[#This Row],[PAPEL]]),Tabela1768[Fechamento])</f>
        <v>5.39</v>
      </c>
      <c r="BB304" s="7">
        <f>SUMPRODUCT(N(Tabela17683[Código]=Tabela3[[#This Row],[PAPEL]]),Tabela17683[Fechamento])</f>
        <v>0</v>
      </c>
    </row>
    <row r="305" spans="1:54" hidden="1" x14ac:dyDescent="0.2">
      <c r="A305" s="3" t="s">
        <v>346</v>
      </c>
      <c r="B305" s="58" t="s">
        <v>347</v>
      </c>
      <c r="C305" s="83" t="str">
        <f>LEFT(Tabela3[PAPEL],LEN(Tabela3[PAPEL])-(LEN(Tabela3[PAPEL])-4))</f>
        <v>ALSC</v>
      </c>
      <c r="D305" s="16">
        <v>3</v>
      </c>
      <c r="E305" s="5">
        <v>1367420581.99</v>
      </c>
      <c r="F305" s="56">
        <v>159025920</v>
      </c>
      <c r="G305" s="86">
        <v>0.25</v>
      </c>
      <c r="H305" s="16"/>
      <c r="J305" s="18"/>
      <c r="K305" s="87"/>
      <c r="L305" s="87"/>
      <c r="M305" s="54"/>
      <c r="N305" s="54"/>
      <c r="O305" s="54"/>
      <c r="P305" s="5">
        <v>1645312000</v>
      </c>
      <c r="Q305" s="5">
        <v>40163000</v>
      </c>
      <c r="R305" s="5">
        <f>IF(Tabela3[[#This Row],[Ativo || Passivo]]&gt;0,Tabela3[[#This Row],[Ativo || Passivo]]-Tabela3[[#This Row],[Patrimônio Líquido]],0)</f>
        <v>0</v>
      </c>
      <c r="S305" s="5">
        <f>Tabela3[[#This Row],[Cotação]]*Tabela3[[#This Row],[Total Ações]]</f>
        <v>2615976384</v>
      </c>
      <c r="T305" s="132">
        <f>IF(Tabela3[[#This Row],[Passivo Circulante]]&gt;0,Tabela3[[#This Row],[Ativo Circulante]]/Tabela3[[#This Row],[Passivo Circulante]],0)</f>
        <v>0</v>
      </c>
      <c r="U305" s="132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05" s="18">
        <f>IF(Tabela3[[#This Row],[Lucro Líquido]]&gt;0,Tabela3[[#This Row],[Lucro Líquido]]/Tabela3[[#This Row],[Patrimônio Líquido]],0)</f>
        <v>2.4410567722109849E-2</v>
      </c>
      <c r="W305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05" s="18">
        <f>IF(Tabela3[[#This Row],[Dívida]]&gt;0,Tabela3[[#This Row],[Dívida]]/Tabela3[[#This Row],[Patrimônio Líquido]],0)</f>
        <v>0</v>
      </c>
      <c r="Y305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05" s="5">
        <f>Tabela3[[#This Row],[Capital Social]]*20%</f>
        <v>273484116.398</v>
      </c>
      <c r="AA305" s="5">
        <f>IF((Tabela3[Lucro Líquido]*5%)&gt;Tabela3[Teto R. Legal],Tabela3[Teto R. Legal],Tabela3[Lucro Líquido]*5%)</f>
        <v>2008150</v>
      </c>
      <c r="AB305" s="5">
        <f>IF(Tabela3[Lucro Líquido]&lt;0,0,Tabela3[Lucro Líquido]-Tabela3[Reserva Legal])</f>
        <v>38154850</v>
      </c>
      <c r="AC305" s="5">
        <f>Tabela3[[#This Row],[Lucro Distribuir]]*Tabela3[%Div]</f>
        <v>9538712.5</v>
      </c>
      <c r="AD305" s="21">
        <f>SUMPRODUCT(N(Tabela3[Nome]=Tabela3[[#This Row],[Nome]]),Tabela3[Ações])</f>
        <v>159025920</v>
      </c>
      <c r="AE305" s="5">
        <f>Tabela3[Capital Social]/Tabela3[Total Ações]</f>
        <v>8.5987276916241075</v>
      </c>
      <c r="AF305" s="77">
        <f>Tabela3[[#This Row],[Lucro Líquido]]/Tabela3[[#This Row],[Total Ações]]</f>
        <v>0.25255631283252439</v>
      </c>
      <c r="AG305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5.9982124297724544E-2</v>
      </c>
      <c r="AH305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05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05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5.9982124297724544E-2</v>
      </c>
      <c r="AK305" s="5">
        <f>Tabela3[Div Base]*Tabela3[Ações]</f>
        <v>9538712.5</v>
      </c>
      <c r="AL305" s="5">
        <f>SUMPRODUCT(N(Tabela3[Nome]=Tabela3[[#This Row],[Nome]]),Tabela3[Div Base]*Tabela3[Ações])</f>
        <v>9538712.5</v>
      </c>
      <c r="AM305" s="5">
        <f>Tabela3[Patrimônio Líquido]/Tabela3[Total Ações]</f>
        <v>10.346187590048213</v>
      </c>
      <c r="AN305" s="52">
        <f>MAX(Tabela3[[#This Row],[Cotação 1]:[Cotação 5]])</f>
        <v>16.45</v>
      </c>
      <c r="AO305" s="53">
        <f>Tabela3[Cotação]/Tabela3[VPA]</f>
        <v>1.5899576396452466</v>
      </c>
      <c r="AP305" s="37">
        <f>IF(Tabela3[[#This Row],[Lucro/Ação]]&gt;0,Tabela3[[#This Row],[Cotação]]/(Tabela3[[#This Row],[Lucro/Ação]]/Tabela3[Ref]*4),0)</f>
        <v>48.850491447352042</v>
      </c>
      <c r="AQ305" s="77">
        <f>Tabela3[Lucro Distribuir]/Tabela3[Total Ações]</f>
        <v>0.23992849719089818</v>
      </c>
      <c r="AR305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5.9982124297724544E-2</v>
      </c>
      <c r="AS305" s="16" t="str">
        <f>IF(AND(Tabela3[% A.A.]&gt;=6%,SUMPRODUCT(N(Tabela3[Nome]=Tabela3[[#This Row],[Nome]]),Tabela3[PL])&gt;0,Tabela3[Rentabilidade s/ PL]&gt;=Tabela3[Rentabilidade s/ PL Média]),"Sim","Não")</f>
        <v>Não</v>
      </c>
      <c r="AT305" s="22">
        <f>IF(Tabela3[Cotação]&gt;0,Tabela3[[#This Row],[Lucro]]/Tabela3[[#This Row],[Cotação]],0)</f>
        <v>3.6463297445425255E-3</v>
      </c>
      <c r="AU305" s="18">
        <f>((1+Tabela3[[#This Row],[% Yield]])^(1/(3*Tabela3[[#This Row],[Ref]])))^(12)-1</f>
        <v>4.8647252068299007E-3</v>
      </c>
      <c r="AV305" s="10">
        <f>IF(Tabela3[Cotação]&gt;0,($BH$1/Tabela3[[#This Row],[Cotação]]-MOD($BH$1/Tabela3[[#This Row],[Cotação]],100)),)</f>
        <v>0</v>
      </c>
      <c r="AW305" s="7">
        <f>Tabela3[[#This Row],[Ativos]]*Tabela3[Lucro]</f>
        <v>0</v>
      </c>
      <c r="AX305" s="47">
        <f>SUMPRODUCT(N(Tabela1[Código]=Tabela3[[#This Row],[PAPEL]]),Tabela1[Fechamento])</f>
        <v>0</v>
      </c>
      <c r="AY305" s="54">
        <f>SUMPRODUCT(N(Tabela17[Código]=Tabela3[[#This Row],[PAPEL]]),Tabela17[Fechamento])</f>
        <v>16.45</v>
      </c>
      <c r="AZ305" s="7">
        <f>SUMPRODUCT(N(Tabela176[Código]=Tabela3[[#This Row],[PAPEL]]),Tabela176[Fechamento])</f>
        <v>0</v>
      </c>
      <c r="BA305" s="7">
        <f>SUMPRODUCT(N(Tabela1768[Código]=Tabela3[[#This Row],[PAPEL]]),Tabela1768[Fechamento])</f>
        <v>0</v>
      </c>
      <c r="BB305" s="7">
        <f>SUMPRODUCT(N(Tabela17683[Código]=Tabela3[[#This Row],[PAPEL]]),Tabela17683[Fechamento])</f>
        <v>0</v>
      </c>
    </row>
    <row r="306" spans="1:54" hidden="1" x14ac:dyDescent="0.2">
      <c r="A306" s="4" t="s">
        <v>14</v>
      </c>
      <c r="B306" s="57" t="s">
        <v>211</v>
      </c>
      <c r="C306" s="14" t="str">
        <f>LEFT(Tabela3[PAPEL],LEN(Tabela3[PAPEL])-(LEN(Tabela3[PAPEL])-4))</f>
        <v>BMIN</v>
      </c>
      <c r="D306" s="15">
        <v>3</v>
      </c>
      <c r="E306" s="6">
        <v>25552800</v>
      </c>
      <c r="F306" s="8">
        <v>111505680</v>
      </c>
      <c r="G306" s="81">
        <v>0.25</v>
      </c>
      <c r="H306" s="15"/>
      <c r="I306" s="19"/>
      <c r="J306" s="19"/>
      <c r="K306" s="88"/>
      <c r="L306" s="88"/>
      <c r="M306" s="55"/>
      <c r="N306" s="55"/>
      <c r="O306" s="55"/>
      <c r="P306" s="6">
        <v>56483000</v>
      </c>
      <c r="Q306" s="6">
        <v>1359000</v>
      </c>
      <c r="R306" s="6">
        <f>IF(Tabela3[[#This Row],[Ativo || Passivo]]&gt;0,Tabela3[[#This Row],[Ativo || Passivo]]-Tabela3[[#This Row],[Patrimônio Líquido]],0)</f>
        <v>0</v>
      </c>
      <c r="S306" s="6">
        <f>Tabela3[[#This Row],[Cotação]]*Tabela3[[#This Row],[Total Ações]]</f>
        <v>182520000</v>
      </c>
      <c r="T306" s="134">
        <f>IF(Tabela3[[#This Row],[Passivo Circulante]]&gt;0,Tabela3[[#This Row],[Ativo Circulante]]/Tabela3[[#This Row],[Passivo Circulante]],0)</f>
        <v>0</v>
      </c>
      <c r="U306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06" s="19">
        <f>IF(Tabela3[[#This Row],[Lucro Líquido]]&gt;0,Tabela3[[#This Row],[Lucro Líquido]]/Tabela3[[#This Row],[Patrimônio Líquido]],0)</f>
        <v>2.4060336738487686E-2</v>
      </c>
      <c r="W306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06" s="19">
        <f>IF(Tabela3[[#This Row],[Dívida]]&gt;0,Tabela3[[#This Row],[Dívida]]/Tabela3[[#This Row],[Patrimônio Líquido]],0)</f>
        <v>0</v>
      </c>
      <c r="Y306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06" s="6">
        <f>Tabela3[[#This Row],[Capital Social]]*20%</f>
        <v>5110560</v>
      </c>
      <c r="AA306" s="6">
        <f>IF((Tabela3[Lucro Líquido]*5%)&gt;Tabela3[Teto R. Legal],Tabela3[Teto R. Legal],Tabela3[Lucro Líquido]*5%)</f>
        <v>67950</v>
      </c>
      <c r="AB306" s="6">
        <f>IF(Tabela3[Lucro Líquido]&lt;0,0,Tabela3[Lucro Líquido]-Tabela3[Reserva Legal])</f>
        <v>1291050</v>
      </c>
      <c r="AC306" s="6">
        <f>Tabela3[[#This Row],[Lucro Distribuir]]*Tabela3[%Div]</f>
        <v>322762.5</v>
      </c>
      <c r="AD306" s="21">
        <f>SUMPRODUCT(N(Tabela3[Nome]=Tabela3[[#This Row],[Nome]]),Tabela3[Ações])</f>
        <v>182520000</v>
      </c>
      <c r="AE306" s="6">
        <f>Tabela3[Capital Social]/Tabela3[Total Ações]</f>
        <v>0.14000000000000001</v>
      </c>
      <c r="AF306" s="78">
        <f>Tabela3[[#This Row],[Lucro Líquido]]/Tabela3[[#This Row],[Total Ações]]</f>
        <v>7.4457593688362919E-3</v>
      </c>
      <c r="AG306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1.7683678500986194E-3</v>
      </c>
      <c r="AH306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06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06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06" s="6">
        <f>Tabela3[Div Base]*Tabela3[Ações]</f>
        <v>0</v>
      </c>
      <c r="AL306" s="6">
        <f>SUMPRODUCT(N(Tabela3[Nome]=Tabela3[[#This Row],[Nome]]),Tabela3[Div Base]*Tabela3[Ações])</f>
        <v>695940.33600000013</v>
      </c>
      <c r="AM306" s="6">
        <f>Tabela3[Patrimônio Líquido]/Tabela3[Total Ações]</f>
        <v>0.30946197676966908</v>
      </c>
      <c r="AN306" s="48">
        <f>MAX(Tabela3[[#This Row],[Cotação 1]:[Cotação 5]])</f>
        <v>1</v>
      </c>
      <c r="AO306" s="44">
        <f>Tabela3[Cotação]/Tabela3[VPA]</f>
        <v>3.2314147619637765</v>
      </c>
      <c r="AP306" s="40">
        <f>IF(Tabela3[[#This Row],[Lucro/Ação]]&gt;0,Tabela3[[#This Row],[Cotação]]/(Tabela3[[#This Row],[Lucro/Ação]]/Tabela3[Ref]*4),0)</f>
        <v>100.72847682119205</v>
      </c>
      <c r="AQ306" s="78">
        <f>Tabela3[Lucro Distribuir]/Tabela3[Total Ações]</f>
        <v>7.0734714003944776E-3</v>
      </c>
      <c r="AR306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06" s="15" t="str">
        <f>IF(AND(Tabela3[% A.A.]&gt;=6%,SUMPRODUCT(N(Tabela3[Nome]=Tabela3[[#This Row],[Nome]]),Tabela3[PL])&gt;0,Tabela3[Rentabilidade s/ PL]&gt;=Tabela3[Rentabilidade s/ PL Média]),"Sim","Não")</f>
        <v>Não</v>
      </c>
      <c r="AT306" s="42">
        <f>IF(Tabela3[Cotação]&gt;0,Tabela3[[#This Row],[Lucro]]/Tabela3[[#This Row],[Cotação]],0)</f>
        <v>0</v>
      </c>
      <c r="AU306" s="19">
        <f>((1+Tabela3[[#This Row],[% Yield]])^(1/(3*Tabela3[[#This Row],[Ref]])))^(12)-1</f>
        <v>0</v>
      </c>
      <c r="AV306" s="14">
        <f>IF(Tabela3[Cotação]&gt;0,($BH$1/Tabela3[[#This Row],[Cotação]]-MOD($BH$1/Tabela3[[#This Row],[Cotação]],100)),)</f>
        <v>500</v>
      </c>
      <c r="AW306" s="17">
        <f>Tabela3[[#This Row],[Ativos]]*Tabela3[Lucro]</f>
        <v>0</v>
      </c>
      <c r="AX306" s="5">
        <f>SUMPRODUCT(N(Tabela1[Código]=Tabela3[[#This Row],[PAPEL]]),Tabela1[Fechamento])</f>
        <v>1</v>
      </c>
      <c r="AY306" s="5">
        <f>SUMPRODUCT(N(Tabela17[Código]=Tabela3[[#This Row],[PAPEL]]),Tabela17[Fechamento])</f>
        <v>0</v>
      </c>
      <c r="AZ306" s="7">
        <f>SUMPRODUCT(N(Tabela176[Código]=Tabela3[[#This Row],[PAPEL]]),Tabela176[Fechamento])</f>
        <v>0</v>
      </c>
      <c r="BA306" s="7">
        <f>SUMPRODUCT(N(Tabela1768[Código]=Tabela3[[#This Row],[PAPEL]]),Tabela1768[Fechamento])</f>
        <v>0</v>
      </c>
      <c r="BB306" s="7">
        <f>SUMPRODUCT(N(Tabela17683[Código]=Tabela3[[#This Row],[PAPEL]]),Tabela17683[Fechamento])</f>
        <v>0</v>
      </c>
    </row>
    <row r="307" spans="1:54" hidden="1" x14ac:dyDescent="0.2">
      <c r="A307" s="4" t="s">
        <v>14</v>
      </c>
      <c r="B307" s="57" t="s">
        <v>61</v>
      </c>
      <c r="C307" s="14" t="str">
        <f>LEFT(Tabela3[PAPEL],LEN(Tabela3[PAPEL])-(LEN(Tabela3[PAPEL])-4))</f>
        <v>BMIN</v>
      </c>
      <c r="D307" s="15">
        <v>3</v>
      </c>
      <c r="E307" s="6">
        <v>25552800</v>
      </c>
      <c r="F307" s="8">
        <v>71014320</v>
      </c>
      <c r="G307" s="86">
        <v>0.25</v>
      </c>
      <c r="H307" s="15"/>
      <c r="I307" s="19">
        <v>7.0000000000000007E-2</v>
      </c>
      <c r="J307" s="19"/>
      <c r="K307" s="88"/>
      <c r="L307" s="88"/>
      <c r="M307" s="55"/>
      <c r="N307" s="55"/>
      <c r="O307" s="55"/>
      <c r="P307" s="6">
        <v>56483000</v>
      </c>
      <c r="Q307" s="6">
        <v>1359000</v>
      </c>
      <c r="R307" s="6">
        <f>IF(Tabela3[[#This Row],[Ativo || Passivo]]&gt;0,Tabela3[[#This Row],[Ativo || Passivo]]-Tabela3[[#This Row],[Patrimônio Líquido]],0)</f>
        <v>0</v>
      </c>
      <c r="S307" s="6">
        <f>Tabela3[[#This Row],[Cotação]]*Tabela3[[#This Row],[Total Ações]]</f>
        <v>43804800</v>
      </c>
      <c r="T307" s="134">
        <f>IF(Tabela3[[#This Row],[Passivo Circulante]]&gt;0,Tabela3[[#This Row],[Ativo Circulante]]/Tabela3[[#This Row],[Passivo Circulante]],0)</f>
        <v>0</v>
      </c>
      <c r="U307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07" s="19">
        <f>IF(Tabela3[[#This Row],[Lucro Líquido]]&gt;0,Tabela3[[#This Row],[Lucro Líquido]]/Tabela3[[#This Row],[Patrimônio Líquido]],0)</f>
        <v>2.4060336738487686E-2</v>
      </c>
      <c r="W307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07" s="19">
        <f>IF(Tabela3[[#This Row],[Dívida]]&gt;0,Tabela3[[#This Row],[Dívida]]/Tabela3[[#This Row],[Patrimônio Líquido]],0)</f>
        <v>0</v>
      </c>
      <c r="Y307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07" s="6">
        <f>Tabela3[[#This Row],[Capital Social]]*20%</f>
        <v>5110560</v>
      </c>
      <c r="AA307" s="6">
        <f>IF((Tabela3[Lucro Líquido]*5%)&gt;Tabela3[Teto R. Legal],Tabela3[Teto R. Legal],Tabela3[Lucro Líquido]*5%)</f>
        <v>67950</v>
      </c>
      <c r="AB307" s="6">
        <f>IF(Tabela3[Lucro Líquido]&lt;0,0,Tabela3[Lucro Líquido]-Tabela3[Reserva Legal])</f>
        <v>1291050</v>
      </c>
      <c r="AC307" s="6">
        <f>Tabela3[[#This Row],[Lucro Distribuir]]*Tabela3[%Div]</f>
        <v>322762.5</v>
      </c>
      <c r="AD307" s="21">
        <f>SUMPRODUCT(N(Tabela3[Nome]=Tabela3[[#This Row],[Nome]]),Tabela3[Ações])</f>
        <v>182520000</v>
      </c>
      <c r="AE307" s="6">
        <f>Tabela3[Capital Social]/Tabela3[Total Ações]</f>
        <v>0.14000000000000001</v>
      </c>
      <c r="AF307" s="78">
        <f>Tabela3[[#This Row],[Lucro Líquido]]/Tabela3[[#This Row],[Total Ações]]</f>
        <v>7.4457593688362919E-3</v>
      </c>
      <c r="AG307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1.7683678500986194E-3</v>
      </c>
      <c r="AH307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07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9.8000000000000014E-3</v>
      </c>
      <c r="AJ307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9.8000000000000014E-3</v>
      </c>
      <c r="AK307" s="6">
        <f>Tabela3[Div Base]*Tabela3[Ações]</f>
        <v>695940.33600000013</v>
      </c>
      <c r="AL307" s="6">
        <f>SUMPRODUCT(N(Tabela3[Nome]=Tabela3[[#This Row],[Nome]]),Tabela3[Div Base]*Tabela3[Ações])</f>
        <v>695940.33600000013</v>
      </c>
      <c r="AM307" s="6">
        <f>Tabela3[Patrimônio Líquido]/Tabela3[Total Ações]</f>
        <v>0.30946197676966908</v>
      </c>
      <c r="AN307" s="48">
        <f>MAX(Tabela3[[#This Row],[Cotação 1]:[Cotação 5]])</f>
        <v>0.24</v>
      </c>
      <c r="AO307" s="44">
        <f>Tabela3[Cotação]/Tabela3[VPA]</f>
        <v>0.77553954287130633</v>
      </c>
      <c r="AP307" s="40">
        <f>IF(Tabela3[[#This Row],[Lucro/Ação]]&gt;0,Tabela3[[#This Row],[Cotação]]/(Tabela3[[#This Row],[Lucro/Ação]]/Tabela3[Ref]*4),0)</f>
        <v>24.174834437086091</v>
      </c>
      <c r="AQ307" s="78">
        <f>Tabela3[Lucro Distribuir]/Tabela3[Total Ações]</f>
        <v>7.0734714003944776E-3</v>
      </c>
      <c r="AR307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9.8000000000000014E-3</v>
      </c>
      <c r="AS307" s="15" t="str">
        <f>IF(AND(Tabela3[% A.A.]&gt;=6%,SUMPRODUCT(N(Tabela3[Nome]=Tabela3[[#This Row],[Nome]]),Tabela3[PL])&gt;0,Tabela3[Rentabilidade s/ PL]&gt;=Tabela3[Rentabilidade s/ PL Média]),"Sim","Não")</f>
        <v>Não</v>
      </c>
      <c r="AT307" s="42">
        <f>IF(Tabela3[Cotação]&gt;0,Tabela3[[#This Row],[Lucro]]/Tabela3[[#This Row],[Cotação]],0)</f>
        <v>4.083333333333334E-2</v>
      </c>
      <c r="AU307" s="19">
        <f>((1+Tabela3[[#This Row],[% Yield]])^(1/(3*Tabela3[[#This Row],[Ref]])))^(12)-1</f>
        <v>5.4811662955365881E-2</v>
      </c>
      <c r="AV307" s="14">
        <f>IF(Tabela3[Cotação]&gt;0,($BD$1/Tabela3[[#This Row],[Cotação]]-MOD($BD$1/Tabela3[[#This Row],[Cotação]],100)),)</f>
        <v>0</v>
      </c>
      <c r="AW307" s="17">
        <f>Tabela3[[#This Row],[Ativos]]*Tabela3[Lucro]</f>
        <v>0</v>
      </c>
      <c r="AX307" s="5">
        <f>SUMPRODUCT(N(Tabela1[Código]=Tabela3[[#This Row],[PAPEL]]),Tabela1[Fechamento])</f>
        <v>0.24</v>
      </c>
      <c r="AY307" s="5">
        <f>SUMPRODUCT(N(Tabela17[Código]=Tabela3[[#This Row],[PAPEL]]),Tabela17[Fechamento])</f>
        <v>0</v>
      </c>
      <c r="AZ307" s="7">
        <f>SUMPRODUCT(N(Tabela176[Código]=Tabela3[[#This Row],[PAPEL]]),Tabela176[Fechamento])</f>
        <v>0</v>
      </c>
      <c r="BA307" s="7">
        <f>SUMPRODUCT(N(Tabela1768[Código]=Tabela3[[#This Row],[PAPEL]]),Tabela1768[Fechamento])</f>
        <v>0</v>
      </c>
      <c r="BB307" s="7">
        <f>SUMPRODUCT(N(Tabela17683[Código]=Tabela3[[#This Row],[PAPEL]]),Tabela17683[Fechamento])</f>
        <v>0</v>
      </c>
    </row>
    <row r="308" spans="1:54" hidden="1" x14ac:dyDescent="0.2">
      <c r="A308" s="3" t="s">
        <v>833</v>
      </c>
      <c r="B308" s="58" t="s">
        <v>835</v>
      </c>
      <c r="C308" s="16" t="str">
        <f>LEFT(Tabela3[PAPEL],LEN(Tabela3[PAPEL])-(LEN(Tabela3[PAPEL])-4))</f>
        <v>BPHA</v>
      </c>
      <c r="D308" s="16">
        <v>3</v>
      </c>
      <c r="E308" s="5">
        <v>1441641845.74</v>
      </c>
      <c r="F308" s="56">
        <v>256384419</v>
      </c>
      <c r="G308" s="81">
        <v>0.25</v>
      </c>
      <c r="H308" s="87"/>
      <c r="J308" s="18"/>
      <c r="K308" s="16"/>
      <c r="L308" s="87"/>
      <c r="M308" s="54"/>
      <c r="N308" s="54"/>
      <c r="O308" s="54"/>
      <c r="P308" s="91">
        <v>1592861000</v>
      </c>
      <c r="Q308" s="73">
        <v>36867000</v>
      </c>
      <c r="R308" s="73">
        <f>IF(Tabela3[[#This Row],[Ativo || Passivo]]&gt;0,Tabela3[[#This Row],[Ativo || Passivo]]-Tabela3[[#This Row],[Patrimônio Líquido]],0)</f>
        <v>0</v>
      </c>
      <c r="S308" s="73">
        <f>Tabela3[[#This Row],[Cotação]]*Tabela3[[#This Row],[Total Ações]]</f>
        <v>1153729885.5</v>
      </c>
      <c r="T308" s="37">
        <f>IF(Tabela3[[#This Row],[Passivo Circulante]]&gt;0,Tabela3[[#This Row],[Ativo Circulante]]/Tabela3[[#This Row],[Passivo Circulante]],0)</f>
        <v>0</v>
      </c>
      <c r="U308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08" s="18">
        <f>IF(Tabela3[[#This Row],[Lucro Líquido]]&gt;0,Tabela3[[#This Row],[Lucro Líquido]]/Tabela3[[#This Row],[Patrimônio Líquido]],0)</f>
        <v>2.3145145747180702E-2</v>
      </c>
      <c r="W308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08" s="18">
        <f>IF(Tabela3[[#This Row],[Dívida]]&gt;0,Tabela3[[#This Row],[Dívida]]/Tabela3[[#This Row],[Patrimônio Líquido]],0)</f>
        <v>0</v>
      </c>
      <c r="Y308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08" s="7">
        <f>Tabela3[[#This Row],[Capital Social]]*20%</f>
        <v>288328369.148</v>
      </c>
      <c r="AA308" s="47">
        <f>IF((Tabela3[Lucro Líquido]*5%)&gt;Tabela3[Teto R. Legal],Tabela3[Teto R. Legal],Tabela3[Lucro Líquido]*5%)</f>
        <v>1843350</v>
      </c>
      <c r="AB308" s="47">
        <f>IF(Tabela3[Lucro Líquido]&lt;0,0,Tabela3[Lucro Líquido]-Tabela3[Reserva Legal])</f>
        <v>35023650</v>
      </c>
      <c r="AC308" s="47">
        <f>Tabela3[[#This Row],[Lucro Distribuir]]*Tabela3[%Div]</f>
        <v>8755912.5</v>
      </c>
      <c r="AD308" s="56">
        <f>SUMPRODUCT(N(Tabela3[Nome]=Tabela3[[#This Row],[Nome]]),Tabela3[Ações])</f>
        <v>256384419</v>
      </c>
      <c r="AE308" s="85">
        <f>Tabela3[Capital Social]/Tabela3[Total Ações]</f>
        <v>5.6229698019987708</v>
      </c>
      <c r="AF308" s="85">
        <f>Tabela3[[#This Row],[Lucro Líquido]]/Tabela3[[#This Row],[Total Ações]]</f>
        <v>0.14379578971216656</v>
      </c>
      <c r="AG308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3.4151500056639555E-2</v>
      </c>
      <c r="AH308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08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08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3.4151500056639555E-2</v>
      </c>
      <c r="AK308" s="7">
        <f>Tabela3[Div Base]*Tabela3[Ações]</f>
        <v>8755912.5</v>
      </c>
      <c r="AL308" s="7">
        <f>SUMPRODUCT(N(Tabela3[Nome]=Tabela3[[#This Row],[Nome]]),Tabela3[Div Base]*Tabela3[Ações])</f>
        <v>8755912.5</v>
      </c>
      <c r="AM308" s="5">
        <f>Tabela3[Patrimônio Líquido]/Tabela3[Total Ações]</f>
        <v>6.212783936764894</v>
      </c>
      <c r="AN308" s="52">
        <f>MAX(Tabela3[[#This Row],[Cotação 1]:[Cotação 5]])</f>
        <v>4.5</v>
      </c>
      <c r="AO308" s="53">
        <f>Tabela3[Cotação]/Tabela3[VPA]</f>
        <v>0.72431297238114312</v>
      </c>
      <c r="AP308" s="37">
        <f>IF(Tabela3[[#This Row],[Lucro/Ação]]&gt;0,Tabela3[[#This Row],[Cotação]]/(Tabela3[[#This Row],[Lucro/Ação]]/Tabela3[Ref]*4),0)</f>
        <v>23.470784553259012</v>
      </c>
      <c r="AQ308" s="85">
        <f>Tabela3[Lucro Distribuir]/Tabela3[Total Ações]</f>
        <v>0.13660600022655822</v>
      </c>
      <c r="AR308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3.4151500056639555E-2</v>
      </c>
      <c r="AS308" s="10" t="str">
        <f>IF(AND(Tabela3[% A.A.]&gt;=6%,SUMPRODUCT(N(Tabela3[Nome]=Tabela3[[#This Row],[Nome]]),Tabela3[PL])&gt;0,Tabela3[Rentabilidade s/ PL]&gt;=Tabela3[Rentabilidade s/ PL Média]),"Sim","Não")</f>
        <v>Não</v>
      </c>
      <c r="AT308" s="22">
        <f>IF(Tabela3[Cotação]&gt;0,Tabela3[[#This Row],[Lucro]]/Tabela3[[#This Row],[Cotação]],0)</f>
        <v>7.5892222348087901E-3</v>
      </c>
      <c r="AU308" s="22">
        <f>((1+Tabela3[[#This Row],[% Yield]])^(1/(3*Tabela3[[#This Row],[Ref]])))^(12)-1</f>
        <v>1.0131740638469333E-2</v>
      </c>
      <c r="AV308" s="10">
        <f>IF(Tabela3[Cotação]&gt;0,($BH$1/Tabela3[[#This Row],[Cotação]]-MOD($BH$1/Tabela3[[#This Row],[Cotação]],100)),)</f>
        <v>100</v>
      </c>
      <c r="AW308" s="7">
        <f>Tabela3[[#This Row],[Ativos]]*Tabela3[Lucro]</f>
        <v>3.4151500056639557</v>
      </c>
      <c r="AX308" s="7">
        <f>SUMPRODUCT(N(Tabela1[Código]=Tabela3[[#This Row],[PAPEL]]),Tabela1[Fechamento])</f>
        <v>0</v>
      </c>
      <c r="AY308" s="7">
        <f>SUMPRODUCT(N(Tabela17[Código]=Tabela3[[#This Row],[PAPEL]]),Tabela17[Fechamento])</f>
        <v>0</v>
      </c>
      <c r="AZ308" s="7">
        <f>SUMPRODUCT(N(Tabela176[Código]=Tabela3[[#This Row],[PAPEL]]),Tabela176[Fechamento])</f>
        <v>4.5</v>
      </c>
      <c r="BA308" s="7">
        <f>SUMPRODUCT(N(Tabela1768[Código]=Tabela3[[#This Row],[PAPEL]]),Tabela1768[Fechamento])</f>
        <v>0</v>
      </c>
      <c r="BB308" s="7">
        <f>SUMPRODUCT(N(Tabela17683[Código]=Tabela3[[#This Row],[PAPEL]]),Tabela17683[Fechamento])</f>
        <v>0</v>
      </c>
    </row>
    <row r="309" spans="1:54" hidden="1" x14ac:dyDescent="0.2">
      <c r="A309" s="3" t="s">
        <v>1645</v>
      </c>
      <c r="B309" s="58" t="s">
        <v>1646</v>
      </c>
      <c r="C309" s="16" t="str">
        <f>LEFT(Tabela3[PAPEL],LEN(Tabela3[PAPEL])-(LEN(Tabela3[PAPEL])-4))</f>
        <v>EMBR</v>
      </c>
      <c r="D309" s="16">
        <v>3</v>
      </c>
      <c r="E309" s="5">
        <v>4789617052.4200001</v>
      </c>
      <c r="F309" s="56">
        <v>740465044</v>
      </c>
      <c r="G309" s="81">
        <v>0.25</v>
      </c>
      <c r="H309" s="87"/>
      <c r="J309" s="18"/>
      <c r="K309" s="16"/>
      <c r="L309" s="87"/>
      <c r="M309" s="54"/>
      <c r="N309" s="54"/>
      <c r="O309" s="54"/>
      <c r="P309" s="91">
        <v>7930492000</v>
      </c>
      <c r="Q309" s="73">
        <v>170425000</v>
      </c>
      <c r="R309" s="73">
        <f>IF(Tabela3[[#This Row],[Ativo || Passivo]]&gt;0,Tabela3[[#This Row],[Ativo || Passivo]]-Tabela3[[#This Row],[Patrimônio Líquido]],0)</f>
        <v>0</v>
      </c>
      <c r="S309" s="73">
        <f>Tabela3[[#This Row],[Cotação]]*Tabela3[[#This Row],[Total Ações]]</f>
        <v>14616779968.559999</v>
      </c>
      <c r="T309" s="37">
        <f>IF(Tabela3[[#This Row],[Passivo Circulante]]&gt;0,Tabela3[[#This Row],[Ativo Circulante]]/Tabela3[[#This Row],[Passivo Circulante]],0)</f>
        <v>0</v>
      </c>
      <c r="U309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09" s="18">
        <f>IF(Tabela3[[#This Row],[Lucro Líquido]]&gt;0,Tabela3[[#This Row],[Lucro Líquido]]/Tabela3[[#This Row],[Patrimônio Líquido]],0)</f>
        <v>2.1489839470237155E-2</v>
      </c>
      <c r="W309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09" s="18">
        <f>IF(Tabela3[[#This Row],[Dívida]]&gt;0,Tabela3[[#This Row],[Dívida]]/Tabela3[[#This Row],[Patrimônio Líquido]],0)</f>
        <v>0</v>
      </c>
      <c r="Y309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09" s="7">
        <f>Tabela3[[#This Row],[Capital Social]]*20%</f>
        <v>957923410.48400009</v>
      </c>
      <c r="AA309" s="47">
        <f>IF((Tabela3[Lucro Líquido]*5%)&gt;Tabela3[Teto R. Legal],Tabela3[Teto R. Legal],Tabela3[Lucro Líquido]*5%)</f>
        <v>8521250</v>
      </c>
      <c r="AB309" s="47">
        <f>IF(Tabela3[Lucro Líquido]&lt;0,0,Tabela3[Lucro Líquido]-Tabela3[Reserva Legal])</f>
        <v>161903750</v>
      </c>
      <c r="AC309" s="47">
        <f>Tabela3[[#This Row],[Lucro Distribuir]]*Tabela3[%Div]</f>
        <v>40475937.5</v>
      </c>
      <c r="AD309" s="56">
        <f>SUMPRODUCT(N(Tabela3[Nome]=Tabela3[[#This Row],[Nome]]),Tabela3[Ações])</f>
        <v>740465044</v>
      </c>
      <c r="AE309" s="85">
        <f>Tabela3[Capital Social]/Tabela3[Total Ações]</f>
        <v>6.468390494906334</v>
      </c>
      <c r="AF309" s="85">
        <f>Tabela3[[#This Row],[Lucro Líquido]]/Tabela3[[#This Row],[Total Ações]]</f>
        <v>0.23015941317008343</v>
      </c>
      <c r="AG309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5.4662860627894813E-2</v>
      </c>
      <c r="AH309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09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09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5.4662860627894813E-2</v>
      </c>
      <c r="AK309" s="7">
        <f>Tabela3[Div Base]*Tabela3[Ações]</f>
        <v>40475937.5</v>
      </c>
      <c r="AL309" s="121">
        <f>SUMPRODUCT(N(Tabela3[Nome]=Tabela3[[#This Row],[Nome]]),Tabela3[Div Base]*Tabela3[Ações])</f>
        <v>40475937.5</v>
      </c>
      <c r="AM309" s="5">
        <f>Tabela3[Patrimônio Líquido]/Tabela3[Total Ações]</f>
        <v>10.710150417309908</v>
      </c>
      <c r="AN309" s="52">
        <f>MAX(Tabela3[[#This Row],[Cotação 1]:[Cotação 5]])</f>
        <v>19.739999999999998</v>
      </c>
      <c r="AO309" s="53">
        <f>Tabela3[Cotação]/Tabela3[VPA]</f>
        <v>1.8431113692013055</v>
      </c>
      <c r="AP309" s="37">
        <f>IF(Tabela3[[#This Row],[Lucro/Ação]]&gt;0,Tabela3[[#This Row],[Cotação]]/(Tabela3[[#This Row],[Lucro/Ação]]/Tabela3[Ref]*4),0)</f>
        <v>64.324981525128351</v>
      </c>
      <c r="AQ309" s="85">
        <f>Tabela3[Lucro Distribuir]/Tabela3[Total Ações]</f>
        <v>0.21865144251157925</v>
      </c>
      <c r="AR309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5.4662860627894813E-2</v>
      </c>
      <c r="AS309" s="10" t="str">
        <f>IF(AND(Tabela3[% A.A.]&gt;=6%,SUMPRODUCT(N(Tabela3[Nome]=Tabela3[[#This Row],[Nome]]),Tabela3[PL])&gt;0,Tabela3[Rentabilidade s/ PL]&gt;=Tabela3[Rentabilidade s/ PL Média]),"Sim","Não")</f>
        <v>Não</v>
      </c>
      <c r="AT309" s="22">
        <f>IF(Tabela3[Cotação]&gt;0,Tabela3[[#This Row],[Lucro]]/Tabela3[[#This Row],[Cotação]],0)</f>
        <v>2.7691418757798793E-3</v>
      </c>
      <c r="AU309" s="22">
        <f>((1+Tabela3[[#This Row],[% Yield]])^(1/(3*Tabela3[[#This Row],[Ref]])))^(12)-1</f>
        <v>3.693892152920375E-3</v>
      </c>
      <c r="AV309" s="10">
        <f>IF(Tabela3[Cotação]&gt;0,($BD$1/Tabela3[[#This Row],[Cotação]]-MOD($BD$1/Tabela3[[#This Row],[Cotação]],100)),)</f>
        <v>0</v>
      </c>
      <c r="AW309" s="7">
        <f>Tabela3[[#This Row],[Ativos]]*Tabela3[Lucro]</f>
        <v>0</v>
      </c>
      <c r="AX309" s="7">
        <f>SUMPRODUCT(N(Tabela1[Código]=Tabela3[[#This Row],[PAPEL]]),Tabela1[Fechamento])</f>
        <v>0</v>
      </c>
      <c r="AY309" s="7">
        <f>SUMPRODUCT(N(Tabela17[Código]=Tabela3[[#This Row],[PAPEL]]),Tabela17[Fechamento])</f>
        <v>0</v>
      </c>
      <c r="AZ309" s="7">
        <f>SUMPRODUCT(N(Tabela176[Código]=Tabela3[[#This Row],[PAPEL]]),Tabela176[Fechamento])</f>
        <v>0</v>
      </c>
      <c r="BA309" s="7">
        <f>SUMPRODUCT(N(Tabela1768[Código]=Tabela3[[#This Row],[PAPEL]]),Tabela1768[Fechamento])</f>
        <v>0</v>
      </c>
      <c r="BB309" s="7">
        <f>SUMPRODUCT(N(Tabela17683[Código]=Tabela3[[#This Row],[PAPEL]]),Tabela17683[Fechamento])</f>
        <v>19.739999999999998</v>
      </c>
    </row>
    <row r="310" spans="1:54" hidden="1" x14ac:dyDescent="0.2">
      <c r="A310" s="4" t="s">
        <v>12</v>
      </c>
      <c r="B310" s="57" t="s">
        <v>489</v>
      </c>
      <c r="C310" s="15" t="str">
        <f>LEFT(Tabela3[PAPEL],LEN(Tabela3[PAPEL])-(LEN(Tabela3[PAPEL])-4))</f>
        <v>CEPE</v>
      </c>
      <c r="D310" s="15">
        <v>3</v>
      </c>
      <c r="E310" s="6">
        <v>590173759.38999999</v>
      </c>
      <c r="F310" s="8">
        <v>66302693</v>
      </c>
      <c r="G310" s="86">
        <v>0.25</v>
      </c>
      <c r="H310" s="15"/>
      <c r="I310" s="19"/>
      <c r="J310" s="19"/>
      <c r="K310" s="88"/>
      <c r="L310" s="88"/>
      <c r="M310" s="55"/>
      <c r="N310" s="55"/>
      <c r="O310" s="55"/>
      <c r="P310" s="89">
        <v>3707916000</v>
      </c>
      <c r="Q310" s="89">
        <v>63180000</v>
      </c>
      <c r="R310" s="89">
        <f>IF(Tabela3[[#This Row],[Ativo || Passivo]]&gt;0,Tabela3[[#This Row],[Ativo || Passivo]]-Tabela3[[#This Row],[Patrimônio Líquido]],0)</f>
        <v>0</v>
      </c>
      <c r="S310" s="89">
        <f>Tabela3[[#This Row],[Cotação]]*Tabela3[[#This Row],[Total Ações]]</f>
        <v>1830241877.6400001</v>
      </c>
      <c r="T310" s="134">
        <f>IF(Tabela3[[#This Row],[Passivo Circulante]]&gt;0,Tabela3[[#This Row],[Ativo Circulante]]/Tabela3[[#This Row],[Passivo Circulante]],0)</f>
        <v>0</v>
      </c>
      <c r="U310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10" s="19">
        <f>IF(Tabela3[[#This Row],[Lucro Líquido]]&gt;0,Tabela3[[#This Row],[Lucro Líquido]]/Tabela3[[#This Row],[Patrimônio Líquido]],0)</f>
        <v>1.7039220953225478E-2</v>
      </c>
      <c r="W310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10" s="19">
        <f>IF(Tabela3[[#This Row],[Dívida]]&gt;0,Tabela3[[#This Row],[Dívida]]/Tabela3[[#This Row],[Patrimônio Líquido]],0)</f>
        <v>0</v>
      </c>
      <c r="Y310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10" s="13">
        <f>Tabela3[[#This Row],[Capital Social]]*20%</f>
        <v>118034751.87800001</v>
      </c>
      <c r="AA310" s="13">
        <f>IF((Tabela3[Lucro Líquido]*5%)&gt;Tabela3[Teto R. Legal],Tabela3[Teto R. Legal],Tabela3[Lucro Líquido]*5%)</f>
        <v>3159000</v>
      </c>
      <c r="AB310" s="13">
        <f>IF(Tabela3[Lucro Líquido]&lt;0,0,Tabela3[Lucro Líquido]-Tabela3[Reserva Legal])</f>
        <v>60021000</v>
      </c>
      <c r="AC310" s="13">
        <f>Tabela3[[#This Row],[Lucro Distribuir]]*Tabela3[%Div]</f>
        <v>15005250</v>
      </c>
      <c r="AD310" s="56">
        <f>SUMPRODUCT(N(Tabela3[Nome]=Tabela3[[#This Row],[Nome]]),Tabela3[Ações])</f>
        <v>74612388</v>
      </c>
      <c r="AE310" s="6">
        <f>Tabela3[Capital Social]/Tabela3[Total Ações]</f>
        <v>7.9098628955556283</v>
      </c>
      <c r="AF310" s="78">
        <f>Tabela3[[#This Row],[Lucro Líquido]]/Tabela3[[#This Row],[Total Ações]]</f>
        <v>0.84677627527482435</v>
      </c>
      <c r="AG310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0.19485208828239556</v>
      </c>
      <c r="AH310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10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10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0.19485208828239556</v>
      </c>
      <c r="AK310" s="13">
        <f>Tabela3[Div Base]*Tabela3[Ações]</f>
        <v>12919218.189796571</v>
      </c>
      <c r="AL310" s="13">
        <f>SUMPRODUCT(N(Tabela3[Nome]=Tabela3[[#This Row],[Nome]]),Tabela3[Div Base]*Tabela3[Ações])</f>
        <v>13668149.085004007</v>
      </c>
      <c r="AM310" s="6">
        <f>Tabela3[Patrimônio Líquido]/Tabela3[Total Ações]</f>
        <v>49.69571540854583</v>
      </c>
      <c r="AN310" s="48">
        <f>MAX(Tabela3[[#This Row],[Cotação 1]:[Cotação 5]])</f>
        <v>24.53</v>
      </c>
      <c r="AO310" s="44">
        <f>Tabela3[Cotação]/Tabela3[VPA]</f>
        <v>0.49360392135096914</v>
      </c>
      <c r="AP310" s="40">
        <f>IF(Tabela3[[#This Row],[Lucro/Ação]]&gt;0,Tabela3[[#This Row],[Cotação]]/(Tabela3[[#This Row],[Lucro/Ação]]/Tabela3[Ref]*4),0)</f>
        <v>21.726518015669516</v>
      </c>
      <c r="AQ310" s="78">
        <f>Tabela3[Lucro Distribuir]/Tabela3[Total Ações]</f>
        <v>0.80443746151108309</v>
      </c>
      <c r="AR310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0.19485208828239556</v>
      </c>
      <c r="AS310" s="14" t="str">
        <f>IF(AND(Tabela3[% A.A.]&gt;=6%,SUMPRODUCT(N(Tabela3[Nome]=Tabela3[[#This Row],[Nome]]),Tabela3[PL])&gt;0,Tabela3[Rentabilidade s/ PL]&gt;=Tabela3[Rentabilidade s/ PL Média]),"Sim","Não")</f>
        <v>Não</v>
      </c>
      <c r="AT310" s="42">
        <f>IF(Tabela3[Cotação]&gt;0,Tabela3[[#This Row],[Lucro]]/Tabela3[[#This Row],[Cotação]],0)</f>
        <v>7.9434198239867731E-3</v>
      </c>
      <c r="AU310" s="42">
        <f>((1+Tabela3[[#This Row],[% Yield]])^(1/(3*Tabela3[[#This Row],[Ref]])))^(12)-1</f>
        <v>1.0605223521953366E-2</v>
      </c>
      <c r="AV310" s="14">
        <f>IF(Tabela3[Cotação]&gt;0,($BH$1/Tabela3[[#This Row],[Cotação]]-MOD($BH$1/Tabela3[[#This Row],[Cotação]],100)),)</f>
        <v>0</v>
      </c>
      <c r="AW310" s="17">
        <f>Tabela3[[#This Row],[Ativos]]*Tabela3[Lucro]</f>
        <v>0</v>
      </c>
      <c r="AX310" s="17">
        <f>SUMPRODUCT(N(Tabela1[Código]=Tabela3[[#This Row],[PAPEL]]),Tabela1[Fechamento])</f>
        <v>0</v>
      </c>
      <c r="AY310" s="17">
        <f>SUMPRODUCT(N(Tabela17[Código]=Tabela3[[#This Row],[PAPEL]]),Tabela17[Fechamento])</f>
        <v>24.53</v>
      </c>
      <c r="AZ310" s="7">
        <f>SUMPRODUCT(N(Tabela176[Código]=Tabela3[[#This Row],[PAPEL]]),Tabela176[Fechamento])</f>
        <v>0</v>
      </c>
      <c r="BA310" s="7">
        <f>SUMPRODUCT(N(Tabela1768[Código]=Tabela3[[#This Row],[PAPEL]]),Tabela1768[Fechamento])</f>
        <v>0</v>
      </c>
      <c r="BB310" s="7">
        <f>SUMPRODUCT(N(Tabela17683[Código]=Tabela3[[#This Row],[PAPEL]]),Tabela17683[Fechamento])</f>
        <v>0</v>
      </c>
    </row>
    <row r="311" spans="1:54" hidden="1" x14ac:dyDescent="0.2">
      <c r="A311" s="4" t="s">
        <v>12</v>
      </c>
      <c r="B311" s="57" t="s">
        <v>70</v>
      </c>
      <c r="C311" s="14" t="str">
        <f>LEFT(Tabela3[PAPEL],LEN(Tabela3[PAPEL])-(LEN(Tabela3[PAPEL])-4))</f>
        <v>CEPE</v>
      </c>
      <c r="D311" s="15">
        <v>3</v>
      </c>
      <c r="E311" s="6">
        <v>590173759.38999999</v>
      </c>
      <c r="F311" s="8">
        <v>7567254</v>
      </c>
      <c r="G311" s="86">
        <v>0.1</v>
      </c>
      <c r="H311" s="15"/>
      <c r="I311" s="19"/>
      <c r="J311" s="19"/>
      <c r="K311" s="88"/>
      <c r="L311" s="88"/>
      <c r="M311" s="55"/>
      <c r="N311" s="55"/>
      <c r="O311" s="55"/>
      <c r="P311" s="89">
        <v>3707916000</v>
      </c>
      <c r="Q311" s="89">
        <v>63180000</v>
      </c>
      <c r="R311" s="89">
        <f>IF(Tabela3[[#This Row],[Ativo || Passivo]]&gt;0,Tabela3[[#This Row],[Ativo || Passivo]]-Tabela3[[#This Row],[Patrimônio Líquido]],0)</f>
        <v>0</v>
      </c>
      <c r="S311" s="89">
        <f>Tabela3[[#This Row],[Cotação]]*Tabela3[[#This Row],[Total Ações]]</f>
        <v>1335561745.1999998</v>
      </c>
      <c r="T311" s="134">
        <f>IF(Tabela3[[#This Row],[Passivo Circulante]]&gt;0,Tabela3[[#This Row],[Ativo Circulante]]/Tabela3[[#This Row],[Passivo Circulante]],0)</f>
        <v>0</v>
      </c>
      <c r="U311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11" s="19">
        <f>IF(Tabela3[[#This Row],[Lucro Líquido]]&gt;0,Tabela3[[#This Row],[Lucro Líquido]]/Tabela3[[#This Row],[Patrimônio Líquido]],0)</f>
        <v>1.7039220953225478E-2</v>
      </c>
      <c r="W311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11" s="19">
        <f>IF(Tabela3[[#This Row],[Dívida]]&gt;0,Tabela3[[#This Row],[Dívida]]/Tabela3[[#This Row],[Patrimônio Líquido]],0)</f>
        <v>0</v>
      </c>
      <c r="Y311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11" s="6">
        <f>Tabela3[[#This Row],[Capital Social]]*20%</f>
        <v>118034751.87800001</v>
      </c>
      <c r="AA311" s="6">
        <f>IF((Tabela3[Lucro Líquido]*5%)&gt;Tabela3[Teto R. Legal],Tabela3[Teto R. Legal],Tabela3[Lucro Líquido]*5%)</f>
        <v>3159000</v>
      </c>
      <c r="AB311" s="89">
        <f>IF(Tabela3[Lucro Líquido]&lt;0,0,Tabela3[Lucro Líquido]-Tabela3[Reserva Legal])</f>
        <v>60021000</v>
      </c>
      <c r="AC311" s="89">
        <f>Tabela3[[#This Row],[Lucro Distribuir]]*Tabela3[%Div]</f>
        <v>6002100</v>
      </c>
      <c r="AD311" s="56">
        <f>SUMPRODUCT(N(Tabela3[Nome]=Tabela3[[#This Row],[Nome]]),Tabela3[Ações])</f>
        <v>74612388</v>
      </c>
      <c r="AE311" s="6">
        <f>Tabela3[Capital Social]/Tabela3[Total Ações]</f>
        <v>7.9098628955556283</v>
      </c>
      <c r="AF311" s="78">
        <f>Tabela3[[#This Row],[Lucro Líquido]]/Tabela3[[#This Row],[Total Ações]]</f>
        <v>0.84677627527482435</v>
      </c>
      <c r="AG311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7.7940835312958229E-2</v>
      </c>
      <c r="AH311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11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11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7.7940835312958229E-2</v>
      </c>
      <c r="AK311" s="6">
        <f>Tabela3[Div Base]*Tabela3[Ações]</f>
        <v>589798.09778532444</v>
      </c>
      <c r="AL311" s="6">
        <f>SUMPRODUCT(N(Tabela3[Nome]=Tabela3[[#This Row],[Nome]]),Tabela3[Div Base]*Tabela3[Ações])</f>
        <v>13668149.085004007</v>
      </c>
      <c r="AM311" s="6">
        <f>Tabela3[Patrimônio Líquido]/Tabela3[Total Ações]</f>
        <v>49.69571540854583</v>
      </c>
      <c r="AN311" s="48">
        <f>MAX(Tabela3[[#This Row],[Cotação 1]:[Cotação 5]])</f>
        <v>17.899999999999999</v>
      </c>
      <c r="AO311" s="44">
        <f>Tabela3[Cotação]/Tabela3[VPA]</f>
        <v>0.3601920176185221</v>
      </c>
      <c r="AP311" s="40">
        <f>IF(Tabela3[[#This Row],[Lucro/Ação]]&gt;0,Tabela3[[#This Row],[Cotação]]/(Tabela3[[#This Row],[Lucro/Ação]]/Tabela3[Ref]*4),0)</f>
        <v>15.854246737891735</v>
      </c>
      <c r="AQ311" s="78">
        <f>Tabela3[Lucro Distribuir]/Tabela3[Total Ações]</f>
        <v>0.80443746151108309</v>
      </c>
      <c r="AR311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7.7940835312958229E-2</v>
      </c>
      <c r="AS311" s="14" t="str">
        <f>IF(AND(Tabela3[% A.A.]&gt;=6%,SUMPRODUCT(N(Tabela3[Nome]=Tabela3[[#This Row],[Nome]]),Tabela3[PL])&gt;0,Tabela3[Rentabilidade s/ PL]&gt;=Tabela3[Rentabilidade s/ PL Média]),"Sim","Não")</f>
        <v>Não</v>
      </c>
      <c r="AT311" s="42">
        <f>IF(Tabela3[Cotação]&gt;0,Tabela3[[#This Row],[Lucro]]/Tabela3[[#This Row],[Cotação]],0)</f>
        <v>4.3542366096624716E-3</v>
      </c>
      <c r="AU311" s="19">
        <f>((1+Tabela3[[#This Row],[% Yield]])^(1/(3*Tabela3[[#This Row],[Ref]])))^(12)-1</f>
        <v>5.8098579383099036E-3</v>
      </c>
      <c r="AV311" s="14">
        <f>IF(Tabela3[Cotação]&gt;0,($BH$1/Tabela3[[#This Row],[Cotação]]-MOD($BH$1/Tabela3[[#This Row],[Cotação]],100)),)</f>
        <v>0</v>
      </c>
      <c r="AW311" s="17">
        <f>Tabela3[[#This Row],[Ativos]]*Tabela3[Lucro]</f>
        <v>0</v>
      </c>
      <c r="AX311" s="5">
        <f>SUMPRODUCT(N(Tabela1[Código]=Tabela3[[#This Row],[PAPEL]]),Tabela1[Fechamento])</f>
        <v>17.899999999999999</v>
      </c>
      <c r="AY311" s="5">
        <f>SUMPRODUCT(N(Tabela17[Código]=Tabela3[[#This Row],[PAPEL]]),Tabela17[Fechamento])</f>
        <v>0</v>
      </c>
      <c r="AZ311" s="7">
        <f>SUMPRODUCT(N(Tabela176[Código]=Tabela3[[#This Row],[PAPEL]]),Tabela176[Fechamento])</f>
        <v>0</v>
      </c>
      <c r="BA311" s="7">
        <f>SUMPRODUCT(N(Tabela1768[Código]=Tabela3[[#This Row],[PAPEL]]),Tabela1768[Fechamento])</f>
        <v>0</v>
      </c>
      <c r="BB311" s="7">
        <f>SUMPRODUCT(N(Tabela17683[Código]=Tabela3[[#This Row],[PAPEL]]),Tabela17683[Fechamento])</f>
        <v>0</v>
      </c>
    </row>
    <row r="312" spans="1:54" hidden="1" x14ac:dyDescent="0.2">
      <c r="A312" s="4" t="s">
        <v>12</v>
      </c>
      <c r="B312" s="57" t="s">
        <v>92</v>
      </c>
      <c r="C312" s="14" t="str">
        <f>LEFT(Tabela3[PAPEL],LEN(Tabela3[PAPEL])-(LEN(Tabela3[PAPEL])-4))</f>
        <v>CEPE</v>
      </c>
      <c r="D312" s="15">
        <v>3</v>
      </c>
      <c r="E312" s="6">
        <v>590173759.38999999</v>
      </c>
      <c r="F312" s="8">
        <v>742441</v>
      </c>
      <c r="G312" s="81">
        <v>0.25</v>
      </c>
      <c r="H312" s="15"/>
      <c r="I312" s="19"/>
      <c r="J312" s="19">
        <v>0.1</v>
      </c>
      <c r="K312" s="88"/>
      <c r="L312" s="88"/>
      <c r="M312" s="55"/>
      <c r="N312" s="55"/>
      <c r="O312" s="55"/>
      <c r="P312" s="89">
        <v>3707916000</v>
      </c>
      <c r="Q312" s="89">
        <v>63180000</v>
      </c>
      <c r="R312" s="89">
        <f>IF(Tabela3[[#This Row],[Ativo || Passivo]]&gt;0,Tabela3[[#This Row],[Ativo || Passivo]]-Tabela3[[#This Row],[Patrimônio Líquido]],0)</f>
        <v>0</v>
      </c>
      <c r="S312" s="89">
        <f>Tabela3[[#This Row],[Cotação]]*Tabela3[[#This Row],[Total Ações]]</f>
        <v>1351230346.6800001</v>
      </c>
      <c r="T312" s="134">
        <f>IF(Tabela3[[#This Row],[Passivo Circulante]]&gt;0,Tabela3[[#This Row],[Ativo Circulante]]/Tabela3[[#This Row],[Passivo Circulante]],0)</f>
        <v>0</v>
      </c>
      <c r="U312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12" s="19">
        <f>IF(Tabela3[[#This Row],[Lucro Líquido]]&gt;0,Tabela3[[#This Row],[Lucro Líquido]]/Tabela3[[#This Row],[Patrimônio Líquido]],0)</f>
        <v>1.7039220953225478E-2</v>
      </c>
      <c r="W312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12" s="19">
        <f>IF(Tabela3[[#This Row],[Dívida]]&gt;0,Tabela3[[#This Row],[Dívida]]/Tabela3[[#This Row],[Patrimônio Líquido]],0)</f>
        <v>0</v>
      </c>
      <c r="Y312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12" s="6">
        <f>Tabela3[[#This Row],[Capital Social]]*20%</f>
        <v>118034751.87800001</v>
      </c>
      <c r="AA312" s="6">
        <f>IF((Tabela3[Lucro Líquido]*5%)&gt;Tabela3[Teto R. Legal],Tabela3[Teto R. Legal],Tabela3[Lucro Líquido]*5%)</f>
        <v>3159000</v>
      </c>
      <c r="AB312" s="89">
        <f>IF(Tabela3[Lucro Líquido]&lt;0,0,Tabela3[Lucro Líquido]-Tabela3[Reserva Legal])</f>
        <v>60021000</v>
      </c>
      <c r="AC312" s="89">
        <f>Tabela3[[#This Row],[Lucro Distribuir]]*Tabela3[%Div]</f>
        <v>15005250</v>
      </c>
      <c r="AD312" s="56">
        <f>SUMPRODUCT(N(Tabela3[Nome]=Tabela3[[#This Row],[Nome]]),Tabela3[Ações])</f>
        <v>74612388</v>
      </c>
      <c r="AE312" s="6">
        <f>Tabela3[Capital Social]/Tabela3[Total Ações]</f>
        <v>7.9098628955556283</v>
      </c>
      <c r="AF312" s="78">
        <f>Tabela3[[#This Row],[Lucro Líquido]]/Tabela3[[#This Row],[Total Ações]]</f>
        <v>0.84677627527482435</v>
      </c>
      <c r="AG312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0.21433729740425478</v>
      </c>
      <c r="AH312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12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12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0.21433729740425478</v>
      </c>
      <c r="AK312" s="6">
        <f>Tabela3[Div Base]*Tabela3[Ações]</f>
        <v>159132.79742211231</v>
      </c>
      <c r="AL312" s="6">
        <f>SUMPRODUCT(N(Tabela3[Nome]=Tabela3[[#This Row],[Nome]]),Tabela3[Div Base]*Tabela3[Ações])</f>
        <v>13668149.085004007</v>
      </c>
      <c r="AM312" s="6">
        <f>Tabela3[Patrimônio Líquido]/Tabela3[Total Ações]</f>
        <v>49.69571540854583</v>
      </c>
      <c r="AN312" s="48">
        <f>MAX(Tabela3[[#This Row],[Cotação 1]:[Cotação 5]])</f>
        <v>18.11</v>
      </c>
      <c r="AO312" s="44">
        <f>Tabela3[Cotação]/Tabela3[VPA]</f>
        <v>0.36441773402633715</v>
      </c>
      <c r="AP312" s="40">
        <f>IF(Tabela3[[#This Row],[Lucro/Ação]]&gt;0,Tabela3[[#This Row],[Cotação]]/(Tabela3[[#This Row],[Lucro/Ação]]/Tabela3[Ref]*4),0)</f>
        <v>16.040246280626778</v>
      </c>
      <c r="AQ312" s="78">
        <f>Tabela3[Lucro Distribuir]/Tabela3[Total Ações]</f>
        <v>0.80443746151108309</v>
      </c>
      <c r="AR312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0.21433729740425478</v>
      </c>
      <c r="AS312" s="15" t="str">
        <f>IF(AND(Tabela3[% A.A.]&gt;=6%,SUMPRODUCT(N(Tabela3[Nome]=Tabela3[[#This Row],[Nome]]),Tabela3[PL])&gt;0,Tabela3[Rentabilidade s/ PL]&gt;=Tabela3[Rentabilidade s/ PL Média]),"Sim","Não")</f>
        <v>Não</v>
      </c>
      <c r="AT312" s="42">
        <f>IF(Tabela3[Cotação]&gt;0,Tabela3[[#This Row],[Lucro]]/Tabela3[[#This Row],[Cotação]],0)</f>
        <v>1.1835300795375748E-2</v>
      </c>
      <c r="AU312" s="19">
        <f>((1+Tabela3[[#This Row],[% Yield]])^(1/(3*Tabela3[[#This Row],[Ref]])))^(12)-1</f>
        <v>1.5811447226143027E-2</v>
      </c>
      <c r="AV312" s="14">
        <f>IF(Tabela3[Cotação]&gt;0,($BH$1/Tabela3[[#This Row],[Cotação]]-MOD($BH$1/Tabela3[[#This Row],[Cotação]],100)),)</f>
        <v>0</v>
      </c>
      <c r="AW312" s="17">
        <f>Tabela3[[#This Row],[Ativos]]*Tabela3[Lucro]</f>
        <v>0</v>
      </c>
      <c r="AX312" s="5">
        <f>SUMPRODUCT(N(Tabela1[Código]=Tabela3[[#This Row],[PAPEL]]),Tabela1[Fechamento])</f>
        <v>18.11</v>
      </c>
      <c r="AY312" s="5">
        <f>SUMPRODUCT(N(Tabela17[Código]=Tabela3[[#This Row],[PAPEL]]),Tabela17[Fechamento])</f>
        <v>0</v>
      </c>
      <c r="AZ312" s="7">
        <f>SUMPRODUCT(N(Tabela176[Código]=Tabela3[[#This Row],[PAPEL]]),Tabela176[Fechamento])</f>
        <v>0</v>
      </c>
      <c r="BA312" s="7">
        <f>SUMPRODUCT(N(Tabela1768[Código]=Tabela3[[#This Row],[PAPEL]]),Tabela1768[Fechamento])</f>
        <v>0</v>
      </c>
      <c r="BB312" s="7">
        <f>SUMPRODUCT(N(Tabela17683[Código]=Tabela3[[#This Row],[PAPEL]]),Tabela17683[Fechamento])</f>
        <v>0</v>
      </c>
    </row>
    <row r="313" spans="1:54" hidden="1" x14ac:dyDescent="0.2">
      <c r="A313" s="3" t="s">
        <v>1330</v>
      </c>
      <c r="B313" s="57" t="s">
        <v>1364</v>
      </c>
      <c r="C313" s="16" t="str">
        <f>LEFT(Tabela3[PAPEL],LEN(Tabela3[PAPEL])-(LEN(Tabela3[PAPEL])-4))</f>
        <v>RSID</v>
      </c>
      <c r="D313" s="16">
        <v>3</v>
      </c>
      <c r="E313" s="5">
        <v>2633562618.8600001</v>
      </c>
      <c r="F313" s="56">
        <v>428833420</v>
      </c>
      <c r="G313" s="81">
        <v>0.25</v>
      </c>
      <c r="H313" s="87"/>
      <c r="J313" s="18"/>
      <c r="K313" s="16"/>
      <c r="L313" s="87"/>
      <c r="M313" s="54"/>
      <c r="N313" s="54"/>
      <c r="O313" s="54"/>
      <c r="P313" s="91">
        <v>2386747000</v>
      </c>
      <c r="Q313" s="73">
        <v>38536000</v>
      </c>
      <c r="R313" s="73">
        <f>IF(Tabela3[[#This Row],[Ativo || Passivo]]&gt;0,Tabela3[[#This Row],[Ativo || Passivo]]-Tabela3[[#This Row],[Patrimônio Líquido]],0)</f>
        <v>0</v>
      </c>
      <c r="S313" s="73">
        <f>Tabela3[[#This Row],[Cotação]]*Tabela3[[#This Row],[Total Ações]]</f>
        <v>754746819.20000005</v>
      </c>
      <c r="T313" s="37">
        <f>IF(Tabela3[[#This Row],[Passivo Circulante]]&gt;0,Tabela3[[#This Row],[Ativo Circulante]]/Tabela3[[#This Row],[Passivo Circulante]],0)</f>
        <v>0</v>
      </c>
      <c r="U313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13" s="18">
        <f>IF(Tabela3[[#This Row],[Lucro Líquido]]&gt;0,Tabela3[[#This Row],[Lucro Líquido]]/Tabela3[[#This Row],[Patrimônio Líquido]],0)</f>
        <v>1.6145825259233592E-2</v>
      </c>
      <c r="W313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13" s="18">
        <f>IF(Tabela3[[#This Row],[Dívida]]&gt;0,Tabela3[[#This Row],[Dívida]]/Tabela3[[#This Row],[Patrimônio Líquido]],0)</f>
        <v>0</v>
      </c>
      <c r="Y313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13" s="7">
        <f>Tabela3[[#This Row],[Capital Social]]*20%</f>
        <v>526712523.77200007</v>
      </c>
      <c r="AA313" s="47">
        <f>IF((Tabela3[Lucro Líquido]*5%)&gt;Tabela3[Teto R. Legal],Tabela3[Teto R. Legal],Tabela3[Lucro Líquido]*5%)</f>
        <v>1926800</v>
      </c>
      <c r="AB313" s="47">
        <f>IF(Tabela3[Lucro Líquido]&lt;0,0,Tabela3[Lucro Líquido]-Tabela3[Reserva Legal])</f>
        <v>36609200</v>
      </c>
      <c r="AC313" s="47">
        <f>Tabela3[[#This Row],[Lucro Distribuir]]*Tabela3[%Div]</f>
        <v>9152300</v>
      </c>
      <c r="AD313" s="56">
        <f>SUMPRODUCT(N(Tabela3[Nome]=Tabela3[[#This Row],[Nome]]),Tabela3[Ações])</f>
        <v>428833420</v>
      </c>
      <c r="AE313" s="85">
        <f>Tabela3[Capital Social]/Tabela3[Total Ações]</f>
        <v>6.1412252311398685</v>
      </c>
      <c r="AF313" s="85">
        <f>Tabela3[[#This Row],[Lucro Líquido]]/Tabela3[[#This Row],[Total Ações]]</f>
        <v>8.9862399250506181E-2</v>
      </c>
      <c r="AG313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2.1342319821995217E-2</v>
      </c>
      <c r="AH313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13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13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2.1342319821995217E-2</v>
      </c>
      <c r="AK313" s="7">
        <f>Tabela3[Div Base]*Tabela3[Ações]</f>
        <v>9152300</v>
      </c>
      <c r="AL313" s="121">
        <f>SUMPRODUCT(N(Tabela3[Nome]=Tabela3[[#This Row],[Nome]]),Tabela3[Div Base]*Tabela3[Ações])</f>
        <v>9152300</v>
      </c>
      <c r="AM313" s="5">
        <f>Tabela3[Patrimônio Líquido]/Tabela3[Total Ações]</f>
        <v>5.5656739626309912</v>
      </c>
      <c r="AN313" s="52">
        <f>MAX(Tabela3[[#This Row],[Cotação 1]:[Cotação 5]])</f>
        <v>1.76</v>
      </c>
      <c r="AO313" s="53">
        <f>Tabela3[Cotação]/Tabela3[VPA]</f>
        <v>0.31622405692769279</v>
      </c>
      <c r="AP313" s="37">
        <f>IF(Tabela3[[#This Row],[Lucro/Ação]]&gt;0,Tabela3[[#This Row],[Cotação]]/(Tabela3[[#This Row],[Lucro/Ação]]/Tabela3[Ref]*4),0)</f>
        <v>14.689124828731575</v>
      </c>
      <c r="AQ313" s="85">
        <f>Tabela3[Lucro Distribuir]/Tabela3[Total Ações]</f>
        <v>8.5369279287980868E-2</v>
      </c>
      <c r="AR313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2.1342319821995217E-2</v>
      </c>
      <c r="AS313" s="10" t="str">
        <f>IF(AND(Tabela3[% A.A.]&gt;=6%,SUMPRODUCT(N(Tabela3[Nome]=Tabela3[[#This Row],[Nome]]),Tabela3[PL])&gt;0,Tabela3[Rentabilidade s/ PL]&gt;=Tabela3[Rentabilidade s/ PL Média]),"Sim","Não")</f>
        <v>Não</v>
      </c>
      <c r="AT313" s="22">
        <f>IF(Tabela3[Cotação]&gt;0,Tabela3[[#This Row],[Lucro]]/Tabela3[[#This Row],[Cotação]],0)</f>
        <v>1.2126318080679101E-2</v>
      </c>
      <c r="AU313" s="22">
        <f>((1+Tabela3[[#This Row],[% Yield]])^(1/(3*Tabela3[[#This Row],[Ref]])))^(12)-1</f>
        <v>1.6201013735315017E-2</v>
      </c>
      <c r="AV313" s="10">
        <f>IF(Tabela3[Cotação]&gt;0,($BD$1/Tabela3[[#This Row],[Cotação]]-MOD($BD$1/Tabela3[[#This Row],[Cotação]],100)),)</f>
        <v>0</v>
      </c>
      <c r="AW313" s="7">
        <f>Tabela3[[#This Row],[Ativos]]*Tabela3[Lucro]</f>
        <v>0</v>
      </c>
      <c r="AX313" s="7">
        <f>SUMPRODUCT(N(Tabela1[Código]=Tabela3[[#This Row],[PAPEL]]),Tabela1[Fechamento])</f>
        <v>0</v>
      </c>
      <c r="AY313" s="7">
        <f>SUMPRODUCT(N(Tabela17[Código]=Tabela3[[#This Row],[PAPEL]]),Tabela17[Fechamento])</f>
        <v>0</v>
      </c>
      <c r="AZ313" s="7">
        <f>SUMPRODUCT(N(Tabela176[Código]=Tabela3[[#This Row],[PAPEL]]),Tabela176[Fechamento])</f>
        <v>0</v>
      </c>
      <c r="BA313" s="7">
        <f>SUMPRODUCT(N(Tabela1768[Código]=Tabela3[[#This Row],[PAPEL]]),Tabela1768[Fechamento])</f>
        <v>1.76</v>
      </c>
      <c r="BB313" s="7">
        <f>SUMPRODUCT(N(Tabela17683[Código]=Tabela3[[#This Row],[PAPEL]]),Tabela17683[Fechamento])</f>
        <v>0</v>
      </c>
    </row>
    <row r="314" spans="1:54" hidden="1" x14ac:dyDescent="0.2">
      <c r="A314" s="4" t="s">
        <v>37</v>
      </c>
      <c r="B314" s="57" t="s">
        <v>179</v>
      </c>
      <c r="C314" s="14" t="str">
        <f>LEFT(Tabela3[PAPEL],LEN(Tabela3[PAPEL])-(LEN(Tabela3[PAPEL])-4))</f>
        <v>CASN</v>
      </c>
      <c r="D314" s="15">
        <v>3</v>
      </c>
      <c r="E314" s="6">
        <v>842266637.82000005</v>
      </c>
      <c r="F314" s="8">
        <v>357547216</v>
      </c>
      <c r="G314" s="81">
        <v>0.25</v>
      </c>
      <c r="H314" s="15"/>
      <c r="I314" s="19"/>
      <c r="J314" s="19"/>
      <c r="K314" s="88"/>
      <c r="L314" s="88"/>
      <c r="M314" s="55"/>
      <c r="N314" s="55"/>
      <c r="O314" s="55"/>
      <c r="P314" s="6">
        <v>1255450000</v>
      </c>
      <c r="Q314" s="6">
        <v>19870000</v>
      </c>
      <c r="R314" s="6">
        <f>IF(Tabela3[[#This Row],[Ativo || Passivo]]&gt;0,Tabela3[[#This Row],[Ativo || Passivo]]-Tabela3[[#This Row],[Patrimônio Líquido]],0)</f>
        <v>0</v>
      </c>
      <c r="S314" s="6">
        <f>Tabela3[[#This Row],[Cotação]]*Tabela3[[#This Row],[Total Ações]]</f>
        <v>2946189059.8400002</v>
      </c>
      <c r="T314" s="134">
        <f>IF(Tabela3[[#This Row],[Passivo Circulante]]&gt;0,Tabela3[[#This Row],[Ativo Circulante]]/Tabela3[[#This Row],[Passivo Circulante]],0)</f>
        <v>0</v>
      </c>
      <c r="U314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14" s="19">
        <f>IF(Tabela3[[#This Row],[Lucro Líquido]]&gt;0,Tabela3[[#This Row],[Lucro Líquido]]/Tabela3[[#This Row],[Patrimônio Líquido]],0)</f>
        <v>1.5826994304830939E-2</v>
      </c>
      <c r="W314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14" s="19">
        <f>IF(Tabela3[[#This Row],[Dívida]]&gt;0,Tabela3[[#This Row],[Dívida]]/Tabela3[[#This Row],[Patrimônio Líquido]],0)</f>
        <v>0</v>
      </c>
      <c r="Y314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14" s="6">
        <f>Tabela3[[#This Row],[Capital Social]]*20%</f>
        <v>168453327.56400001</v>
      </c>
      <c r="AA314" s="6">
        <f>IF((Tabela3[Lucro Líquido]*5%)&gt;Tabela3[Teto R. Legal],Tabela3[Teto R. Legal],Tabela3[Lucro Líquido]*5%)</f>
        <v>993500</v>
      </c>
      <c r="AB314" s="6">
        <f>IF(Tabela3[Lucro Líquido]&lt;0,0,Tabela3[Lucro Líquido]-Tabela3[Reserva Legal])</f>
        <v>18876500</v>
      </c>
      <c r="AC314" s="6">
        <f>Tabela3[[#This Row],[Lucro Distribuir]]*Tabela3[%Div]</f>
        <v>4719125</v>
      </c>
      <c r="AD314" s="21">
        <f>SUMPRODUCT(N(Tabela3[Nome]=Tabela3[[#This Row],[Nome]]),Tabela3[Ações])</f>
        <v>715094432</v>
      </c>
      <c r="AE314" s="6">
        <f>Tabela3[Capital Social]/Tabela3[Total Ações]</f>
        <v>1.1778397371439748</v>
      </c>
      <c r="AF314" s="78">
        <f>Tabela3[[#This Row],[Lucro Líquido]]/Tabela3[[#This Row],[Total Ações]]</f>
        <v>2.7786539946097637E-2</v>
      </c>
      <c r="AG314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6.3939738189784639E-3</v>
      </c>
      <c r="AH314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14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14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6.3939738189784639E-3</v>
      </c>
      <c r="AK314" s="6">
        <f>Tabela3[Div Base]*Tabela3[Ações]</f>
        <v>2286147.5381526379</v>
      </c>
      <c r="AL314" s="6">
        <f>SUMPRODUCT(N(Tabela3[Nome]=Tabela3[[#This Row],[Nome]]),Tabela3[Div Base]*Tabela3[Ações])</f>
        <v>4800909.8335655006</v>
      </c>
      <c r="AM314" s="6">
        <f>Tabela3[Patrimônio Líquido]/Tabela3[Total Ações]</f>
        <v>1.7556422534136022</v>
      </c>
      <c r="AN314" s="48">
        <f>MAX(Tabela3[[#This Row],[Cotação 1]:[Cotação 5]])</f>
        <v>4.12</v>
      </c>
      <c r="AO314" s="44">
        <f>Tabela3[Cotação]/Tabela3[VPA]</f>
        <v>2.3467195506312479</v>
      </c>
      <c r="AP314" s="40">
        <f>IF(Tabela3[[#This Row],[Lucro/Ação]]&gt;0,Tabela3[[#This Row],[Cotação]]/(Tabela3[[#This Row],[Lucro/Ação]]/Tabela3[Ref]*4),0)</f>
        <v>111.20492173527931</v>
      </c>
      <c r="AQ314" s="78">
        <f>Tabela3[Lucro Distribuir]/Tabela3[Total Ações]</f>
        <v>2.6397212948792756E-2</v>
      </c>
      <c r="AR314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6.3939738189784639E-3</v>
      </c>
      <c r="AS314" s="15" t="str">
        <f>IF(AND(Tabela3[% A.A.]&gt;=6%,SUMPRODUCT(N(Tabela3[Nome]=Tabela3[[#This Row],[Nome]]),Tabela3[PL])&gt;0,Tabela3[Rentabilidade s/ PL]&gt;=Tabela3[Rentabilidade s/ PL Média]),"Sim","Não")</f>
        <v>Não</v>
      </c>
      <c r="AT314" s="42">
        <f>IF(Tabela3[Cotação]&gt;0,Tabela3[[#This Row],[Lucro]]/Tabela3[[#This Row],[Cotação]],0)</f>
        <v>1.5519353929559377E-3</v>
      </c>
      <c r="AU314" s="19">
        <f>((1+Tabela3[[#This Row],[% Yield]])^(1/(3*Tabela3[[#This Row],[Ref]])))^(12)-1</f>
        <v>2.0697822291331214E-3</v>
      </c>
      <c r="AV314" s="14">
        <f>IF(Tabela3[Cotação]&gt;0,($BH$1/Tabela3[[#This Row],[Cotação]]-MOD($BH$1/Tabela3[[#This Row],[Cotação]],100)),)</f>
        <v>100</v>
      </c>
      <c r="AW314" s="17">
        <f>Tabela3[[#This Row],[Ativos]]*Tabela3[Lucro]</f>
        <v>0.63939738189784634</v>
      </c>
      <c r="AX314" s="5">
        <f>SUMPRODUCT(N(Tabela1[Código]=Tabela3[[#This Row],[PAPEL]]),Tabela1[Fechamento])</f>
        <v>4.12</v>
      </c>
      <c r="AY314" s="5">
        <f>SUMPRODUCT(N(Tabela17[Código]=Tabela3[[#This Row],[PAPEL]]),Tabela17[Fechamento])</f>
        <v>0</v>
      </c>
      <c r="AZ314" s="7">
        <f>SUMPRODUCT(N(Tabela176[Código]=Tabela3[[#This Row],[PAPEL]]),Tabela176[Fechamento])</f>
        <v>0</v>
      </c>
      <c r="BA314" s="7">
        <f>SUMPRODUCT(N(Tabela1768[Código]=Tabela3[[#This Row],[PAPEL]]),Tabela1768[Fechamento])</f>
        <v>0</v>
      </c>
      <c r="BB314" s="7">
        <f>SUMPRODUCT(N(Tabela17683[Código]=Tabela3[[#This Row],[PAPEL]]),Tabela17683[Fechamento])</f>
        <v>0</v>
      </c>
    </row>
    <row r="315" spans="1:54" hidden="1" x14ac:dyDescent="0.2">
      <c r="A315" s="4" t="s">
        <v>37</v>
      </c>
      <c r="B315" s="57" t="s">
        <v>525</v>
      </c>
      <c r="C315" s="83" t="str">
        <f>LEFT(Tabela3[PAPEL],LEN(Tabela3[PAPEL])-(LEN(Tabela3[PAPEL])-4))</f>
        <v>CASN</v>
      </c>
      <c r="D315" s="16">
        <v>3</v>
      </c>
      <c r="E315" s="6">
        <v>842266637.82000005</v>
      </c>
      <c r="F315" s="56">
        <v>357547216</v>
      </c>
      <c r="G315" s="81">
        <v>0.25</v>
      </c>
      <c r="H315" s="16"/>
      <c r="J315" s="18">
        <v>0.1</v>
      </c>
      <c r="K315" s="87"/>
      <c r="L315" s="87"/>
      <c r="M315" s="54"/>
      <c r="N315" s="54"/>
      <c r="O315" s="54"/>
      <c r="P315" s="6">
        <v>1255450000</v>
      </c>
      <c r="Q315" s="6">
        <v>19870000</v>
      </c>
      <c r="R315" s="6">
        <f>IF(Tabela3[[#This Row],[Ativo || Passivo]]&gt;0,Tabela3[[#This Row],[Ativo || Passivo]]-Tabela3[[#This Row],[Patrimônio Líquido]],0)</f>
        <v>0</v>
      </c>
      <c r="S315" s="6">
        <f>Tabela3[[#This Row],[Cotação]]*Tabela3[[#This Row],[Total Ações]]</f>
        <v>0</v>
      </c>
      <c r="T315" s="134">
        <f>IF(Tabela3[[#This Row],[Passivo Circulante]]&gt;0,Tabela3[[#This Row],[Ativo Circulante]]/Tabela3[[#This Row],[Passivo Circulante]],0)</f>
        <v>0</v>
      </c>
      <c r="U315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15" s="19">
        <f>IF(Tabela3[[#This Row],[Lucro Líquido]]&gt;0,Tabela3[[#This Row],[Lucro Líquido]]/Tabela3[[#This Row],[Patrimônio Líquido]],0)</f>
        <v>1.5826994304830939E-2</v>
      </c>
      <c r="W315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15" s="19">
        <f>IF(Tabela3[[#This Row],[Dívida]]&gt;0,Tabela3[[#This Row],[Dívida]]/Tabela3[[#This Row],[Patrimônio Líquido]],0)</f>
        <v>0</v>
      </c>
      <c r="Y315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15" s="5">
        <f>Tabela3[[#This Row],[Capital Social]]*20%</f>
        <v>168453327.56400001</v>
      </c>
      <c r="AA315" s="5">
        <f>IF((Tabela3[Lucro Líquido]*5%)&gt;Tabela3[Teto R. Legal],Tabela3[Teto R. Legal],Tabela3[Lucro Líquido]*5%)</f>
        <v>993500</v>
      </c>
      <c r="AB315" s="5">
        <f>IF(Tabela3[Lucro Líquido]&lt;0,0,Tabela3[Lucro Líquido]-Tabela3[Reserva Legal])</f>
        <v>18876500</v>
      </c>
      <c r="AC315" s="5">
        <f>Tabela3[[#This Row],[Lucro Distribuir]]*Tabela3[%Div]</f>
        <v>4719125</v>
      </c>
      <c r="AD315" s="21">
        <f>SUMPRODUCT(N(Tabela3[Nome]=Tabela3[[#This Row],[Nome]]),Tabela3[Ações])</f>
        <v>715094432</v>
      </c>
      <c r="AE315" s="5">
        <f>Tabela3[Capital Social]/Tabela3[Total Ações]</f>
        <v>1.1778397371439748</v>
      </c>
      <c r="AF315" s="77">
        <f>Tabela3[[#This Row],[Lucro Líquido]]/Tabela3[[#This Row],[Total Ações]]</f>
        <v>2.7786539946097637E-2</v>
      </c>
      <c r="AG315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7.0333712105112925E-3</v>
      </c>
      <c r="AH315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15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15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7.0333712105112925E-3</v>
      </c>
      <c r="AK315" s="5">
        <f>Tabela3[Div Base]*Tabela3[Ações]</f>
        <v>2514762.2954128627</v>
      </c>
      <c r="AL315" s="5">
        <f>SUMPRODUCT(N(Tabela3[Nome]=Tabela3[[#This Row],[Nome]]),Tabela3[Div Base]*Tabela3[Ações])</f>
        <v>4800909.8335655006</v>
      </c>
      <c r="AM315" s="5">
        <f>Tabela3[Patrimônio Líquido]/Tabela3[Total Ações]</f>
        <v>1.7556422534136022</v>
      </c>
      <c r="AN315" s="52">
        <f>MAX(Tabela3[[#This Row],[Cotação 1]:[Cotação 5]])</f>
        <v>0</v>
      </c>
      <c r="AO315" s="53">
        <f>Tabela3[Cotação]/Tabela3[VPA]</f>
        <v>0</v>
      </c>
      <c r="AP315" s="37">
        <f>IF(Tabela3[[#This Row],[Lucro/Ação]]&gt;0,Tabela3[[#This Row],[Cotação]]/(Tabela3[[#This Row],[Lucro/Ação]]/Tabela3[Ref]*4),0)</f>
        <v>0</v>
      </c>
      <c r="AQ315" s="77">
        <f>Tabela3[Lucro Distribuir]/Tabela3[Total Ações]</f>
        <v>2.6397212948792756E-2</v>
      </c>
      <c r="AR315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7.0333712105112925E-3</v>
      </c>
      <c r="AS315" s="16" t="str">
        <f>IF(AND(Tabela3[% A.A.]&gt;=6%,SUMPRODUCT(N(Tabela3[Nome]=Tabela3[[#This Row],[Nome]]),Tabela3[PL])&gt;0,Tabela3[Rentabilidade s/ PL]&gt;=Tabela3[Rentabilidade s/ PL Média]),"Sim","Não")</f>
        <v>Não</v>
      </c>
      <c r="AT315" s="22">
        <f>IF(Tabela3[Cotação]&gt;0,Tabela3[[#This Row],[Lucro]]/Tabela3[[#This Row],[Cotação]],0)</f>
        <v>0</v>
      </c>
      <c r="AU315" s="18">
        <f>((1+Tabela3[[#This Row],[% Yield]])^(1/(3*Tabela3[[#This Row],[Ref]])))^(12)-1</f>
        <v>0</v>
      </c>
      <c r="AV315" s="10">
        <f>IF(Tabela3[Cotação]&gt;0,($BH$1/Tabela3[[#This Row],[Cotação]]-MOD($BH$1/Tabela3[[#This Row],[Cotação]],100)),)</f>
        <v>0</v>
      </c>
      <c r="AW315" s="7">
        <f>Tabela3[[#This Row],[Ativos]]*Tabela3[Lucro]</f>
        <v>0</v>
      </c>
      <c r="AX315" s="47">
        <f>SUMPRODUCT(N(Tabela1[Código]=Tabela3[[#This Row],[PAPEL]]),Tabela1[Fechamento])</f>
        <v>0</v>
      </c>
      <c r="AY315" s="54">
        <f>SUMPRODUCT(N(Tabela17[Código]=Tabela3[[#This Row],[PAPEL]]),Tabela17[Fechamento])</f>
        <v>0</v>
      </c>
      <c r="AZ315" s="7">
        <f>SUMPRODUCT(N(Tabela176[Código]=Tabela3[[#This Row],[PAPEL]]),Tabela176[Fechamento])</f>
        <v>0</v>
      </c>
      <c r="BA315" s="7">
        <f>SUMPRODUCT(N(Tabela1768[Código]=Tabela3[[#This Row],[PAPEL]]),Tabela1768[Fechamento])</f>
        <v>0</v>
      </c>
      <c r="BB315" s="7">
        <f>SUMPRODUCT(N(Tabela17683[Código]=Tabela3[[#This Row],[PAPEL]]),Tabela17683[Fechamento])</f>
        <v>0</v>
      </c>
    </row>
    <row r="316" spans="1:54" hidden="1" x14ac:dyDescent="0.2">
      <c r="A316" s="3" t="s">
        <v>935</v>
      </c>
      <c r="B316" s="58" t="s">
        <v>1122</v>
      </c>
      <c r="C316" s="16" t="str">
        <f>LEFT(Tabela3[PAPEL],LEN(Tabela3[PAPEL])-(LEN(Tabela3[PAPEL])-4))</f>
        <v>PTNT</v>
      </c>
      <c r="D316" s="16">
        <v>4</v>
      </c>
      <c r="E316" s="5">
        <v>50000000</v>
      </c>
      <c r="F316" s="56">
        <v>16016924</v>
      </c>
      <c r="G316" s="81">
        <v>0.25</v>
      </c>
      <c r="H316" s="87"/>
      <c r="J316" s="18"/>
      <c r="K316" s="16"/>
      <c r="L316" s="87"/>
      <c r="M316" s="54"/>
      <c r="N316" s="54"/>
      <c r="O316" s="54"/>
      <c r="P316" s="91">
        <v>118772709</v>
      </c>
      <c r="Q316" s="73">
        <v>1579998</v>
      </c>
      <c r="R316" s="73">
        <f>IF(Tabela3[[#This Row],[Ativo || Passivo]]&gt;0,Tabela3[[#This Row],[Ativo || Passivo]]-Tabela3[[#This Row],[Patrimônio Líquido]],0)</f>
        <v>0</v>
      </c>
      <c r="S316" s="73">
        <f>Tabela3[[#This Row],[Cotação]]*Tabela3[[#This Row],[Total Ações]]</f>
        <v>108104598</v>
      </c>
      <c r="T316" s="37">
        <f>IF(Tabela3[[#This Row],[Passivo Circulante]]&gt;0,Tabela3[[#This Row],[Ativo Circulante]]/Tabela3[[#This Row],[Passivo Circulante]],0)</f>
        <v>0</v>
      </c>
      <c r="U316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16" s="18">
        <f>IF(Tabela3[[#This Row],[Lucro Líquido]]&gt;0,Tabela3[[#This Row],[Lucro Líquido]]/Tabela3[[#This Row],[Patrimônio Líquido]],0)</f>
        <v>1.3302702391001286E-2</v>
      </c>
      <c r="W316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16" s="18">
        <f>IF(Tabela3[[#This Row],[Dívida]]&gt;0,Tabela3[[#This Row],[Dívida]]/Tabela3[[#This Row],[Patrimônio Líquido]],0)</f>
        <v>0</v>
      </c>
      <c r="Y316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16" s="7">
        <f>Tabela3[[#This Row],[Capital Social]]*20%</f>
        <v>10000000</v>
      </c>
      <c r="AA316" s="47">
        <f>IF((Tabela3[Lucro Líquido]*5%)&gt;Tabela3[Teto R. Legal],Tabela3[Teto R. Legal],Tabela3[Lucro Líquido]*5%)</f>
        <v>78999.900000000009</v>
      </c>
      <c r="AB316" s="47">
        <f>IF(Tabela3[Lucro Líquido]&lt;0,0,Tabela3[Lucro Líquido]-Tabela3[Reserva Legal])</f>
        <v>1500998.1</v>
      </c>
      <c r="AC316" s="47">
        <f>Tabela3[[#This Row],[Lucro Distribuir]]*Tabela3[%Div]</f>
        <v>375249.52500000002</v>
      </c>
      <c r="AD316" s="56">
        <f>SUMPRODUCT(N(Tabela3[Nome]=Tabela3[[#This Row],[Nome]]),Tabela3[Ações])</f>
        <v>48046488</v>
      </c>
      <c r="AE316" s="85">
        <f>Tabela3[Capital Social]/Tabela3[Total Ações]</f>
        <v>1.0406587886298786</v>
      </c>
      <c r="AF316" s="85">
        <f>Tabela3[[#This Row],[Lucro Líquido]]/Tabela3[[#This Row],[Total Ações]]</f>
        <v>3.288477609435262E-2</v>
      </c>
      <c r="AG316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7.810134322408748E-3</v>
      </c>
      <c r="AH316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16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16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16" s="7">
        <f>Tabela3[Div Base]*Tabela3[Ações]</f>
        <v>0</v>
      </c>
      <c r="AL316" s="7">
        <f>SUMPRODUCT(N(Tabela3[Nome]=Tabela3[[#This Row],[Nome]]),Tabela3[Div Base]*Tabela3[Ações])</f>
        <v>1500998.1</v>
      </c>
      <c r="AM316" s="5">
        <f>Tabela3[Patrimônio Líquido]/Tabela3[Total Ações]</f>
        <v>2.4720372694045816</v>
      </c>
      <c r="AN316" s="52">
        <f>MAX(Tabela3[[#This Row],[Cotação 1]:[Cotação 5]])</f>
        <v>2.25</v>
      </c>
      <c r="AO316" s="53">
        <f>Tabela3[Cotação]/Tabela3[VPA]</f>
        <v>0.91018045231249212</v>
      </c>
      <c r="AP316" s="37">
        <f>IF(Tabela3[[#This Row],[Lucro/Ação]]&gt;0,Tabela3[[#This Row],[Cotação]]/(Tabela3[[#This Row],[Lucro/Ação]]/Tabela3[Ref]*4),0)</f>
        <v>68.420718254073734</v>
      </c>
      <c r="AQ316" s="85">
        <f>Tabela3[Lucro Distribuir]/Tabela3[Total Ações]</f>
        <v>3.1240537289634992E-2</v>
      </c>
      <c r="AR316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16" s="10" t="str">
        <f>IF(AND(Tabela3[% A.A.]&gt;=6%,SUMPRODUCT(N(Tabela3[Nome]=Tabela3[[#This Row],[Nome]]),Tabela3[PL])&gt;0,Tabela3[Rentabilidade s/ PL]&gt;=Tabela3[Rentabilidade s/ PL Média]),"Sim","Não")</f>
        <v>Não</v>
      </c>
      <c r="AT316" s="22">
        <f>IF(Tabela3[Cotação]&gt;0,Tabela3[[#This Row],[Lucro]]/Tabela3[[#This Row],[Cotação]],0)</f>
        <v>0</v>
      </c>
      <c r="AU316" s="22">
        <f>((1+Tabela3[[#This Row],[% Yield]])^(1/(3*Tabela3[[#This Row],[Ref]])))^(12)-1</f>
        <v>0</v>
      </c>
      <c r="AV316" s="10">
        <f>IF(Tabela3[Cotação]&gt;0,($BD$1/Tabela3[[#This Row],[Cotação]]-MOD($BD$1/Tabela3[[#This Row],[Cotação]],100)),)</f>
        <v>0</v>
      </c>
      <c r="AW316" s="7">
        <f>Tabela3[[#This Row],[Ativos]]*Tabela3[Lucro]</f>
        <v>0</v>
      </c>
      <c r="AX316" s="7">
        <f>SUMPRODUCT(N(Tabela1[Código]=Tabela3[[#This Row],[PAPEL]]),Tabela1[Fechamento])</f>
        <v>0</v>
      </c>
      <c r="AY316" s="7">
        <f>SUMPRODUCT(N(Tabela17[Código]=Tabela3[[#This Row],[PAPEL]]),Tabela17[Fechamento])</f>
        <v>0</v>
      </c>
      <c r="AZ316" s="7">
        <f>SUMPRODUCT(N(Tabela176[Código]=Tabela3[[#This Row],[PAPEL]]),Tabela176[Fechamento])</f>
        <v>0</v>
      </c>
      <c r="BA316" s="7">
        <f>SUMPRODUCT(N(Tabela1768[Código]=Tabela3[[#This Row],[PAPEL]]),Tabela1768[Fechamento])</f>
        <v>2.25</v>
      </c>
      <c r="BB316" s="7">
        <f>SUMPRODUCT(N(Tabela17683[Código]=Tabela3[[#This Row],[PAPEL]]),Tabela17683[Fechamento])</f>
        <v>0</v>
      </c>
    </row>
    <row r="317" spans="1:54" hidden="1" x14ac:dyDescent="0.2">
      <c r="A317" s="3" t="s">
        <v>935</v>
      </c>
      <c r="B317" s="58" t="s">
        <v>1123</v>
      </c>
      <c r="C317" s="16" t="str">
        <f>LEFT(Tabela3[PAPEL],LEN(Tabela3[PAPEL])-(LEN(Tabela3[PAPEL])-4))</f>
        <v>PTNT</v>
      </c>
      <c r="D317" s="16">
        <v>4</v>
      </c>
      <c r="E317" s="5">
        <v>50000000</v>
      </c>
      <c r="F317" s="56">
        <v>32029564</v>
      </c>
      <c r="G317" s="81">
        <v>0.25</v>
      </c>
      <c r="H317" s="87"/>
      <c r="I317" s="18">
        <v>0.12</v>
      </c>
      <c r="J317" s="18"/>
      <c r="K317" s="16"/>
      <c r="L317" s="87"/>
      <c r="M317" s="54"/>
      <c r="N317" s="54"/>
      <c r="O317" s="54"/>
      <c r="P317" s="91">
        <v>118772709</v>
      </c>
      <c r="Q317" s="93">
        <v>1579998</v>
      </c>
      <c r="R317" s="73">
        <f>IF(Tabela3[[#This Row],[Ativo || Passivo]]&gt;0,Tabela3[[#This Row],[Ativo || Passivo]]-Tabela3[[#This Row],[Patrimônio Líquido]],0)</f>
        <v>0</v>
      </c>
      <c r="S317" s="73">
        <f>Tabela3[[#This Row],[Cotação]]*Tabela3[[#This Row],[Total Ações]]</f>
        <v>67265083.200000003</v>
      </c>
      <c r="T317" s="37">
        <f>IF(Tabela3[[#This Row],[Passivo Circulante]]&gt;0,Tabela3[[#This Row],[Ativo Circulante]]/Tabela3[[#This Row],[Passivo Circulante]],0)</f>
        <v>0</v>
      </c>
      <c r="U317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17" s="18">
        <f>IF(Tabela3[[#This Row],[Lucro Líquido]]&gt;0,Tabela3[[#This Row],[Lucro Líquido]]/Tabela3[[#This Row],[Patrimônio Líquido]],0)</f>
        <v>1.3302702391001286E-2</v>
      </c>
      <c r="W317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17" s="18">
        <f>IF(Tabela3[[#This Row],[Dívida]]&gt;0,Tabela3[[#This Row],[Dívida]]/Tabela3[[#This Row],[Patrimônio Líquido]],0)</f>
        <v>0</v>
      </c>
      <c r="Y317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17" s="7">
        <f>Tabela3[[#This Row],[Capital Social]]*20%</f>
        <v>10000000</v>
      </c>
      <c r="AA317" s="47">
        <f>IF((Tabela3[Lucro Líquido]*5%)&gt;Tabela3[Teto R. Legal],Tabela3[Teto R. Legal],Tabela3[Lucro Líquido]*5%)</f>
        <v>78999.900000000009</v>
      </c>
      <c r="AB317" s="47">
        <f>IF(Tabela3[Lucro Líquido]&lt;0,0,Tabela3[Lucro Líquido]-Tabela3[Reserva Legal])</f>
        <v>1500998.1</v>
      </c>
      <c r="AC317" s="47">
        <f>Tabela3[[#This Row],[Lucro Distribuir]]*Tabela3[%Div]</f>
        <v>375249.52500000002</v>
      </c>
      <c r="AD317" s="56">
        <f>SUMPRODUCT(N(Tabela3[Nome]=Tabela3[[#This Row],[Nome]]),Tabela3[Ações])</f>
        <v>48046488</v>
      </c>
      <c r="AE317" s="85">
        <f>Tabela3[Capital Social]/Tabela3[Total Ações]</f>
        <v>1.0406587886298786</v>
      </c>
      <c r="AF317" s="85">
        <f>Tabela3[[#This Row],[Lucro Líquido]]/Tabela3[[#This Row],[Total Ações]]</f>
        <v>3.288477609435262E-2</v>
      </c>
      <c r="AG317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7.810134322408748E-3</v>
      </c>
      <c r="AH317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17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4.6862895167726917E-2</v>
      </c>
      <c r="AJ317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4.6862895167726917E-2</v>
      </c>
      <c r="AK317" s="7">
        <f>Tabela3[Div Base]*Tabela3[Ações]</f>
        <v>1500998.1</v>
      </c>
      <c r="AL317" s="7">
        <f>SUMPRODUCT(N(Tabela3[Nome]=Tabela3[[#This Row],[Nome]]),Tabela3[Div Base]*Tabela3[Ações])</f>
        <v>1500998.1</v>
      </c>
      <c r="AM317" s="5">
        <f>Tabela3[Patrimônio Líquido]/Tabela3[Total Ações]</f>
        <v>2.4720372694045816</v>
      </c>
      <c r="AN317" s="52">
        <f>MAX(Tabela3[[#This Row],[Cotação 1]:[Cotação 5]])</f>
        <v>1.4</v>
      </c>
      <c r="AO317" s="53">
        <f>Tabela3[Cotação]/Tabela3[VPA]</f>
        <v>0.56633450366110616</v>
      </c>
      <c r="AP317" s="37">
        <f>IF(Tabela3[[#This Row],[Lucro/Ação]]&gt;0,Tabela3[[#This Row],[Cotação]]/(Tabela3[[#This Row],[Lucro/Ação]]/Tabela3[Ref]*4),0)</f>
        <v>42.572891358090324</v>
      </c>
      <c r="AQ317" s="85">
        <f>Tabela3[Lucro Distribuir]/Tabela3[Total Ações]</f>
        <v>3.1240537289634992E-2</v>
      </c>
      <c r="AR317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4.6862895167726917E-2</v>
      </c>
      <c r="AS317" s="10" t="str">
        <f>IF(AND(Tabela3[% A.A.]&gt;=6%,SUMPRODUCT(N(Tabela3[Nome]=Tabela3[[#This Row],[Nome]]),Tabela3[PL])&gt;0,Tabela3[Rentabilidade s/ PL]&gt;=Tabela3[Rentabilidade s/ PL Média]),"Sim","Não")</f>
        <v>Não</v>
      </c>
      <c r="AT317" s="22">
        <f>IF(Tabela3[Cotação]&gt;0,Tabela3[[#This Row],[Lucro]]/Tabela3[[#This Row],[Cotação]],0)</f>
        <v>3.3473496548376371E-2</v>
      </c>
      <c r="AU317" s="22">
        <f>((1+Tabela3[[#This Row],[% Yield]])^(1/(3*Tabela3[[#This Row],[Ref]])))^(12)-1</f>
        <v>3.3473496548376058E-2</v>
      </c>
      <c r="AV317" s="10">
        <f>IF(Tabela3[Cotação]&gt;0,($BD$1/Tabela3[[#This Row],[Cotação]]-MOD($BD$1/Tabela3[[#This Row],[Cotação]],100)),)</f>
        <v>0</v>
      </c>
      <c r="AW317" s="7">
        <f>Tabela3[[#This Row],[Ativos]]*Tabela3[Lucro]</f>
        <v>0</v>
      </c>
      <c r="AX317" s="7">
        <f>SUMPRODUCT(N(Tabela1[Código]=Tabela3[[#This Row],[PAPEL]]),Tabela1[Fechamento])</f>
        <v>0</v>
      </c>
      <c r="AY317" s="7">
        <f>SUMPRODUCT(N(Tabela17[Código]=Tabela3[[#This Row],[PAPEL]]),Tabela17[Fechamento])</f>
        <v>0</v>
      </c>
      <c r="AZ317" s="7">
        <f>SUMPRODUCT(N(Tabela176[Código]=Tabela3[[#This Row],[PAPEL]]),Tabela176[Fechamento])</f>
        <v>0</v>
      </c>
      <c r="BA317" s="7">
        <f>SUMPRODUCT(N(Tabela1768[Código]=Tabela3[[#This Row],[PAPEL]]),Tabela1768[Fechamento])</f>
        <v>1.4</v>
      </c>
      <c r="BB317" s="7">
        <f>SUMPRODUCT(N(Tabela17683[Código]=Tabela3[[#This Row],[PAPEL]]),Tabela17683[Fechamento])</f>
        <v>0</v>
      </c>
    </row>
    <row r="318" spans="1:54" hidden="1" x14ac:dyDescent="0.2">
      <c r="A318" s="4" t="s">
        <v>14</v>
      </c>
      <c r="B318" s="57" t="s">
        <v>209</v>
      </c>
      <c r="C318" s="14" t="str">
        <f>LEFT(Tabela3[PAPEL],LEN(Tabela3[PAPEL])-(LEN(Tabela3[PAPEL])-4))</f>
        <v>BICB</v>
      </c>
      <c r="D318" s="15">
        <v>3</v>
      </c>
      <c r="E318" s="6">
        <v>1434205798</v>
      </c>
      <c r="F318" s="8">
        <v>160206833</v>
      </c>
      <c r="G318" s="81">
        <v>0.25</v>
      </c>
      <c r="H318" s="15"/>
      <c r="I318" s="19"/>
      <c r="J318" s="19"/>
      <c r="K318" s="88"/>
      <c r="L318" s="88"/>
      <c r="M318" s="55"/>
      <c r="N318" s="55"/>
      <c r="O318" s="55"/>
      <c r="P318" s="6">
        <v>1922945000</v>
      </c>
      <c r="Q318" s="6">
        <v>22434000</v>
      </c>
      <c r="R318" s="6">
        <f>IF(Tabela3[[#This Row],[Ativo || Passivo]]&gt;0,Tabela3[[#This Row],[Ativo || Passivo]]-Tabela3[[#This Row],[Patrimônio Líquido]],0)</f>
        <v>0</v>
      </c>
      <c r="S318" s="6">
        <f>Tabela3[[#This Row],[Cotação]]*Tabela3[[#This Row],[Total Ações]]</f>
        <v>1823434732.49</v>
      </c>
      <c r="T318" s="134">
        <f>IF(Tabela3[[#This Row],[Passivo Circulante]]&gt;0,Tabela3[[#This Row],[Ativo Circulante]]/Tabela3[[#This Row],[Passivo Circulante]],0)</f>
        <v>0</v>
      </c>
      <c r="U318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18" s="19">
        <f>IF(Tabela3[[#This Row],[Lucro Líquido]]&gt;0,Tabela3[[#This Row],[Lucro Líquido]]/Tabela3[[#This Row],[Patrimônio Líquido]],0)</f>
        <v>1.1666480320549989E-2</v>
      </c>
      <c r="W318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18" s="19">
        <f>IF(Tabela3[[#This Row],[Dívida]]&gt;0,Tabela3[[#This Row],[Dívida]]/Tabela3[[#This Row],[Patrimônio Líquido]],0)</f>
        <v>0</v>
      </c>
      <c r="Y318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18" s="6">
        <f>Tabela3[[#This Row],[Capital Social]]*20%</f>
        <v>286841159.60000002</v>
      </c>
      <c r="AA318" s="6">
        <f>IF((Tabela3[Lucro Líquido]*5%)&gt;Tabela3[Teto R. Legal],Tabela3[Teto R. Legal],Tabela3[Lucro Líquido]*5%)</f>
        <v>1121700</v>
      </c>
      <c r="AB318" s="6">
        <f>IF(Tabela3[Lucro Líquido]&lt;0,0,Tabela3[Lucro Líquido]-Tabela3[Reserva Legal])</f>
        <v>21312300</v>
      </c>
      <c r="AC318" s="6">
        <f>Tabela3[[#This Row],[Lucro Distribuir]]*Tabela3[%Div]</f>
        <v>5328075</v>
      </c>
      <c r="AD318" s="21">
        <f>SUMPRODUCT(N(Tabela3[Nome]=Tabela3[[#This Row],[Nome]]),Tabela3[Ações])</f>
        <v>252903569</v>
      </c>
      <c r="AE318" s="6">
        <f>Tabela3[Capital Social]/Tabela3[Total Ações]</f>
        <v>5.6709591077380166</v>
      </c>
      <c r="AF318" s="78">
        <f>Tabela3[[#This Row],[Lucro Líquido]]/Tabela3[[#This Row],[Total Ações]]</f>
        <v>8.8705746971882396E-2</v>
      </c>
      <c r="AG318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2.1067614905822069E-2</v>
      </c>
      <c r="AH318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18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18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2.1067614905822069E-2</v>
      </c>
      <c r="AK318" s="6">
        <f>Tabela3[Div Base]*Tabela3[Ações]</f>
        <v>3375175.8629253469</v>
      </c>
      <c r="AL318" s="6">
        <f>SUMPRODUCT(N(Tabela3[Nome]=Tabela3[[#This Row],[Nome]]),Tabela3[Div Base]*Tabela3[Ações])</f>
        <v>5328075</v>
      </c>
      <c r="AM318" s="6">
        <f>Tabela3[Patrimônio Líquido]/Tabela3[Total Ações]</f>
        <v>7.60347118707526</v>
      </c>
      <c r="AN318" s="48">
        <f>MAX(Tabela3[[#This Row],[Cotação 1]:[Cotação 5]])</f>
        <v>7.21</v>
      </c>
      <c r="AO318" s="44">
        <f>Tabela3[Cotação]/Tabela3[VPA]</f>
        <v>0.94825111092100922</v>
      </c>
      <c r="AP318" s="40">
        <f>IF(Tabela3[[#This Row],[Lucro/Ação]]&gt;0,Tabela3[[#This Row],[Cotação]]/(Tabela3[[#This Row],[Lucro/Ação]]/Tabela3[Ref]*4),0)</f>
        <v>60.959973672439155</v>
      </c>
      <c r="AQ318" s="78">
        <f>Tabela3[Lucro Distribuir]/Tabela3[Total Ações]</f>
        <v>8.4270459623288274E-2</v>
      </c>
      <c r="AR318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2.1067614905822069E-2</v>
      </c>
      <c r="AS318" s="15" t="str">
        <f>IF(AND(Tabela3[% A.A.]&gt;=6%,SUMPRODUCT(N(Tabela3[Nome]=Tabela3[[#This Row],[Nome]]),Tabela3[PL])&gt;0,Tabela3[Rentabilidade s/ PL]&gt;=Tabela3[Rentabilidade s/ PL Média]),"Sim","Não")</f>
        <v>Não</v>
      </c>
      <c r="AT318" s="42">
        <f>IF(Tabela3[Cotação]&gt;0,Tabela3[[#This Row],[Lucro]]/Tabela3[[#This Row],[Cotação]],0)</f>
        <v>2.9219992934565978E-3</v>
      </c>
      <c r="AU318" s="19">
        <f>((1+Tabela3[[#This Row],[% Yield]])^(1/(3*Tabela3[[#This Row],[Ref]])))^(12)-1</f>
        <v>3.8978951785080262E-3</v>
      </c>
      <c r="AV318" s="14">
        <f>IF(Tabela3[Cotação]&gt;0,($BH$1/Tabela3[[#This Row],[Cotação]]-MOD($BH$1/Tabela3[[#This Row],[Cotação]],100)),)</f>
        <v>0</v>
      </c>
      <c r="AW318" s="17">
        <f>Tabela3[[#This Row],[Ativos]]*Tabela3[Lucro]</f>
        <v>0</v>
      </c>
      <c r="AX318" s="5">
        <f>SUMPRODUCT(N(Tabela1[Código]=Tabela3[[#This Row],[PAPEL]]),Tabela1[Fechamento])</f>
        <v>7.21</v>
      </c>
      <c r="AY318" s="5">
        <f>SUMPRODUCT(N(Tabela17[Código]=Tabela3[[#This Row],[PAPEL]]),Tabela17[Fechamento])</f>
        <v>0</v>
      </c>
      <c r="AZ318" s="7">
        <f>SUMPRODUCT(N(Tabela176[Código]=Tabela3[[#This Row],[PAPEL]]),Tabela176[Fechamento])</f>
        <v>0</v>
      </c>
      <c r="BA318" s="7">
        <f>SUMPRODUCT(N(Tabela1768[Código]=Tabela3[[#This Row],[PAPEL]]),Tabela1768[Fechamento])</f>
        <v>0</v>
      </c>
      <c r="BB318" s="7">
        <f>SUMPRODUCT(N(Tabela17683[Código]=Tabela3[[#This Row],[PAPEL]]),Tabela17683[Fechamento])</f>
        <v>0</v>
      </c>
    </row>
    <row r="319" spans="1:54" hidden="1" x14ac:dyDescent="0.2">
      <c r="A319" s="4" t="s">
        <v>14</v>
      </c>
      <c r="B319" s="57" t="s">
        <v>10</v>
      </c>
      <c r="C319" s="14" t="str">
        <f>LEFT(Tabela3[PAPEL],LEN(Tabela3[PAPEL])-(LEN(Tabela3[PAPEL])-4))</f>
        <v>BICB</v>
      </c>
      <c r="D319" s="15">
        <v>3</v>
      </c>
      <c r="E319" s="6">
        <v>1434205798</v>
      </c>
      <c r="F319" s="8">
        <v>92696736</v>
      </c>
      <c r="G319" s="86">
        <v>0.25</v>
      </c>
      <c r="H319" s="15"/>
      <c r="I319" s="19"/>
      <c r="J319" s="19"/>
      <c r="K319" s="88"/>
      <c r="L319" s="88"/>
      <c r="M319" s="55"/>
      <c r="N319" s="55"/>
      <c r="O319" s="55"/>
      <c r="P319" s="6">
        <v>1922945000</v>
      </c>
      <c r="Q319" s="6">
        <v>22434000</v>
      </c>
      <c r="R319" s="6">
        <f>IF(Tabela3[[#This Row],[Ativo || Passivo]]&gt;0,Tabela3[[#This Row],[Ativo || Passivo]]-Tabela3[[#This Row],[Patrimônio Líquido]],0)</f>
        <v>0</v>
      </c>
      <c r="S319" s="6">
        <f>Tabela3[[#This Row],[Cotação]]*Tabela3[[#This Row],[Total Ações]]</f>
        <v>1820905696.8</v>
      </c>
      <c r="T319" s="134">
        <f>IF(Tabela3[[#This Row],[Passivo Circulante]]&gt;0,Tabela3[[#This Row],[Ativo Circulante]]/Tabela3[[#This Row],[Passivo Circulante]],0)</f>
        <v>0</v>
      </c>
      <c r="U319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19" s="19">
        <f>IF(Tabela3[[#This Row],[Lucro Líquido]]&gt;0,Tabela3[[#This Row],[Lucro Líquido]]/Tabela3[[#This Row],[Patrimônio Líquido]],0)</f>
        <v>1.1666480320549989E-2</v>
      </c>
      <c r="W319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19" s="19">
        <f>IF(Tabela3[[#This Row],[Dívida]]&gt;0,Tabela3[[#This Row],[Dívida]]/Tabela3[[#This Row],[Patrimônio Líquido]],0)</f>
        <v>0</v>
      </c>
      <c r="Y319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19" s="6">
        <f>Tabela3[[#This Row],[Capital Social]]*20%</f>
        <v>286841159.60000002</v>
      </c>
      <c r="AA319" s="6">
        <f>IF((Tabela3[Lucro Líquido]*5%)&gt;Tabela3[Teto R. Legal],Tabela3[Teto R. Legal],Tabela3[Lucro Líquido]*5%)</f>
        <v>1121700</v>
      </c>
      <c r="AB319" s="6">
        <f>IF(Tabela3[Lucro Líquido]&lt;0,0,Tabela3[Lucro Líquido]-Tabela3[Reserva Legal])</f>
        <v>21312300</v>
      </c>
      <c r="AC319" s="6">
        <f>Tabela3[[#This Row],[Lucro Distribuir]]*Tabela3[%Div]</f>
        <v>5328075</v>
      </c>
      <c r="AD319" s="21">
        <f>SUMPRODUCT(N(Tabela3[Nome]=Tabela3[[#This Row],[Nome]]),Tabela3[Ações])</f>
        <v>252903569</v>
      </c>
      <c r="AE319" s="6">
        <f>Tabela3[Capital Social]/Tabela3[Total Ações]</f>
        <v>5.6709591077380166</v>
      </c>
      <c r="AF319" s="78">
        <f>Tabela3[[#This Row],[Lucro Líquido]]/Tabela3[[#This Row],[Total Ações]]</f>
        <v>8.8705746971882396E-2</v>
      </c>
      <c r="AG319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2.1067614905822069E-2</v>
      </c>
      <c r="AH319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19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19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2.1067614905822069E-2</v>
      </c>
      <c r="AK319" s="6">
        <f>Tabela3[Div Base]*Tabela3[Ações]</f>
        <v>1952899.1370746531</v>
      </c>
      <c r="AL319" s="6">
        <f>SUMPRODUCT(N(Tabela3[Nome]=Tabela3[[#This Row],[Nome]]),Tabela3[Div Base]*Tabela3[Ações])</f>
        <v>5328075</v>
      </c>
      <c r="AM319" s="6">
        <f>Tabela3[Patrimônio Líquido]/Tabela3[Total Ações]</f>
        <v>7.60347118707526</v>
      </c>
      <c r="AN319" s="48">
        <f>MAX(Tabela3[[#This Row],[Cotação 1]:[Cotação 5]])</f>
        <v>7.2</v>
      </c>
      <c r="AO319" s="44">
        <f>Tabela3[Cotação]/Tabela3[VPA]</f>
        <v>0.9469359221402589</v>
      </c>
      <c r="AP319" s="40">
        <f>IF(Tabela3[[#This Row],[Lucro/Ação]]&gt;0,Tabela3[[#This Row],[Cotação]]/(Tabela3[[#This Row],[Lucro/Ação]]/Tabela3[Ref]*4),0)</f>
        <v>60.875424471783901</v>
      </c>
      <c r="AQ319" s="78">
        <f>Tabela3[Lucro Distribuir]/Tabela3[Total Ações]</f>
        <v>8.4270459623288274E-2</v>
      </c>
      <c r="AR319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2.1067614905822069E-2</v>
      </c>
      <c r="AS319" s="15" t="str">
        <f>IF(AND(Tabela3[% A.A.]&gt;=6%,SUMPRODUCT(N(Tabela3[Nome]=Tabela3[[#This Row],[Nome]]),Tabela3[PL])&gt;0,Tabela3[Rentabilidade s/ PL]&gt;=Tabela3[Rentabilidade s/ PL Média]),"Sim","Não")</f>
        <v>Não</v>
      </c>
      <c r="AT319" s="42">
        <f>IF(Tabela3[Cotação]&gt;0,Tabela3[[#This Row],[Lucro]]/Tabela3[[#This Row],[Cotação]],0)</f>
        <v>2.9260576258086203E-3</v>
      </c>
      <c r="AU319" s="19">
        <f>((1+Tabela3[[#This Row],[% Yield]])^(1/(3*Tabela3[[#This Row],[Ref]])))^(12)-1</f>
        <v>3.9033115572586485E-3</v>
      </c>
      <c r="AV319" s="14">
        <f>IF(Tabela3[Cotação]&gt;0,($BH$1/Tabela3[[#This Row],[Cotação]]-MOD($BH$1/Tabela3[[#This Row],[Cotação]],100)),)</f>
        <v>0</v>
      </c>
      <c r="AW319" s="17">
        <f>Tabela3[[#This Row],[Ativos]]*Tabela3[Lucro]</f>
        <v>0</v>
      </c>
      <c r="AX319" s="5">
        <f>SUMPRODUCT(N(Tabela1[Código]=Tabela3[[#This Row],[PAPEL]]),Tabela1[Fechamento])</f>
        <v>7.2</v>
      </c>
      <c r="AY319" s="5">
        <f>SUMPRODUCT(N(Tabela17[Código]=Tabela3[[#This Row],[PAPEL]]),Tabela17[Fechamento])</f>
        <v>0</v>
      </c>
      <c r="AZ319" s="7">
        <f>SUMPRODUCT(N(Tabela176[Código]=Tabela3[[#This Row],[PAPEL]]),Tabela176[Fechamento])</f>
        <v>0</v>
      </c>
      <c r="BA319" s="7">
        <f>SUMPRODUCT(N(Tabela1768[Código]=Tabela3[[#This Row],[PAPEL]]),Tabela1768[Fechamento])</f>
        <v>0</v>
      </c>
      <c r="BB319" s="7">
        <f>SUMPRODUCT(N(Tabela17683[Código]=Tabela3[[#This Row],[PAPEL]]),Tabela17683[Fechamento])</f>
        <v>0</v>
      </c>
    </row>
    <row r="320" spans="1:54" hidden="1" x14ac:dyDescent="0.2">
      <c r="A320" s="4" t="s">
        <v>259</v>
      </c>
      <c r="B320" s="57" t="s">
        <v>78</v>
      </c>
      <c r="C320" s="15" t="str">
        <f>LEFT(Tabela3[PAPEL],LEN(Tabela3[PAPEL])-(LEN(Tabela3[PAPEL])-4))</f>
        <v>TERI</v>
      </c>
      <c r="D320" s="15">
        <v>4</v>
      </c>
      <c r="E320" s="6">
        <v>2807005993.8800001</v>
      </c>
      <c r="F320" s="38">
        <v>817720079</v>
      </c>
      <c r="G320" s="81">
        <v>0.25</v>
      </c>
      <c r="H320" s="15"/>
      <c r="I320" s="19"/>
      <c r="J320" s="19"/>
      <c r="K320" s="88"/>
      <c r="L320" s="88"/>
      <c r="M320" s="55"/>
      <c r="N320" s="55"/>
      <c r="O320" s="55"/>
      <c r="P320" s="6">
        <v>3779000000</v>
      </c>
      <c r="Q320" s="6">
        <v>41000000</v>
      </c>
      <c r="R320" s="6">
        <f>IF(Tabela3[[#This Row],[Ativo || Passivo]]&gt;0,Tabela3[[#This Row],[Ativo || Passivo]]-Tabela3[[#This Row],[Patrimônio Líquido]],0)</f>
        <v>0</v>
      </c>
      <c r="S320" s="6">
        <f>Tabela3[[#This Row],[Cotação]]*Tabela3[[#This Row],[Total Ações]]</f>
        <v>1668148961.1600001</v>
      </c>
      <c r="T320" s="134">
        <f>IF(Tabela3[[#This Row],[Passivo Circulante]]&gt;0,Tabela3[[#This Row],[Ativo Circulante]]/Tabela3[[#This Row],[Passivo Circulante]],0)</f>
        <v>0</v>
      </c>
      <c r="U320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20" s="19">
        <f>IF(Tabela3[[#This Row],[Lucro Líquido]]&gt;0,Tabela3[[#This Row],[Lucro Líquido]]/Tabela3[[#This Row],[Patrimônio Líquido]],0)</f>
        <v>1.0849431066419687E-2</v>
      </c>
      <c r="W320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20" s="19">
        <f>IF(Tabela3[[#This Row],[Dívida]]&gt;0,Tabela3[[#This Row],[Dívida]]/Tabela3[[#This Row],[Patrimônio Líquido]],0)</f>
        <v>0</v>
      </c>
      <c r="Y320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20" s="6">
        <f>Tabela3[[#This Row],[Capital Social]]*20%</f>
        <v>561401198.77600002</v>
      </c>
      <c r="AA320" s="6">
        <f>IF((Tabela3[Lucro Líquido]*5%)&gt;Tabela3[Teto R. Legal],Tabela3[Teto R. Legal],Tabela3[Lucro Líquido]*5%)</f>
        <v>2050000</v>
      </c>
      <c r="AB320" s="6">
        <f>IF(Tabela3[Lucro Líquido]&lt;0,0,Tabela3[Lucro Líquido]-Tabela3[Reserva Legal])</f>
        <v>38950000</v>
      </c>
      <c r="AC320" s="6">
        <f>Tabela3[[#This Row],[Lucro Distribuir]]*Tabela3[%Div]</f>
        <v>9737500</v>
      </c>
      <c r="AD320" s="56">
        <f>SUMPRODUCT(N(Tabela3[Nome]=Tabela3[[#This Row],[Nome]]),Tabela3[Ações])</f>
        <v>817720079</v>
      </c>
      <c r="AE320" s="6">
        <f>Tabela3[Capital Social]/Tabela3[Total Ações]</f>
        <v>3.4327223532443063</v>
      </c>
      <c r="AF320" s="78">
        <f>Tabela3[[#This Row],[Lucro Líquido]]/Tabela3[[#This Row],[Total Ações]]</f>
        <v>5.0139407179703117E-2</v>
      </c>
      <c r="AG320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1.190810920517949E-2</v>
      </c>
      <c r="AH320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20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20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1.190810920517949E-2</v>
      </c>
      <c r="AK320" s="6">
        <f>Tabela3[Div Base]*Tabela3[Ações]</f>
        <v>9737500</v>
      </c>
      <c r="AL320" s="6">
        <f>SUMPRODUCT(N(Tabela3[Nome]=Tabela3[[#This Row],[Nome]]),Tabela3[Div Base]*Tabela3[Ações])</f>
        <v>9737500</v>
      </c>
      <c r="AM320" s="6">
        <f>Tabela3[Patrimônio Líquido]/Tabela3[Total Ações]</f>
        <v>4.6213858471243432</v>
      </c>
      <c r="AN320" s="48">
        <f>MAX(Tabela3[[#This Row],[Cotação 1]:[Cotação 5]])</f>
        <v>2.04</v>
      </c>
      <c r="AO320" s="44">
        <f>Tabela3[Cotação]/Tabela3[VPA]</f>
        <v>0.44142602835670813</v>
      </c>
      <c r="AP320" s="40">
        <f>IF(Tabela3[[#This Row],[Lucro/Ação]]&gt;0,Tabela3[[#This Row],[Cotação]]/(Tabela3[[#This Row],[Lucro/Ação]]/Tabela3[Ref]*4),0)</f>
        <v>40.686560028292682</v>
      </c>
      <c r="AQ320" s="78">
        <f>Tabela3[Lucro Distribuir]/Tabela3[Total Ações]</f>
        <v>4.7632436820717959E-2</v>
      </c>
      <c r="AR320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1.190810920517949E-2</v>
      </c>
      <c r="AS320" s="15" t="str">
        <f>IF(AND(Tabela3[% A.A.]&gt;=6%,SUMPRODUCT(N(Tabela3[Nome]=Tabela3[[#This Row],[Nome]]),Tabela3[PL])&gt;0,Tabela3[Rentabilidade s/ PL]&gt;=Tabela3[Rentabilidade s/ PL Média]),"Sim","Não")</f>
        <v>Não</v>
      </c>
      <c r="AT320" s="42">
        <f>IF(Tabela3[Cotação]&gt;0,Tabela3[[#This Row],[Lucro]]/Tabela3[[#This Row],[Cotação]],0)</f>
        <v>5.8373084339115146E-3</v>
      </c>
      <c r="AU320" s="19">
        <f>((1+Tabela3[[#This Row],[% Yield]])^(1/(3*Tabela3[[#This Row],[Ref]])))^(12)-1</f>
        <v>5.8373084339109482E-3</v>
      </c>
      <c r="AV320" s="14">
        <f>IF(Tabela3[Cotação]&gt;0,($BD$1/Tabela3[[#This Row],[Cotação]]-MOD($BD$1/Tabela3[[#This Row],[Cotação]],100)),)</f>
        <v>0</v>
      </c>
      <c r="AW320" s="17">
        <f>Tabela3[[#This Row],[Ativos]]*Tabela3[Lucro]</f>
        <v>0</v>
      </c>
      <c r="AX320" s="13">
        <f>SUMPRODUCT(N(Tabela1[Código]=Tabela3[[#This Row],[PAPEL]]),Tabela1[Fechamento])</f>
        <v>0</v>
      </c>
      <c r="AY320" s="13">
        <f>SUMPRODUCT(N(Tabela17[Código]=Tabela3[[#This Row],[PAPEL]]),Tabela17[Fechamento])</f>
        <v>2.04</v>
      </c>
      <c r="AZ320" s="7">
        <f>SUMPRODUCT(N(Tabela176[Código]=Tabela3[[#This Row],[PAPEL]]),Tabela176[Fechamento])</f>
        <v>0</v>
      </c>
      <c r="BA320" s="7">
        <f>SUMPRODUCT(N(Tabela1768[Código]=Tabela3[[#This Row],[PAPEL]]),Tabela1768[Fechamento])</f>
        <v>0</v>
      </c>
      <c r="BB320" s="7">
        <f>SUMPRODUCT(N(Tabela17683[Código]=Tabela3[[#This Row],[PAPEL]]),Tabela17683[Fechamento])</f>
        <v>0</v>
      </c>
    </row>
    <row r="321" spans="1:54" hidden="1" x14ac:dyDescent="0.2">
      <c r="A321" s="3" t="s">
        <v>346</v>
      </c>
      <c r="B321" s="58" t="s">
        <v>351</v>
      </c>
      <c r="C321" s="83" t="str">
        <f>LEFT(Tabela3[PAPEL],LEN(Tabela3[PAPEL])-(LEN(Tabela3[PAPEL])-4))</f>
        <v>BRPR</v>
      </c>
      <c r="D321" s="16">
        <v>4</v>
      </c>
      <c r="E321" s="5">
        <v>2346986526</v>
      </c>
      <c r="F321" s="56">
        <v>311612886</v>
      </c>
      <c r="G321" s="86">
        <v>0.25</v>
      </c>
      <c r="H321" s="16"/>
      <c r="J321" s="18"/>
      <c r="K321" s="87"/>
      <c r="L321" s="87"/>
      <c r="M321" s="54"/>
      <c r="N321" s="54"/>
      <c r="O321" s="54"/>
      <c r="P321" s="5">
        <v>7650441000</v>
      </c>
      <c r="Q321" s="5">
        <v>81162000</v>
      </c>
      <c r="R321" s="5">
        <f>IF(Tabela3[[#This Row],[Ativo || Passivo]]&gt;0,Tabela3[[#This Row],[Ativo || Passivo]]-Tabela3[[#This Row],[Patrimônio Líquido]],0)</f>
        <v>0</v>
      </c>
      <c r="S321" s="5">
        <f>Tabela3[[#This Row],[Cotação]]*Tabela3[[#This Row],[Total Ações]]</f>
        <v>5163425521.0200005</v>
      </c>
      <c r="T321" s="132">
        <f>IF(Tabela3[[#This Row],[Passivo Circulante]]&gt;0,Tabela3[[#This Row],[Ativo Circulante]]/Tabela3[[#This Row],[Passivo Circulante]],0)</f>
        <v>0</v>
      </c>
      <c r="U321" s="132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21" s="18">
        <f>IF(Tabela3[[#This Row],[Lucro Líquido]]&gt;0,Tabela3[[#This Row],[Lucro Líquido]]/Tabela3[[#This Row],[Patrimônio Líquido]],0)</f>
        <v>1.0608800198576789E-2</v>
      </c>
      <c r="W321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21" s="18">
        <f>IF(Tabela3[[#This Row],[Dívida]]&gt;0,Tabela3[[#This Row],[Dívida]]/Tabela3[[#This Row],[Patrimônio Líquido]],0)</f>
        <v>0</v>
      </c>
      <c r="Y321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21" s="5">
        <f>Tabela3[[#This Row],[Capital Social]]*20%</f>
        <v>469397305.20000005</v>
      </c>
      <c r="AA321" s="5">
        <f>IF((Tabela3[Lucro Líquido]*5%)&gt;Tabela3[Teto R. Legal],Tabela3[Teto R. Legal],Tabela3[Lucro Líquido]*5%)</f>
        <v>4058100</v>
      </c>
      <c r="AB321" s="5">
        <f>IF(Tabela3[Lucro Líquido]&lt;0,0,Tabela3[Lucro Líquido]-Tabela3[Reserva Legal])</f>
        <v>77103900</v>
      </c>
      <c r="AC321" s="5">
        <f>Tabela3[[#This Row],[Lucro Distribuir]]*Tabela3[%Div]</f>
        <v>19275975</v>
      </c>
      <c r="AD321" s="21">
        <f>SUMPRODUCT(N(Tabela3[Nome]=Tabela3[[#This Row],[Nome]]),Tabela3[Ações])</f>
        <v>311612886</v>
      </c>
      <c r="AE321" s="5">
        <f>Tabela3[Capital Social]/Tabela3[Total Ações]</f>
        <v>7.5317377151084823</v>
      </c>
      <c r="AF321" s="77">
        <f>Tabela3[[#This Row],[Lucro Líquido]]/Tabela3[[#This Row],[Total Ações]]</f>
        <v>0.26045777837313183</v>
      </c>
      <c r="AG321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6.1858722363618814E-2</v>
      </c>
      <c r="AH321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21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21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6.1858722363618814E-2</v>
      </c>
      <c r="AK321" s="5">
        <f>Tabela3[Div Base]*Tabela3[Ações]</f>
        <v>19275975</v>
      </c>
      <c r="AL321" s="5">
        <f>SUMPRODUCT(N(Tabela3[Nome]=Tabela3[[#This Row],[Nome]]),Tabela3[Div Base]*Tabela3[Ações])</f>
        <v>19275975</v>
      </c>
      <c r="AM321" s="5">
        <f>Tabela3[Patrimônio Líquido]/Tabela3[Total Ações]</f>
        <v>24.551106015558034</v>
      </c>
      <c r="AN321" s="52">
        <f>MAX(Tabela3[[#This Row],[Cotação 1]:[Cotação 5]])</f>
        <v>16.57</v>
      </c>
      <c r="AO321" s="53">
        <f>Tabela3[Cotação]/Tabela3[VPA]</f>
        <v>0.67491867737036337</v>
      </c>
      <c r="AP321" s="37">
        <f>IF(Tabela3[[#This Row],[Lucro/Ação]]&gt;0,Tabela3[[#This Row],[Cotação]]/(Tabela3[[#This Row],[Lucro/Ação]]/Tabela3[Ref]*4),0)</f>
        <v>63.618756573519633</v>
      </c>
      <c r="AQ321" s="77">
        <f>Tabela3[Lucro Distribuir]/Tabela3[Total Ações]</f>
        <v>0.24743488945447525</v>
      </c>
      <c r="AR321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6.1858722363618814E-2</v>
      </c>
      <c r="AS321" s="16" t="str">
        <f>IF(AND(Tabela3[% A.A.]&gt;=6%,SUMPRODUCT(N(Tabela3[Nome]=Tabela3[[#This Row],[Nome]]),Tabela3[PL])&gt;0,Tabela3[Rentabilidade s/ PL]&gt;=Tabela3[Rentabilidade s/ PL Média]),"Sim","Não")</f>
        <v>Não</v>
      </c>
      <c r="AT321" s="22">
        <f>IF(Tabela3[Cotação]&gt;0,Tabela3[[#This Row],[Lucro]]/Tabela3[[#This Row],[Cotação]],0)</f>
        <v>3.733175761232276E-3</v>
      </c>
      <c r="AU321" s="18">
        <f>((1+Tabela3[[#This Row],[% Yield]])^(1/(3*Tabela3[[#This Row],[Ref]])))^(12)-1</f>
        <v>3.7331757612324434E-3</v>
      </c>
      <c r="AV321" s="10">
        <f>IF(Tabela3[Cotação]&gt;0,($BH$1/Tabela3[[#This Row],[Cotação]]-MOD($BH$1/Tabela3[[#This Row],[Cotação]],100)),)</f>
        <v>0</v>
      </c>
      <c r="AW321" s="7">
        <f>Tabela3[[#This Row],[Ativos]]*Tabela3[Lucro]</f>
        <v>0</v>
      </c>
      <c r="AX321" s="47">
        <f>SUMPRODUCT(N(Tabela1[Código]=Tabela3[[#This Row],[PAPEL]]),Tabela1[Fechamento])</f>
        <v>0</v>
      </c>
      <c r="AY321" s="54">
        <f>SUMPRODUCT(N(Tabela17[Código]=Tabela3[[#This Row],[PAPEL]]),Tabela17[Fechamento])</f>
        <v>16.57</v>
      </c>
      <c r="AZ321" s="7">
        <f>SUMPRODUCT(N(Tabela176[Código]=Tabela3[[#This Row],[PAPEL]]),Tabela176[Fechamento])</f>
        <v>0</v>
      </c>
      <c r="BA321" s="7">
        <f>SUMPRODUCT(N(Tabela1768[Código]=Tabela3[[#This Row],[PAPEL]]),Tabela1768[Fechamento])</f>
        <v>0</v>
      </c>
      <c r="BB321" s="7">
        <f>SUMPRODUCT(N(Tabela17683[Código]=Tabela3[[#This Row],[PAPEL]]),Tabela17683[Fechamento])</f>
        <v>0</v>
      </c>
    </row>
    <row r="322" spans="1:54" hidden="1" x14ac:dyDescent="0.2">
      <c r="A322" s="3" t="s">
        <v>298</v>
      </c>
      <c r="B322" s="58" t="s">
        <v>722</v>
      </c>
      <c r="C322" s="82" t="str">
        <f>LEFT(Tabela3[PAPEL],LEN(Tabela3[PAPEL])-(LEN(Tabela3[PAPEL])-4))</f>
        <v>HBTS</v>
      </c>
      <c r="D322" s="16">
        <v>3</v>
      </c>
      <c r="E322" s="6">
        <v>127181809.47</v>
      </c>
      <c r="F322" s="8">
        <v>3152764</v>
      </c>
      <c r="G322" s="86">
        <v>0.25</v>
      </c>
      <c r="H322" s="19"/>
      <c r="I322" s="19"/>
      <c r="J322" s="19"/>
      <c r="K322" s="88"/>
      <c r="L322" s="88"/>
      <c r="M322" s="55"/>
      <c r="N322" s="55"/>
      <c r="O322" s="55"/>
      <c r="P322" s="5">
        <v>500173000</v>
      </c>
      <c r="Q322" s="5">
        <v>5129000</v>
      </c>
      <c r="R322" s="5">
        <f>IF(Tabela3[[#This Row],[Ativo || Passivo]]&gt;0,Tabela3[[#This Row],[Ativo || Passivo]]-Tabela3[[#This Row],[Patrimônio Líquido]],0)</f>
        <v>0</v>
      </c>
      <c r="S322" s="5">
        <f>Tabela3[[#This Row],[Cotação]]*Tabela3[[#This Row],[Total Ações]]</f>
        <v>0</v>
      </c>
      <c r="T322" s="132">
        <f>IF(Tabela3[[#This Row],[Passivo Circulante]]&gt;0,Tabela3[[#This Row],[Ativo Circulante]]/Tabela3[[#This Row],[Passivo Circulante]],0)</f>
        <v>0</v>
      </c>
      <c r="U322" s="132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22" s="18">
        <f>IF(Tabela3[[#This Row],[Lucro Líquido]]&gt;0,Tabela3[[#This Row],[Lucro Líquido]]/Tabela3[[#This Row],[Patrimônio Líquido]],0)</f>
        <v>1.0254451959621972E-2</v>
      </c>
      <c r="W322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22" s="18">
        <f>IF(Tabela3[[#This Row],[Dívida]]&gt;0,Tabela3[[#This Row],[Dívida]]/Tabela3[[#This Row],[Patrimônio Líquido]],0)</f>
        <v>0</v>
      </c>
      <c r="Y322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22" s="6">
        <f>Tabela3[[#This Row],[Capital Social]]*20%</f>
        <v>25436361.894000001</v>
      </c>
      <c r="AA322" s="6">
        <f>IF((Tabela3[Lucro Líquido]*5%)&gt;Tabela3[Teto R. Legal],Tabela3[Teto R. Legal],Tabela3[Lucro Líquido]*5%)</f>
        <v>256450</v>
      </c>
      <c r="AB322" s="89">
        <f>IF(Tabela3[Lucro Líquido]&lt;0,0,Tabela3[Lucro Líquido]-Tabela3[Reserva Legal])</f>
        <v>4872550</v>
      </c>
      <c r="AC322" s="89">
        <f>Tabela3[[#This Row],[Lucro Distribuir]]*Tabela3[%Div]</f>
        <v>1218137.5</v>
      </c>
      <c r="AD322" s="56">
        <f>SUMPRODUCT(N(Tabela3[Nome]=Tabela3[[#This Row],[Nome]]),Tabela3[Ações])</f>
        <v>9133687</v>
      </c>
      <c r="AE322" s="6">
        <f>Tabela3[Capital Social]/Tabela3[Total Ações]</f>
        <v>13.924476443083718</v>
      </c>
      <c r="AF322" s="78">
        <f>Tabela3[[#This Row],[Lucro Líquido]]/Tabela3[[#This Row],[Total Ações]]</f>
        <v>0.56154759846708124</v>
      </c>
      <c r="AG322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0.12921798286774472</v>
      </c>
      <c r="AH322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22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22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0.12921798286774472</v>
      </c>
      <c r="AK322" s="6">
        <f>Tabela3[Div Base]*Tabela3[Ações]</f>
        <v>407393.80453804228</v>
      </c>
      <c r="AL322" s="6">
        <f>SUMPRODUCT(N(Tabela3[Nome]=Tabela3[[#This Row],[Nome]]),Tabela3[Div Base]*Tabela3[Ações])</f>
        <v>1257520.8920246579</v>
      </c>
      <c r="AM322" s="6">
        <f>Tabela3[Patrimônio Líquido]/Tabela3[Total Ações]</f>
        <v>54.761346650043954</v>
      </c>
      <c r="AN322" s="48">
        <f>MAX(Tabela3[[#This Row],[Cotação 1]:[Cotação 5]])</f>
        <v>0</v>
      </c>
      <c r="AO322" s="44">
        <f>Tabela3[Cotação]/Tabela3[VPA]</f>
        <v>0</v>
      </c>
      <c r="AP322" s="40">
        <f>IF(Tabela3[[#This Row],[Lucro/Ação]]&gt;0,Tabela3[[#This Row],[Cotação]]/(Tabela3[[#This Row],[Lucro/Ação]]/Tabela3[Ref]*4),0)</f>
        <v>0</v>
      </c>
      <c r="AQ322" s="78">
        <f>Tabela3[Lucro Distribuir]/Tabela3[Total Ações]</f>
        <v>0.53347021854372723</v>
      </c>
      <c r="AR322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0.12921798286774472</v>
      </c>
      <c r="AS322" s="15" t="str">
        <f>IF(AND(Tabela3[% A.A.]&gt;=6%,SUMPRODUCT(N(Tabela3[Nome]=Tabela3[[#This Row],[Nome]]),Tabela3[PL])&gt;0,Tabela3[Rentabilidade s/ PL]&gt;=Tabela3[Rentabilidade s/ PL Média]),"Sim","Não")</f>
        <v>Não</v>
      </c>
      <c r="AT322" s="42">
        <f>IF(Tabela3[Cotação]&gt;0,Tabela3[[#This Row],[Lucro]]/Tabela3[[#This Row],[Cotação]],0)</f>
        <v>0</v>
      </c>
      <c r="AU322" s="19">
        <f>((1+Tabela3[[#This Row],[% Yield]])^(1/(3*Tabela3[[#This Row],[Ref]])))^(12)-1</f>
        <v>0</v>
      </c>
      <c r="AV322" s="14">
        <f>IF(Tabela3[Cotação]&gt;0,($BD$1/Tabela3[[#This Row],[Cotação]]-MOD($BD$1/Tabela3[[#This Row],[Cotação]],100)),)</f>
        <v>0</v>
      </c>
      <c r="AW322" s="17">
        <f>Tabela3[[#This Row],[Ativos]]*Tabela3[Lucro]</f>
        <v>0</v>
      </c>
      <c r="AX322" s="5">
        <f>SUMPRODUCT(N(Tabela1[Código]=Tabela3[[#This Row],[PAPEL]]),Tabela1[Fechamento])</f>
        <v>0</v>
      </c>
      <c r="AY322" s="5">
        <f>SUMPRODUCT(N(Tabela17[Código]=Tabela3[[#This Row],[PAPEL]]),Tabela17[Fechamento])</f>
        <v>0</v>
      </c>
      <c r="AZ322" s="7">
        <f>SUMPRODUCT(N(Tabela176[Código]=Tabela3[[#This Row],[PAPEL]]),Tabela176[Fechamento])</f>
        <v>0</v>
      </c>
      <c r="BA322" s="7">
        <f>SUMPRODUCT(N(Tabela1768[Código]=Tabela3[[#This Row],[PAPEL]]),Tabela1768[Fechamento])</f>
        <v>0</v>
      </c>
      <c r="BB322" s="7">
        <f>SUMPRODUCT(N(Tabela17683[Código]=Tabela3[[#This Row],[PAPEL]]),Tabela17683[Fechamento])</f>
        <v>0</v>
      </c>
    </row>
    <row r="323" spans="1:54" hidden="1" x14ac:dyDescent="0.2">
      <c r="A323" s="3" t="s">
        <v>298</v>
      </c>
      <c r="B323" s="58" t="s">
        <v>302</v>
      </c>
      <c r="C323" s="82" t="str">
        <f>LEFT(Tabela3[PAPEL],LEN(Tabela3[PAPEL])-(LEN(Tabela3[PAPEL])-4))</f>
        <v>HBTS</v>
      </c>
      <c r="D323" s="16">
        <v>3</v>
      </c>
      <c r="E323" s="6">
        <v>127181809.47</v>
      </c>
      <c r="F323" s="8">
        <v>5950327</v>
      </c>
      <c r="G323" s="86">
        <v>0.25</v>
      </c>
      <c r="H323" s="19"/>
      <c r="I323" s="19"/>
      <c r="J323" s="19">
        <v>0.1</v>
      </c>
      <c r="K323" s="88"/>
      <c r="L323" s="88"/>
      <c r="M323" s="55"/>
      <c r="N323" s="55"/>
      <c r="O323" s="55"/>
      <c r="P323" s="5">
        <v>500173000</v>
      </c>
      <c r="Q323" s="5">
        <v>5129000</v>
      </c>
      <c r="R323" s="5">
        <f>IF(Tabela3[[#This Row],[Ativo || Passivo]]&gt;0,Tabela3[[#This Row],[Ativo || Passivo]]-Tabela3[[#This Row],[Patrimônio Líquido]],0)</f>
        <v>0</v>
      </c>
      <c r="S323" s="5">
        <f>Tabela3[[#This Row],[Cotação]]*Tabela3[[#This Row],[Total Ações]]</f>
        <v>137096641.87</v>
      </c>
      <c r="T323" s="132">
        <f>IF(Tabela3[[#This Row],[Passivo Circulante]]&gt;0,Tabela3[[#This Row],[Ativo Circulante]]/Tabela3[[#This Row],[Passivo Circulante]],0)</f>
        <v>0</v>
      </c>
      <c r="U323" s="132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23" s="18">
        <f>IF(Tabela3[[#This Row],[Lucro Líquido]]&gt;0,Tabela3[[#This Row],[Lucro Líquido]]/Tabela3[[#This Row],[Patrimônio Líquido]],0)</f>
        <v>1.0254451959621972E-2</v>
      </c>
      <c r="W323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23" s="18">
        <f>IF(Tabela3[[#This Row],[Dívida]]&gt;0,Tabela3[[#This Row],[Dívida]]/Tabela3[[#This Row],[Patrimônio Líquido]],0)</f>
        <v>0</v>
      </c>
      <c r="Y323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23" s="6">
        <f>Tabela3[[#This Row],[Capital Social]]*20%</f>
        <v>25436361.894000001</v>
      </c>
      <c r="AA323" s="6">
        <f>IF((Tabela3[Lucro Líquido]*5%)&gt;Tabela3[Teto R. Legal],Tabela3[Teto R. Legal],Tabela3[Lucro Líquido]*5%)</f>
        <v>256450</v>
      </c>
      <c r="AB323" s="89">
        <f>IF(Tabela3[Lucro Líquido]&lt;0,0,Tabela3[Lucro Líquido]-Tabela3[Reserva Legal])</f>
        <v>4872550</v>
      </c>
      <c r="AC323" s="89">
        <f>Tabela3[[#This Row],[Lucro Distribuir]]*Tabela3[%Div]</f>
        <v>1218137.5</v>
      </c>
      <c r="AD323" s="56">
        <f>SUMPRODUCT(N(Tabela3[Nome]=Tabela3[[#This Row],[Nome]]),Tabela3[Ações])</f>
        <v>9133687</v>
      </c>
      <c r="AE323" s="6">
        <f>Tabela3[Capital Social]/Tabela3[Total Ações]</f>
        <v>13.924476443083718</v>
      </c>
      <c r="AF323" s="78">
        <f>Tabela3[[#This Row],[Lucro Líquido]]/Tabela3[[#This Row],[Total Ações]]</f>
        <v>0.56154759846708124</v>
      </c>
      <c r="AG323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0.1421397813492358</v>
      </c>
      <c r="AH323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23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23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0.1421397813492358</v>
      </c>
      <c r="AK323" s="6">
        <f>Tabela3[Div Base]*Tabela3[Ações]</f>
        <v>845778.17873645423</v>
      </c>
      <c r="AL323" s="6">
        <f>SUMPRODUCT(N(Tabela3[Nome]=Tabela3[[#This Row],[Nome]]),Tabela3[Div Base]*Tabela3[Ações])</f>
        <v>1257520.8920246579</v>
      </c>
      <c r="AM323" s="6">
        <f>Tabela3[Patrimônio Líquido]/Tabela3[Total Ações]</f>
        <v>54.761346650043954</v>
      </c>
      <c r="AN323" s="48">
        <f>MAX(Tabela3[[#This Row],[Cotação 1]:[Cotação 5]])</f>
        <v>15.01</v>
      </c>
      <c r="AO323" s="44">
        <f>Tabela3[Cotação]/Tabela3[VPA]</f>
        <v>0.27409844567779545</v>
      </c>
      <c r="AP323" s="40">
        <f>IF(Tabela3[[#This Row],[Lucro/Ação]]&gt;0,Tabela3[[#This Row],[Cotação]]/(Tabela3[[#This Row],[Lucro/Ação]]/Tabela3[Ref]*4),0)</f>
        <v>20.047276545622928</v>
      </c>
      <c r="AQ323" s="78">
        <f>Tabela3[Lucro Distribuir]/Tabela3[Total Ações]</f>
        <v>0.53347021854372723</v>
      </c>
      <c r="AR323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0.1421397813492358</v>
      </c>
      <c r="AS323" s="15" t="str">
        <f>IF(AND(Tabela3[% A.A.]&gt;=6%,SUMPRODUCT(N(Tabela3[Nome]=Tabela3[[#This Row],[Nome]]),Tabela3[PL])&gt;0,Tabela3[Rentabilidade s/ PL]&gt;=Tabela3[Rentabilidade s/ PL Média]),"Sim","Não")</f>
        <v>Não</v>
      </c>
      <c r="AT323" s="42">
        <f>IF(Tabela3[Cotação]&gt;0,Tabela3[[#This Row],[Lucro]]/Tabela3[[#This Row],[Cotação]],0)</f>
        <v>9.4696723084101136E-3</v>
      </c>
      <c r="AU323" s="19">
        <f>((1+Tabela3[[#This Row],[% Yield]])^(1/(3*Tabela3[[#This Row],[Ref]])))^(12)-1</f>
        <v>1.2646115683567771E-2</v>
      </c>
      <c r="AV323" s="14">
        <f>IF(Tabela3[Cotação]&gt;0,($BD$1/Tabela3[[#This Row],[Cotação]]-MOD($BD$1/Tabela3[[#This Row],[Cotação]],100)),)</f>
        <v>0</v>
      </c>
      <c r="AW323" s="17">
        <f>Tabela3[[#This Row],[Ativos]]*Tabela3[Lucro]</f>
        <v>0</v>
      </c>
      <c r="AX323" s="5">
        <f>SUMPRODUCT(N(Tabela1[Código]=Tabela3[[#This Row],[PAPEL]]),Tabela1[Fechamento])</f>
        <v>0</v>
      </c>
      <c r="AY323" s="5">
        <f>SUMPRODUCT(N(Tabela17[Código]=Tabela3[[#This Row],[PAPEL]]),Tabela17[Fechamento])</f>
        <v>15.01</v>
      </c>
      <c r="AZ323" s="7">
        <f>SUMPRODUCT(N(Tabela176[Código]=Tabela3[[#This Row],[PAPEL]]),Tabela176[Fechamento])</f>
        <v>0</v>
      </c>
      <c r="BA323" s="7">
        <f>SUMPRODUCT(N(Tabela1768[Código]=Tabela3[[#This Row],[PAPEL]]),Tabela1768[Fechamento])</f>
        <v>0</v>
      </c>
      <c r="BB323" s="7">
        <f>SUMPRODUCT(N(Tabela17683[Código]=Tabela3[[#This Row],[PAPEL]]),Tabela17683[Fechamento])</f>
        <v>0</v>
      </c>
    </row>
    <row r="324" spans="1:54" hidden="1" x14ac:dyDescent="0.2">
      <c r="A324" s="3" t="s">
        <v>298</v>
      </c>
      <c r="B324" s="58" t="s">
        <v>723</v>
      </c>
      <c r="C324" s="83" t="str">
        <f>LEFT(Tabela3[PAPEL],LEN(Tabela3[PAPEL])-(LEN(Tabela3[PAPEL])-4))</f>
        <v>HBTS</v>
      </c>
      <c r="D324" s="16">
        <v>3</v>
      </c>
      <c r="E324" s="6">
        <v>127181809.47</v>
      </c>
      <c r="F324" s="56">
        <v>30596</v>
      </c>
      <c r="G324" s="81">
        <v>0.25</v>
      </c>
      <c r="H324" s="16"/>
      <c r="J324" s="18">
        <v>0.1</v>
      </c>
      <c r="K324" s="87"/>
      <c r="L324" s="87"/>
      <c r="M324" s="54"/>
      <c r="N324" s="54"/>
      <c r="O324" s="54"/>
      <c r="P324" s="5">
        <v>500173000</v>
      </c>
      <c r="Q324" s="5">
        <v>5129000</v>
      </c>
      <c r="R324" s="5">
        <f>IF(Tabela3[[#This Row],[Ativo || Passivo]]&gt;0,Tabela3[[#This Row],[Ativo || Passivo]]-Tabela3[[#This Row],[Patrimônio Líquido]],0)</f>
        <v>0</v>
      </c>
      <c r="S324" s="5">
        <f>Tabela3[[#This Row],[Cotação]]*Tabela3[[#This Row],[Total Ações]]</f>
        <v>0</v>
      </c>
      <c r="T324" s="132">
        <f>IF(Tabela3[[#This Row],[Passivo Circulante]]&gt;0,Tabela3[[#This Row],[Ativo Circulante]]/Tabela3[[#This Row],[Passivo Circulante]],0)</f>
        <v>0</v>
      </c>
      <c r="U324" s="132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24" s="18">
        <f>IF(Tabela3[[#This Row],[Lucro Líquido]]&gt;0,Tabela3[[#This Row],[Lucro Líquido]]/Tabela3[[#This Row],[Patrimônio Líquido]],0)</f>
        <v>1.0254451959621972E-2</v>
      </c>
      <c r="W324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24" s="18">
        <f>IF(Tabela3[[#This Row],[Dívida]]&gt;0,Tabela3[[#This Row],[Dívida]]/Tabela3[[#This Row],[Patrimônio Líquido]],0)</f>
        <v>0</v>
      </c>
      <c r="Y324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24" s="5">
        <f>Tabela3[[#This Row],[Capital Social]]*20%</f>
        <v>25436361.894000001</v>
      </c>
      <c r="AA324" s="5">
        <f>IF((Tabela3[Lucro Líquido]*5%)&gt;Tabela3[Teto R. Legal],Tabela3[Teto R. Legal],Tabela3[Lucro Líquido]*5%)</f>
        <v>256450</v>
      </c>
      <c r="AB324" s="5">
        <f>IF(Tabela3[Lucro Líquido]&lt;0,0,Tabela3[Lucro Líquido]-Tabela3[Reserva Legal])</f>
        <v>4872550</v>
      </c>
      <c r="AC324" s="5">
        <f>Tabela3[[#This Row],[Lucro Distribuir]]*Tabela3[%Div]</f>
        <v>1218137.5</v>
      </c>
      <c r="AD324" s="56">
        <f>SUMPRODUCT(N(Tabela3[Nome]=Tabela3[[#This Row],[Nome]]),Tabela3[Ações])</f>
        <v>9133687</v>
      </c>
      <c r="AE324" s="5">
        <f>Tabela3[Capital Social]/Tabela3[Total Ações]</f>
        <v>13.924476443083718</v>
      </c>
      <c r="AF324" s="77">
        <f>Tabela3[[#This Row],[Lucro Líquido]]/Tabela3[[#This Row],[Total Ações]]</f>
        <v>0.56154759846708124</v>
      </c>
      <c r="AG324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0.1421397813492358</v>
      </c>
      <c r="AH324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24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24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0.1421397813492358</v>
      </c>
      <c r="AK324" s="5">
        <f>Tabela3[Div Base]*Tabela3[Ações]</f>
        <v>4348.9087501612184</v>
      </c>
      <c r="AL324" s="5">
        <f>SUMPRODUCT(N(Tabela3[Nome]=Tabela3[[#This Row],[Nome]]),Tabela3[Div Base]*Tabela3[Ações])</f>
        <v>1257520.8920246579</v>
      </c>
      <c r="AM324" s="5">
        <f>Tabela3[Patrimônio Líquido]/Tabela3[Total Ações]</f>
        <v>54.761346650043954</v>
      </c>
      <c r="AN324" s="52">
        <f>MAX(Tabela3[[#This Row],[Cotação 1]:[Cotação 5]])</f>
        <v>0</v>
      </c>
      <c r="AO324" s="53">
        <f>Tabela3[Cotação]/Tabela3[VPA]</f>
        <v>0</v>
      </c>
      <c r="AP324" s="37">
        <f>IF(Tabela3[[#This Row],[Lucro/Ação]]&gt;0,Tabela3[[#This Row],[Cotação]]/(Tabela3[[#This Row],[Lucro/Ação]]/Tabela3[Ref]*4),0)</f>
        <v>0</v>
      </c>
      <c r="AQ324" s="77">
        <f>Tabela3[Lucro Distribuir]/Tabela3[Total Ações]</f>
        <v>0.53347021854372723</v>
      </c>
      <c r="AR324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0.1421397813492358</v>
      </c>
      <c r="AS324" s="16" t="str">
        <f>IF(AND(Tabela3[% A.A.]&gt;=6%,SUMPRODUCT(N(Tabela3[Nome]=Tabela3[[#This Row],[Nome]]),Tabela3[PL])&gt;0,Tabela3[Rentabilidade s/ PL]&gt;=Tabela3[Rentabilidade s/ PL Média]),"Sim","Não")</f>
        <v>Não</v>
      </c>
      <c r="AT324" s="22">
        <f>IF(Tabela3[Cotação]&gt;0,Tabela3[[#This Row],[Lucro]]/Tabela3[[#This Row],[Cotação]],0)</f>
        <v>0</v>
      </c>
      <c r="AU324" s="18">
        <f>((1+Tabela3[[#This Row],[% Yield]])^(1/(3*Tabela3[[#This Row],[Ref]])))^(12)-1</f>
        <v>0</v>
      </c>
      <c r="AV324" s="10">
        <f>IF(Tabela3[Cotação]&gt;0,($BD$1/Tabela3[[#This Row],[Cotação]]-MOD($BD$1/Tabela3[[#This Row],[Cotação]],100)),)</f>
        <v>0</v>
      </c>
      <c r="AW324" s="7">
        <f>Tabela3[[#This Row],[Ativos]]*Tabela3[Lucro]</f>
        <v>0</v>
      </c>
      <c r="AX324" s="47">
        <f>SUMPRODUCT(N(Tabela1[Código]=Tabela3[[#This Row],[PAPEL]]),Tabela1[Fechamento])</f>
        <v>0</v>
      </c>
      <c r="AY324" s="54">
        <f>SUMPRODUCT(N(Tabela17[Código]=Tabela3[[#This Row],[PAPEL]]),Tabela17[Fechamento])</f>
        <v>0</v>
      </c>
      <c r="AZ324" s="7">
        <f>SUMPRODUCT(N(Tabela176[Código]=Tabela3[[#This Row],[PAPEL]]),Tabela176[Fechamento])</f>
        <v>0</v>
      </c>
      <c r="BA324" s="7">
        <f>SUMPRODUCT(N(Tabela1768[Código]=Tabela3[[#This Row],[PAPEL]]),Tabela1768[Fechamento])</f>
        <v>0</v>
      </c>
      <c r="BB324" s="7">
        <f>SUMPRODUCT(N(Tabela17683[Código]=Tabela3[[#This Row],[PAPEL]]),Tabela17683[Fechamento])</f>
        <v>0</v>
      </c>
    </row>
    <row r="325" spans="1:54" hidden="1" x14ac:dyDescent="0.2">
      <c r="A325" s="4" t="s">
        <v>757</v>
      </c>
      <c r="B325" s="57" t="s">
        <v>765</v>
      </c>
      <c r="C325" s="15" t="str">
        <f>LEFT(Tabela3[PAPEL],LEN(Tabela3[PAPEL])-(LEN(Tabela3[PAPEL])-4))</f>
        <v>QUAL</v>
      </c>
      <c r="D325" s="15">
        <v>3</v>
      </c>
      <c r="E325" s="6">
        <v>1875873805.45</v>
      </c>
      <c r="F325" s="8">
        <v>266602637</v>
      </c>
      <c r="G325" s="86">
        <v>0.25</v>
      </c>
      <c r="H325" s="15"/>
      <c r="I325" s="19"/>
      <c r="J325" s="19"/>
      <c r="K325" s="88"/>
      <c r="L325" s="88"/>
      <c r="M325" s="55"/>
      <c r="N325" s="55"/>
      <c r="O325" s="55"/>
      <c r="P325" s="92">
        <v>2050249000</v>
      </c>
      <c r="Q325" s="93">
        <v>19889000</v>
      </c>
      <c r="R325" s="93">
        <f>IF(Tabela3[[#This Row],[Ativo || Passivo]]&gt;0,Tabela3[[#This Row],[Ativo || Passivo]]-Tabela3[[#This Row],[Patrimônio Líquido]],0)</f>
        <v>0</v>
      </c>
      <c r="S325" s="93">
        <f>Tabela3[[#This Row],[Cotação]]*Tabela3[[#This Row],[Total Ações]]</f>
        <v>5238741817.0499992</v>
      </c>
      <c r="T325" s="40">
        <f>IF(Tabela3[[#This Row],[Passivo Circulante]]&gt;0,Tabela3[[#This Row],[Ativo Circulante]]/Tabela3[[#This Row],[Passivo Circulante]],0)</f>
        <v>0</v>
      </c>
      <c r="U325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25" s="19">
        <f>IF(Tabela3[[#This Row],[Lucro Líquido]]&gt;0,Tabela3[[#This Row],[Lucro Líquido]]/Tabela3[[#This Row],[Patrimônio Líquido]],0)</f>
        <v>9.7007729305074644E-3</v>
      </c>
      <c r="W325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25" s="19">
        <f>IF(Tabela3[[#This Row],[Dívida]]&gt;0,Tabela3[[#This Row],[Dívida]]/Tabela3[[#This Row],[Patrimônio Líquido]],0)</f>
        <v>0</v>
      </c>
      <c r="Y325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25" s="13">
        <f>Tabela3[[#This Row],[Capital Social]]*20%</f>
        <v>375174761.09000003</v>
      </c>
      <c r="AA325" s="13">
        <f>IF((Tabela3[Lucro Líquido]*5%)&gt;Tabela3[Teto R. Legal],Tabela3[Teto R. Legal],Tabela3[Lucro Líquido]*5%)</f>
        <v>994450</v>
      </c>
      <c r="AB325" s="13">
        <f>IF(Tabela3[Lucro Líquido]&lt;0,0,Tabela3[Lucro Líquido]-Tabela3[Reserva Legal])</f>
        <v>18894550</v>
      </c>
      <c r="AC325" s="13">
        <f>Tabela3[[#This Row],[Lucro Distribuir]]*Tabela3[%Div]</f>
        <v>4723637.5</v>
      </c>
      <c r="AD325" s="56">
        <f>SUMPRODUCT(N(Tabela3[Nome]=Tabela3[[#This Row],[Nome]]),Tabela3[Ações])</f>
        <v>266602637</v>
      </c>
      <c r="AE325" s="6">
        <f>Tabela3[Capital Social]/Tabela3[Total Ações]</f>
        <v>7.0362162451153853</v>
      </c>
      <c r="AF325" s="78">
        <f>Tabela3[[#This Row],[Lucro Líquido]]/Tabela3[[#This Row],[Total Ações]]</f>
        <v>7.4601662698482604E-2</v>
      </c>
      <c r="AG325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1.771789489088962E-2</v>
      </c>
      <c r="AH325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25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25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1.771789489088962E-2</v>
      </c>
      <c r="AK325" s="13">
        <f>Tabela3[Div Base]*Tabela3[Ações]</f>
        <v>4723637.5</v>
      </c>
      <c r="AL325" s="13">
        <f>SUMPRODUCT(N(Tabela3[Nome]=Tabela3[[#This Row],[Nome]]),Tabela3[Div Base]*Tabela3[Ações])</f>
        <v>4723637.5</v>
      </c>
      <c r="AM325" s="6">
        <f>Tabela3[Patrimônio Líquido]/Tabela3[Total Ações]</f>
        <v>7.6902802728091544</v>
      </c>
      <c r="AN325" s="48">
        <f>MAX(Tabela3[[#This Row],[Cotação 1]:[Cotação 5]])</f>
        <v>19.649999999999999</v>
      </c>
      <c r="AO325" s="44">
        <f>Tabela3[Cotação]/Tabela3[VPA]</f>
        <v>2.5551734531025256</v>
      </c>
      <c r="AP325" s="40">
        <f>IF(Tabela3[[#This Row],[Lucro/Ação]]&gt;0,Tabela3[[#This Row],[Cotação]]/(Tabela3[[#This Row],[Lucro/Ação]]/Tabela3[Ref]*4),0)</f>
        <v>197.54921628978332</v>
      </c>
      <c r="AQ325" s="78">
        <f>Tabela3[Lucro Distribuir]/Tabela3[Total Ações]</f>
        <v>7.0871579563558482E-2</v>
      </c>
      <c r="AR325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1.771789489088962E-2</v>
      </c>
      <c r="AS325" s="14" t="str">
        <f>IF(AND(Tabela3[% A.A.]&gt;=6%,SUMPRODUCT(N(Tabela3[Nome]=Tabela3[[#This Row],[Nome]]),Tabela3[PL])&gt;0,Tabela3[Rentabilidade s/ PL]&gt;=Tabela3[Rentabilidade s/ PL Média]),"Sim","Não")</f>
        <v>Não</v>
      </c>
      <c r="AT325" s="42">
        <f>IF(Tabela3[Cotação]&gt;0,Tabela3[[#This Row],[Lucro]]/Tabela3[[#This Row],[Cotação]],0)</f>
        <v>9.0167404024883572E-4</v>
      </c>
      <c r="AU325" s="42">
        <f>((1+Tabela3[[#This Row],[% Yield]])^(1/(3*Tabela3[[#This Row],[Ref]])))^(12)-1</f>
        <v>1.2024126877177022E-3</v>
      </c>
      <c r="AV325" s="14">
        <f>IF(Tabela3[Cotação]&gt;0,($BD$1/Tabela3[[#This Row],[Cotação]]-MOD($BD$1/Tabela3[[#This Row],[Cotação]],100)),)</f>
        <v>0</v>
      </c>
      <c r="AW325" s="17">
        <f>Tabela3[[#This Row],[Ativos]]*Tabela3[Lucro]</f>
        <v>0</v>
      </c>
      <c r="AX325" s="17">
        <f>SUMPRODUCT(N(Tabela1[Código]=Tabela3[[#This Row],[PAPEL]]),Tabela1[Fechamento])</f>
        <v>0</v>
      </c>
      <c r="AY325" s="17">
        <f>SUMPRODUCT(N(Tabela17[Código]=Tabela3[[#This Row],[PAPEL]]),Tabela17[Fechamento])</f>
        <v>0</v>
      </c>
      <c r="AZ325" s="17">
        <f>SUMPRODUCT(N(Tabela176[Código]=Tabela3[[#This Row],[PAPEL]]),Tabela176[Fechamento])</f>
        <v>19.649999999999999</v>
      </c>
      <c r="BA325" s="17">
        <f>SUMPRODUCT(N(Tabela1768[Código]=Tabela3[[#This Row],[PAPEL]]),Tabela1768[Fechamento])</f>
        <v>0</v>
      </c>
      <c r="BB325" s="7">
        <f>SUMPRODUCT(N(Tabela17683[Código]=Tabela3[[#This Row],[PAPEL]]),Tabela17683[Fechamento])</f>
        <v>0</v>
      </c>
    </row>
    <row r="326" spans="1:54" hidden="1" x14ac:dyDescent="0.2">
      <c r="A326" s="4" t="s">
        <v>14</v>
      </c>
      <c r="B326" s="57" t="s">
        <v>578</v>
      </c>
      <c r="C326" s="15" t="str">
        <f>LEFT(Tabela3[PAPEL],LEN(Tabela3[PAPEL])-(LEN(Tabela3[PAPEL])-4))</f>
        <v>SFSA</v>
      </c>
      <c r="D326" s="15">
        <v>3</v>
      </c>
      <c r="E326" s="6">
        <v>685700092.85000002</v>
      </c>
      <c r="F326" s="8">
        <v>97140150</v>
      </c>
      <c r="G326" s="86">
        <v>0.25</v>
      </c>
      <c r="H326" s="15"/>
      <c r="I326" s="19"/>
      <c r="J326" s="19"/>
      <c r="K326" s="88"/>
      <c r="L326" s="88"/>
      <c r="M326" s="55"/>
      <c r="N326" s="55"/>
      <c r="O326" s="55"/>
      <c r="P326" s="6">
        <v>699911000</v>
      </c>
      <c r="Q326" s="6">
        <v>6746000</v>
      </c>
      <c r="R326" s="6">
        <f>IF(Tabela3[[#This Row],[Ativo || Passivo]]&gt;0,Tabela3[[#This Row],[Ativo || Passivo]]-Tabela3[[#This Row],[Patrimônio Líquido]],0)</f>
        <v>0</v>
      </c>
      <c r="S326" s="6">
        <f>Tabela3[[#This Row],[Cotação]]*Tabela3[[#This Row],[Total Ações]]</f>
        <v>0</v>
      </c>
      <c r="T326" s="134">
        <f>IF(Tabela3[[#This Row],[Passivo Circulante]]&gt;0,Tabela3[[#This Row],[Ativo Circulante]]/Tabela3[[#This Row],[Passivo Circulante]],0)</f>
        <v>0</v>
      </c>
      <c r="U326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26" s="19">
        <f>IF(Tabela3[[#This Row],[Lucro Líquido]]&gt;0,Tabela3[[#This Row],[Lucro Líquido]]/Tabela3[[#This Row],[Patrimônio Líquido]],0)</f>
        <v>9.638368306827582E-3</v>
      </c>
      <c r="W326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26" s="19">
        <f>IF(Tabela3[[#This Row],[Dívida]]&gt;0,Tabela3[[#This Row],[Dívida]]/Tabela3[[#This Row],[Patrimônio Líquido]],0)</f>
        <v>0</v>
      </c>
      <c r="Y326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26" s="13">
        <f>Tabela3[[#This Row],[Capital Social]]*20%</f>
        <v>137140018.57000002</v>
      </c>
      <c r="AA326" s="13">
        <f>IF((Tabela3[Lucro Líquido]*5%)&gt;Tabela3[Teto R. Legal],Tabela3[Teto R. Legal],Tabela3[Lucro Líquido]*5%)</f>
        <v>337300</v>
      </c>
      <c r="AB326" s="13">
        <f>IF(Tabela3[Lucro Líquido]&lt;0,0,Tabela3[Lucro Líquido]-Tabela3[Reserva Legal])</f>
        <v>6408700</v>
      </c>
      <c r="AC326" s="13">
        <f>Tabela3[[#This Row],[Lucro Distribuir]]*Tabela3[%Div]</f>
        <v>1602175</v>
      </c>
      <c r="AD326" s="56">
        <f>SUMPRODUCT(N(Tabela3[Nome]=Tabela3[[#This Row],[Nome]]),Tabela3[Ações])</f>
        <v>137747421</v>
      </c>
      <c r="AE326" s="6">
        <f>Tabela3[Capital Social]/Tabela3[Total Ações]</f>
        <v>4.9779523120799487</v>
      </c>
      <c r="AF326" s="78">
        <f>Tabela3[[#This Row],[Lucro Líquido]]/Tabela3[[#This Row],[Total Ações]]</f>
        <v>4.8973693670823791E-2</v>
      </c>
      <c r="AG326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1.1631252246820651E-2</v>
      </c>
      <c r="AH326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26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26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1.1631252246820651E-2</v>
      </c>
      <c r="AK326" s="13">
        <f>Tabela3[Div Base]*Tabela3[Ações]</f>
        <v>1129861.5879439951</v>
      </c>
      <c r="AL326" s="13">
        <f>SUMPRODUCT(N(Tabela3[Nome]=Tabela3[[#This Row],[Nome]]),Tabela3[Div Base]*Tabela3[Ações])</f>
        <v>1602175.0000000002</v>
      </c>
      <c r="AM326" s="6">
        <f>Tabela3[Patrimônio Líquido]/Tabela3[Total Ações]</f>
        <v>5.0811187238126223</v>
      </c>
      <c r="AN326" s="48">
        <f>MAX(Tabela3[[#This Row],[Cotação 1]:[Cotação 5]])</f>
        <v>0</v>
      </c>
      <c r="AO326" s="44">
        <f>Tabela3[Cotação]/Tabela3[VPA]</f>
        <v>0</v>
      </c>
      <c r="AP326" s="40">
        <f>IF(Tabela3[[#This Row],[Lucro/Ação]]&gt;0,Tabela3[[#This Row],[Cotação]]/(Tabela3[[#This Row],[Lucro/Ação]]/Tabela3[Ref]*4),0)</f>
        <v>0</v>
      </c>
      <c r="AQ326" s="78">
        <f>Tabela3[Lucro Distribuir]/Tabela3[Total Ações]</f>
        <v>4.6525008987282603E-2</v>
      </c>
      <c r="AR326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1.1631252246820651E-2</v>
      </c>
      <c r="AS326" s="14" t="str">
        <f>IF(AND(Tabela3[% A.A.]&gt;=6%,SUMPRODUCT(N(Tabela3[Nome]=Tabela3[[#This Row],[Nome]]),Tabela3[PL])&gt;0,Tabela3[Rentabilidade s/ PL]&gt;=Tabela3[Rentabilidade s/ PL Média]),"Sim","Não")</f>
        <v>Não</v>
      </c>
      <c r="AT326" s="42">
        <f>IF(Tabela3[Cotação]&gt;0,Tabela3[[#This Row],[Lucro]]/Tabela3[[#This Row],[Cotação]],0)</f>
        <v>0</v>
      </c>
      <c r="AU326" s="42">
        <f>((1+Tabela3[[#This Row],[% Yield]])^(1/(3*Tabela3[[#This Row],[Ref]])))^(12)-1</f>
        <v>0</v>
      </c>
      <c r="AV326" s="14">
        <f>IF(Tabela3[Cotação]&gt;0,($BD$1/Tabela3[[#This Row],[Cotação]]-MOD($BD$1/Tabela3[[#This Row],[Cotação]],100)),)</f>
        <v>0</v>
      </c>
      <c r="AW326" s="17">
        <f>Tabela3[[#This Row],[Ativos]]*Tabela3[Lucro]</f>
        <v>0</v>
      </c>
      <c r="AX326" s="17">
        <f>SUMPRODUCT(N(Tabela1[Código]=Tabela3[[#This Row],[PAPEL]]),Tabela1[Fechamento])</f>
        <v>0</v>
      </c>
      <c r="AY326" s="17">
        <f>SUMPRODUCT(N(Tabela17[Código]=Tabela3[[#This Row],[PAPEL]]),Tabela17[Fechamento])</f>
        <v>0</v>
      </c>
      <c r="AZ326" s="17">
        <f>SUMPRODUCT(N(Tabela176[Código]=Tabela3[[#This Row],[PAPEL]]),Tabela176[Fechamento])</f>
        <v>0</v>
      </c>
      <c r="BA326" s="17">
        <f>SUMPRODUCT(N(Tabela1768[Código]=Tabela3[[#This Row],[PAPEL]]),Tabela1768[Fechamento])</f>
        <v>0</v>
      </c>
      <c r="BB326" s="7">
        <f>SUMPRODUCT(N(Tabela17683[Código]=Tabela3[[#This Row],[PAPEL]]),Tabela17683[Fechamento])</f>
        <v>0</v>
      </c>
    </row>
    <row r="327" spans="1:54" hidden="1" x14ac:dyDescent="0.2">
      <c r="A327" s="4" t="s">
        <v>14</v>
      </c>
      <c r="B327" s="57" t="s">
        <v>75</v>
      </c>
      <c r="C327" s="14" t="str">
        <f>LEFT(Tabela3[PAPEL],LEN(Tabela3[PAPEL])-(LEN(Tabela3[PAPEL])-4))</f>
        <v>SFSA</v>
      </c>
      <c r="D327" s="15">
        <v>3</v>
      </c>
      <c r="E327" s="6">
        <v>685700092.85000002</v>
      </c>
      <c r="F327" s="8">
        <v>40607271</v>
      </c>
      <c r="G327" s="81">
        <v>0.25</v>
      </c>
      <c r="H327" s="15"/>
      <c r="I327" s="19"/>
      <c r="J327" s="19"/>
      <c r="K327" s="88"/>
      <c r="L327" s="88"/>
      <c r="M327" s="55"/>
      <c r="N327" s="55"/>
      <c r="O327" s="55"/>
      <c r="P327" s="6">
        <v>699911000</v>
      </c>
      <c r="Q327" s="6">
        <v>6746000</v>
      </c>
      <c r="R327" s="6">
        <f>IF(Tabela3[[#This Row],[Ativo || Passivo]]&gt;0,Tabela3[[#This Row],[Ativo || Passivo]]-Tabela3[[#This Row],[Patrimônio Líquido]],0)</f>
        <v>0</v>
      </c>
      <c r="S327" s="6">
        <f>Tabela3[[#This Row],[Cotação]]*Tabela3[[#This Row],[Total Ações]]</f>
        <v>388447727.21999997</v>
      </c>
      <c r="T327" s="134">
        <f>IF(Tabela3[[#This Row],[Passivo Circulante]]&gt;0,Tabela3[[#This Row],[Ativo Circulante]]/Tabela3[[#This Row],[Passivo Circulante]],0)</f>
        <v>0</v>
      </c>
      <c r="U327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27" s="19">
        <f>IF(Tabela3[[#This Row],[Lucro Líquido]]&gt;0,Tabela3[[#This Row],[Lucro Líquido]]/Tabela3[[#This Row],[Patrimônio Líquido]],0)</f>
        <v>9.638368306827582E-3</v>
      </c>
      <c r="W327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27" s="19">
        <f>IF(Tabela3[[#This Row],[Dívida]]&gt;0,Tabela3[[#This Row],[Dívida]]/Tabela3[[#This Row],[Patrimônio Líquido]],0)</f>
        <v>0</v>
      </c>
      <c r="Y327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27" s="6">
        <f>Tabela3[[#This Row],[Capital Social]]*20%</f>
        <v>137140018.57000002</v>
      </c>
      <c r="AA327" s="6">
        <f>IF((Tabela3[Lucro Líquido]*5%)&gt;Tabela3[Teto R. Legal],Tabela3[Teto R. Legal],Tabela3[Lucro Líquido]*5%)</f>
        <v>337300</v>
      </c>
      <c r="AB327" s="6">
        <f>IF(Tabela3[Lucro Líquido]&lt;0,0,Tabela3[Lucro Líquido]-Tabela3[Reserva Legal])</f>
        <v>6408700</v>
      </c>
      <c r="AC327" s="6">
        <f>Tabela3[[#This Row],[Lucro Distribuir]]*Tabela3[%Div]</f>
        <v>1602175</v>
      </c>
      <c r="AD327" s="56">
        <f>SUMPRODUCT(N(Tabela3[Nome]=Tabela3[[#This Row],[Nome]]),Tabela3[Ações])</f>
        <v>137747421</v>
      </c>
      <c r="AE327" s="6">
        <f>Tabela3[Capital Social]/Tabela3[Total Ações]</f>
        <v>4.9779523120799487</v>
      </c>
      <c r="AF327" s="78">
        <f>Tabela3[[#This Row],[Lucro Líquido]]/Tabela3[[#This Row],[Total Ações]]</f>
        <v>4.8973693670823791E-2</v>
      </c>
      <c r="AG327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1.1631252246820651E-2</v>
      </c>
      <c r="AH327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27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27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1.1631252246820651E-2</v>
      </c>
      <c r="AK327" s="6">
        <f>Tabela3[Div Base]*Tabela3[Ações]</f>
        <v>472313.41205600504</v>
      </c>
      <c r="AL327" s="6">
        <f>SUMPRODUCT(N(Tabela3[Nome]=Tabela3[[#This Row],[Nome]]),Tabela3[Div Base]*Tabela3[Ações])</f>
        <v>1602175.0000000002</v>
      </c>
      <c r="AM327" s="6">
        <f>Tabela3[Patrimônio Líquido]/Tabela3[Total Ações]</f>
        <v>5.0811187238126223</v>
      </c>
      <c r="AN327" s="48">
        <f>MAX(Tabela3[[#This Row],[Cotação 1]:[Cotação 5]])</f>
        <v>2.82</v>
      </c>
      <c r="AO327" s="44">
        <f>Tabela3[Cotação]/Tabela3[VPA]</f>
        <v>0.554995888362949</v>
      </c>
      <c r="AP327" s="40">
        <f>IF(Tabela3[[#This Row],[Lucro/Ação]]&gt;0,Tabela3[[#This Row],[Cotação]]/(Tabela3[[#This Row],[Lucro/Ação]]/Tabela3[Ref]*4),0)</f>
        <v>43.186450550696705</v>
      </c>
      <c r="AQ327" s="78">
        <f>Tabela3[Lucro Distribuir]/Tabela3[Total Ações]</f>
        <v>4.6525008987282603E-2</v>
      </c>
      <c r="AR327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1.1631252246820651E-2</v>
      </c>
      <c r="AS327" s="15" t="str">
        <f>IF(AND(Tabela3[% A.A.]&gt;=6%,SUMPRODUCT(N(Tabela3[Nome]=Tabela3[[#This Row],[Nome]]),Tabela3[PL])&gt;0,Tabela3[Rentabilidade s/ PL]&gt;=Tabela3[Rentabilidade s/ PL Média]),"Sim","Não")</f>
        <v>Não</v>
      </c>
      <c r="AT327" s="42">
        <f>IF(Tabela3[Cotação]&gt;0,Tabela3[[#This Row],[Lucro]]/Tabela3[[#This Row],[Cotação]],0)</f>
        <v>4.1245575343335644E-3</v>
      </c>
      <c r="AU327" s="19">
        <f>((1+Tabela3[[#This Row],[% Yield]])^(1/(3*Tabela3[[#This Row],[Ref]])))^(12)-1</f>
        <v>5.5031870255457527E-3</v>
      </c>
      <c r="AV327" s="14">
        <f>IF(Tabela3[Cotação]&gt;0,($BD$1/Tabela3[[#This Row],[Cotação]]-MOD($BD$1/Tabela3[[#This Row],[Cotação]],100)),)</f>
        <v>0</v>
      </c>
      <c r="AW327" s="17">
        <f>Tabela3[[#This Row],[Ativos]]*Tabela3[Lucro]</f>
        <v>0</v>
      </c>
      <c r="AX327" s="5">
        <f>SUMPRODUCT(N(Tabela1[Código]=Tabela3[[#This Row],[PAPEL]]),Tabela1[Fechamento])</f>
        <v>2.82</v>
      </c>
      <c r="AY327" s="5">
        <f>SUMPRODUCT(N(Tabela17[Código]=Tabela3[[#This Row],[PAPEL]]),Tabela17[Fechamento])</f>
        <v>0</v>
      </c>
      <c r="AZ327" s="7">
        <f>SUMPRODUCT(N(Tabela176[Código]=Tabela3[[#This Row],[PAPEL]]),Tabela176[Fechamento])</f>
        <v>0</v>
      </c>
      <c r="BA327" s="7">
        <f>SUMPRODUCT(N(Tabela1768[Código]=Tabela3[[#This Row],[PAPEL]]),Tabela1768[Fechamento])</f>
        <v>0</v>
      </c>
      <c r="BB327" s="7">
        <f>SUMPRODUCT(N(Tabela17683[Código]=Tabela3[[#This Row],[PAPEL]]),Tabela17683[Fechamento])</f>
        <v>0</v>
      </c>
    </row>
    <row r="328" spans="1:54" hidden="1" x14ac:dyDescent="0.2">
      <c r="A328" s="4" t="s">
        <v>324</v>
      </c>
      <c r="B328" s="57" t="s">
        <v>327</v>
      </c>
      <c r="C328" s="82" t="str">
        <f>LEFT(Tabela3[PAPEL],LEN(Tabela3[PAPEL])-(LEN(Tabela3[PAPEL])-4))</f>
        <v>MAGG</v>
      </c>
      <c r="D328" s="15">
        <v>3</v>
      </c>
      <c r="E328" s="6">
        <v>2528146113.6500001</v>
      </c>
      <c r="F328" s="8">
        <v>291981934</v>
      </c>
      <c r="G328" s="81">
        <v>0.25</v>
      </c>
      <c r="H328" s="15"/>
      <c r="I328" s="19"/>
      <c r="J328" s="19"/>
      <c r="K328" s="88"/>
      <c r="L328" s="88"/>
      <c r="M328" s="55"/>
      <c r="N328" s="55"/>
      <c r="O328" s="55"/>
      <c r="P328" s="6">
        <v>2907030000</v>
      </c>
      <c r="Q328" s="6">
        <v>25088000</v>
      </c>
      <c r="R328" s="6">
        <f>IF(Tabela3[[#This Row],[Ativo || Passivo]]&gt;0,Tabela3[[#This Row],[Ativo || Passivo]]-Tabela3[[#This Row],[Patrimônio Líquido]],0)</f>
        <v>0</v>
      </c>
      <c r="S328" s="6">
        <f>Tabela3[[#This Row],[Cotação]]*Tabela3[[#This Row],[Total Ações]]</f>
        <v>1500787140.76</v>
      </c>
      <c r="T328" s="134">
        <f>IF(Tabela3[[#This Row],[Passivo Circulante]]&gt;0,Tabela3[[#This Row],[Ativo Circulante]]/Tabela3[[#This Row],[Passivo Circulante]],0)</f>
        <v>0</v>
      </c>
      <c r="U328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28" s="19">
        <f>IF(Tabela3[[#This Row],[Lucro Líquido]]&gt;0,Tabela3[[#This Row],[Lucro Líquido]]/Tabela3[[#This Row],[Patrimônio Líquido]],0)</f>
        <v>8.6301138963134193E-3</v>
      </c>
      <c r="W328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28" s="19">
        <f>IF(Tabela3[[#This Row],[Dívida]]&gt;0,Tabela3[[#This Row],[Dívida]]/Tabela3[[#This Row],[Patrimônio Líquido]],0)</f>
        <v>0</v>
      </c>
      <c r="Y328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28" s="6">
        <f>Tabela3[[#This Row],[Capital Social]]*20%</f>
        <v>505629222.73000002</v>
      </c>
      <c r="AA328" s="6">
        <f>IF((Tabela3[Lucro Líquido]*5%)&gt;Tabela3[Teto R. Legal],Tabela3[Teto R. Legal],Tabela3[Lucro Líquido]*5%)</f>
        <v>1254400</v>
      </c>
      <c r="AB328" s="6">
        <f>IF(Tabela3[Lucro Líquido]&lt;0,0,Tabela3[Lucro Líquido]-Tabela3[Reserva Legal])</f>
        <v>23833600</v>
      </c>
      <c r="AC328" s="6">
        <f>Tabela3[[#This Row],[Lucro Distribuir]]*Tabela3[%Div]</f>
        <v>5958400</v>
      </c>
      <c r="AD328" s="21">
        <f>SUMPRODUCT(N(Tabela3[Nome]=Tabela3[[#This Row],[Nome]]),Tabela3[Ações])</f>
        <v>291981934</v>
      </c>
      <c r="AE328" s="6">
        <f>Tabela3[Capital Social]/Tabela3[Total Ações]</f>
        <v>8.6585703403485237</v>
      </c>
      <c r="AF328" s="78">
        <f>Tabela3[[#This Row],[Lucro Líquido]]/Tabela3[[#This Row],[Total Ações]]</f>
        <v>8.5923124271106446E-2</v>
      </c>
      <c r="AG328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2.0406742014387781E-2</v>
      </c>
      <c r="AH328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28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28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2.0406742014387781E-2</v>
      </c>
      <c r="AK328" s="6">
        <f>Tabela3[Div Base]*Tabela3[Ações]</f>
        <v>5958400</v>
      </c>
      <c r="AL328" s="6">
        <f>SUMPRODUCT(N(Tabela3[Nome]=Tabela3[[#This Row],[Nome]]),Tabela3[Div Base]*Tabela3[Ações])</f>
        <v>5958400</v>
      </c>
      <c r="AM328" s="6">
        <f>Tabela3[Patrimônio Líquido]/Tabela3[Total Ações]</f>
        <v>9.9561981803983812</v>
      </c>
      <c r="AN328" s="48">
        <f>MAX(Tabela3[[#This Row],[Cotação 1]:[Cotação 5]])</f>
        <v>5.14</v>
      </c>
      <c r="AO328" s="44">
        <f>Tabela3[Cotação]/Tabela3[VPA]</f>
        <v>0.51626131851408474</v>
      </c>
      <c r="AP328" s="40">
        <f>IF(Tabela3[[#This Row],[Lucro/Ação]]&gt;0,Tabela3[[#This Row],[Cotação]]/(Tabela3[[#This Row],[Lucro/Ação]]/Tabela3[Ref]*4),0)</f>
        <v>44.865687004544</v>
      </c>
      <c r="AQ328" s="78">
        <f>Tabela3[Lucro Distribuir]/Tabela3[Total Ações]</f>
        <v>8.1626968057551125E-2</v>
      </c>
      <c r="AR328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2.0406742014387781E-2</v>
      </c>
      <c r="AS328" s="15" t="str">
        <f>IF(AND(Tabela3[% A.A.]&gt;=6%,SUMPRODUCT(N(Tabela3[Nome]=Tabela3[[#This Row],[Nome]]),Tabela3[PL])&gt;0,Tabela3[Rentabilidade s/ PL]&gt;=Tabela3[Rentabilidade s/ PL Média]),"Sim","Não")</f>
        <v>Não</v>
      </c>
      <c r="AT328" s="42">
        <f>IF(Tabela3[Cotação]&gt;0,Tabela3[[#This Row],[Lucro]]/Tabela3[[#This Row],[Cotação]],0)</f>
        <v>3.9701832712816694E-3</v>
      </c>
      <c r="AU328" s="19">
        <f>((1+Tabela3[[#This Row],[% Yield]])^(1/(3*Tabela3[[#This Row],[Ref]])))^(12)-1</f>
        <v>5.2970773554024131E-3</v>
      </c>
      <c r="AV328" s="14">
        <f>IF(Tabela3[Cotação]&gt;0,($BD$1/Tabela3[[#This Row],[Cotação]]-MOD($BD$1/Tabela3[[#This Row],[Cotação]],100)),)</f>
        <v>0</v>
      </c>
      <c r="AW328" s="17">
        <f>Tabela3[[#This Row],[Ativos]]*Tabela3[Lucro]</f>
        <v>0</v>
      </c>
      <c r="AX328" s="13">
        <f>SUMPRODUCT(N(Tabela1[Código]=Tabela3[[#This Row],[PAPEL]]),Tabela1[Fechamento])</f>
        <v>0</v>
      </c>
      <c r="AY328" s="55">
        <f>SUMPRODUCT(N(Tabela17[Código]=Tabela3[[#This Row],[PAPEL]]),Tabela17[Fechamento])</f>
        <v>5.14</v>
      </c>
      <c r="AZ328" s="7">
        <f>SUMPRODUCT(N(Tabela176[Código]=Tabela3[[#This Row],[PAPEL]]),Tabela176[Fechamento])</f>
        <v>0</v>
      </c>
      <c r="BA328" s="7">
        <f>SUMPRODUCT(N(Tabela1768[Código]=Tabela3[[#This Row],[PAPEL]]),Tabela1768[Fechamento])</f>
        <v>0</v>
      </c>
      <c r="BB328" s="7">
        <f>SUMPRODUCT(N(Tabela17683[Código]=Tabela3[[#This Row],[PAPEL]]),Tabela17683[Fechamento])</f>
        <v>0</v>
      </c>
    </row>
    <row r="329" spans="1:54" hidden="1" x14ac:dyDescent="0.2">
      <c r="A329" s="4" t="s">
        <v>643</v>
      </c>
      <c r="B329" s="57" t="s">
        <v>641</v>
      </c>
      <c r="C329" s="15" t="str">
        <f>LEFT(Tabela3[PAPEL],LEN(Tabela3[PAPEL])-(LEN(Tabela3[PAPEL])-4))</f>
        <v>PMAM</v>
      </c>
      <c r="D329" s="15">
        <v>3</v>
      </c>
      <c r="E329" s="6">
        <v>1382990468.48</v>
      </c>
      <c r="F329" s="8">
        <v>319176942</v>
      </c>
      <c r="G329" s="86">
        <v>0.25</v>
      </c>
      <c r="H329" s="15"/>
      <c r="I329" s="19"/>
      <c r="J329" s="19"/>
      <c r="K329" s="88"/>
      <c r="L329" s="88"/>
      <c r="M329" s="55"/>
      <c r="N329" s="55"/>
      <c r="O329" s="55"/>
      <c r="P329" s="92">
        <v>1448120000</v>
      </c>
      <c r="Q329" s="93">
        <v>11744000</v>
      </c>
      <c r="R329" s="93">
        <f>IF(Tabela3[[#This Row],[Ativo || Passivo]]&gt;0,Tabela3[[#This Row],[Ativo || Passivo]]-Tabela3[[#This Row],[Patrimônio Líquido]],0)</f>
        <v>0</v>
      </c>
      <c r="S329" s="93">
        <f>Tabela3[[#This Row],[Cotação]]*Tabela3[[#This Row],[Total Ações]]</f>
        <v>1164995838.3</v>
      </c>
      <c r="T329" s="40">
        <f>IF(Tabela3[[#This Row],[Passivo Circulante]]&gt;0,Tabela3[[#This Row],[Ativo Circulante]]/Tabela3[[#This Row],[Passivo Circulante]],0)</f>
        <v>0</v>
      </c>
      <c r="U329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29" s="19">
        <f>IF(Tabela3[[#This Row],[Lucro Líquido]]&gt;0,Tabela3[[#This Row],[Lucro Líquido]]/Tabela3[[#This Row],[Patrimônio Líquido]],0)</f>
        <v>8.1098251526116622E-3</v>
      </c>
      <c r="W329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29" s="19">
        <f>IF(Tabela3[[#This Row],[Dívida]]&gt;0,Tabela3[[#This Row],[Dívida]]/Tabela3[[#This Row],[Patrimônio Líquido]],0)</f>
        <v>0</v>
      </c>
      <c r="Y329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29" s="13">
        <f>Tabela3[[#This Row],[Capital Social]]*20%</f>
        <v>276598093.69600004</v>
      </c>
      <c r="AA329" s="13">
        <f>IF((Tabela3[Lucro Líquido]*5%)&gt;Tabela3[Teto R. Legal],Tabela3[Teto R. Legal],Tabela3[Lucro Líquido]*5%)</f>
        <v>587200</v>
      </c>
      <c r="AB329" s="13">
        <f>IF(Tabela3[Lucro Líquido]&lt;0,0,Tabela3[Lucro Líquido]-Tabela3[Reserva Legal])</f>
        <v>11156800</v>
      </c>
      <c r="AC329" s="13">
        <f>Tabela3[[#This Row],[Lucro Distribuir]]*Tabela3[%Div]</f>
        <v>2789200</v>
      </c>
      <c r="AD329" s="56">
        <f>SUMPRODUCT(N(Tabela3[Nome]=Tabela3[[#This Row],[Nome]]),Tabela3[Ações])</f>
        <v>319176942</v>
      </c>
      <c r="AE329" s="6">
        <f>Tabela3[Capital Social]/Tabela3[Total Ações]</f>
        <v>4.3329899077734755</v>
      </c>
      <c r="AF329" s="78">
        <f>Tabela3[[#This Row],[Lucro Líquido]]/Tabela3[[#This Row],[Total Ações]]</f>
        <v>3.6794637878321421E-2</v>
      </c>
      <c r="AG329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8.7387264961013376E-3</v>
      </c>
      <c r="AH329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29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29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8.7387264961013376E-3</v>
      </c>
      <c r="AK329" s="13">
        <f>Tabela3[Div Base]*Tabela3[Ações]</f>
        <v>2789200</v>
      </c>
      <c r="AL329" s="13">
        <f>SUMPRODUCT(N(Tabela3[Nome]=Tabela3[[#This Row],[Nome]]),Tabela3[Div Base]*Tabela3[Ações])</f>
        <v>2789200</v>
      </c>
      <c r="AM329" s="6">
        <f>Tabela3[Patrimônio Líquido]/Tabela3[Total Ações]</f>
        <v>4.5370445337495591</v>
      </c>
      <c r="AN329" s="48">
        <f>MAX(Tabela3[[#This Row],[Cotação 1]:[Cotação 5]])</f>
        <v>3.65</v>
      </c>
      <c r="AO329" s="44">
        <f>Tabela3[Cotação]/Tabela3[VPA]</f>
        <v>0.80448846663259943</v>
      </c>
      <c r="AP329" s="40">
        <f>IF(Tabela3[[#This Row],[Lucro/Ação]]&gt;0,Tabela3[[#This Row],[Cotação]]/(Tabela3[[#This Row],[Lucro/Ação]]/Tabela3[Ref]*4),0)</f>
        <v>74.399427684349462</v>
      </c>
      <c r="AQ329" s="78">
        <f>Tabela3[Lucro Distribuir]/Tabela3[Total Ações]</f>
        <v>3.495490598440535E-2</v>
      </c>
      <c r="AR329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8.7387264961013376E-3</v>
      </c>
      <c r="AS329" s="14" t="str">
        <f>IF(AND(Tabela3[% A.A.]&gt;=6%,SUMPRODUCT(N(Tabela3[Nome]=Tabela3[[#This Row],[Nome]]),Tabela3[PL])&gt;0,Tabela3[Rentabilidade s/ PL]&gt;=Tabela3[Rentabilidade s/ PL Média]),"Sim","Não")</f>
        <v>Não</v>
      </c>
      <c r="AT329" s="42">
        <f>IF(Tabela3[Cotação]&gt;0,Tabela3[[#This Row],[Lucro]]/Tabela3[[#This Row],[Cotação]],0)</f>
        <v>2.3941716427674899E-3</v>
      </c>
      <c r="AU329" s="42">
        <f>((1+Tabela3[[#This Row],[% Yield]])^(1/(3*Tabela3[[#This Row],[Ref]])))^(12)-1</f>
        <v>3.1935019706275103E-3</v>
      </c>
      <c r="AV329" s="14">
        <f>IF(Tabela3[Cotação]&gt;0,($BD$1/Tabela3[[#This Row],[Cotação]]-MOD($BD$1/Tabela3[[#This Row],[Cotação]],100)),)</f>
        <v>0</v>
      </c>
      <c r="AW329" s="17">
        <f>Tabela3[[#This Row],[Ativos]]*Tabela3[Lucro]</f>
        <v>0</v>
      </c>
      <c r="AX329" s="17">
        <f>SUMPRODUCT(N(Tabela1[Código]=Tabela3[[#This Row],[PAPEL]]),Tabela1[Fechamento])</f>
        <v>0</v>
      </c>
      <c r="AY329" s="17">
        <f>SUMPRODUCT(N(Tabela17[Código]=Tabela3[[#This Row],[PAPEL]]),Tabela17[Fechamento])</f>
        <v>0</v>
      </c>
      <c r="AZ329" s="17">
        <f>SUMPRODUCT(N(Tabela176[Código]=Tabela3[[#This Row],[PAPEL]]),Tabela176[Fechamento])</f>
        <v>3.65</v>
      </c>
      <c r="BA329" s="17">
        <f>SUMPRODUCT(N(Tabela1768[Código]=Tabela3[[#This Row],[PAPEL]]),Tabela1768[Fechamento])</f>
        <v>0</v>
      </c>
      <c r="BB329" s="7">
        <f>SUMPRODUCT(N(Tabela17683[Código]=Tabela3[[#This Row],[PAPEL]]),Tabela17683[Fechamento])</f>
        <v>0</v>
      </c>
    </row>
    <row r="330" spans="1:54" hidden="1" x14ac:dyDescent="0.2">
      <c r="A330" s="3" t="s">
        <v>1173</v>
      </c>
      <c r="B330" s="58" t="s">
        <v>1174</v>
      </c>
      <c r="C330" s="16" t="str">
        <f>LEFT(Tabela3[PAPEL],LEN(Tabela3[PAPEL])-(LEN(Tabela3[PAPEL])-4))</f>
        <v>ABRE</v>
      </c>
      <c r="D330" s="16">
        <v>3</v>
      </c>
      <c r="E330" s="5"/>
      <c r="F330" s="56"/>
      <c r="G330" s="81">
        <v>0.25</v>
      </c>
      <c r="H330" s="87"/>
      <c r="J330" s="18"/>
      <c r="K330" s="16">
        <v>1</v>
      </c>
      <c r="L330" s="87">
        <v>2</v>
      </c>
      <c r="M330" s="54"/>
      <c r="N330" s="54"/>
      <c r="O330" s="54"/>
      <c r="P330" s="91">
        <v>1533011000</v>
      </c>
      <c r="Q330" s="73">
        <v>12290000</v>
      </c>
      <c r="R330" s="73">
        <f>IF(Tabela3[[#This Row],[Ativo || Passivo]]&gt;0,Tabela3[[#This Row],[Ativo || Passivo]]-Tabela3[[#This Row],[Patrimônio Líquido]],0)</f>
        <v>0</v>
      </c>
      <c r="S330" s="73">
        <f>Tabela3[[#This Row],[Cotação]]*Tabela3[[#This Row],[Total Ações]]</f>
        <v>7187197979.0100002</v>
      </c>
      <c r="T330" s="37">
        <f>IF(Tabela3[[#This Row],[Passivo Circulante]]&gt;0,Tabela3[[#This Row],[Ativo Circulante]]/Tabela3[[#This Row],[Passivo Circulante]],0)</f>
        <v>0</v>
      </c>
      <c r="U330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30" s="18">
        <f>IF(Tabela3[[#This Row],[Lucro Líquido]]&gt;0,Tabela3[[#This Row],[Lucro Líquido]]/Tabela3[[#This Row],[Patrimônio Líquido]],0)</f>
        <v>8.0169026836728503E-3</v>
      </c>
      <c r="W330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30" s="18">
        <f>IF(Tabela3[[#This Row],[Dívida]]&gt;0,Tabela3[[#This Row],[Dívida]]/Tabela3[[#This Row],[Patrimônio Líquido]],0)</f>
        <v>0</v>
      </c>
      <c r="Y330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30" s="7">
        <f>Tabela3[[#This Row],[Capital Social]]*20%</f>
        <v>0</v>
      </c>
      <c r="AA330" s="47">
        <f>IF((Tabela3[Lucro Líquido]*5%)&gt;Tabela3[Teto R. Legal],Tabela3[Teto R. Legal],Tabela3[Lucro Líquido]*5%)</f>
        <v>0</v>
      </c>
      <c r="AB330" s="47">
        <f>IF(Tabela3[Lucro Líquido]&lt;0,0,Tabela3[Lucro Líquido]-Tabela3[Reserva Legal])</f>
        <v>12290000</v>
      </c>
      <c r="AC330" s="47">
        <f>Tabela3[[#This Row],[Lucro Distribuir]]*Tabela3[%Div]</f>
        <v>3072500</v>
      </c>
      <c r="AD330" s="56">
        <f>SUMPRODUCT(N(Tabela3[Nome]=Tabela3[[#This Row],[Nome]]),Tabela3[Ações])</f>
        <v>261257651</v>
      </c>
      <c r="AE330" s="85">
        <f>Tabela3[Capital Social]/Tabela3[Total Ações]</f>
        <v>0</v>
      </c>
      <c r="AF330" s="85">
        <f>Tabela3[[#This Row],[Lucro Líquido]]/Tabela3[[#This Row],[Total Ações]]</f>
        <v>4.7041684532331651E-2</v>
      </c>
      <c r="AG330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30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30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30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30" s="7">
        <f>Tabela3[Div Base]*Tabela3[Ações]</f>
        <v>0</v>
      </c>
      <c r="AL330" s="121">
        <f>SUMPRODUCT(N(Tabela3[Nome]=Tabela3[[#This Row],[Nome]]),Tabela3[Div Base]*Tabela3[Ações])</f>
        <v>2918875</v>
      </c>
      <c r="AM330" s="5">
        <f>Tabela3[Patrimônio Líquido]/Tabela3[Total Ações]</f>
        <v>5.8678128434983137</v>
      </c>
      <c r="AN330" s="52">
        <f>MAX(Tabela3[[#This Row],[Cotação 1]:[Cotação 5]])</f>
        <v>27.51</v>
      </c>
      <c r="AO330" s="53">
        <f>Tabela3[Cotação]/Tabela3[VPA]</f>
        <v>4.6882885895861151</v>
      </c>
      <c r="AP330" s="37">
        <f>IF(Tabela3[[#This Row],[Lucro/Ação]]&gt;0,Tabela3[[#This Row],[Cotação]]/(Tabela3[[#This Row],[Lucro/Ação]]/Tabela3[Ref]*4),0)</f>
        <v>438.60036487042305</v>
      </c>
      <c r="AQ330" s="85">
        <f>Tabela3[Lucro Distribuir]/Tabela3[Total Ações]</f>
        <v>4.7041684532331651E-2</v>
      </c>
      <c r="AR330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3.3517200229286302E-2</v>
      </c>
      <c r="AS330" s="10" t="str">
        <f>IF(AND(Tabela3[% A.A.]&gt;=6%,SUMPRODUCT(N(Tabela3[Nome]=Tabela3[[#This Row],[Nome]]),Tabela3[PL])&gt;0,Tabela3[Rentabilidade s/ PL]&gt;=Tabela3[Rentabilidade s/ PL Média]),"Sim","Não")</f>
        <v>Não</v>
      </c>
      <c r="AT330" s="22">
        <f>IF(Tabela3[Cotação]&gt;0,Tabela3[[#This Row],[Lucro]]/Tabela3[[#This Row],[Cotação]],0)</f>
        <v>1.2183642395233116E-3</v>
      </c>
      <c r="AU330" s="22">
        <f>((1+Tabela3[[#This Row],[% Yield]])^(1/(3*Tabela3[[#This Row],[Ref]])))^(12)-1</f>
        <v>1.6248154326361508E-3</v>
      </c>
      <c r="AV330" s="10">
        <f>IF(Tabela3[Cotação]&gt;0,($BH$1/Tabela3[[#This Row],[Cotação]]-MOD($BH$1/Tabela3[[#This Row],[Cotação]],100)),)</f>
        <v>0</v>
      </c>
      <c r="AW330" s="7">
        <f>Tabela3[[#This Row],[Ativos]]*Tabela3[Lucro]</f>
        <v>0</v>
      </c>
      <c r="AX330" s="7">
        <f>SUMPRODUCT(N(Tabela1[Código]=Tabela3[[#This Row],[PAPEL]]),Tabela1[Fechamento])</f>
        <v>0</v>
      </c>
      <c r="AY330" s="7">
        <f>SUMPRODUCT(N(Tabela17[Código]=Tabela3[[#This Row],[PAPEL]]),Tabela17[Fechamento])</f>
        <v>0</v>
      </c>
      <c r="AZ330" s="7">
        <f>SUMPRODUCT(N(Tabela176[Código]=Tabela3[[#This Row],[PAPEL]]),Tabela176[Fechamento])</f>
        <v>0</v>
      </c>
      <c r="BA330" s="7">
        <f>SUMPRODUCT(N(Tabela1768[Código]=Tabela3[[#This Row],[PAPEL]]),Tabela1768[Fechamento])</f>
        <v>27.51</v>
      </c>
      <c r="BB330" s="7">
        <f>SUMPRODUCT(N(Tabela17683[Código]=Tabela3[[#This Row],[PAPEL]]),Tabela17683[Fechamento])</f>
        <v>0</v>
      </c>
    </row>
    <row r="331" spans="1:54" hidden="1" x14ac:dyDescent="0.2">
      <c r="A331" s="3" t="s">
        <v>1173</v>
      </c>
      <c r="B331" s="58" t="s">
        <v>1175</v>
      </c>
      <c r="C331" s="16" t="str">
        <f>LEFT(Tabela3[PAPEL],LEN(Tabela3[PAPEL])-(LEN(Tabela3[PAPEL])-4))</f>
        <v>ABRE</v>
      </c>
      <c r="D331" s="16">
        <v>3</v>
      </c>
      <c r="E331" s="5">
        <v>852449068.54999995</v>
      </c>
      <c r="F331" s="56">
        <v>135799807</v>
      </c>
      <c r="G331" s="81">
        <v>0.25</v>
      </c>
      <c r="H331" s="87"/>
      <c r="J331" s="18"/>
      <c r="K331" s="16"/>
      <c r="L331" s="87"/>
      <c r="M331" s="54"/>
      <c r="N331" s="54"/>
      <c r="O331" s="54"/>
      <c r="P331" s="91">
        <v>1533011000</v>
      </c>
      <c r="Q331" s="73">
        <v>12290000</v>
      </c>
      <c r="R331" s="73">
        <f>IF(Tabela3[[#This Row],[Ativo || Passivo]]&gt;0,Tabela3[[#This Row],[Ativo || Passivo]]-Tabela3[[#This Row],[Patrimônio Líquido]],0)</f>
        <v>0</v>
      </c>
      <c r="S331" s="73">
        <f>Tabela3[[#This Row],[Cotação]]*Tabela3[[#This Row],[Total Ações]]</f>
        <v>0</v>
      </c>
      <c r="T331" s="37">
        <f>IF(Tabela3[[#This Row],[Passivo Circulante]]&gt;0,Tabela3[[#This Row],[Ativo Circulante]]/Tabela3[[#This Row],[Passivo Circulante]],0)</f>
        <v>0</v>
      </c>
      <c r="U331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31" s="18">
        <f>IF(Tabela3[[#This Row],[Lucro Líquido]]&gt;0,Tabela3[[#This Row],[Lucro Líquido]]/Tabela3[[#This Row],[Patrimônio Líquido]],0)</f>
        <v>8.0169026836728503E-3</v>
      </c>
      <c r="W331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31" s="18">
        <f>IF(Tabela3[[#This Row],[Dívida]]&gt;0,Tabela3[[#This Row],[Dívida]]/Tabela3[[#This Row],[Patrimônio Líquido]],0)</f>
        <v>0</v>
      </c>
      <c r="Y331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31" s="7">
        <f>Tabela3[[#This Row],[Capital Social]]*20%</f>
        <v>170489813.71000001</v>
      </c>
      <c r="AA331" s="47">
        <f>IF((Tabela3[Lucro Líquido]*5%)&gt;Tabela3[Teto R. Legal],Tabela3[Teto R. Legal],Tabela3[Lucro Líquido]*5%)</f>
        <v>614500</v>
      </c>
      <c r="AB331" s="47">
        <f>IF(Tabela3[Lucro Líquido]&lt;0,0,Tabela3[Lucro Líquido]-Tabela3[Reserva Legal])</f>
        <v>11675500</v>
      </c>
      <c r="AC331" s="47">
        <f>Tabela3[[#This Row],[Lucro Distribuir]]*Tabela3[%Div]</f>
        <v>2918875</v>
      </c>
      <c r="AD331" s="56">
        <f>SUMPRODUCT(N(Tabela3[Nome]=Tabela3[[#This Row],[Nome]]),Tabela3[Ações])</f>
        <v>261257651</v>
      </c>
      <c r="AE331" s="85">
        <f>Tabela3[Capital Social]/Tabela3[Total Ações]</f>
        <v>3.2628673850780352</v>
      </c>
      <c r="AF331" s="85">
        <f>Tabela3[[#This Row],[Lucro Líquido]]/Tabela3[[#This Row],[Total Ações]]</f>
        <v>4.7041684532331651E-2</v>
      </c>
      <c r="AG331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1.1172400076428767E-2</v>
      </c>
      <c r="AH331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31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31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1.1172400076428767E-2</v>
      </c>
      <c r="AK331" s="7">
        <f>Tabela3[Div Base]*Tabela3[Ações]</f>
        <v>1517209.7741058117</v>
      </c>
      <c r="AL331" s="121">
        <f>SUMPRODUCT(N(Tabela3[Nome]=Tabela3[[#This Row],[Nome]]),Tabela3[Div Base]*Tabela3[Ações])</f>
        <v>2918875</v>
      </c>
      <c r="AM331" s="5">
        <f>Tabela3[Patrimônio Líquido]/Tabela3[Total Ações]</f>
        <v>5.8678128434983137</v>
      </c>
      <c r="AN331" s="52">
        <f>MAX(Tabela3[[#This Row],[Cotação 1]:[Cotação 5]])</f>
        <v>0</v>
      </c>
      <c r="AO331" s="53">
        <f>Tabela3[Cotação]/Tabela3[VPA]</f>
        <v>0</v>
      </c>
      <c r="AP331" s="37">
        <f>IF(Tabela3[[#This Row],[Lucro/Ação]]&gt;0,Tabela3[[#This Row],[Cotação]]/(Tabela3[[#This Row],[Lucro/Ação]]/Tabela3[Ref]*4),0)</f>
        <v>0</v>
      </c>
      <c r="AQ331" s="85">
        <f>Tabela3[Lucro Distribuir]/Tabela3[Total Ações]</f>
        <v>4.4689600305715067E-2</v>
      </c>
      <c r="AR331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1.1172400076428767E-2</v>
      </c>
      <c r="AS331" s="10" t="str">
        <f>IF(AND(Tabela3[% A.A.]&gt;=6%,SUMPRODUCT(N(Tabela3[Nome]=Tabela3[[#This Row],[Nome]]),Tabela3[PL])&gt;0,Tabela3[Rentabilidade s/ PL]&gt;=Tabela3[Rentabilidade s/ PL Média]),"Sim","Não")</f>
        <v>Não</v>
      </c>
      <c r="AT331" s="22">
        <f>IF(Tabela3[Cotação]&gt;0,Tabela3[[#This Row],[Lucro]]/Tabela3[[#This Row],[Cotação]],0)</f>
        <v>0</v>
      </c>
      <c r="AU331" s="22">
        <f>((1+Tabela3[[#This Row],[% Yield]])^(1/(3*Tabela3[[#This Row],[Ref]])))^(12)-1</f>
        <v>0</v>
      </c>
      <c r="AV331" s="10">
        <f>IF(Tabela3[Cotação]&gt;0,($BH$1/Tabela3[[#This Row],[Cotação]]-MOD($BH$1/Tabela3[[#This Row],[Cotação]],100)),)</f>
        <v>0</v>
      </c>
      <c r="AW331" s="7">
        <f>Tabela3[[#This Row],[Ativos]]*Tabela3[Lucro]</f>
        <v>0</v>
      </c>
      <c r="AX331" s="7">
        <f>SUMPRODUCT(N(Tabela1[Código]=Tabela3[[#This Row],[PAPEL]]),Tabela1[Fechamento])</f>
        <v>0</v>
      </c>
      <c r="AY331" s="7">
        <f>SUMPRODUCT(N(Tabela17[Código]=Tabela3[[#This Row],[PAPEL]]),Tabela17[Fechamento])</f>
        <v>0</v>
      </c>
      <c r="AZ331" s="7">
        <f>SUMPRODUCT(N(Tabela176[Código]=Tabela3[[#This Row],[PAPEL]]),Tabela176[Fechamento])</f>
        <v>0</v>
      </c>
      <c r="BA331" s="7">
        <f>SUMPRODUCT(N(Tabela1768[Código]=Tabela3[[#This Row],[PAPEL]]),Tabela1768[Fechamento])</f>
        <v>0</v>
      </c>
      <c r="BB331" s="7">
        <f>SUMPRODUCT(N(Tabela17683[Código]=Tabela3[[#This Row],[PAPEL]]),Tabela17683[Fechamento])</f>
        <v>0</v>
      </c>
    </row>
    <row r="332" spans="1:54" hidden="1" x14ac:dyDescent="0.2">
      <c r="A332" s="3" t="s">
        <v>1173</v>
      </c>
      <c r="B332" s="58" t="s">
        <v>1176</v>
      </c>
      <c r="C332" s="16" t="str">
        <f>LEFT(Tabela3[PAPEL],LEN(Tabela3[PAPEL])-(LEN(Tabela3[PAPEL])-4))</f>
        <v>ABRE</v>
      </c>
      <c r="D332" s="16">
        <v>3</v>
      </c>
      <c r="E332" s="5">
        <v>852449068.54999995</v>
      </c>
      <c r="F332" s="56">
        <v>125457844</v>
      </c>
      <c r="G332" s="81">
        <v>0.25</v>
      </c>
      <c r="H332" s="87"/>
      <c r="J332" s="18"/>
      <c r="K332" s="16"/>
      <c r="L332" s="87"/>
      <c r="M332" s="54"/>
      <c r="N332" s="54"/>
      <c r="O332" s="54"/>
      <c r="P332" s="91">
        <v>1533011000</v>
      </c>
      <c r="Q332" s="73">
        <v>12290000</v>
      </c>
      <c r="R332" s="73">
        <f>IF(Tabela3[[#This Row],[Ativo || Passivo]]&gt;0,Tabela3[[#This Row],[Ativo || Passivo]]-Tabela3[[#This Row],[Patrimônio Líquido]],0)</f>
        <v>0</v>
      </c>
      <c r="S332" s="73">
        <f>Tabela3[[#This Row],[Cotação]]*Tabela3[[#This Row],[Total Ações]]</f>
        <v>0</v>
      </c>
      <c r="T332" s="37">
        <f>IF(Tabela3[[#This Row],[Passivo Circulante]]&gt;0,Tabela3[[#This Row],[Ativo Circulante]]/Tabela3[[#This Row],[Passivo Circulante]],0)</f>
        <v>0</v>
      </c>
      <c r="U332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32" s="18">
        <f>IF(Tabela3[[#This Row],[Lucro Líquido]]&gt;0,Tabela3[[#This Row],[Lucro Líquido]]/Tabela3[[#This Row],[Patrimônio Líquido]],0)</f>
        <v>8.0169026836728503E-3</v>
      </c>
      <c r="W332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32" s="18">
        <f>IF(Tabela3[[#This Row],[Dívida]]&gt;0,Tabela3[[#This Row],[Dívida]]/Tabela3[[#This Row],[Patrimônio Líquido]],0)</f>
        <v>0</v>
      </c>
      <c r="Y332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32" s="7">
        <f>Tabela3[[#This Row],[Capital Social]]*20%</f>
        <v>170489813.71000001</v>
      </c>
      <c r="AA332" s="47">
        <f>IF((Tabela3[Lucro Líquido]*5%)&gt;Tabela3[Teto R. Legal],Tabela3[Teto R. Legal],Tabela3[Lucro Líquido]*5%)</f>
        <v>614500</v>
      </c>
      <c r="AB332" s="47">
        <f>IF(Tabela3[Lucro Líquido]&lt;0,0,Tabela3[Lucro Líquido]-Tabela3[Reserva Legal])</f>
        <v>11675500</v>
      </c>
      <c r="AC332" s="47">
        <f>Tabela3[[#This Row],[Lucro Distribuir]]*Tabela3[%Div]</f>
        <v>2918875</v>
      </c>
      <c r="AD332" s="56">
        <f>SUMPRODUCT(N(Tabela3[Nome]=Tabela3[[#This Row],[Nome]]),Tabela3[Ações])</f>
        <v>261257651</v>
      </c>
      <c r="AE332" s="85">
        <f>Tabela3[Capital Social]/Tabela3[Total Ações]</f>
        <v>3.2628673850780352</v>
      </c>
      <c r="AF332" s="85">
        <f>Tabela3[[#This Row],[Lucro Líquido]]/Tabela3[[#This Row],[Total Ações]]</f>
        <v>4.7041684532331651E-2</v>
      </c>
      <c r="AG332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1.1172400076428767E-2</v>
      </c>
      <c r="AH332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32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32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1.1172400076428767E-2</v>
      </c>
      <c r="AK332" s="7">
        <f>Tabela3[Div Base]*Tabela3[Ações]</f>
        <v>1401665.2258941883</v>
      </c>
      <c r="AL332" s="121">
        <f>SUMPRODUCT(N(Tabela3[Nome]=Tabela3[[#This Row],[Nome]]),Tabela3[Div Base]*Tabela3[Ações])</f>
        <v>2918875</v>
      </c>
      <c r="AM332" s="5">
        <f>Tabela3[Patrimônio Líquido]/Tabela3[Total Ações]</f>
        <v>5.8678128434983137</v>
      </c>
      <c r="AN332" s="52">
        <f>MAX(Tabela3[[#This Row],[Cotação 1]:[Cotação 5]])</f>
        <v>0</v>
      </c>
      <c r="AO332" s="53">
        <f>Tabela3[Cotação]/Tabela3[VPA]</f>
        <v>0</v>
      </c>
      <c r="AP332" s="37">
        <f>IF(Tabela3[[#This Row],[Lucro/Ação]]&gt;0,Tabela3[[#This Row],[Cotação]]/(Tabela3[[#This Row],[Lucro/Ação]]/Tabela3[Ref]*4),0)</f>
        <v>0</v>
      </c>
      <c r="AQ332" s="85">
        <f>Tabela3[Lucro Distribuir]/Tabela3[Total Ações]</f>
        <v>4.4689600305715067E-2</v>
      </c>
      <c r="AR332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1.1172400076428767E-2</v>
      </c>
      <c r="AS332" s="10" t="str">
        <f>IF(AND(Tabela3[% A.A.]&gt;=6%,SUMPRODUCT(N(Tabela3[Nome]=Tabela3[[#This Row],[Nome]]),Tabela3[PL])&gt;0,Tabela3[Rentabilidade s/ PL]&gt;=Tabela3[Rentabilidade s/ PL Média]),"Sim","Não")</f>
        <v>Não</v>
      </c>
      <c r="AT332" s="22">
        <f>IF(Tabela3[Cotação]&gt;0,Tabela3[[#This Row],[Lucro]]/Tabela3[[#This Row],[Cotação]],0)</f>
        <v>0</v>
      </c>
      <c r="AU332" s="22">
        <f>((1+Tabela3[[#This Row],[% Yield]])^(1/(3*Tabela3[[#This Row],[Ref]])))^(12)-1</f>
        <v>0</v>
      </c>
      <c r="AV332" s="10">
        <f>IF(Tabela3[Cotação]&gt;0,($BH$1/Tabela3[[#This Row],[Cotação]]-MOD($BH$1/Tabela3[[#This Row],[Cotação]],100)),)</f>
        <v>0</v>
      </c>
      <c r="AW332" s="7">
        <f>Tabela3[[#This Row],[Ativos]]*Tabela3[Lucro]</f>
        <v>0</v>
      </c>
      <c r="AX332" s="7">
        <f>SUMPRODUCT(N(Tabela1[Código]=Tabela3[[#This Row],[PAPEL]]),Tabela1[Fechamento])</f>
        <v>0</v>
      </c>
      <c r="AY332" s="7">
        <f>SUMPRODUCT(N(Tabela17[Código]=Tabela3[[#This Row],[PAPEL]]),Tabela17[Fechamento])</f>
        <v>0</v>
      </c>
      <c r="AZ332" s="7">
        <f>SUMPRODUCT(N(Tabela176[Código]=Tabela3[[#This Row],[PAPEL]]),Tabela176[Fechamento])</f>
        <v>0</v>
      </c>
      <c r="BA332" s="7">
        <f>SUMPRODUCT(N(Tabela1768[Código]=Tabela3[[#This Row],[PAPEL]]),Tabela1768[Fechamento])</f>
        <v>0</v>
      </c>
      <c r="BB332" s="7">
        <f>SUMPRODUCT(N(Tabela17683[Código]=Tabela3[[#This Row],[PAPEL]]),Tabela17683[Fechamento])</f>
        <v>0</v>
      </c>
    </row>
    <row r="333" spans="1:54" hidden="1" x14ac:dyDescent="0.2">
      <c r="A333" s="3" t="s">
        <v>1154</v>
      </c>
      <c r="B333" s="58" t="s">
        <v>1156</v>
      </c>
      <c r="C333" s="16" t="str">
        <f>LEFT(Tabela3[PAPEL],LEN(Tabela3[PAPEL])-(LEN(Tabela3[PAPEL])-4))</f>
        <v>TECN</v>
      </c>
      <c r="D333" s="16">
        <v>3</v>
      </c>
      <c r="E333" s="5">
        <v>126331859.86</v>
      </c>
      <c r="F333" s="56">
        <v>77636196</v>
      </c>
      <c r="G333" s="81">
        <v>0.25</v>
      </c>
      <c r="H333" s="87"/>
      <c r="J333" s="18"/>
      <c r="K333" s="16"/>
      <c r="L333" s="87"/>
      <c r="M333" s="54"/>
      <c r="N333" s="54"/>
      <c r="O333" s="54"/>
      <c r="P333" s="91">
        <v>417585000</v>
      </c>
      <c r="Q333" s="73">
        <v>2518000</v>
      </c>
      <c r="R333" s="73">
        <f>IF(Tabela3[[#This Row],[Ativo || Passivo]]&gt;0,Tabela3[[#This Row],[Ativo || Passivo]]-Tabela3[[#This Row],[Patrimônio Líquido]],0)</f>
        <v>0</v>
      </c>
      <c r="S333" s="73">
        <f>Tabela3[[#This Row],[Cotação]]*Tabela3[[#This Row],[Total Ações]]</f>
        <v>1098552173.4000001</v>
      </c>
      <c r="T333" s="37">
        <f>IF(Tabela3[[#This Row],[Passivo Circulante]]&gt;0,Tabela3[[#This Row],[Ativo Circulante]]/Tabela3[[#This Row],[Passivo Circulante]],0)</f>
        <v>0</v>
      </c>
      <c r="U333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33" s="18">
        <f>IF(Tabela3[[#This Row],[Lucro Líquido]]&gt;0,Tabela3[[#This Row],[Lucro Líquido]]/Tabela3[[#This Row],[Patrimônio Líquido]],0)</f>
        <v>6.0299100781876745E-3</v>
      </c>
      <c r="W333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33" s="18">
        <f>IF(Tabela3[[#This Row],[Dívida]]&gt;0,Tabela3[[#This Row],[Dívida]]/Tabela3[[#This Row],[Patrimônio Líquido]],0)</f>
        <v>0</v>
      </c>
      <c r="Y333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33" s="7">
        <f>Tabela3[[#This Row],[Capital Social]]*20%</f>
        <v>25266371.972000003</v>
      </c>
      <c r="AA333" s="47">
        <f>IF((Tabela3[Lucro Líquido]*5%)&gt;Tabela3[Teto R. Legal],Tabela3[Teto R. Legal],Tabela3[Lucro Líquido]*5%)</f>
        <v>125900</v>
      </c>
      <c r="AB333" s="47">
        <f>IF(Tabela3[Lucro Líquido]&lt;0,0,Tabela3[Lucro Líquido]-Tabela3[Reserva Legal])</f>
        <v>2392100</v>
      </c>
      <c r="AC333" s="47">
        <f>Tabela3[[#This Row],[Lucro Distribuir]]*Tabela3[%Div]</f>
        <v>598025</v>
      </c>
      <c r="AD333" s="56">
        <f>SUMPRODUCT(N(Tabela3[Nome]=Tabela3[[#This Row],[Nome]]),Tabela3[Ações])</f>
        <v>77636196</v>
      </c>
      <c r="AE333" s="85">
        <f>Tabela3[Capital Social]/Tabela3[Total Ações]</f>
        <v>1.62722887478928</v>
      </c>
      <c r="AF333" s="85">
        <f>Tabela3[[#This Row],[Lucro Líquido]]/Tabela3[[#This Row],[Total Ações]]</f>
        <v>3.243332530099749E-2</v>
      </c>
      <c r="AG333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7.7029147589869036E-3</v>
      </c>
      <c r="AH333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33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33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7.7029147589869036E-3</v>
      </c>
      <c r="AK333" s="7">
        <f>Tabela3[Div Base]*Tabela3[Ações]</f>
        <v>598025</v>
      </c>
      <c r="AL333" s="7">
        <f>SUMPRODUCT(N(Tabela3[Nome]=Tabela3[[#This Row],[Nome]]),Tabela3[Div Base]*Tabela3[Ações])</f>
        <v>598025</v>
      </c>
      <c r="AM333" s="5">
        <f>Tabela3[Patrimônio Líquido]/Tabela3[Total Ações]</f>
        <v>5.3787411222466384</v>
      </c>
      <c r="AN333" s="52">
        <f>MAX(Tabela3[[#This Row],[Cotação 1]:[Cotação 5]])</f>
        <v>14.15</v>
      </c>
      <c r="AO333" s="53">
        <f>Tabela3[Cotação]/Tabela3[VPA]</f>
        <v>2.6307270936456053</v>
      </c>
      <c r="AP333" s="37">
        <f>IF(Tabela3[[#This Row],[Lucro/Ação]]&gt;0,Tabela3[[#This Row],[Cotação]]/(Tabela3[[#This Row],[Lucro/Ação]]/Tabela3[Ref]*4),0)</f>
        <v>327.20974187847497</v>
      </c>
      <c r="AQ333" s="85">
        <f>Tabela3[Lucro Distribuir]/Tabela3[Total Ações]</f>
        <v>3.0811659035947615E-2</v>
      </c>
      <c r="AR333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7.7029147589869036E-3</v>
      </c>
      <c r="AS333" s="10" t="str">
        <f>IF(AND(Tabela3[% A.A.]&gt;=6%,SUMPRODUCT(N(Tabela3[Nome]=Tabela3[[#This Row],[Nome]]),Tabela3[PL])&gt;0,Tabela3[Rentabilidade s/ PL]&gt;=Tabela3[Rentabilidade s/ PL Média]),"Sim","Não")</f>
        <v>Não</v>
      </c>
      <c r="AT333" s="22">
        <f>IF(Tabela3[Cotação]&gt;0,Tabela3[[#This Row],[Lucro]]/Tabela3[[#This Row],[Cotação]],0)</f>
        <v>5.4437560134183065E-4</v>
      </c>
      <c r="AU333" s="22">
        <f>((1+Tabela3[[#This Row],[% Yield]])^(1/(3*Tabela3[[#This Row],[Ref]])))^(12)-1</f>
        <v>7.2589998155780933E-4</v>
      </c>
      <c r="AV333" s="10">
        <f>IF(Tabela3[Cotação]&gt;0,($BD$1/Tabela3[[#This Row],[Cotação]]-MOD($BD$1/Tabela3[[#This Row],[Cotação]],100)),)</f>
        <v>0</v>
      </c>
      <c r="AW333" s="7">
        <f>Tabela3[[#This Row],[Ativos]]*Tabela3[Lucro]</f>
        <v>0</v>
      </c>
      <c r="AX333" s="7">
        <f>SUMPRODUCT(N(Tabela1[Código]=Tabela3[[#This Row],[PAPEL]]),Tabela1[Fechamento])</f>
        <v>0</v>
      </c>
      <c r="AY333" s="7">
        <f>SUMPRODUCT(N(Tabela17[Código]=Tabela3[[#This Row],[PAPEL]]),Tabela17[Fechamento])</f>
        <v>0</v>
      </c>
      <c r="AZ333" s="7">
        <f>SUMPRODUCT(N(Tabela176[Código]=Tabela3[[#This Row],[PAPEL]]),Tabela176[Fechamento])</f>
        <v>0</v>
      </c>
      <c r="BA333" s="7">
        <f>SUMPRODUCT(N(Tabela1768[Código]=Tabela3[[#This Row],[PAPEL]]),Tabela1768[Fechamento])</f>
        <v>14.15</v>
      </c>
      <c r="BB333" s="7">
        <f>SUMPRODUCT(N(Tabela17683[Código]=Tabela3[[#This Row],[PAPEL]]),Tabela17683[Fechamento])</f>
        <v>0</v>
      </c>
    </row>
    <row r="334" spans="1:54" hidden="1" x14ac:dyDescent="0.2">
      <c r="A334" s="4" t="s">
        <v>12</v>
      </c>
      <c r="B334" s="57" t="s">
        <v>516</v>
      </c>
      <c r="C334" s="15" t="str">
        <f>LEFT(Tabela3[PAPEL],LEN(Tabela3[PAPEL])-(LEN(Tabela3[PAPEL])-4))</f>
        <v>RNEW</v>
      </c>
      <c r="D334" s="15">
        <v>4</v>
      </c>
      <c r="E334" s="5">
        <v>1017569849.21</v>
      </c>
      <c r="F334" s="8">
        <v>156508015</v>
      </c>
      <c r="G334" s="86">
        <v>0.25</v>
      </c>
      <c r="H334" s="15"/>
      <c r="I334" s="19"/>
      <c r="J334" s="19"/>
      <c r="K334" s="88"/>
      <c r="L334" s="88"/>
      <c r="M334" s="55"/>
      <c r="N334" s="55"/>
      <c r="O334" s="55"/>
      <c r="P334" s="91">
        <v>1000600000</v>
      </c>
      <c r="Q334" s="73">
        <v>5528000</v>
      </c>
      <c r="R334" s="73">
        <f>IF(Tabela3[[#This Row],[Ativo || Passivo]]&gt;0,Tabela3[[#This Row],[Ativo || Passivo]]-Tabela3[[#This Row],[Patrimônio Líquido]],0)</f>
        <v>0</v>
      </c>
      <c r="S334" s="73">
        <f>Tabela3[[#This Row],[Cotação]]*Tabela3[[#This Row],[Total Ações]]</f>
        <v>5152713776</v>
      </c>
      <c r="T334" s="37">
        <f>IF(Tabela3[[#This Row],[Passivo Circulante]]&gt;0,Tabela3[[#This Row],[Ativo Circulante]]/Tabela3[[#This Row],[Passivo Circulante]],0)</f>
        <v>0</v>
      </c>
      <c r="U334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34" s="18">
        <f>IF(Tabela3[[#This Row],[Lucro Líquido]]&gt;0,Tabela3[[#This Row],[Lucro Líquido]]/Tabela3[[#This Row],[Patrimônio Líquido]],0)</f>
        <v>5.5246851888866681E-3</v>
      </c>
      <c r="W334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34" s="18">
        <f>IF(Tabela3[[#This Row],[Dívida]]&gt;0,Tabela3[[#This Row],[Dívida]]/Tabela3[[#This Row],[Patrimônio Líquido]],0)</f>
        <v>0</v>
      </c>
      <c r="Y334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34" s="13">
        <f>Tabela3[[#This Row],[Capital Social]]*20%</f>
        <v>203513969.84200001</v>
      </c>
      <c r="AA334" s="13">
        <f>IF((Tabela3[Lucro Líquido]*5%)&gt;Tabela3[Teto R. Legal],Tabela3[Teto R. Legal],Tabela3[Lucro Líquido]*5%)</f>
        <v>276400</v>
      </c>
      <c r="AB334" s="13">
        <f>IF(Tabela3[Lucro Líquido]&lt;0,0,Tabela3[Lucro Líquido]-Tabela3[Reserva Legal])</f>
        <v>5251600</v>
      </c>
      <c r="AC334" s="13">
        <f>Tabela3[[#This Row],[Lucro Distribuir]]*Tabela3[%Div]</f>
        <v>1312900</v>
      </c>
      <c r="AD334" s="56">
        <f>SUMPRODUCT(N(Tabela3[Nome]=Tabela3[[#This Row],[Nome]]),Tabela3[Ações])</f>
        <v>230031865</v>
      </c>
      <c r="AE334" s="6">
        <f>Tabela3[Capital Social]/Tabela3[Total Ações]</f>
        <v>4.4236038742284682</v>
      </c>
      <c r="AF334" s="78">
        <f>Tabela3[[#This Row],[Lucro Líquido]]/Tabela3[[#This Row],[Total Ações]]</f>
        <v>2.403145320758061E-2</v>
      </c>
      <c r="AG334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5.7074701368003949E-3</v>
      </c>
      <c r="AH334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34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34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5.7074701368003949E-3</v>
      </c>
      <c r="AK334" s="13">
        <f>Tabela3[Div Base]*Tabela3[Ações]</f>
        <v>893264.82178240828</v>
      </c>
      <c r="AL334" s="13">
        <f>SUMPRODUCT(N(Tabela3[Nome]=Tabela3[[#This Row],[Nome]]),Tabela3[Div Base]*Tabela3[Ações])</f>
        <v>1312900</v>
      </c>
      <c r="AM334" s="6">
        <f>Tabela3[Patrimônio Líquido]/Tabela3[Total Ações]</f>
        <v>4.3498321417339287</v>
      </c>
      <c r="AN334" s="48">
        <f>MAX(Tabela3[[#This Row],[Cotação 1]:[Cotação 5]])</f>
        <v>22.4</v>
      </c>
      <c r="AO334" s="44">
        <f>Tabela3[Cotação]/Tabela3[VPA]</f>
        <v>5.1496240015990402</v>
      </c>
      <c r="AP334" s="40">
        <f>IF(Tabela3[[#This Row],[Lucro/Ação]]&gt;0,Tabela3[[#This Row],[Cotação]]/(Tabela3[[#This Row],[Lucro/Ação]]/Tabela3[Ref]*4),0)</f>
        <v>932.11175397973943</v>
      </c>
      <c r="AQ334" s="78">
        <f>Tabela3[Lucro Distribuir]/Tabela3[Total Ações]</f>
        <v>2.2829880547201579E-2</v>
      </c>
      <c r="AR334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5.7074701368003949E-3</v>
      </c>
      <c r="AS334" s="14" t="str">
        <f>IF(AND(Tabela3[% A.A.]&gt;=6%,SUMPRODUCT(N(Tabela3[Nome]=Tabela3[[#This Row],[Nome]]),Tabela3[PL])&gt;0,Tabela3[Rentabilidade s/ PL]&gt;=Tabela3[Rentabilidade s/ PL Média]),"Sim","Não")</f>
        <v>Não</v>
      </c>
      <c r="AT334" s="42">
        <f>IF(Tabela3[Cotação]&gt;0,Tabela3[[#This Row],[Lucro]]/Tabela3[[#This Row],[Cotação]],0)</f>
        <v>2.5479777396430337E-4</v>
      </c>
      <c r="AU334" s="42">
        <f>((1+Tabela3[[#This Row],[% Yield]])^(1/(3*Tabela3[[#This Row],[Ref]])))^(12)-1</f>
        <v>2.5479777396442138E-4</v>
      </c>
      <c r="AV334" s="14">
        <f>IF(Tabela3[Cotação]&gt;0,($BD$1/Tabela3[[#This Row],[Cotação]]-MOD($BD$1/Tabela3[[#This Row],[Cotação]],100)),)</f>
        <v>0</v>
      </c>
      <c r="AW334" s="17">
        <f>Tabela3[[#This Row],[Ativos]]*Tabela3[Lucro]</f>
        <v>0</v>
      </c>
      <c r="AX334" s="17">
        <f>SUMPRODUCT(N(Tabela1[Código]=Tabela3[[#This Row],[PAPEL]]),Tabela1[Fechamento])</f>
        <v>0</v>
      </c>
      <c r="AY334" s="17">
        <f>SUMPRODUCT(N(Tabela17[Código]=Tabela3[[#This Row],[PAPEL]]),Tabela17[Fechamento])</f>
        <v>22.4</v>
      </c>
      <c r="AZ334" s="7">
        <f>SUMPRODUCT(N(Tabela176[Código]=Tabela3[[#This Row],[PAPEL]]),Tabela176[Fechamento])</f>
        <v>0</v>
      </c>
      <c r="BA334" s="7">
        <f>SUMPRODUCT(N(Tabela1768[Código]=Tabela3[[#This Row],[PAPEL]]),Tabela1768[Fechamento])</f>
        <v>0</v>
      </c>
      <c r="BB334" s="7">
        <f>SUMPRODUCT(N(Tabela17683[Código]=Tabela3[[#This Row],[PAPEL]]),Tabela17683[Fechamento])</f>
        <v>0</v>
      </c>
    </row>
    <row r="335" spans="1:54" hidden="1" x14ac:dyDescent="0.2">
      <c r="A335" s="4" t="s">
        <v>12</v>
      </c>
      <c r="B335" s="57" t="s">
        <v>517</v>
      </c>
      <c r="C335" s="15" t="str">
        <f>LEFT(Tabela3[PAPEL],LEN(Tabela3[PAPEL])-(LEN(Tabela3[PAPEL])-4))</f>
        <v>RNEW</v>
      </c>
      <c r="D335" s="15">
        <v>4</v>
      </c>
      <c r="E335" s="5">
        <v>1017569849.21</v>
      </c>
      <c r="F335" s="8">
        <v>73523850</v>
      </c>
      <c r="G335" s="86">
        <v>0.25</v>
      </c>
      <c r="H335" s="15"/>
      <c r="I335" s="19"/>
      <c r="J335" s="19"/>
      <c r="K335" s="88"/>
      <c r="L335" s="88"/>
      <c r="M335" s="55"/>
      <c r="N335" s="55"/>
      <c r="O335" s="55"/>
      <c r="P335" s="91">
        <v>1000600000</v>
      </c>
      <c r="Q335" s="73">
        <v>5528000</v>
      </c>
      <c r="R335" s="73">
        <f>IF(Tabela3[[#This Row],[Ativo || Passivo]]&gt;0,Tabela3[[#This Row],[Ativo || Passivo]]-Tabela3[[#This Row],[Patrimônio Líquido]],0)</f>
        <v>0</v>
      </c>
      <c r="S335" s="73">
        <f>Tabela3[[#This Row],[Cotação]]*Tabela3[[#This Row],[Total Ações]]</f>
        <v>0</v>
      </c>
      <c r="T335" s="37">
        <f>IF(Tabela3[[#This Row],[Passivo Circulante]]&gt;0,Tabela3[[#This Row],[Ativo Circulante]]/Tabela3[[#This Row],[Passivo Circulante]],0)</f>
        <v>0</v>
      </c>
      <c r="U335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35" s="18">
        <f>IF(Tabela3[[#This Row],[Lucro Líquido]]&gt;0,Tabela3[[#This Row],[Lucro Líquido]]/Tabela3[[#This Row],[Patrimônio Líquido]],0)</f>
        <v>5.5246851888866681E-3</v>
      </c>
      <c r="W335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35" s="18">
        <f>IF(Tabela3[[#This Row],[Dívida]]&gt;0,Tabela3[[#This Row],[Dívida]]/Tabela3[[#This Row],[Patrimônio Líquido]],0)</f>
        <v>0</v>
      </c>
      <c r="Y335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35" s="13">
        <f>Tabela3[[#This Row],[Capital Social]]*20%</f>
        <v>203513969.84200001</v>
      </c>
      <c r="AA335" s="13">
        <f>IF((Tabela3[Lucro Líquido]*5%)&gt;Tabela3[Teto R. Legal],Tabela3[Teto R. Legal],Tabela3[Lucro Líquido]*5%)</f>
        <v>276400</v>
      </c>
      <c r="AB335" s="13">
        <f>IF(Tabela3[Lucro Líquido]&lt;0,0,Tabela3[Lucro Líquido]-Tabela3[Reserva Legal])</f>
        <v>5251600</v>
      </c>
      <c r="AC335" s="13">
        <f>Tabela3[[#This Row],[Lucro Distribuir]]*Tabela3[%Div]</f>
        <v>1312900</v>
      </c>
      <c r="AD335" s="56">
        <f>SUMPRODUCT(N(Tabela3[Nome]=Tabela3[[#This Row],[Nome]]),Tabela3[Ações])</f>
        <v>230031865</v>
      </c>
      <c r="AE335" s="6">
        <f>Tabela3[Capital Social]/Tabela3[Total Ações]</f>
        <v>4.4236038742284682</v>
      </c>
      <c r="AF335" s="78">
        <f>Tabela3[[#This Row],[Lucro Líquido]]/Tabela3[[#This Row],[Total Ações]]</f>
        <v>2.403145320758061E-2</v>
      </c>
      <c r="AG335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5.7074701368003949E-3</v>
      </c>
      <c r="AH335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35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35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5.7074701368003949E-3</v>
      </c>
      <c r="AK335" s="13">
        <f>Tabela3[Div Base]*Tabela3[Ações]</f>
        <v>419635.17821759172</v>
      </c>
      <c r="AL335" s="13">
        <f>SUMPRODUCT(N(Tabela3[Nome]=Tabela3[[#This Row],[Nome]]),Tabela3[Div Base]*Tabela3[Ações])</f>
        <v>1312900</v>
      </c>
      <c r="AM335" s="6">
        <f>Tabela3[Patrimônio Líquido]/Tabela3[Total Ações]</f>
        <v>4.3498321417339287</v>
      </c>
      <c r="AN335" s="48">
        <f>MAX(Tabela3[[#This Row],[Cotação 1]:[Cotação 5]])</f>
        <v>0</v>
      </c>
      <c r="AO335" s="44">
        <f>Tabela3[Cotação]/Tabela3[VPA]</f>
        <v>0</v>
      </c>
      <c r="AP335" s="40">
        <f>IF(Tabela3[[#This Row],[Lucro/Ação]]&gt;0,Tabela3[[#This Row],[Cotação]]/(Tabela3[[#This Row],[Lucro/Ação]]/Tabela3[Ref]*4),0)</f>
        <v>0</v>
      </c>
      <c r="AQ335" s="78">
        <f>Tabela3[Lucro Distribuir]/Tabela3[Total Ações]</f>
        <v>2.2829880547201579E-2</v>
      </c>
      <c r="AR335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5.7074701368003949E-3</v>
      </c>
      <c r="AS335" s="14" t="str">
        <f>IF(AND(Tabela3[% A.A.]&gt;=6%,SUMPRODUCT(N(Tabela3[Nome]=Tabela3[[#This Row],[Nome]]),Tabela3[PL])&gt;0,Tabela3[Rentabilidade s/ PL]&gt;=Tabela3[Rentabilidade s/ PL Média]),"Sim","Não")</f>
        <v>Não</v>
      </c>
      <c r="AT335" s="42">
        <f>IF(Tabela3[Cotação]&gt;0,Tabela3[[#This Row],[Lucro]]/Tabela3[[#This Row],[Cotação]],0)</f>
        <v>0</v>
      </c>
      <c r="AU335" s="42">
        <f>((1+Tabela3[[#This Row],[% Yield]])^(1/(3*Tabela3[[#This Row],[Ref]])))^(12)-1</f>
        <v>0</v>
      </c>
      <c r="AV335" s="14">
        <f>IF(Tabela3[Cotação]&gt;0,($BD$1/Tabela3[[#This Row],[Cotação]]-MOD($BD$1/Tabela3[[#This Row],[Cotação]],100)),)</f>
        <v>0</v>
      </c>
      <c r="AW335" s="17">
        <f>Tabela3[[#This Row],[Ativos]]*Tabela3[Lucro]</f>
        <v>0</v>
      </c>
      <c r="AX335" s="17">
        <f>SUMPRODUCT(N(Tabela1[Código]=Tabela3[[#This Row],[PAPEL]]),Tabela1[Fechamento])</f>
        <v>0</v>
      </c>
      <c r="AY335" s="17">
        <f>SUMPRODUCT(N(Tabela17[Código]=Tabela3[[#This Row],[PAPEL]]),Tabela17[Fechamento])</f>
        <v>0</v>
      </c>
      <c r="AZ335" s="7">
        <f>SUMPRODUCT(N(Tabela176[Código]=Tabela3[[#This Row],[PAPEL]]),Tabela176[Fechamento])</f>
        <v>0</v>
      </c>
      <c r="BA335" s="7">
        <f>SUMPRODUCT(N(Tabela1768[Código]=Tabela3[[#This Row],[PAPEL]]),Tabela1768[Fechamento])</f>
        <v>0</v>
      </c>
      <c r="BB335" s="7">
        <f>SUMPRODUCT(N(Tabela17683[Código]=Tabela3[[#This Row],[PAPEL]]),Tabela17683[Fechamento])</f>
        <v>0</v>
      </c>
    </row>
    <row r="336" spans="1:54" hidden="1" x14ac:dyDescent="0.2">
      <c r="A336" s="4" t="s">
        <v>26</v>
      </c>
      <c r="B336" s="57" t="s">
        <v>248</v>
      </c>
      <c r="C336" s="82" t="str">
        <f>LEFT(Tabela3[PAPEL],LEN(Tabela3[PAPEL])-(LEN(Tabela3[PAPEL])-4))</f>
        <v>CSAB</v>
      </c>
      <c r="D336" s="15">
        <v>3</v>
      </c>
      <c r="E336" s="6">
        <v>100000000</v>
      </c>
      <c r="F336" s="8">
        <v>3840000</v>
      </c>
      <c r="G336" s="81">
        <v>0.25</v>
      </c>
      <c r="H336" s="15"/>
      <c r="I336" s="19"/>
      <c r="J336" s="19"/>
      <c r="K336" s="88"/>
      <c r="L336" s="88"/>
      <c r="M336" s="55"/>
      <c r="N336" s="55"/>
      <c r="O336" s="55"/>
      <c r="P336" s="6">
        <v>168049000</v>
      </c>
      <c r="Q336" s="6">
        <v>901000</v>
      </c>
      <c r="R336" s="6">
        <f>IF(Tabela3[[#This Row],[Ativo || Passivo]]&gt;0,Tabela3[[#This Row],[Ativo || Passivo]]-Tabela3[[#This Row],[Patrimônio Líquido]],0)</f>
        <v>0</v>
      </c>
      <c r="S336" s="6">
        <f>Tabela3[[#This Row],[Cotação]]*Tabela3[[#This Row],[Total Ações]]</f>
        <v>230476800</v>
      </c>
      <c r="T336" s="134">
        <f>IF(Tabela3[[#This Row],[Passivo Circulante]]&gt;0,Tabela3[[#This Row],[Ativo Circulante]]/Tabela3[[#This Row],[Passivo Circulante]],0)</f>
        <v>0</v>
      </c>
      <c r="U336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36" s="19">
        <f>IF(Tabela3[[#This Row],[Lucro Líquido]]&gt;0,Tabela3[[#This Row],[Lucro Líquido]]/Tabela3[[#This Row],[Patrimônio Líquido]],0)</f>
        <v>5.3615314580866295E-3</v>
      </c>
      <c r="W336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36" s="19">
        <f>IF(Tabela3[[#This Row],[Dívida]]&gt;0,Tabela3[[#This Row],[Dívida]]/Tabela3[[#This Row],[Patrimônio Líquido]],0)</f>
        <v>0</v>
      </c>
      <c r="Y336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36" s="6">
        <f>Tabela3[[#This Row],[Capital Social]]*20%</f>
        <v>20000000</v>
      </c>
      <c r="AA336" s="6">
        <f>IF((Tabela3[Lucro Líquido]*5%)&gt;Tabela3[Teto R. Legal],Tabela3[Teto R. Legal],Tabela3[Lucro Líquido]*5%)</f>
        <v>45050</v>
      </c>
      <c r="AB336" s="6">
        <f>IF(Tabela3[Lucro Líquido]&lt;0,0,Tabela3[Lucro Líquido]-Tabela3[Reserva Legal])</f>
        <v>855950</v>
      </c>
      <c r="AC336" s="6">
        <f>Tabela3[[#This Row],[Lucro Distribuir]]*Tabela3[%Div]</f>
        <v>213987.5</v>
      </c>
      <c r="AD336" s="21">
        <f>SUMPRODUCT(N(Tabela3[Nome]=Tabela3[[#This Row],[Nome]]),Tabela3[Ações])</f>
        <v>7680000</v>
      </c>
      <c r="AE336" s="6">
        <f>Tabela3[Capital Social]/Tabela3[Total Ações]</f>
        <v>13.020833333333334</v>
      </c>
      <c r="AF336" s="78">
        <f>Tabela3[[#This Row],[Lucro Líquido]]/Tabela3[[#This Row],[Total Ações]]</f>
        <v>0.11731770833333334</v>
      </c>
      <c r="AG336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2.7862955729166666E-2</v>
      </c>
      <c r="AH336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36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36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2.7862955729166666E-2</v>
      </c>
      <c r="AK336" s="6">
        <f>Tabela3[Div Base]*Tabela3[Ações]</f>
        <v>106993.75</v>
      </c>
      <c r="AL336" s="6">
        <f>SUMPRODUCT(N(Tabela3[Nome]=Tabela3[[#This Row],[Nome]]),Tabela3[Div Base]*Tabela3[Ações])</f>
        <v>213987.5</v>
      </c>
      <c r="AM336" s="6">
        <f>Tabela3[Patrimônio Líquido]/Tabela3[Total Ações]</f>
        <v>21.881380208333333</v>
      </c>
      <c r="AN336" s="48">
        <f>MAX(Tabela3[[#This Row],[Cotação 1]:[Cotação 5]])</f>
        <v>30.01</v>
      </c>
      <c r="AO336" s="44">
        <f>Tabela3[Cotação]/Tabela3[VPA]</f>
        <v>1.3714856976239074</v>
      </c>
      <c r="AP336" s="40">
        <f>IF(Tabela3[[#This Row],[Lucro/Ação]]&gt;0,Tabela3[[#This Row],[Cotação]]/(Tabela3[[#This Row],[Lucro/Ação]]/Tabela3[Ref]*4),0)</f>
        <v>191.85083240843508</v>
      </c>
      <c r="AQ336" s="78">
        <f>Tabela3[Lucro Distribuir]/Tabela3[Total Ações]</f>
        <v>0.11145182291666667</v>
      </c>
      <c r="AR336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2.7862955729166666E-2</v>
      </c>
      <c r="AS336" s="15" t="str">
        <f>IF(AND(Tabela3[% A.A.]&gt;=6%,SUMPRODUCT(N(Tabela3[Nome]=Tabela3[[#This Row],[Nome]]),Tabela3[PL])&gt;0,Tabela3[Rentabilidade s/ PL]&gt;=Tabela3[Rentabilidade s/ PL Média]),"Sim","Não")</f>
        <v>Não</v>
      </c>
      <c r="AT336" s="42">
        <f>IF(Tabela3[Cotação]&gt;0,Tabela3[[#This Row],[Lucro]]/Tabela3[[#This Row],[Cotação]],0)</f>
        <v>9.2845570573697647E-4</v>
      </c>
      <c r="AU336" s="19">
        <f>((1+Tabela3[[#This Row],[% Yield]])^(1/(3*Tabela3[[#This Row],[Ref]])))^(12)-1</f>
        <v>1.2381324636974167E-3</v>
      </c>
      <c r="AV336" s="14">
        <f>IF(Tabela3[Cotação]&gt;0,($BH$1/Tabela3[[#This Row],[Cotação]]-MOD($BH$1/Tabela3[[#This Row],[Cotação]],100)),)</f>
        <v>0</v>
      </c>
      <c r="AW336" s="17">
        <f>Tabela3[[#This Row],[Ativos]]*Tabela3[Lucro]</f>
        <v>0</v>
      </c>
      <c r="AX336" s="13">
        <f>SUMPRODUCT(N(Tabela1[Código]=Tabela3[[#This Row],[PAPEL]]),Tabela1[Fechamento])</f>
        <v>0</v>
      </c>
      <c r="AY336" s="13">
        <f>SUMPRODUCT(N(Tabela17[Código]=Tabela3[[#This Row],[PAPEL]]),Tabela17[Fechamento])</f>
        <v>30.01</v>
      </c>
      <c r="AZ336" s="7">
        <f>SUMPRODUCT(N(Tabela176[Código]=Tabela3[[#This Row],[PAPEL]]),Tabela176[Fechamento])</f>
        <v>0</v>
      </c>
      <c r="BA336" s="7">
        <f>SUMPRODUCT(N(Tabela1768[Código]=Tabela3[[#This Row],[PAPEL]]),Tabela1768[Fechamento])</f>
        <v>0</v>
      </c>
      <c r="BB336" s="7">
        <f>SUMPRODUCT(N(Tabela17683[Código]=Tabela3[[#This Row],[PAPEL]]),Tabela17683[Fechamento])</f>
        <v>0</v>
      </c>
    </row>
    <row r="337" spans="1:54" hidden="1" x14ac:dyDescent="0.2">
      <c r="A337" s="4" t="s">
        <v>26</v>
      </c>
      <c r="B337" s="57" t="s">
        <v>249</v>
      </c>
      <c r="C337" s="82" t="str">
        <f>LEFT(Tabela3[PAPEL],LEN(Tabela3[PAPEL])-(LEN(Tabela3[PAPEL])-4))</f>
        <v>CSAB</v>
      </c>
      <c r="D337" s="15">
        <v>3</v>
      </c>
      <c r="E337" s="6">
        <v>100000000</v>
      </c>
      <c r="F337" s="8">
        <v>3840000</v>
      </c>
      <c r="G337" s="86">
        <v>0.25</v>
      </c>
      <c r="H337" s="15"/>
      <c r="I337" s="19"/>
      <c r="J337" s="19"/>
      <c r="K337" s="88"/>
      <c r="L337" s="88"/>
      <c r="M337" s="55"/>
      <c r="N337" s="55"/>
      <c r="O337" s="55"/>
      <c r="P337" s="6">
        <v>168049000</v>
      </c>
      <c r="Q337" s="6">
        <v>901000</v>
      </c>
      <c r="R337" s="6">
        <f>IF(Tabela3[[#This Row],[Ativo || Passivo]]&gt;0,Tabela3[[#This Row],[Ativo || Passivo]]-Tabela3[[#This Row],[Patrimônio Líquido]],0)</f>
        <v>0</v>
      </c>
      <c r="S337" s="6">
        <f>Tabela3[[#This Row],[Cotação]]*Tabela3[[#This Row],[Total Ações]]</f>
        <v>231321600</v>
      </c>
      <c r="T337" s="134">
        <f>IF(Tabela3[[#This Row],[Passivo Circulante]]&gt;0,Tabela3[[#This Row],[Ativo Circulante]]/Tabela3[[#This Row],[Passivo Circulante]],0)</f>
        <v>0</v>
      </c>
      <c r="U337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37" s="19">
        <f>IF(Tabela3[[#This Row],[Lucro Líquido]]&gt;0,Tabela3[[#This Row],[Lucro Líquido]]/Tabela3[[#This Row],[Patrimônio Líquido]],0)</f>
        <v>5.3615314580866295E-3</v>
      </c>
      <c r="W337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37" s="19">
        <f>IF(Tabela3[[#This Row],[Dívida]]&gt;0,Tabela3[[#This Row],[Dívida]]/Tabela3[[#This Row],[Patrimônio Líquido]],0)</f>
        <v>0</v>
      </c>
      <c r="Y337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37" s="6">
        <f>Tabela3[[#This Row],[Capital Social]]*20%</f>
        <v>20000000</v>
      </c>
      <c r="AA337" s="6">
        <f>IF((Tabela3[Lucro Líquido]*5%)&gt;Tabela3[Teto R. Legal],Tabela3[Teto R. Legal],Tabela3[Lucro Líquido]*5%)</f>
        <v>45050</v>
      </c>
      <c r="AB337" s="6">
        <f>IF(Tabela3[Lucro Líquido]&lt;0,0,Tabela3[Lucro Líquido]-Tabela3[Reserva Legal])</f>
        <v>855950</v>
      </c>
      <c r="AC337" s="6">
        <f>Tabela3[[#This Row],[Lucro Distribuir]]*Tabela3[%Div]</f>
        <v>213987.5</v>
      </c>
      <c r="AD337" s="21">
        <f>SUMPRODUCT(N(Tabela3[Nome]=Tabela3[[#This Row],[Nome]]),Tabela3[Ações])</f>
        <v>7680000</v>
      </c>
      <c r="AE337" s="6">
        <f>Tabela3[Capital Social]/Tabela3[Total Ações]</f>
        <v>13.020833333333334</v>
      </c>
      <c r="AF337" s="78">
        <f>Tabela3[[#This Row],[Lucro Líquido]]/Tabela3[[#This Row],[Total Ações]]</f>
        <v>0.11731770833333334</v>
      </c>
      <c r="AG337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2.7862955729166666E-2</v>
      </c>
      <c r="AH337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37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37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2.7862955729166666E-2</v>
      </c>
      <c r="AK337" s="6">
        <f>Tabela3[Div Base]*Tabela3[Ações]</f>
        <v>106993.75</v>
      </c>
      <c r="AL337" s="6">
        <f>SUMPRODUCT(N(Tabela3[Nome]=Tabela3[[#This Row],[Nome]]),Tabela3[Div Base]*Tabela3[Ações])</f>
        <v>213987.5</v>
      </c>
      <c r="AM337" s="6">
        <f>Tabela3[Patrimônio Líquido]/Tabela3[Total Ações]</f>
        <v>21.881380208333333</v>
      </c>
      <c r="AN337" s="48">
        <f>MAX(Tabela3[[#This Row],[Cotação 1]:[Cotação 5]])</f>
        <v>30.12</v>
      </c>
      <c r="AO337" s="44">
        <f>Tabela3[Cotação]/Tabela3[VPA]</f>
        <v>1.3765128028134652</v>
      </c>
      <c r="AP337" s="40">
        <f>IF(Tabela3[[#This Row],[Lucro/Ação]]&gt;0,Tabela3[[#This Row],[Cotação]]/(Tabela3[[#This Row],[Lucro/Ação]]/Tabela3[Ref]*4),0)</f>
        <v>192.55405105438402</v>
      </c>
      <c r="AQ337" s="78">
        <f>Tabela3[Lucro Distribuir]/Tabela3[Total Ações]</f>
        <v>0.11145182291666667</v>
      </c>
      <c r="AR337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2.7862955729166666E-2</v>
      </c>
      <c r="AS337" s="15" t="str">
        <f>IF(AND(Tabela3[% A.A.]&gt;=6%,SUMPRODUCT(N(Tabela3[Nome]=Tabela3[[#This Row],[Nome]]),Tabela3[PL])&gt;0,Tabela3[Rentabilidade s/ PL]&gt;=Tabela3[Rentabilidade s/ PL Média]),"Sim","Não")</f>
        <v>Não</v>
      </c>
      <c r="AT337" s="42">
        <f>IF(Tabela3[Cotação]&gt;0,Tabela3[[#This Row],[Lucro]]/Tabela3[[#This Row],[Cotação]],0)</f>
        <v>9.2506493124723326E-4</v>
      </c>
      <c r="AU337" s="19">
        <f>((1+Tabela3[[#This Row],[% Yield]])^(1/(3*Tabela3[[#This Row],[Ref]])))^(12)-1</f>
        <v>1.2336100348351309E-3</v>
      </c>
      <c r="AV337" s="14">
        <f>IF(Tabela3[Cotação]&gt;0,($BH$1/Tabela3[[#This Row],[Cotação]]-MOD($BH$1/Tabela3[[#This Row],[Cotação]],100)),)</f>
        <v>0</v>
      </c>
      <c r="AW337" s="17">
        <f>Tabela3[[#This Row],[Ativos]]*Tabela3[Lucro]</f>
        <v>0</v>
      </c>
      <c r="AX337" s="13">
        <f>SUMPRODUCT(N(Tabela1[Código]=Tabela3[[#This Row],[PAPEL]]),Tabela1[Fechamento])</f>
        <v>0</v>
      </c>
      <c r="AY337" s="13">
        <f>SUMPRODUCT(N(Tabela17[Código]=Tabela3[[#This Row],[PAPEL]]),Tabela17[Fechamento])</f>
        <v>30.12</v>
      </c>
      <c r="AZ337" s="7">
        <f>SUMPRODUCT(N(Tabela176[Código]=Tabela3[[#This Row],[PAPEL]]),Tabela176[Fechamento])</f>
        <v>0</v>
      </c>
      <c r="BA337" s="7">
        <f>SUMPRODUCT(N(Tabela1768[Código]=Tabela3[[#This Row],[PAPEL]]),Tabela1768[Fechamento])</f>
        <v>0</v>
      </c>
      <c r="BB337" s="7">
        <f>SUMPRODUCT(N(Tabela17683[Código]=Tabela3[[#This Row],[PAPEL]]),Tabela17683[Fechamento])</f>
        <v>0</v>
      </c>
    </row>
    <row r="338" spans="1:54" hidden="1" x14ac:dyDescent="0.2">
      <c r="A338" s="3" t="s">
        <v>1505</v>
      </c>
      <c r="B338" s="57" t="s">
        <v>1506</v>
      </c>
      <c r="C338" s="16" t="str">
        <f>LEFT(Tabela3[PAPEL],LEN(Tabela3[PAPEL])-(LEN(Tabela3[PAPEL])-4))</f>
        <v>LOGN</v>
      </c>
      <c r="D338" s="16">
        <v>3</v>
      </c>
      <c r="E338" s="5">
        <v>527000000</v>
      </c>
      <c r="F338" s="56">
        <v>91711620</v>
      </c>
      <c r="G338" s="81">
        <v>0.25</v>
      </c>
      <c r="H338" s="87"/>
      <c r="J338" s="18"/>
      <c r="K338" s="16"/>
      <c r="L338" s="87"/>
      <c r="M338" s="54"/>
      <c r="N338" s="54"/>
      <c r="O338" s="54"/>
      <c r="P338" s="91">
        <v>533102000</v>
      </c>
      <c r="Q338" s="73">
        <v>2534000</v>
      </c>
      <c r="R338" s="73">
        <f>IF(Tabela3[[#This Row],[Ativo || Passivo]]&gt;0,Tabela3[[#This Row],[Ativo || Passivo]]-Tabela3[[#This Row],[Patrimônio Líquido]],0)</f>
        <v>0</v>
      </c>
      <c r="S338" s="73">
        <f>Tabela3[[#This Row],[Cotação]]*Tabela3[[#This Row],[Total Ações]]</f>
        <v>805228023.5999999</v>
      </c>
      <c r="T338" s="37">
        <f>IF(Tabela3[[#This Row],[Passivo Circulante]]&gt;0,Tabela3[[#This Row],[Ativo Circulante]]/Tabela3[[#This Row],[Passivo Circulante]],0)</f>
        <v>0</v>
      </c>
      <c r="U338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38" s="18">
        <f>IF(Tabela3[[#This Row],[Lucro Líquido]]&gt;0,Tabela3[[#This Row],[Lucro Líquido]]/Tabela3[[#This Row],[Patrimônio Líquido]],0)</f>
        <v>4.7533117489711165E-3</v>
      </c>
      <c r="W338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38" s="18">
        <f>IF(Tabela3[[#This Row],[Dívida]]&gt;0,Tabela3[[#This Row],[Dívida]]/Tabela3[[#This Row],[Patrimônio Líquido]],0)</f>
        <v>0</v>
      </c>
      <c r="Y338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38" s="7">
        <f>Tabela3[[#This Row],[Capital Social]]*20%</f>
        <v>105400000</v>
      </c>
      <c r="AA338" s="47">
        <f>IF((Tabela3[Lucro Líquido]*5%)&gt;Tabela3[Teto R. Legal],Tabela3[Teto R. Legal],Tabela3[Lucro Líquido]*5%)</f>
        <v>126700</v>
      </c>
      <c r="AB338" s="47">
        <f>IF(Tabela3[Lucro Líquido]&lt;0,0,Tabela3[Lucro Líquido]-Tabela3[Reserva Legal])</f>
        <v>2407300</v>
      </c>
      <c r="AC338" s="47">
        <f>Tabela3[[#This Row],[Lucro Distribuir]]*Tabela3[%Div]</f>
        <v>601825</v>
      </c>
      <c r="AD338" s="56">
        <f>SUMPRODUCT(N(Tabela3[Nome]=Tabela3[[#This Row],[Nome]]),Tabela3[Ações])</f>
        <v>91711620</v>
      </c>
      <c r="AE338" s="85">
        <f>Tabela3[Capital Social]/Tabela3[Total Ações]</f>
        <v>5.746272936842681</v>
      </c>
      <c r="AF338" s="85">
        <f>Tabela3[[#This Row],[Lucro Líquido]]/Tabela3[[#This Row],[Total Ações]]</f>
        <v>2.7630086569182838E-2</v>
      </c>
      <c r="AG338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6.5621455601809235E-3</v>
      </c>
      <c r="AH338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38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38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6.5621455601809235E-3</v>
      </c>
      <c r="AK338" s="7">
        <f>Tabela3[Div Base]*Tabela3[Ações]</f>
        <v>601825</v>
      </c>
      <c r="AL338" s="121">
        <f>SUMPRODUCT(N(Tabela3[Nome]=Tabela3[[#This Row],[Nome]]),Tabela3[Div Base]*Tabela3[Ações])</f>
        <v>601825</v>
      </c>
      <c r="AM338" s="5">
        <f>Tabela3[Patrimônio Líquido]/Tabela3[Total Ações]</f>
        <v>5.8128075809804693</v>
      </c>
      <c r="AN338" s="52">
        <f>MAX(Tabela3[[#This Row],[Cotação 1]:[Cotação 5]])</f>
        <v>8.7799999999999994</v>
      </c>
      <c r="AO338" s="53">
        <f>Tabela3[Cotação]/Tabela3[VPA]</f>
        <v>1.5104577052796648</v>
      </c>
      <c r="AP338" s="37">
        <f>IF(Tabela3[[#This Row],[Lucro/Ação]]&gt;0,Tabela3[[#This Row],[Cotação]]/(Tabela3[[#This Row],[Lucro/Ação]]/Tabela3[Ref]*4),0)</f>
        <v>238.3271577348066</v>
      </c>
      <c r="AQ338" s="85">
        <f>Tabela3[Lucro Distribuir]/Tabela3[Total Ações]</f>
        <v>2.6248582240723694E-2</v>
      </c>
      <c r="AR338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6.5621455601809235E-3</v>
      </c>
      <c r="AS338" s="10" t="str">
        <f>IF(AND(Tabela3[% A.A.]&gt;=6%,SUMPRODUCT(N(Tabela3[Nome]=Tabela3[[#This Row],[Nome]]),Tabela3[PL])&gt;0,Tabela3[Rentabilidade s/ PL]&gt;=Tabela3[Rentabilidade s/ PL Média]),"Sim","Não")</f>
        <v>Não</v>
      </c>
      <c r="AT338" s="22">
        <f>IF(Tabela3[Cotação]&gt;0,Tabela3[[#This Row],[Lucro]]/Tabela3[[#This Row],[Cotação]],0)</f>
        <v>7.4739698863108476E-4</v>
      </c>
      <c r="AU338" s="22">
        <f>((1+Tabela3[[#This Row],[% Yield]])^(1/(3*Tabela3[[#This Row],[Ref]])))^(12)-1</f>
        <v>9.9665343139943019E-4</v>
      </c>
      <c r="AV338" s="10">
        <f>IF(Tabela3[Cotação]&gt;0,($BD$1/Tabela3[[#This Row],[Cotação]]-MOD($BD$1/Tabela3[[#This Row],[Cotação]],100)),)</f>
        <v>0</v>
      </c>
      <c r="AW338" s="7">
        <f>Tabela3[[#This Row],[Ativos]]*Tabela3[Lucro]</f>
        <v>0</v>
      </c>
      <c r="AX338" s="7">
        <f>SUMPRODUCT(N(Tabela1[Código]=Tabela3[[#This Row],[PAPEL]]),Tabela1[Fechamento])</f>
        <v>0</v>
      </c>
      <c r="AY338" s="7">
        <f>SUMPRODUCT(N(Tabela17[Código]=Tabela3[[#This Row],[PAPEL]]),Tabela17[Fechamento])</f>
        <v>0</v>
      </c>
      <c r="AZ338" s="7">
        <f>SUMPRODUCT(N(Tabela176[Código]=Tabela3[[#This Row],[PAPEL]]),Tabela176[Fechamento])</f>
        <v>0</v>
      </c>
      <c r="BA338" s="7">
        <f>SUMPRODUCT(N(Tabela1768[Código]=Tabela3[[#This Row],[PAPEL]]),Tabela1768[Fechamento])</f>
        <v>0</v>
      </c>
      <c r="BB338" s="7">
        <f>SUMPRODUCT(N(Tabela17683[Código]=Tabela3[[#This Row],[PAPEL]]),Tabela17683[Fechamento])</f>
        <v>8.7799999999999994</v>
      </c>
    </row>
    <row r="339" spans="1:54" hidden="1" x14ac:dyDescent="0.2">
      <c r="A339" s="3" t="s">
        <v>1498</v>
      </c>
      <c r="B339" s="57" t="s">
        <v>1499</v>
      </c>
      <c r="C339" s="16" t="str">
        <f>LEFT(Tabela3[PAPEL],LEN(Tabela3[PAPEL])-(LEN(Tabela3[PAPEL])-4))</f>
        <v>ALLL</v>
      </c>
      <c r="D339" s="16">
        <v>3</v>
      </c>
      <c r="E339" s="5">
        <v>3448283431.6199999</v>
      </c>
      <c r="F339" s="56">
        <v>687664312</v>
      </c>
      <c r="G339" s="81">
        <v>0.25</v>
      </c>
      <c r="H339" s="87"/>
      <c r="J339" s="18"/>
      <c r="K339" s="16"/>
      <c r="L339" s="87"/>
      <c r="M339" s="54"/>
      <c r="N339" s="54"/>
      <c r="O339" s="54"/>
      <c r="P339" s="91">
        <v>4410966000</v>
      </c>
      <c r="Q339" s="73">
        <v>19851000</v>
      </c>
      <c r="R339" s="73">
        <f>IF(Tabela3[[#This Row],[Ativo || Passivo]]&gt;0,Tabela3[[#This Row],[Ativo || Passivo]]-Tabela3[[#This Row],[Patrimônio Líquido]],0)</f>
        <v>0</v>
      </c>
      <c r="S339" s="73">
        <f>Tabela3[[#This Row],[Cotação]]*Tabela3[[#This Row],[Total Ações]]</f>
        <v>4098479299.52</v>
      </c>
      <c r="T339" s="37">
        <f>IF(Tabela3[[#This Row],[Passivo Circulante]]&gt;0,Tabela3[[#This Row],[Ativo Circulante]]/Tabela3[[#This Row],[Passivo Circulante]],0)</f>
        <v>0</v>
      </c>
      <c r="U339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39" s="18">
        <f>IF(Tabela3[[#This Row],[Lucro Líquido]]&gt;0,Tabela3[[#This Row],[Lucro Líquido]]/Tabela3[[#This Row],[Patrimônio Líquido]],0)</f>
        <v>4.5003747478443495E-3</v>
      </c>
      <c r="W339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39" s="18">
        <f>IF(Tabela3[[#This Row],[Dívida]]&gt;0,Tabela3[[#This Row],[Dívida]]/Tabela3[[#This Row],[Patrimônio Líquido]],0)</f>
        <v>0</v>
      </c>
      <c r="Y339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39" s="7">
        <f>Tabela3[[#This Row],[Capital Social]]*20%</f>
        <v>689656686.324</v>
      </c>
      <c r="AA339" s="47">
        <f>IF((Tabela3[Lucro Líquido]*5%)&gt;Tabela3[Teto R. Legal],Tabela3[Teto R. Legal],Tabela3[Lucro Líquido]*5%)</f>
        <v>992550</v>
      </c>
      <c r="AB339" s="47">
        <f>IF(Tabela3[Lucro Líquido]&lt;0,0,Tabela3[Lucro Líquido]-Tabela3[Reserva Legal])</f>
        <v>18858450</v>
      </c>
      <c r="AC339" s="47">
        <f>Tabela3[[#This Row],[Lucro Distribuir]]*Tabela3[%Div]</f>
        <v>4714612.5</v>
      </c>
      <c r="AD339" s="56">
        <f>SUMPRODUCT(N(Tabela3[Nome]=Tabela3[[#This Row],[Nome]]),Tabela3[Ações])</f>
        <v>687664312</v>
      </c>
      <c r="AE339" s="85">
        <f>Tabela3[Capital Social]/Tabela3[Total Ações]</f>
        <v>5.0144865328128292</v>
      </c>
      <c r="AF339" s="85">
        <f>Tabela3[[#This Row],[Lucro Líquido]]/Tabela3[[#This Row],[Total Ações]]</f>
        <v>2.8867282558644691E-2</v>
      </c>
      <c r="AG339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6.8559796076781135E-3</v>
      </c>
      <c r="AH339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39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39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6.8559796076781135E-3</v>
      </c>
      <c r="AK339" s="7">
        <f>Tabela3[Div Base]*Tabela3[Ações]</f>
        <v>4714612.5</v>
      </c>
      <c r="AL339" s="121">
        <f>SUMPRODUCT(N(Tabela3[Nome]=Tabela3[[#This Row],[Nome]]),Tabela3[Div Base]*Tabela3[Ações])</f>
        <v>4714612.5</v>
      </c>
      <c r="AM339" s="5">
        <f>Tabela3[Patrimônio Líquido]/Tabela3[Total Ações]</f>
        <v>6.4144175043360399</v>
      </c>
      <c r="AN339" s="52">
        <f>MAX(Tabela3[[#This Row],[Cotação 1]:[Cotação 5]])</f>
        <v>5.96</v>
      </c>
      <c r="AO339" s="53">
        <f>Tabela3[Cotação]/Tabela3[VPA]</f>
        <v>0.92915685578170404</v>
      </c>
      <c r="AP339" s="37">
        <f>IF(Tabela3[[#This Row],[Lucro/Ação]]&gt;0,Tabela3[[#This Row],[Cotação]]/(Tabela3[[#This Row],[Lucro/Ação]]/Tabela3[Ref]*4),0)</f>
        <v>154.84658075865195</v>
      </c>
      <c r="AQ339" s="85">
        <f>Tabela3[Lucro Distribuir]/Tabela3[Total Ações]</f>
        <v>2.7423918430712454E-2</v>
      </c>
      <c r="AR339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6.8559796076781135E-3</v>
      </c>
      <c r="AS339" s="10" t="str">
        <f>IF(AND(Tabela3[% A.A.]&gt;=6%,SUMPRODUCT(N(Tabela3[Nome]=Tabela3[[#This Row],[Nome]]),Tabela3[PL])&gt;0,Tabela3[Rentabilidade s/ PL]&gt;=Tabela3[Rentabilidade s/ PL Média]),"Sim","Não")</f>
        <v>Não</v>
      </c>
      <c r="AT339" s="22">
        <f>IF(Tabela3[Cotação]&gt;0,Tabela3[[#This Row],[Lucro]]/Tabela3[[#This Row],[Cotação]],0)</f>
        <v>1.1503321489392808E-3</v>
      </c>
      <c r="AU339" s="22">
        <f>((1+Tabela3[[#This Row],[% Yield]])^(1/(3*Tabela3[[#This Row],[Ref]])))^(12)-1</f>
        <v>1.534070182131142E-3</v>
      </c>
      <c r="AV339" s="10">
        <f>IF(Tabela3[Cotação]&gt;0,($BH$1/Tabela3[[#This Row],[Cotação]]-MOD($BH$1/Tabela3[[#This Row],[Cotação]],100)),)</f>
        <v>0</v>
      </c>
      <c r="AW339" s="7">
        <f>Tabela3[[#This Row],[Ativos]]*Tabela3[Lucro]</f>
        <v>0</v>
      </c>
      <c r="AX339" s="7">
        <f>SUMPRODUCT(N(Tabela1[Código]=Tabela3[[#This Row],[PAPEL]]),Tabela1[Fechamento])</f>
        <v>0</v>
      </c>
      <c r="AY339" s="7">
        <f>SUMPRODUCT(N(Tabela17[Código]=Tabela3[[#This Row],[PAPEL]]),Tabela17[Fechamento])</f>
        <v>0</v>
      </c>
      <c r="AZ339" s="7">
        <f>SUMPRODUCT(N(Tabela176[Código]=Tabela3[[#This Row],[PAPEL]]),Tabela176[Fechamento])</f>
        <v>0</v>
      </c>
      <c r="BA339" s="7">
        <f>SUMPRODUCT(N(Tabela1768[Código]=Tabela3[[#This Row],[PAPEL]]),Tabela1768[Fechamento])</f>
        <v>0</v>
      </c>
      <c r="BB339" s="7">
        <f>SUMPRODUCT(N(Tabela17683[Código]=Tabela3[[#This Row],[PAPEL]]),Tabela17683[Fechamento])</f>
        <v>5.96</v>
      </c>
    </row>
    <row r="340" spans="1:54" hidden="1" x14ac:dyDescent="0.2">
      <c r="A340" s="4" t="s">
        <v>583</v>
      </c>
      <c r="B340" s="57" t="s">
        <v>581</v>
      </c>
      <c r="C340" s="15" t="str">
        <f>LEFT(Tabela3[PAPEL],LEN(Tabela3[PAPEL])-(LEN(Tabela3[PAPEL])-4))</f>
        <v>IDNT</v>
      </c>
      <c r="D340" s="15">
        <v>3</v>
      </c>
      <c r="E340" s="6">
        <v>103029730.59999999</v>
      </c>
      <c r="F340" s="8">
        <v>122269681</v>
      </c>
      <c r="G340" s="86">
        <v>0.25</v>
      </c>
      <c r="H340" s="15"/>
      <c r="I340" s="19"/>
      <c r="J340" s="19"/>
      <c r="K340" s="88"/>
      <c r="L340" s="88"/>
      <c r="M340" s="55"/>
      <c r="N340" s="55"/>
      <c r="O340" s="55"/>
      <c r="P340" s="92">
        <v>151280000</v>
      </c>
      <c r="Q340" s="93">
        <v>349000</v>
      </c>
      <c r="R340" s="93">
        <f>IF(Tabela3[[#This Row],[Ativo || Passivo]]&gt;0,Tabela3[[#This Row],[Ativo || Passivo]]-Tabela3[[#This Row],[Patrimônio Líquido]],0)</f>
        <v>0</v>
      </c>
      <c r="S340" s="93">
        <f>Tabela3[[#This Row],[Cotação]]*Tabela3[[#This Row],[Total Ações]]</f>
        <v>168732159.78</v>
      </c>
      <c r="T340" s="40">
        <f>IF(Tabela3[[#This Row],[Passivo Circulante]]&gt;0,Tabela3[[#This Row],[Ativo Circulante]]/Tabela3[[#This Row],[Passivo Circulante]],0)</f>
        <v>0</v>
      </c>
      <c r="U340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40" s="19">
        <f>IF(Tabela3[[#This Row],[Lucro Líquido]]&gt;0,Tabela3[[#This Row],[Lucro Líquido]]/Tabela3[[#This Row],[Patrimônio Líquido]],0)</f>
        <v>2.3069804336329986E-3</v>
      </c>
      <c r="W340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40" s="19">
        <f>IF(Tabela3[[#This Row],[Dívida]]&gt;0,Tabela3[[#This Row],[Dívida]]/Tabela3[[#This Row],[Patrimônio Líquido]],0)</f>
        <v>0</v>
      </c>
      <c r="Y340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40" s="13">
        <f>Tabela3[[#This Row],[Capital Social]]*20%</f>
        <v>20605946.120000001</v>
      </c>
      <c r="AA340" s="13">
        <f>IF((Tabela3[Lucro Líquido]*5%)&gt;Tabela3[Teto R. Legal],Tabela3[Teto R. Legal],Tabela3[Lucro Líquido]*5%)</f>
        <v>17450</v>
      </c>
      <c r="AB340" s="13">
        <f>IF(Tabela3[Lucro Líquido]&lt;0,0,Tabela3[Lucro Líquido]-Tabela3[Reserva Legal])</f>
        <v>331550</v>
      </c>
      <c r="AC340" s="13">
        <f>Tabela3[[#This Row],[Lucro Distribuir]]*Tabela3[%Div]</f>
        <v>82887.5</v>
      </c>
      <c r="AD340" s="56">
        <f>SUMPRODUCT(N(Tabela3[Nome]=Tabela3[[#This Row],[Nome]]),Tabela3[Ações])</f>
        <v>122269681</v>
      </c>
      <c r="AE340" s="6">
        <f>Tabela3[Capital Social]/Tabela3[Total Ações]</f>
        <v>0.84264332545367482</v>
      </c>
      <c r="AF340" s="78">
        <f>Tabela3[[#This Row],[Lucro Líquido]]/Tabela3[[#This Row],[Total Ações]]</f>
        <v>2.8543462054178418E-3</v>
      </c>
      <c r="AG340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6.7790722378673746E-4</v>
      </c>
      <c r="AH340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40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40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6.7790722378673746E-4</v>
      </c>
      <c r="AK340" s="13">
        <f>Tabela3[Div Base]*Tabela3[Ações]</f>
        <v>82887.5</v>
      </c>
      <c r="AL340" s="13">
        <f>SUMPRODUCT(N(Tabela3[Nome]=Tabela3[[#This Row],[Nome]]),Tabela3[Div Base]*Tabela3[Ações])</f>
        <v>82887.5</v>
      </c>
      <c r="AM340" s="6">
        <f>Tabela3[Patrimônio Líquido]/Tabela3[Total Ações]</f>
        <v>1.2372650256607769</v>
      </c>
      <c r="AN340" s="48">
        <f>MAX(Tabela3[[#This Row],[Cotação 1]:[Cotação 5]])</f>
        <v>1.38</v>
      </c>
      <c r="AO340" s="44">
        <f>Tabela3[Cotação]/Tabela3[VPA]</f>
        <v>1.1153632983870967</v>
      </c>
      <c r="AP340" s="40">
        <f>IF(Tabela3[[#This Row],[Lucro/Ação]]&gt;0,Tabela3[[#This Row],[Cotação]]/(Tabela3[[#This Row],[Lucro/Ação]]/Tabela3[Ref]*4),0)</f>
        <v>362.60492789398279</v>
      </c>
      <c r="AQ340" s="78">
        <f>Tabela3[Lucro Distribuir]/Tabela3[Total Ações]</f>
        <v>2.7116288951469498E-3</v>
      </c>
      <c r="AR340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6.7790722378673746E-4</v>
      </c>
      <c r="AS340" s="14" t="str">
        <f>IF(AND(Tabela3[% A.A.]&gt;=6%,SUMPRODUCT(N(Tabela3[Nome]=Tabela3[[#This Row],[Nome]]),Tabela3[PL])&gt;0,Tabela3[Rentabilidade s/ PL]&gt;=Tabela3[Rentabilidade s/ PL Média]),"Sim","Não")</f>
        <v>Não</v>
      </c>
      <c r="AT340" s="42">
        <f>IF(Tabela3[Cotação]&gt;0,Tabela3[[#This Row],[Lucro]]/Tabela3[[#This Row],[Cotação]],0)</f>
        <v>4.9123711868604163E-4</v>
      </c>
      <c r="AU340" s="42">
        <f>((1+Tabela3[[#This Row],[% Yield]])^(1/(3*Tabela3[[#This Row],[Ref]])))^(12)-1</f>
        <v>6.5503644437514552E-4</v>
      </c>
      <c r="AV340" s="14">
        <f>IF(Tabela3[Cotação]&gt;0,($BD$1/Tabela3[[#This Row],[Cotação]]-MOD($BD$1/Tabela3[[#This Row],[Cotação]],100)),)</f>
        <v>0</v>
      </c>
      <c r="AW340" s="17">
        <f>Tabela3[[#This Row],[Ativos]]*Tabela3[Lucro]</f>
        <v>0</v>
      </c>
      <c r="AX340" s="17">
        <f>SUMPRODUCT(N(Tabela1[Código]=Tabela3[[#This Row],[PAPEL]]),Tabela1[Fechamento])</f>
        <v>0</v>
      </c>
      <c r="AY340" s="17">
        <f>SUMPRODUCT(N(Tabela17[Código]=Tabela3[[#This Row],[PAPEL]]),Tabela17[Fechamento])</f>
        <v>0</v>
      </c>
      <c r="AZ340" s="17">
        <f>SUMPRODUCT(N(Tabela176[Código]=Tabela3[[#This Row],[PAPEL]]),Tabela176[Fechamento])</f>
        <v>1.38</v>
      </c>
      <c r="BA340" s="17">
        <f>SUMPRODUCT(N(Tabela1768[Código]=Tabela3[[#This Row],[PAPEL]]),Tabela1768[Fechamento])</f>
        <v>0</v>
      </c>
      <c r="BB340" s="7">
        <f>SUMPRODUCT(N(Tabela17683[Código]=Tabela3[[#This Row],[PAPEL]]),Tabela17683[Fechamento])</f>
        <v>0</v>
      </c>
    </row>
    <row r="341" spans="1:54" hidden="1" x14ac:dyDescent="0.2">
      <c r="A341" s="3" t="s">
        <v>1636</v>
      </c>
      <c r="B341" s="57" t="s">
        <v>1600</v>
      </c>
      <c r="C341" s="16" t="str">
        <f>LEFT(Tabela3[PAPEL],LEN(Tabela3[PAPEL])-(LEN(Tabela3[PAPEL])-4))</f>
        <v>ROMI</v>
      </c>
      <c r="D341" s="16">
        <v>4</v>
      </c>
      <c r="E341" s="5">
        <v>502935785</v>
      </c>
      <c r="F341" s="56">
        <v>71757647</v>
      </c>
      <c r="G341" s="81">
        <v>0.25</v>
      </c>
      <c r="H341" s="87"/>
      <c r="J341" s="18"/>
      <c r="K341" s="16"/>
      <c r="L341" s="87"/>
      <c r="M341" s="54"/>
      <c r="N341" s="54"/>
      <c r="O341" s="54"/>
      <c r="P341" s="91">
        <v>648235000</v>
      </c>
      <c r="Q341" s="73">
        <v>1365000</v>
      </c>
      <c r="R341" s="73">
        <f>IF(Tabela3[[#This Row],[Ativo || Passivo]]&gt;0,Tabela3[[#This Row],[Ativo || Passivo]]-Tabela3[[#This Row],[Patrimônio Líquido]],0)</f>
        <v>0</v>
      </c>
      <c r="S341" s="73">
        <f>Tabela3[[#This Row],[Cotação]]*Tabela3[[#This Row],[Total Ações]]</f>
        <v>334390635.01999998</v>
      </c>
      <c r="T341" s="37">
        <f>IF(Tabela3[[#This Row],[Passivo Circulante]]&gt;0,Tabela3[[#This Row],[Ativo Circulante]]/Tabela3[[#This Row],[Passivo Circulante]],0)</f>
        <v>0</v>
      </c>
      <c r="U341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41" s="18">
        <f>IF(Tabela3[[#This Row],[Lucro Líquido]]&gt;0,Tabela3[[#This Row],[Lucro Líquido]]/Tabela3[[#This Row],[Patrimônio Líquido]],0)</f>
        <v>2.1057178338102695E-3</v>
      </c>
      <c r="W341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41" s="18">
        <f>IF(Tabela3[[#This Row],[Dívida]]&gt;0,Tabela3[[#This Row],[Dívida]]/Tabela3[[#This Row],[Patrimônio Líquido]],0)</f>
        <v>0</v>
      </c>
      <c r="Y341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41" s="7">
        <f>Tabela3[[#This Row],[Capital Social]]*20%</f>
        <v>100587157</v>
      </c>
      <c r="AA341" s="47">
        <f>IF((Tabela3[Lucro Líquido]*5%)&gt;Tabela3[Teto R. Legal],Tabela3[Teto R. Legal],Tabela3[Lucro Líquido]*5%)</f>
        <v>68250</v>
      </c>
      <c r="AB341" s="47">
        <f>IF(Tabela3[Lucro Líquido]&lt;0,0,Tabela3[Lucro Líquido]-Tabela3[Reserva Legal])</f>
        <v>1296750</v>
      </c>
      <c r="AC341" s="47">
        <f>Tabela3[[#This Row],[Lucro Distribuir]]*Tabela3[%Div]</f>
        <v>324187.5</v>
      </c>
      <c r="AD341" s="56">
        <f>SUMPRODUCT(N(Tabela3[Nome]=Tabela3[[#This Row],[Nome]]),Tabela3[Ações])</f>
        <v>71757647</v>
      </c>
      <c r="AE341" s="85">
        <f>Tabela3[Capital Social]/Tabela3[Total Ações]</f>
        <v>7.0088109912522629</v>
      </c>
      <c r="AF341" s="85">
        <f>Tabela3[[#This Row],[Lucro Líquido]]/Tabela3[[#This Row],[Total Ações]]</f>
        <v>1.9022362870956457E-2</v>
      </c>
      <c r="AG341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4.5178111818521584E-3</v>
      </c>
      <c r="AH341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41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41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4.5178111818521584E-3</v>
      </c>
      <c r="AK341" s="7">
        <f>Tabela3[Div Base]*Tabela3[Ações]</f>
        <v>324187.5</v>
      </c>
      <c r="AL341" s="121">
        <f>SUMPRODUCT(N(Tabela3[Nome]=Tabela3[[#This Row],[Nome]]),Tabela3[Div Base]*Tabela3[Ações])</f>
        <v>324187.5</v>
      </c>
      <c r="AM341" s="5">
        <f>Tabela3[Patrimônio Líquido]/Tabela3[Total Ações]</f>
        <v>9.0336713521278096</v>
      </c>
      <c r="AN341" s="52">
        <f>MAX(Tabela3[[#This Row],[Cotação 1]:[Cotação 5]])</f>
        <v>4.66</v>
      </c>
      <c r="AO341" s="53">
        <f>Tabela3[Cotação]/Tabela3[VPA]</f>
        <v>0.51584785613242112</v>
      </c>
      <c r="AP341" s="37">
        <f>IF(Tabela3[[#This Row],[Lucro/Ação]]&gt;0,Tabela3[[#This Row],[Cotação]]/(Tabela3[[#This Row],[Lucro/Ação]]/Tabela3[Ref]*4),0)</f>
        <v>244.9748241904762</v>
      </c>
      <c r="AQ341" s="85">
        <f>Tabela3[Lucro Distribuir]/Tabela3[Total Ações]</f>
        <v>1.8071244727408634E-2</v>
      </c>
      <c r="AR341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4.5178111818521584E-3</v>
      </c>
      <c r="AS341" s="10" t="str">
        <f>IF(AND(Tabela3[% A.A.]&gt;=6%,SUMPRODUCT(N(Tabela3[Nome]=Tabela3[[#This Row],[Nome]]),Tabela3[PL])&gt;0,Tabela3[Rentabilidade s/ PL]&gt;=Tabela3[Rentabilidade s/ PL Média]),"Sim","Não")</f>
        <v>Não</v>
      </c>
      <c r="AT341" s="22">
        <f>IF(Tabela3[Cotação]&gt;0,Tabela3[[#This Row],[Lucro]]/Tabela3[[#This Row],[Cotação]],0)</f>
        <v>9.6948737807986234E-4</v>
      </c>
      <c r="AU341" s="22">
        <f>((1+Tabela3[[#This Row],[% Yield]])^(1/(3*Tabela3[[#This Row],[Ref]])))^(12)-1</f>
        <v>9.6948737808078E-4</v>
      </c>
      <c r="AV341" s="10">
        <f>IF(Tabela3[Cotação]&gt;0,($BD$1/Tabela3[[#This Row],[Cotação]]-MOD($BD$1/Tabela3[[#This Row],[Cotação]],100)),)</f>
        <v>0</v>
      </c>
      <c r="AW341" s="7">
        <f>Tabela3[[#This Row],[Ativos]]*Tabela3[Lucro]</f>
        <v>0</v>
      </c>
      <c r="AX341" s="7">
        <f>SUMPRODUCT(N(Tabela1[Código]=Tabela3[[#This Row],[PAPEL]]),Tabela1[Fechamento])</f>
        <v>0</v>
      </c>
      <c r="AY341" s="7">
        <f>SUMPRODUCT(N(Tabela17[Código]=Tabela3[[#This Row],[PAPEL]]),Tabela17[Fechamento])</f>
        <v>0</v>
      </c>
      <c r="AZ341" s="7">
        <f>SUMPRODUCT(N(Tabela176[Código]=Tabela3[[#This Row],[PAPEL]]),Tabela176[Fechamento])</f>
        <v>0</v>
      </c>
      <c r="BA341" s="7">
        <f>SUMPRODUCT(N(Tabela1768[Código]=Tabela3[[#This Row],[PAPEL]]),Tabela1768[Fechamento])</f>
        <v>0</v>
      </c>
      <c r="BB341" s="7">
        <f>SUMPRODUCT(N(Tabela17683[Código]=Tabela3[[#This Row],[PAPEL]]),Tabela17683[Fechamento])</f>
        <v>4.66</v>
      </c>
    </row>
    <row r="342" spans="1:54" hidden="1" x14ac:dyDescent="0.2">
      <c r="A342" s="3" t="s">
        <v>1173</v>
      </c>
      <c r="B342" s="58" t="s">
        <v>1180</v>
      </c>
      <c r="C342" s="16" t="str">
        <f>LEFT(Tabela3[PAPEL],LEN(Tabela3[PAPEL])-(LEN(Tabela3[PAPEL])-4))</f>
        <v>SLED</v>
      </c>
      <c r="D342" s="16">
        <v>3</v>
      </c>
      <c r="E342" s="5">
        <v>279901000</v>
      </c>
      <c r="F342" s="56">
        <v>9622313</v>
      </c>
      <c r="G342" s="81">
        <v>0.25</v>
      </c>
      <c r="H342" s="87"/>
      <c r="J342" s="18"/>
      <c r="K342" s="16"/>
      <c r="L342" s="87"/>
      <c r="M342" s="54"/>
      <c r="N342" s="54"/>
      <c r="O342" s="54"/>
      <c r="P342" s="91">
        <v>509456000</v>
      </c>
      <c r="Q342" s="73">
        <v>1040000</v>
      </c>
      <c r="R342" s="73">
        <f>IF(Tabela3[[#This Row],[Ativo || Passivo]]&gt;0,Tabela3[[#This Row],[Ativo || Passivo]]-Tabela3[[#This Row],[Patrimônio Líquido]],0)</f>
        <v>0</v>
      </c>
      <c r="S342" s="73">
        <f>Tabela3[[#This Row],[Cotação]]*Tabela3[[#This Row],[Total Ações]]</f>
        <v>528456353.04000002</v>
      </c>
      <c r="T342" s="37">
        <f>IF(Tabela3[[#This Row],[Passivo Circulante]]&gt;0,Tabela3[[#This Row],[Ativo Circulante]]/Tabela3[[#This Row],[Passivo Circulante]],0)</f>
        <v>0</v>
      </c>
      <c r="U342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42" s="18">
        <f>IF(Tabela3[[#This Row],[Lucro Líquido]]&gt;0,Tabela3[[#This Row],[Lucro Líquido]]/Tabela3[[#This Row],[Patrimônio Líquido]],0)</f>
        <v>2.0413931723249896E-3</v>
      </c>
      <c r="W342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42" s="18">
        <f>IF(Tabela3[[#This Row],[Dívida]]&gt;0,Tabela3[[#This Row],[Dívida]]/Tabela3[[#This Row],[Patrimônio Líquido]],0)</f>
        <v>0</v>
      </c>
      <c r="Y342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42" s="7">
        <f>Tabela3[[#This Row],[Capital Social]]*20%</f>
        <v>55980200</v>
      </c>
      <c r="AA342" s="47">
        <f>IF((Tabela3[Lucro Líquido]*5%)&gt;Tabela3[Teto R. Legal],Tabela3[Teto R. Legal],Tabela3[Lucro Líquido]*5%)</f>
        <v>52000</v>
      </c>
      <c r="AB342" s="47">
        <f>IF(Tabela3[Lucro Líquido]&lt;0,0,Tabela3[Lucro Líquido]-Tabela3[Reserva Legal])</f>
        <v>988000</v>
      </c>
      <c r="AC342" s="47">
        <f>Tabela3[[#This Row],[Lucro Distribuir]]*Tabela3[%Div]</f>
        <v>247000</v>
      </c>
      <c r="AD342" s="56">
        <f>SUMPRODUCT(N(Tabela3[Nome]=Tabela3[[#This Row],[Nome]]),Tabela3[Ações])</f>
        <v>28596123</v>
      </c>
      <c r="AE342" s="85">
        <f>Tabela3[Capital Social]/Tabela3[Total Ações]</f>
        <v>9.7880751177353655</v>
      </c>
      <c r="AF342" s="85">
        <f>Tabela3[[#This Row],[Lucro Líquido]]/Tabela3[[#This Row],[Total Ações]]</f>
        <v>3.6368566466160462E-2</v>
      </c>
      <c r="AG342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8.6375345357131098E-3</v>
      </c>
      <c r="AH342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42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42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8.6375345357131098E-3</v>
      </c>
      <c r="AK342" s="7">
        <f>Tabela3[Div Base]*Tabela3[Ações]</f>
        <v>83113.060850941227</v>
      </c>
      <c r="AL342" s="121">
        <f>SUMPRODUCT(N(Tabela3[Nome]=Tabela3[[#This Row],[Nome]]),Tabela3[Div Base]*Tabela3[Ações])</f>
        <v>247000</v>
      </c>
      <c r="AM342" s="5">
        <f>Tabela3[Patrimônio Líquido]/Tabela3[Total Ações]</f>
        <v>17.815561920754082</v>
      </c>
      <c r="AN342" s="52">
        <f>MAX(Tabela3[[#This Row],[Cotação 1]:[Cotação 5]])</f>
        <v>18.48</v>
      </c>
      <c r="AO342" s="53">
        <f>Tabela3[Cotação]/Tabela3[VPA]</f>
        <v>1.0372953759304042</v>
      </c>
      <c r="AP342" s="37">
        <f>IF(Tabela3[[#This Row],[Lucro/Ação]]&gt;0,Tabela3[[#This Row],[Cotação]]/(Tabela3[[#This Row],[Lucro/Ação]]/Tabela3[Ref]*4),0)</f>
        <v>381.09833151923078</v>
      </c>
      <c r="AQ342" s="85">
        <f>Tabela3[Lucro Distribuir]/Tabela3[Total Ações]</f>
        <v>3.4550138142852439E-2</v>
      </c>
      <c r="AR342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8.6375345357131098E-3</v>
      </c>
      <c r="AS342" s="10" t="str">
        <f>IF(AND(Tabela3[% A.A.]&gt;=6%,SUMPRODUCT(N(Tabela3[Nome]=Tabela3[[#This Row],[Nome]]),Tabela3[PL])&gt;0,Tabela3[Rentabilidade s/ PL]&gt;=Tabela3[Rentabilidade s/ PL Média]),"Sim","Não")</f>
        <v>Não</v>
      </c>
      <c r="AT342" s="22">
        <f>IF(Tabela3[Cotação]&gt;0,Tabela3[[#This Row],[Lucro]]/Tabela3[[#This Row],[Cotação]],0)</f>
        <v>4.6739905496283058E-4</v>
      </c>
      <c r="AU342" s="22">
        <f>((1+Tabela3[[#This Row],[% Yield]])^(1/(3*Tabela3[[#This Row],[Ref]])))^(12)-1</f>
        <v>6.2324728199358859E-4</v>
      </c>
      <c r="AV342" s="10">
        <f>IF(Tabela3[Cotação]&gt;0,($BD$1/Tabela3[[#This Row],[Cotação]]-MOD($BD$1/Tabela3[[#This Row],[Cotação]],100)),)</f>
        <v>0</v>
      </c>
      <c r="AW342" s="7">
        <f>Tabela3[[#This Row],[Ativos]]*Tabela3[Lucro]</f>
        <v>0</v>
      </c>
      <c r="AX342" s="7">
        <f>SUMPRODUCT(N(Tabela1[Código]=Tabela3[[#This Row],[PAPEL]]),Tabela1[Fechamento])</f>
        <v>0</v>
      </c>
      <c r="AY342" s="7">
        <f>SUMPRODUCT(N(Tabela17[Código]=Tabela3[[#This Row],[PAPEL]]),Tabela17[Fechamento])</f>
        <v>0</v>
      </c>
      <c r="AZ342" s="7">
        <f>SUMPRODUCT(N(Tabela176[Código]=Tabela3[[#This Row],[PAPEL]]),Tabela176[Fechamento])</f>
        <v>0</v>
      </c>
      <c r="BA342" s="7">
        <f>SUMPRODUCT(N(Tabela1768[Código]=Tabela3[[#This Row],[PAPEL]]),Tabela1768[Fechamento])</f>
        <v>18.48</v>
      </c>
      <c r="BB342" s="7">
        <f>SUMPRODUCT(N(Tabela17683[Código]=Tabela3[[#This Row],[PAPEL]]),Tabela17683[Fechamento])</f>
        <v>0</v>
      </c>
    </row>
    <row r="343" spans="1:54" hidden="1" x14ac:dyDescent="0.2">
      <c r="A343" s="3" t="s">
        <v>1173</v>
      </c>
      <c r="B343" s="58" t="s">
        <v>1181</v>
      </c>
      <c r="C343" s="16" t="str">
        <f>LEFT(Tabela3[PAPEL],LEN(Tabela3[PAPEL])-(LEN(Tabela3[PAPEL])-4))</f>
        <v>SLED</v>
      </c>
      <c r="D343" s="16">
        <v>3</v>
      </c>
      <c r="E343" s="5">
        <v>279901000</v>
      </c>
      <c r="F343" s="56">
        <v>18973810</v>
      </c>
      <c r="G343" s="81">
        <v>0.25</v>
      </c>
      <c r="H343" s="87"/>
      <c r="J343" s="18"/>
      <c r="K343" s="16"/>
      <c r="L343" s="87"/>
      <c r="M343" s="54"/>
      <c r="N343" s="54"/>
      <c r="O343" s="54"/>
      <c r="P343" s="91">
        <v>509456000</v>
      </c>
      <c r="Q343" s="73">
        <v>1040000</v>
      </c>
      <c r="R343" s="73">
        <f>IF(Tabela3[[#This Row],[Ativo || Passivo]]&gt;0,Tabela3[[#This Row],[Ativo || Passivo]]-Tabela3[[#This Row],[Patrimônio Líquido]],0)</f>
        <v>0</v>
      </c>
      <c r="S343" s="73">
        <f>Tabela3[[#This Row],[Cotação]]*Tabela3[[#This Row],[Total Ações]]</f>
        <v>536463267.48000002</v>
      </c>
      <c r="T343" s="37">
        <f>IF(Tabela3[[#This Row],[Passivo Circulante]]&gt;0,Tabela3[[#This Row],[Ativo Circulante]]/Tabela3[[#This Row],[Passivo Circulante]],0)</f>
        <v>0</v>
      </c>
      <c r="U343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43" s="18">
        <f>IF(Tabela3[[#This Row],[Lucro Líquido]]&gt;0,Tabela3[[#This Row],[Lucro Líquido]]/Tabela3[[#This Row],[Patrimônio Líquido]],0)</f>
        <v>2.0413931723249896E-3</v>
      </c>
      <c r="W343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43" s="18">
        <f>IF(Tabela3[[#This Row],[Dívida]]&gt;0,Tabela3[[#This Row],[Dívida]]/Tabela3[[#This Row],[Patrimônio Líquido]],0)</f>
        <v>0</v>
      </c>
      <c r="Y343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43" s="7">
        <f>Tabela3[[#This Row],[Capital Social]]*20%</f>
        <v>55980200</v>
      </c>
      <c r="AA343" s="47">
        <f>IF((Tabela3[Lucro Líquido]*5%)&gt;Tabela3[Teto R. Legal],Tabela3[Teto R. Legal],Tabela3[Lucro Líquido]*5%)</f>
        <v>52000</v>
      </c>
      <c r="AB343" s="47">
        <f>IF(Tabela3[Lucro Líquido]&lt;0,0,Tabela3[Lucro Líquido]-Tabela3[Reserva Legal])</f>
        <v>988000</v>
      </c>
      <c r="AC343" s="47">
        <f>Tabela3[[#This Row],[Lucro Distribuir]]*Tabela3[%Div]</f>
        <v>247000</v>
      </c>
      <c r="AD343" s="56">
        <f>SUMPRODUCT(N(Tabela3[Nome]=Tabela3[[#This Row],[Nome]]),Tabela3[Ações])</f>
        <v>28596123</v>
      </c>
      <c r="AE343" s="85">
        <f>Tabela3[Capital Social]/Tabela3[Total Ações]</f>
        <v>9.7880751177353655</v>
      </c>
      <c r="AF343" s="85">
        <f>Tabela3[[#This Row],[Lucro Líquido]]/Tabela3[[#This Row],[Total Ações]]</f>
        <v>3.6368566466160462E-2</v>
      </c>
      <c r="AG343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8.6375345357131098E-3</v>
      </c>
      <c r="AH343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43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43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8.6375345357131098E-3</v>
      </c>
      <c r="AK343" s="7">
        <f>Tabela3[Div Base]*Tabela3[Ações]</f>
        <v>163886.93914905877</v>
      </c>
      <c r="AL343" s="121">
        <f>SUMPRODUCT(N(Tabela3[Nome]=Tabela3[[#This Row],[Nome]]),Tabela3[Div Base]*Tabela3[Ações])</f>
        <v>247000</v>
      </c>
      <c r="AM343" s="5">
        <f>Tabela3[Patrimônio Líquido]/Tabela3[Total Ações]</f>
        <v>17.815561920754082</v>
      </c>
      <c r="AN343" s="52">
        <f>MAX(Tabela3[[#This Row],[Cotação 1]:[Cotação 5]])</f>
        <v>18.760000000000002</v>
      </c>
      <c r="AO343" s="53">
        <f>Tabela3[Cotação]/Tabela3[VPA]</f>
        <v>1.0530119725354106</v>
      </c>
      <c r="AP343" s="37">
        <f>IF(Tabela3[[#This Row],[Lucro/Ação]]&gt;0,Tabela3[[#This Row],[Cotação]]/(Tabela3[[#This Row],[Lucro/Ação]]/Tabela3[Ref]*4),0)</f>
        <v>386.8725486634616</v>
      </c>
      <c r="AQ343" s="85">
        <f>Tabela3[Lucro Distribuir]/Tabela3[Total Ações]</f>
        <v>3.4550138142852439E-2</v>
      </c>
      <c r="AR343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8.6375345357131098E-3</v>
      </c>
      <c r="AS343" s="10" t="str">
        <f>IF(AND(Tabela3[% A.A.]&gt;=6%,SUMPRODUCT(N(Tabela3[Nome]=Tabela3[[#This Row],[Nome]]),Tabela3[PL])&gt;0,Tabela3[Rentabilidade s/ PL]&gt;=Tabela3[Rentabilidade s/ PL Média]),"Sim","Não")</f>
        <v>Não</v>
      </c>
      <c r="AT343" s="22">
        <f>IF(Tabela3[Cotação]&gt;0,Tabela3[[#This Row],[Lucro]]/Tabela3[[#This Row],[Cotação]],0)</f>
        <v>4.6042294966487787E-4</v>
      </c>
      <c r="AU343" s="22">
        <f>((1+Tabela3[[#This Row],[% Yield]])^(1/(3*Tabela3[[#This Row],[Ref]])))^(12)-1</f>
        <v>6.1394437013362335E-4</v>
      </c>
      <c r="AV343" s="10">
        <f>IF(Tabela3[Cotação]&gt;0,($BD$1/Tabela3[[#This Row],[Cotação]]-MOD($BD$1/Tabela3[[#This Row],[Cotação]],100)),)</f>
        <v>0</v>
      </c>
      <c r="AW343" s="7">
        <f>Tabela3[[#This Row],[Ativos]]*Tabela3[Lucro]</f>
        <v>0</v>
      </c>
      <c r="AX343" s="7">
        <f>SUMPRODUCT(N(Tabela1[Código]=Tabela3[[#This Row],[PAPEL]]),Tabela1[Fechamento])</f>
        <v>0</v>
      </c>
      <c r="AY343" s="7">
        <f>SUMPRODUCT(N(Tabela17[Código]=Tabela3[[#This Row],[PAPEL]]),Tabela17[Fechamento])</f>
        <v>0</v>
      </c>
      <c r="AZ343" s="7">
        <f>SUMPRODUCT(N(Tabela176[Código]=Tabela3[[#This Row],[PAPEL]]),Tabela176[Fechamento])</f>
        <v>0</v>
      </c>
      <c r="BA343" s="7">
        <f>SUMPRODUCT(N(Tabela1768[Código]=Tabela3[[#This Row],[PAPEL]]),Tabela1768[Fechamento])</f>
        <v>18.760000000000002</v>
      </c>
      <c r="BB343" s="7">
        <f>SUMPRODUCT(N(Tabela17683[Código]=Tabela3[[#This Row],[PAPEL]]),Tabela17683[Fechamento])</f>
        <v>0</v>
      </c>
    </row>
    <row r="344" spans="1:54" hidden="1" x14ac:dyDescent="0.2">
      <c r="A344" s="3" t="s">
        <v>269</v>
      </c>
      <c r="B344" s="58" t="s">
        <v>270</v>
      </c>
      <c r="C344" s="83" t="str">
        <f>LEFT(Tabela3[PAPEL],LEN(Tabela3[PAPEL])-(LEN(Tabela3[PAPEL])-4))</f>
        <v>CSAN</v>
      </c>
      <c r="D344" s="16">
        <v>3</v>
      </c>
      <c r="E344" s="5">
        <v>4691822291.1300001</v>
      </c>
      <c r="F344" s="21">
        <v>407214353</v>
      </c>
      <c r="G344" s="81">
        <v>0.25</v>
      </c>
      <c r="H344" s="16"/>
      <c r="J344" s="18"/>
      <c r="K344" s="87"/>
      <c r="L344" s="87"/>
      <c r="M344" s="54"/>
      <c r="N344" s="54"/>
      <c r="O344" s="54"/>
      <c r="P344" s="5">
        <v>9543805000</v>
      </c>
      <c r="Q344" s="6">
        <v>10847000</v>
      </c>
      <c r="R344" s="6">
        <f>IF(Tabela3[[#This Row],[Ativo || Passivo]]&gt;0,Tabela3[[#This Row],[Ativo || Passivo]]-Tabela3[[#This Row],[Patrimônio Líquido]],0)</f>
        <v>0</v>
      </c>
      <c r="S344" s="6">
        <f>Tabela3[[#This Row],[Cotação]]*Tabela3[[#This Row],[Total Ações]]</f>
        <v>13751628700.810001</v>
      </c>
      <c r="T344" s="134">
        <f>IF(Tabela3[[#This Row],[Passivo Circulante]]&gt;0,Tabela3[[#This Row],[Ativo Circulante]]/Tabela3[[#This Row],[Passivo Circulante]],0)</f>
        <v>0</v>
      </c>
      <c r="U344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44" s="19">
        <f>IF(Tabela3[[#This Row],[Lucro Líquido]]&gt;0,Tabela3[[#This Row],[Lucro Líquido]]/Tabela3[[#This Row],[Patrimônio Líquido]],0)</f>
        <v>1.1365487874071191E-3</v>
      </c>
      <c r="W344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44" s="19">
        <f>IF(Tabela3[[#This Row],[Dívida]]&gt;0,Tabela3[[#This Row],[Dívida]]/Tabela3[[#This Row],[Patrimônio Líquido]],0)</f>
        <v>0</v>
      </c>
      <c r="Y344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44" s="5">
        <f>Tabela3[[#This Row],[Capital Social]]*20%</f>
        <v>938364458.22600007</v>
      </c>
      <c r="AA344" s="5">
        <f>IF((Tabela3[Lucro Líquido]*5%)&gt;Tabela3[Teto R. Legal],Tabela3[Teto R. Legal],Tabela3[Lucro Líquido]*5%)</f>
        <v>542350</v>
      </c>
      <c r="AB344" s="5">
        <f>IF(Tabela3[Lucro Líquido]&lt;0,0,Tabela3[Lucro Líquido]-Tabela3[Reserva Legal])</f>
        <v>10304650</v>
      </c>
      <c r="AC344" s="5">
        <f>Tabela3[[#This Row],[Lucro Distribuir]]*Tabela3[%Div]</f>
        <v>2576162.5</v>
      </c>
      <c r="AD344" s="56">
        <f>SUMPRODUCT(N(Tabela3[Nome]=Tabela3[[#This Row],[Nome]]),Tabela3[Ações])</f>
        <v>407214353</v>
      </c>
      <c r="AE344" s="5">
        <f>Tabela3[Capital Social]/Tabela3[Total Ações]</f>
        <v>11.521750784481803</v>
      </c>
      <c r="AF344" s="77">
        <f>Tabela3[[#This Row],[Lucro Líquido]]/Tabela3[[#This Row],[Total Ações]]</f>
        <v>2.6637076812466874E-2</v>
      </c>
      <c r="AG344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6.326305742960882E-3</v>
      </c>
      <c r="AH344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44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44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6.326305742960882E-3</v>
      </c>
      <c r="AK344" s="5">
        <f>Tabela3[Div Base]*Tabela3[Ações]</f>
        <v>2576162.5</v>
      </c>
      <c r="AL344" s="5">
        <f>SUMPRODUCT(N(Tabela3[Nome]=Tabela3[[#This Row],[Nome]]),Tabela3[Div Base]*Tabela3[Ações])</f>
        <v>2576162.5</v>
      </c>
      <c r="AM344" s="5">
        <f>Tabela3[Patrimônio Líquido]/Tabela3[Total Ações]</f>
        <v>23.436808967290993</v>
      </c>
      <c r="AN344" s="52">
        <f>MAX(Tabela3[[#This Row],[Cotação 1]:[Cotação 5]])</f>
        <v>33.770000000000003</v>
      </c>
      <c r="AO344" s="53">
        <f>Tabela3[Cotação]/Tabela3[VPA]</f>
        <v>1.440895816795293</v>
      </c>
      <c r="AP344" s="37">
        <f>IF(Tabela3[[#This Row],[Lucro/Ação]]&gt;0,Tabela3[[#This Row],[Cotação]]/(Tabela3[[#This Row],[Lucro/Ação]]/Tabela3[Ref]*4),0)</f>
        <v>950.83631654904582</v>
      </c>
      <c r="AQ344" s="77">
        <f>Tabela3[Lucro Distribuir]/Tabela3[Total Ações]</f>
        <v>2.5305222971843528E-2</v>
      </c>
      <c r="AR344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6.326305742960882E-3</v>
      </c>
      <c r="AS344" s="16" t="str">
        <f>IF(AND(Tabela3[% A.A.]&gt;=6%,SUMPRODUCT(N(Tabela3[Nome]=Tabela3[[#This Row],[Nome]]),Tabela3[PL])&gt;0,Tabela3[Rentabilidade s/ PL]&gt;=Tabela3[Rentabilidade s/ PL Média]),"Sim","Não")</f>
        <v>Não</v>
      </c>
      <c r="AT344" s="22">
        <f>IF(Tabela3[Cotação]&gt;0,Tabela3[[#This Row],[Lucro]]/Tabela3[[#This Row],[Cotação]],0)</f>
        <v>1.873350827053859E-4</v>
      </c>
      <c r="AU344" s="18">
        <f>((1+Tabela3[[#This Row],[% Yield]])^(1/(3*Tabela3[[#This Row],[Ref]])))^(12)-1</f>
        <v>2.497879087122179E-4</v>
      </c>
      <c r="AV344" s="10">
        <f>IF(Tabela3[Cotação]&gt;0,($BH$1/Tabela3[[#This Row],[Cotação]]-MOD($BH$1/Tabela3[[#This Row],[Cotação]],100)),)</f>
        <v>0</v>
      </c>
      <c r="AW344" s="7">
        <f>Tabela3[[#This Row],[Ativos]]*Tabela3[Lucro]</f>
        <v>0</v>
      </c>
      <c r="AX344" s="47">
        <f>SUMPRODUCT(N(Tabela1[Código]=Tabela3[[#This Row],[PAPEL]]),Tabela1[Fechamento])</f>
        <v>0</v>
      </c>
      <c r="AY344" s="54">
        <f>SUMPRODUCT(N(Tabela17[Código]=Tabela3[[#This Row],[PAPEL]]),Tabela17[Fechamento])</f>
        <v>33.770000000000003</v>
      </c>
      <c r="AZ344" s="7">
        <f>SUMPRODUCT(N(Tabela176[Código]=Tabela3[[#This Row],[PAPEL]]),Tabela176[Fechamento])</f>
        <v>0</v>
      </c>
      <c r="BA344" s="7">
        <f>SUMPRODUCT(N(Tabela1768[Código]=Tabela3[[#This Row],[PAPEL]]),Tabela1768[Fechamento])</f>
        <v>0</v>
      </c>
      <c r="BB344" s="7">
        <f>SUMPRODUCT(N(Tabela17683[Código]=Tabela3[[#This Row],[PAPEL]]),Tabela17683[Fechamento])</f>
        <v>0</v>
      </c>
    </row>
    <row r="345" spans="1:54" hidden="1" x14ac:dyDescent="0.2">
      <c r="A345" s="4" t="s">
        <v>335</v>
      </c>
      <c r="B345" s="128" t="s">
        <v>635</v>
      </c>
      <c r="C345" s="15" t="str">
        <f>LEFT(Tabela3[PAPEL],LEN(Tabela3[PAPEL])-(LEN(Tabela3[PAPEL])-4))</f>
        <v>DUQE</v>
      </c>
      <c r="D345" s="15">
        <v>3</v>
      </c>
      <c r="E345" s="6">
        <v>45000000</v>
      </c>
      <c r="F345" s="8">
        <v>1077753</v>
      </c>
      <c r="G345" s="86">
        <v>0.25</v>
      </c>
      <c r="H345" s="9"/>
      <c r="I345" s="19"/>
      <c r="J345" s="19"/>
      <c r="K345" s="88"/>
      <c r="L345" s="88"/>
      <c r="M345" s="55"/>
      <c r="N345" s="55"/>
      <c r="O345" s="55"/>
      <c r="P345" s="92">
        <v>78931000</v>
      </c>
      <c r="Q345" s="93">
        <v>75000</v>
      </c>
      <c r="R345" s="93">
        <f>IF(Tabela3[[#This Row],[Ativo || Passivo]]&gt;0,Tabela3[[#This Row],[Ativo || Passivo]]-Tabela3[[#This Row],[Patrimônio Líquido]],0)</f>
        <v>0</v>
      </c>
      <c r="S345" s="93">
        <f>Tabela3[[#This Row],[Cotação]]*Tabela3[[#This Row],[Total Ações]]</f>
        <v>78848112</v>
      </c>
      <c r="T345" s="40">
        <f>IF(Tabela3[[#This Row],[Passivo Circulante]]&gt;0,Tabela3[[#This Row],[Ativo Circulante]]/Tabela3[[#This Row],[Passivo Circulante]],0)</f>
        <v>0</v>
      </c>
      <c r="U345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45" s="19">
        <f>IF(Tabela3[[#This Row],[Lucro Líquido]]&gt;0,Tabela3[[#This Row],[Lucro Líquido]]/Tabela3[[#This Row],[Patrimônio Líquido]],0)</f>
        <v>9.5019700751289098E-4</v>
      </c>
      <c r="W345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45" s="19">
        <f>IF(Tabela3[[#This Row],[Dívida]]&gt;0,Tabela3[[#This Row],[Dívida]]/Tabela3[[#This Row],[Patrimônio Líquido]],0)</f>
        <v>0</v>
      </c>
      <c r="Y345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45" s="13">
        <f>Tabela3[[#This Row],[Capital Social]]*20%</f>
        <v>9000000</v>
      </c>
      <c r="AA345" s="13">
        <f>IF((Tabela3[Lucro Líquido]*5%)&gt;Tabela3[Teto R. Legal],Tabela3[Teto R. Legal],Tabela3[Lucro Líquido]*5%)</f>
        <v>3750</v>
      </c>
      <c r="AB345" s="13">
        <f>IF(Tabela3[Lucro Líquido]&lt;0,0,Tabela3[Lucro Líquido]-Tabela3[Reserva Legal])</f>
        <v>71250</v>
      </c>
      <c r="AC345" s="13">
        <f>Tabela3[[#This Row],[Lucro Distribuir]]*Tabela3[%Div]</f>
        <v>17812.5</v>
      </c>
      <c r="AD345" s="56">
        <f>SUMPRODUCT(N(Tabela3[Nome]=Tabela3[[#This Row],[Nome]]),Tabela3[Ações])</f>
        <v>2816004</v>
      </c>
      <c r="AE345" s="6">
        <f>Tabela3[Capital Social]/Tabela3[Total Ações]</f>
        <v>15.980090937370827</v>
      </c>
      <c r="AF345" s="78">
        <f>Tabela3[[#This Row],[Lucro Líquido]]/Tabela3[[#This Row],[Total Ações]]</f>
        <v>2.6633484895618047E-2</v>
      </c>
      <c r="AG345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6.1286437772061046E-3</v>
      </c>
      <c r="AH345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45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45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6.1286437772061046E-3</v>
      </c>
      <c r="AK345" s="13">
        <f>Tabela3[Div Base]*Tabela3[Ações]</f>
        <v>6605.1642168152111</v>
      </c>
      <c r="AL345" s="13">
        <f>SUMPRODUCT(N(Tabela3[Nome]=Tabela3[[#This Row],[Nome]]),Tabela3[Div Base]*Tabela3[Ações])</f>
        <v>18323.597524677756</v>
      </c>
      <c r="AM345" s="6">
        <f>Tabela3[Patrimônio Líquido]/Tabela3[Total Ações]</f>
        <v>28.029434617280373</v>
      </c>
      <c r="AN345" s="48">
        <f>MAX(Tabela3[[#This Row],[Cotação 1]:[Cotação 5]])</f>
        <v>28</v>
      </c>
      <c r="AO345" s="44">
        <f>Tabela3[Cotação]/Tabela3[VPA]</f>
        <v>0.99894986760588367</v>
      </c>
      <c r="AP345" s="40">
        <f>IF(Tabela3[[#This Row],[Lucro/Ação]]&gt;0,Tabela3[[#This Row],[Cotação]]/(Tabela3[[#This Row],[Lucro/Ação]]/Tabela3[Ref]*4),0)</f>
        <v>788.48112000000003</v>
      </c>
      <c r="AQ345" s="78">
        <f>Tabela3[Lucro Distribuir]/Tabela3[Total Ações]</f>
        <v>2.5301810650837142E-2</v>
      </c>
      <c r="AR345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6.1286437772061046E-3</v>
      </c>
      <c r="AS345" s="14" t="str">
        <f>IF(AND(Tabela3[% A.A.]&gt;=6%,SUMPRODUCT(N(Tabela3[Nome]=Tabela3[[#This Row],[Nome]]),Tabela3[PL])&gt;0,Tabela3[Rentabilidade s/ PL]&gt;=Tabela3[Rentabilidade s/ PL Média]),"Sim","Não")</f>
        <v>Não</v>
      </c>
      <c r="AT345" s="42">
        <f>IF(Tabela3[Cotação]&gt;0,Tabela3[[#This Row],[Lucro]]/Tabela3[[#This Row],[Cotação]],0)</f>
        <v>2.1888013490021802E-4</v>
      </c>
      <c r="AU345" s="42">
        <f>((1+Tabela3[[#This Row],[% Yield]])^(1/(3*Tabela3[[#This Row],[Ref]])))^(12)-1</f>
        <v>2.9185082568461418E-4</v>
      </c>
      <c r="AV345" s="14">
        <f>IF(Tabela3[Cotação]&gt;0,($BH$1/Tabela3[[#This Row],[Cotação]]-MOD($BH$1/Tabela3[[#This Row],[Cotação]],100)),)</f>
        <v>0</v>
      </c>
      <c r="AW345" s="17">
        <f>Tabela3[[#This Row],[Ativos]]*Tabela3[Lucro]</f>
        <v>0</v>
      </c>
      <c r="AX345" s="17">
        <f>SUMPRODUCT(N(Tabela1[Código]=Tabela3[[#This Row],[PAPEL]]),Tabela1[Fechamento])</f>
        <v>0</v>
      </c>
      <c r="AY345" s="17">
        <f>SUMPRODUCT(N(Tabela17[Código]=Tabela3[[#This Row],[PAPEL]]),Tabela17[Fechamento])</f>
        <v>0</v>
      </c>
      <c r="AZ345" s="17">
        <f>SUMPRODUCT(N(Tabela176[Código]=Tabela3[[#This Row],[PAPEL]]),Tabela176[Fechamento])</f>
        <v>28</v>
      </c>
      <c r="BA345" s="17">
        <f>SUMPRODUCT(N(Tabela1768[Código]=Tabela3[[#This Row],[PAPEL]]),Tabela1768[Fechamento])</f>
        <v>0</v>
      </c>
      <c r="BB345" s="7">
        <f>SUMPRODUCT(N(Tabela17683[Código]=Tabela3[[#This Row],[PAPEL]]),Tabela17683[Fechamento])</f>
        <v>0</v>
      </c>
    </row>
    <row r="346" spans="1:54" hidden="1" x14ac:dyDescent="0.2">
      <c r="A346" s="4" t="s">
        <v>335</v>
      </c>
      <c r="B346" s="128" t="s">
        <v>636</v>
      </c>
      <c r="C346" s="15" t="str">
        <f>LEFT(Tabela3[PAPEL],LEN(Tabela3[PAPEL])-(LEN(Tabela3[PAPEL])-4))</f>
        <v>DUQE</v>
      </c>
      <c r="D346" s="15">
        <v>3</v>
      </c>
      <c r="E346" s="6">
        <v>45000000</v>
      </c>
      <c r="F346" s="8">
        <v>1738251</v>
      </c>
      <c r="G346" s="86">
        <v>0.25</v>
      </c>
      <c r="H346" s="9"/>
      <c r="I346" s="19"/>
      <c r="J346" s="19">
        <v>0.1</v>
      </c>
      <c r="K346" s="88"/>
      <c r="L346" s="88"/>
      <c r="M346" s="55"/>
      <c r="N346" s="55"/>
      <c r="O346" s="55"/>
      <c r="P346" s="92">
        <v>78931000</v>
      </c>
      <c r="Q346" s="93">
        <v>75000</v>
      </c>
      <c r="R346" s="93">
        <f>IF(Tabela3[[#This Row],[Ativo || Passivo]]&gt;0,Tabela3[[#This Row],[Ativo || Passivo]]-Tabela3[[#This Row],[Patrimônio Líquido]],0)</f>
        <v>0</v>
      </c>
      <c r="S346" s="93">
        <f>Tabela3[[#This Row],[Cotação]]*Tabela3[[#This Row],[Total Ações]]</f>
        <v>14080020</v>
      </c>
      <c r="T346" s="40">
        <f>IF(Tabela3[[#This Row],[Passivo Circulante]]&gt;0,Tabela3[[#This Row],[Ativo Circulante]]/Tabela3[[#This Row],[Passivo Circulante]],0)</f>
        <v>0</v>
      </c>
      <c r="U346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46" s="19">
        <f>IF(Tabela3[[#This Row],[Lucro Líquido]]&gt;0,Tabela3[[#This Row],[Lucro Líquido]]/Tabela3[[#This Row],[Patrimônio Líquido]],0)</f>
        <v>9.5019700751289098E-4</v>
      </c>
      <c r="W346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46" s="19">
        <f>IF(Tabela3[[#This Row],[Dívida]]&gt;0,Tabela3[[#This Row],[Dívida]]/Tabela3[[#This Row],[Patrimônio Líquido]],0)</f>
        <v>0</v>
      </c>
      <c r="Y346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46" s="13">
        <f>Tabela3[[#This Row],[Capital Social]]*20%</f>
        <v>9000000</v>
      </c>
      <c r="AA346" s="13">
        <f>IF((Tabela3[Lucro Líquido]*5%)&gt;Tabela3[Teto R. Legal],Tabela3[Teto R. Legal],Tabela3[Lucro Líquido]*5%)</f>
        <v>3750</v>
      </c>
      <c r="AB346" s="13">
        <f>IF(Tabela3[Lucro Líquido]&lt;0,0,Tabela3[Lucro Líquido]-Tabela3[Reserva Legal])</f>
        <v>71250</v>
      </c>
      <c r="AC346" s="13">
        <f>Tabela3[[#This Row],[Lucro Distribuir]]*Tabela3[%Div]</f>
        <v>17812.5</v>
      </c>
      <c r="AD346" s="56">
        <f>SUMPRODUCT(N(Tabela3[Nome]=Tabela3[[#This Row],[Nome]]),Tabela3[Ações])</f>
        <v>2816004</v>
      </c>
      <c r="AE346" s="6">
        <f>Tabela3[Capital Social]/Tabela3[Total Ações]</f>
        <v>15.980090937370827</v>
      </c>
      <c r="AF346" s="78">
        <f>Tabela3[[#This Row],[Lucro Líquido]]/Tabela3[[#This Row],[Total Ações]]</f>
        <v>2.6633484895618047E-2</v>
      </c>
      <c r="AG346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6.7415081641618762E-3</v>
      </c>
      <c r="AH346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46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46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6.7415081641618762E-3</v>
      </c>
      <c r="AK346" s="13">
        <f>Tabela3[Div Base]*Tabela3[Ações]</f>
        <v>11718.433307862546</v>
      </c>
      <c r="AL346" s="13">
        <f>SUMPRODUCT(N(Tabela3[Nome]=Tabela3[[#This Row],[Nome]]),Tabela3[Div Base]*Tabela3[Ações])</f>
        <v>18323.597524677756</v>
      </c>
      <c r="AM346" s="6">
        <f>Tabela3[Patrimônio Líquido]/Tabela3[Total Ações]</f>
        <v>28.029434617280373</v>
      </c>
      <c r="AN346" s="48">
        <f>MAX(Tabela3[[#This Row],[Cotação 1]:[Cotação 5]])</f>
        <v>5</v>
      </c>
      <c r="AO346" s="44">
        <f>Tabela3[Cotação]/Tabela3[VPA]</f>
        <v>0.17838390492962208</v>
      </c>
      <c r="AP346" s="40">
        <f>IF(Tabela3[[#This Row],[Lucro/Ação]]&gt;0,Tabela3[[#This Row],[Cotação]]/(Tabela3[[#This Row],[Lucro/Ação]]/Tabela3[Ref]*4),0)</f>
        <v>140.80019999999999</v>
      </c>
      <c r="AQ346" s="78">
        <f>Tabela3[Lucro Distribuir]/Tabela3[Total Ações]</f>
        <v>2.5301810650837142E-2</v>
      </c>
      <c r="AR346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6.7415081641618762E-3</v>
      </c>
      <c r="AS346" s="14" t="str">
        <f>IF(AND(Tabela3[% A.A.]&gt;=6%,SUMPRODUCT(N(Tabela3[Nome]=Tabela3[[#This Row],[Nome]]),Tabela3[PL])&gt;0,Tabela3[Rentabilidade s/ PL]&gt;=Tabela3[Rentabilidade s/ PL Média]),"Sim","Não")</f>
        <v>Não</v>
      </c>
      <c r="AT346" s="42">
        <f>IF(Tabela3[Cotação]&gt;0,Tabela3[[#This Row],[Lucro]]/Tabela3[[#This Row],[Cotação]],0)</f>
        <v>1.3483016328323751E-3</v>
      </c>
      <c r="AU346" s="42">
        <f>((1+Tabela3[[#This Row],[% Yield]])^(1/(3*Tabela3[[#This Row],[Ref]])))^(12)-1</f>
        <v>1.7981393710906346E-3</v>
      </c>
      <c r="AV346" s="14">
        <f>IF(Tabela3[Cotação]&gt;0,($BH$1/Tabela3[[#This Row],[Cotação]]-MOD($BH$1/Tabela3[[#This Row],[Cotação]],100)),)</f>
        <v>100</v>
      </c>
      <c r="AW346" s="17">
        <f>Tabela3[[#This Row],[Ativos]]*Tabela3[Lucro]</f>
        <v>0.67415081641618757</v>
      </c>
      <c r="AX346" s="17">
        <f>SUMPRODUCT(N(Tabela1[Código]=Tabela3[[#This Row],[PAPEL]]),Tabela1[Fechamento])</f>
        <v>0</v>
      </c>
      <c r="AY346" s="17">
        <f>SUMPRODUCT(N(Tabela17[Código]=Tabela3[[#This Row],[PAPEL]]),Tabela17[Fechamento])</f>
        <v>0</v>
      </c>
      <c r="AZ346" s="17">
        <f>SUMPRODUCT(N(Tabela176[Código]=Tabela3[[#This Row],[PAPEL]]),Tabela176[Fechamento])</f>
        <v>5</v>
      </c>
      <c r="BA346" s="17">
        <f>SUMPRODUCT(N(Tabela1768[Código]=Tabela3[[#This Row],[PAPEL]]),Tabela1768[Fechamento])</f>
        <v>0</v>
      </c>
      <c r="BB346" s="7">
        <f>SUMPRODUCT(N(Tabela17683[Código]=Tabela3[[#This Row],[PAPEL]]),Tabela17683[Fechamento])</f>
        <v>0</v>
      </c>
    </row>
    <row r="347" spans="1:54" hidden="1" x14ac:dyDescent="0.2">
      <c r="A347" s="4" t="s">
        <v>26</v>
      </c>
      <c r="B347" s="57" t="s">
        <v>709</v>
      </c>
      <c r="C347" s="15" t="str">
        <f>LEFT(Tabela3[PAPEL],LEN(Tabela3[PAPEL])-(LEN(Tabela3[PAPEL])-4))</f>
        <v>PEAB</v>
      </c>
      <c r="D347" s="15">
        <v>3</v>
      </c>
      <c r="E347" s="6">
        <v>400000000</v>
      </c>
      <c r="F347" s="8">
        <v>6425139</v>
      </c>
      <c r="G347" s="86">
        <v>0.25</v>
      </c>
      <c r="H347" s="15"/>
      <c r="I347" s="19"/>
      <c r="J347" s="19"/>
      <c r="K347" s="88"/>
      <c r="L347" s="88"/>
      <c r="M347" s="55"/>
      <c r="N347" s="55"/>
      <c r="O347" s="55"/>
      <c r="P347" s="92">
        <v>525856000</v>
      </c>
      <c r="Q347" s="93">
        <v>84000</v>
      </c>
      <c r="R347" s="93">
        <f>IF(Tabela3[[#This Row],[Ativo || Passivo]]&gt;0,Tabela3[[#This Row],[Ativo || Passivo]]-Tabela3[[#This Row],[Patrimônio Líquido]],0)</f>
        <v>0</v>
      </c>
      <c r="S347" s="93">
        <f>Tabela3[[#This Row],[Cotação]]*Tabela3[[#This Row],[Total Ações]]</f>
        <v>385508340</v>
      </c>
      <c r="T347" s="40">
        <f>IF(Tabela3[[#This Row],[Passivo Circulante]]&gt;0,Tabela3[[#This Row],[Ativo Circulante]]/Tabela3[[#This Row],[Passivo Circulante]],0)</f>
        <v>0</v>
      </c>
      <c r="U347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47" s="19">
        <f>IF(Tabela3[[#This Row],[Lucro Líquido]]&gt;0,Tabela3[[#This Row],[Lucro Líquido]]/Tabela3[[#This Row],[Patrimônio Líquido]],0)</f>
        <v>1.59739548469543E-4</v>
      </c>
      <c r="W347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47" s="19">
        <f>IF(Tabela3[[#This Row],[Dívida]]&gt;0,Tabela3[[#This Row],[Dívida]]/Tabela3[[#This Row],[Patrimônio Líquido]],0)</f>
        <v>0</v>
      </c>
      <c r="Y347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47" s="13">
        <f>Tabela3[[#This Row],[Capital Social]]*20%</f>
        <v>80000000</v>
      </c>
      <c r="AA347" s="13">
        <f>IF((Tabela3[Lucro Líquido]*5%)&gt;Tabela3[Teto R. Legal],Tabela3[Teto R. Legal],Tabela3[Lucro Líquido]*5%)</f>
        <v>4200</v>
      </c>
      <c r="AB347" s="13">
        <f>IF(Tabela3[Lucro Líquido]&lt;0,0,Tabela3[Lucro Líquido]-Tabela3[Reserva Legal])</f>
        <v>79800</v>
      </c>
      <c r="AC347" s="13">
        <f>Tabela3[[#This Row],[Lucro Distribuir]]*Tabela3[%Div]</f>
        <v>19950</v>
      </c>
      <c r="AD347" s="56">
        <f>SUMPRODUCT(N(Tabela3[Nome]=Tabela3[[#This Row],[Nome]]),Tabela3[Ações])</f>
        <v>12850278</v>
      </c>
      <c r="AE347" s="6">
        <f>Tabela3[Capital Social]/Tabela3[Total Ações]</f>
        <v>31.127731244413546</v>
      </c>
      <c r="AF347" s="78">
        <f>Tabela3[[#This Row],[Lucro Líquido]]/Tabela3[[#This Row],[Total Ações]]</f>
        <v>6.5368235613268441E-3</v>
      </c>
      <c r="AG347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1.5041915543095644E-3</v>
      </c>
      <c r="AH347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47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47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1.5041915543095644E-3</v>
      </c>
      <c r="AK347" s="13">
        <f>Tabela3[Div Base]*Tabela3[Ações]</f>
        <v>9664.6398190649998</v>
      </c>
      <c r="AL347" s="13">
        <f>SUMPRODUCT(N(Tabela3[Nome]=Tabela3[[#This Row],[Nome]]),Tabela3[Div Base]*Tabela3[Ações])</f>
        <v>20295.743634600003</v>
      </c>
      <c r="AM347" s="6">
        <f>Tabela3[Patrimônio Líquido]/Tabela3[Total Ações]</f>
        <v>40.921760603155825</v>
      </c>
      <c r="AN347" s="48">
        <f>MAX(Tabela3[[#This Row],[Cotação 1]:[Cotação 5]])</f>
        <v>30</v>
      </c>
      <c r="AO347" s="44">
        <f>Tabela3[Cotação]/Tabela3[VPA]</f>
        <v>0.73310628765289354</v>
      </c>
      <c r="AP347" s="40">
        <f>IF(Tabela3[[#This Row],[Lucro/Ação]]&gt;0,Tabela3[[#This Row],[Cotação]]/(Tabela3[[#This Row],[Lucro/Ação]]/Tabela3[Ref]*4),0)</f>
        <v>3442.0387500000002</v>
      </c>
      <c r="AQ347" s="78">
        <f>Tabela3[Lucro Distribuir]/Tabela3[Total Ações]</f>
        <v>6.2099823832605025E-3</v>
      </c>
      <c r="AR347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1.5041915543095644E-3</v>
      </c>
      <c r="AS347" s="14" t="str">
        <f>IF(AND(Tabela3[% A.A.]&gt;=6%,SUMPRODUCT(N(Tabela3[Nome]=Tabela3[[#This Row],[Nome]]),Tabela3[PL])&gt;0,Tabela3[Rentabilidade s/ PL]&gt;=Tabela3[Rentabilidade s/ PL Média]),"Sim","Não")</f>
        <v>Não</v>
      </c>
      <c r="AT347" s="42">
        <f>IF(Tabela3[Cotação]&gt;0,Tabela3[[#This Row],[Lucro]]/Tabela3[[#This Row],[Cotação]],0)</f>
        <v>5.0139718476985482E-5</v>
      </c>
      <c r="AU347" s="42">
        <f>((1+Tabela3[[#This Row],[% Yield]])^(1/(3*Tabela3[[#This Row],[Ref]])))^(12)-1</f>
        <v>6.6853516628384568E-5</v>
      </c>
      <c r="AV347" s="14">
        <f>IF(Tabela3[Cotação]&gt;0,($BD$1/Tabela3[[#This Row],[Cotação]]-MOD($BD$1/Tabela3[[#This Row],[Cotação]],100)),)</f>
        <v>0</v>
      </c>
      <c r="AW347" s="17">
        <f>Tabela3[[#This Row],[Ativos]]*Tabela3[Lucro]</f>
        <v>0</v>
      </c>
      <c r="AX347" s="17">
        <f>SUMPRODUCT(N(Tabela1[Código]=Tabela3[[#This Row],[PAPEL]]),Tabela1[Fechamento])</f>
        <v>0</v>
      </c>
      <c r="AY347" s="17">
        <f>SUMPRODUCT(N(Tabela17[Código]=Tabela3[[#This Row],[PAPEL]]),Tabela17[Fechamento])</f>
        <v>0</v>
      </c>
      <c r="AZ347" s="17">
        <f>SUMPRODUCT(N(Tabela176[Código]=Tabela3[[#This Row],[PAPEL]]),Tabela176[Fechamento])</f>
        <v>30</v>
      </c>
      <c r="BA347" s="17">
        <f>SUMPRODUCT(N(Tabela1768[Código]=Tabela3[[#This Row],[PAPEL]]),Tabela1768[Fechamento])</f>
        <v>0</v>
      </c>
      <c r="BB347" s="7">
        <f>SUMPRODUCT(N(Tabela17683[Código]=Tabela3[[#This Row],[PAPEL]]),Tabela17683[Fechamento])</f>
        <v>0</v>
      </c>
    </row>
    <row r="348" spans="1:54" hidden="1" x14ac:dyDescent="0.2">
      <c r="A348" s="4" t="s">
        <v>26</v>
      </c>
      <c r="B348" s="57" t="s">
        <v>710</v>
      </c>
      <c r="C348" s="15" t="str">
        <f>LEFT(Tabela3[PAPEL],LEN(Tabela3[PAPEL])-(LEN(Tabela3[PAPEL])-4))</f>
        <v>PEAB</v>
      </c>
      <c r="D348" s="15">
        <v>3</v>
      </c>
      <c r="E348" s="6">
        <v>400000000</v>
      </c>
      <c r="F348" s="8">
        <v>6425139</v>
      </c>
      <c r="G348" s="86">
        <v>0.25</v>
      </c>
      <c r="H348" s="15"/>
      <c r="I348" s="19"/>
      <c r="J348" s="19">
        <v>0.1</v>
      </c>
      <c r="K348" s="88"/>
      <c r="L348" s="88"/>
      <c r="M348" s="55"/>
      <c r="N348" s="55"/>
      <c r="O348" s="55"/>
      <c r="P348" s="92">
        <v>525856000</v>
      </c>
      <c r="Q348" s="93">
        <v>84000</v>
      </c>
      <c r="R348" s="93">
        <f>IF(Tabela3[[#This Row],[Ativo || Passivo]]&gt;0,Tabela3[[#This Row],[Ativo || Passivo]]-Tabela3[[#This Row],[Patrimônio Líquido]],0)</f>
        <v>0</v>
      </c>
      <c r="S348" s="93">
        <f>Tabela3[[#This Row],[Cotação]]*Tabela3[[#This Row],[Total Ações]]</f>
        <v>385508340</v>
      </c>
      <c r="T348" s="40">
        <f>IF(Tabela3[[#This Row],[Passivo Circulante]]&gt;0,Tabela3[[#This Row],[Ativo Circulante]]/Tabela3[[#This Row],[Passivo Circulante]],0)</f>
        <v>0</v>
      </c>
      <c r="U348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48" s="19">
        <f>IF(Tabela3[[#This Row],[Lucro Líquido]]&gt;0,Tabela3[[#This Row],[Lucro Líquido]]/Tabela3[[#This Row],[Patrimônio Líquido]],0)</f>
        <v>1.59739548469543E-4</v>
      </c>
      <c r="W348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48" s="19">
        <f>IF(Tabela3[[#This Row],[Dívida]]&gt;0,Tabela3[[#This Row],[Dívida]]/Tabela3[[#This Row],[Patrimônio Líquido]],0)</f>
        <v>0</v>
      </c>
      <c r="Y348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48" s="13">
        <f>Tabela3[[#This Row],[Capital Social]]*20%</f>
        <v>80000000</v>
      </c>
      <c r="AA348" s="13">
        <f>IF((Tabela3[Lucro Líquido]*5%)&gt;Tabela3[Teto R. Legal],Tabela3[Teto R. Legal],Tabela3[Lucro Líquido]*5%)</f>
        <v>4200</v>
      </c>
      <c r="AB348" s="13">
        <f>IF(Tabela3[Lucro Líquido]&lt;0,0,Tabela3[Lucro Líquido]-Tabela3[Reserva Legal])</f>
        <v>79800</v>
      </c>
      <c r="AC348" s="13">
        <f>Tabela3[[#This Row],[Lucro Distribuir]]*Tabela3[%Div]</f>
        <v>19950</v>
      </c>
      <c r="AD348" s="56">
        <f>SUMPRODUCT(N(Tabela3[Nome]=Tabela3[[#This Row],[Nome]]),Tabela3[Ações])</f>
        <v>12850278</v>
      </c>
      <c r="AE348" s="6">
        <f>Tabela3[Capital Social]/Tabela3[Total Ações]</f>
        <v>31.127731244413546</v>
      </c>
      <c r="AF348" s="78">
        <f>Tabela3[[#This Row],[Lucro Líquido]]/Tabela3[[#This Row],[Total Ações]]</f>
        <v>6.5368235613268441E-3</v>
      </c>
      <c r="AG348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1.6546107120071645E-3</v>
      </c>
      <c r="AH348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48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48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1.6546107120071645E-3</v>
      </c>
      <c r="AK348" s="13">
        <f>Tabela3[Div Base]*Tabela3[Ações]</f>
        <v>10631.103815535002</v>
      </c>
      <c r="AL348" s="13">
        <f>SUMPRODUCT(N(Tabela3[Nome]=Tabela3[[#This Row],[Nome]]),Tabela3[Div Base]*Tabela3[Ações])</f>
        <v>20295.743634600003</v>
      </c>
      <c r="AM348" s="6">
        <f>Tabela3[Patrimônio Líquido]/Tabela3[Total Ações]</f>
        <v>40.921760603155825</v>
      </c>
      <c r="AN348" s="48">
        <f>MAX(Tabela3[[#This Row],[Cotação 1]:[Cotação 5]])</f>
        <v>30</v>
      </c>
      <c r="AO348" s="44">
        <f>Tabela3[Cotação]/Tabela3[VPA]</f>
        <v>0.73310628765289354</v>
      </c>
      <c r="AP348" s="40">
        <f>IF(Tabela3[[#This Row],[Lucro/Ação]]&gt;0,Tabela3[[#This Row],[Cotação]]/(Tabela3[[#This Row],[Lucro/Ação]]/Tabela3[Ref]*4),0)</f>
        <v>3442.0387500000002</v>
      </c>
      <c r="AQ348" s="78">
        <f>Tabela3[Lucro Distribuir]/Tabela3[Total Ações]</f>
        <v>6.2099823832605025E-3</v>
      </c>
      <c r="AR348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1.6546107120071645E-3</v>
      </c>
      <c r="AS348" s="14" t="str">
        <f>IF(AND(Tabela3[% A.A.]&gt;=6%,SUMPRODUCT(N(Tabela3[Nome]=Tabela3[[#This Row],[Nome]]),Tabela3[PL])&gt;0,Tabela3[Rentabilidade s/ PL]&gt;=Tabela3[Rentabilidade s/ PL Média]),"Sim","Não")</f>
        <v>Não</v>
      </c>
      <c r="AT348" s="42">
        <f>IF(Tabela3[Cotação]&gt;0,Tabela3[[#This Row],[Lucro]]/Tabela3[[#This Row],[Cotação]],0)</f>
        <v>5.5153690400238815E-5</v>
      </c>
      <c r="AU348" s="42">
        <f>((1+Tabela3[[#This Row],[% Yield]])^(1/(3*Tabela3[[#This Row],[Ref]])))^(12)-1</f>
        <v>7.3538929842520417E-5</v>
      </c>
      <c r="AV348" s="14">
        <f>IF(Tabela3[Cotação]&gt;0,($BD$1/Tabela3[[#This Row],[Cotação]]-MOD($BD$1/Tabela3[[#This Row],[Cotação]],100)),)</f>
        <v>0</v>
      </c>
      <c r="AW348" s="17">
        <f>Tabela3[[#This Row],[Ativos]]*Tabela3[Lucro]</f>
        <v>0</v>
      </c>
      <c r="AX348" s="17">
        <f>SUMPRODUCT(N(Tabela1[Código]=Tabela3[[#This Row],[PAPEL]]),Tabela1[Fechamento])</f>
        <v>0</v>
      </c>
      <c r="AY348" s="17">
        <f>SUMPRODUCT(N(Tabela17[Código]=Tabela3[[#This Row],[PAPEL]]),Tabela17[Fechamento])</f>
        <v>0</v>
      </c>
      <c r="AZ348" s="17">
        <f>SUMPRODUCT(N(Tabela176[Código]=Tabela3[[#This Row],[PAPEL]]),Tabela176[Fechamento])</f>
        <v>30</v>
      </c>
      <c r="BA348" s="17">
        <f>SUMPRODUCT(N(Tabela1768[Código]=Tabela3[[#This Row],[PAPEL]]),Tabela1768[Fechamento])</f>
        <v>0</v>
      </c>
      <c r="BB348" s="7">
        <f>SUMPRODUCT(N(Tabela17683[Código]=Tabela3[[#This Row],[PAPEL]]),Tabela17683[Fechamento])</f>
        <v>0</v>
      </c>
    </row>
    <row r="349" spans="1:54" hidden="1" x14ac:dyDescent="0.2">
      <c r="A349" s="3" t="s">
        <v>1476</v>
      </c>
      <c r="B349" s="57" t="s">
        <v>1471</v>
      </c>
      <c r="C349" s="16" t="str">
        <f>LEFT(Tabela3[PAPEL],LEN(Tabela3[PAPEL])-(LEN(Tabela3[PAPEL])-4))</f>
        <v>TPIS</v>
      </c>
      <c r="D349" s="16">
        <v>3</v>
      </c>
      <c r="E349" s="5">
        <v>512979226.55000001</v>
      </c>
      <c r="F349" s="56">
        <v>176000000</v>
      </c>
      <c r="G349" s="81">
        <v>0.25</v>
      </c>
      <c r="H349" s="87"/>
      <c r="J349" s="18"/>
      <c r="K349" s="16"/>
      <c r="L349" s="87"/>
      <c r="M349" s="54"/>
      <c r="N349" s="54"/>
      <c r="O349" s="54"/>
      <c r="P349" s="91">
        <v>2109303000</v>
      </c>
      <c r="Q349" s="73">
        <v>172000</v>
      </c>
      <c r="R349" s="73">
        <f>IF(Tabela3[[#This Row],[Ativo || Passivo]]&gt;0,Tabela3[[#This Row],[Ativo || Passivo]]-Tabela3[[#This Row],[Patrimônio Líquido]],0)</f>
        <v>0</v>
      </c>
      <c r="S349" s="73">
        <f>Tabela3[[#This Row],[Cotação]]*Tabela3[[#This Row],[Total Ações]]</f>
        <v>1564640000</v>
      </c>
      <c r="T349" s="37">
        <f>IF(Tabela3[[#This Row],[Passivo Circulante]]&gt;0,Tabela3[[#This Row],[Ativo Circulante]]/Tabela3[[#This Row],[Passivo Circulante]],0)</f>
        <v>0</v>
      </c>
      <c r="U349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49" s="18">
        <f>IF(Tabela3[[#This Row],[Lucro Líquido]]&gt;0,Tabela3[[#This Row],[Lucro Líquido]]/Tabela3[[#This Row],[Patrimônio Líquido]],0)</f>
        <v>8.1543524093029786E-5</v>
      </c>
      <c r="W349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49" s="18">
        <f>IF(Tabela3[[#This Row],[Dívida]]&gt;0,Tabela3[[#This Row],[Dívida]]/Tabela3[[#This Row],[Patrimônio Líquido]],0)</f>
        <v>0</v>
      </c>
      <c r="Y349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49" s="7">
        <f>Tabela3[[#This Row],[Capital Social]]*20%</f>
        <v>102595845.31</v>
      </c>
      <c r="AA349" s="47">
        <f>IF((Tabela3[Lucro Líquido]*5%)&gt;Tabela3[Teto R. Legal],Tabela3[Teto R. Legal],Tabela3[Lucro Líquido]*5%)</f>
        <v>8600</v>
      </c>
      <c r="AB349" s="47">
        <f>IF(Tabela3[Lucro Líquido]&lt;0,0,Tabela3[Lucro Líquido]-Tabela3[Reserva Legal])</f>
        <v>163400</v>
      </c>
      <c r="AC349" s="47">
        <f>Tabela3[[#This Row],[Lucro Distribuir]]*Tabela3[%Div]</f>
        <v>40850</v>
      </c>
      <c r="AD349" s="56">
        <f>SUMPRODUCT(N(Tabela3[Nome]=Tabela3[[#This Row],[Nome]]),Tabela3[Ações])</f>
        <v>176000000</v>
      </c>
      <c r="AE349" s="85">
        <f>Tabela3[Capital Social]/Tabela3[Total Ações]</f>
        <v>2.9146546963068181</v>
      </c>
      <c r="AF349" s="85">
        <f>Tabela3[[#This Row],[Lucro Líquido]]/Tabela3[[#This Row],[Total Ações]]</f>
        <v>9.7727272727272723E-4</v>
      </c>
      <c r="AG349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2.3210227272727274E-4</v>
      </c>
      <c r="AH349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49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49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2.3210227272727274E-4</v>
      </c>
      <c r="AK349" s="7">
        <f>Tabela3[Div Base]*Tabela3[Ações]</f>
        <v>40850</v>
      </c>
      <c r="AL349" s="121">
        <f>SUMPRODUCT(N(Tabela3[Nome]=Tabela3[[#This Row],[Nome]]),Tabela3[Div Base]*Tabela3[Ações])</f>
        <v>40850</v>
      </c>
      <c r="AM349" s="5">
        <f>Tabela3[Patrimônio Líquido]/Tabela3[Total Ações]</f>
        <v>11.984676136363637</v>
      </c>
      <c r="AN349" s="52">
        <f>MAX(Tabela3[[#This Row],[Cotação 1]:[Cotação 5]])</f>
        <v>8.89</v>
      </c>
      <c r="AO349" s="53">
        <f>Tabela3[Cotação]/Tabela3[VPA]</f>
        <v>0.74178057870301228</v>
      </c>
      <c r="AP349" s="37">
        <f>IF(Tabela3[[#This Row],[Lucro/Ação]]&gt;0,Tabela3[[#This Row],[Cotação]]/(Tabela3[[#This Row],[Lucro/Ação]]/Tabela3[Ref]*4),0)</f>
        <v>6822.5581395348845</v>
      </c>
      <c r="AQ349" s="85">
        <f>Tabela3[Lucro Distribuir]/Tabela3[Total Ações]</f>
        <v>9.2840909090909096E-4</v>
      </c>
      <c r="AR349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2.3210227272727274E-4</v>
      </c>
      <c r="AS349" s="10" t="str">
        <f>IF(AND(Tabela3[% A.A.]&gt;=6%,SUMPRODUCT(N(Tabela3[Nome]=Tabela3[[#This Row],[Nome]]),Tabela3[PL])&gt;0,Tabela3[Rentabilidade s/ PL]&gt;=Tabela3[Rentabilidade s/ PL Média]),"Sim","Não")</f>
        <v>Não</v>
      </c>
      <c r="AT349" s="22">
        <f>IF(Tabela3[Cotação]&gt;0,Tabela3[[#This Row],[Lucro]]/Tabela3[[#This Row],[Cotação]],0)</f>
        <v>2.6108242151549238E-5</v>
      </c>
      <c r="AU349" s="22">
        <f>((1+Tabela3[[#This Row],[% Yield]])^(1/(3*Tabela3[[#This Row],[Ref]])))^(12)-1</f>
        <v>3.4811141008894708E-5</v>
      </c>
      <c r="AV349" s="10">
        <f>IF(Tabela3[Cotação]&gt;0,($BD$1/Tabela3[[#This Row],[Cotação]]-MOD($BD$1/Tabela3[[#This Row],[Cotação]],100)),)</f>
        <v>0</v>
      </c>
      <c r="AW349" s="7">
        <f>Tabela3[[#This Row],[Ativos]]*Tabela3[Lucro]</f>
        <v>0</v>
      </c>
      <c r="AX349" s="7">
        <f>SUMPRODUCT(N(Tabela1[Código]=Tabela3[[#This Row],[PAPEL]]),Tabela1[Fechamento])</f>
        <v>0</v>
      </c>
      <c r="AY349" s="7">
        <f>SUMPRODUCT(N(Tabela17[Código]=Tabela3[[#This Row],[PAPEL]]),Tabela17[Fechamento])</f>
        <v>0</v>
      </c>
      <c r="AZ349" s="7">
        <f>SUMPRODUCT(N(Tabela176[Código]=Tabela3[[#This Row],[PAPEL]]),Tabela176[Fechamento])</f>
        <v>0</v>
      </c>
      <c r="BA349" s="7">
        <f>SUMPRODUCT(N(Tabela1768[Código]=Tabela3[[#This Row],[PAPEL]]),Tabela1768[Fechamento])</f>
        <v>0</v>
      </c>
      <c r="BB349" s="7">
        <f>SUMPRODUCT(N(Tabela17683[Código]=Tabela3[[#This Row],[PAPEL]]),Tabela17683[Fechamento])</f>
        <v>8.89</v>
      </c>
    </row>
    <row r="350" spans="1:54" hidden="1" x14ac:dyDescent="0.2">
      <c r="A350" s="3" t="s">
        <v>346</v>
      </c>
      <c r="B350" s="57" t="s">
        <v>737</v>
      </c>
      <c r="C350" s="15" t="str">
        <f>LEFT(Tabela3[PAPEL],LEN(Tabela3[PAPEL])-(LEN(Tabela3[PAPEL])-4))</f>
        <v>AGRO</v>
      </c>
      <c r="D350" s="15">
        <v>4</v>
      </c>
      <c r="E350" s="6">
        <v>584224000</v>
      </c>
      <c r="F350" s="8">
        <v>58422400</v>
      </c>
      <c r="G350" s="81">
        <v>0.25</v>
      </c>
      <c r="H350" s="15"/>
      <c r="I350" s="19"/>
      <c r="J350" s="19"/>
      <c r="K350" s="88"/>
      <c r="L350" s="88"/>
      <c r="M350" s="55"/>
      <c r="N350" s="55"/>
      <c r="O350" s="55"/>
      <c r="P350" s="6">
        <v>584316000</v>
      </c>
      <c r="Q350" s="93">
        <v>-4448000</v>
      </c>
      <c r="R350" s="93">
        <f>IF(Tabela3[[#This Row],[Ativo || Passivo]]&gt;0,Tabela3[[#This Row],[Ativo || Passivo]]-Tabela3[[#This Row],[Patrimônio Líquido]],0)</f>
        <v>0</v>
      </c>
      <c r="S350" s="93">
        <f>Tabela3[[#This Row],[Cotação]]*Tabela3[[#This Row],[Total Ações]]</f>
        <v>466210752</v>
      </c>
      <c r="T350" s="40">
        <f>IF(Tabela3[[#This Row],[Passivo Circulante]]&gt;0,Tabela3[[#This Row],[Ativo Circulante]]/Tabela3[[#This Row],[Passivo Circulante]],0)</f>
        <v>0</v>
      </c>
      <c r="U350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50" s="19">
        <f>IF(Tabela3[[#This Row],[Lucro Líquido]]&gt;0,Tabela3[[#This Row],[Lucro Líquido]]/Tabela3[[#This Row],[Patrimônio Líquido]],0)</f>
        <v>0</v>
      </c>
      <c r="W350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50" s="19">
        <f>IF(Tabela3[[#This Row],[Dívida]]&gt;0,Tabela3[[#This Row],[Dívida]]/Tabela3[[#This Row],[Patrimônio Líquido]],0)</f>
        <v>0</v>
      </c>
      <c r="Y350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50" s="13">
        <f>Tabela3[[#This Row],[Capital Social]]*20%</f>
        <v>116844800</v>
      </c>
      <c r="AA350" s="13">
        <f>IF((Tabela3[Lucro Líquido]*5%)&gt;Tabela3[Teto R. Legal],Tabela3[Teto R. Legal],Tabela3[Lucro Líquido]*5%)</f>
        <v>-222400</v>
      </c>
      <c r="AB350" s="13">
        <f>IF(Tabela3[Lucro Líquido]&lt;0,0,Tabela3[Lucro Líquido]-Tabela3[Reserva Legal])</f>
        <v>0</v>
      </c>
      <c r="AC350" s="13">
        <f>Tabela3[[#This Row],[Lucro Distribuir]]*Tabela3[%Div]</f>
        <v>0</v>
      </c>
      <c r="AD350" s="21">
        <f>SUMPRODUCT(N(Tabela3[Nome]=Tabela3[[#This Row],[Nome]]),Tabela3[Ações])</f>
        <v>58422400</v>
      </c>
      <c r="AE350" s="6">
        <f>Tabela3[Capital Social]/Tabela3[Total Ações]</f>
        <v>10</v>
      </c>
      <c r="AF350" s="78">
        <f>Tabela3[[#This Row],[Lucro Líquido]]/Tabela3[[#This Row],[Total Ações]]</f>
        <v>-7.6135181026455612E-2</v>
      </c>
      <c r="AG350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50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50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50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50" s="13">
        <f>Tabela3[Div Base]*Tabela3[Ações]</f>
        <v>0</v>
      </c>
      <c r="AL350" s="13">
        <f>SUMPRODUCT(N(Tabela3[Nome]=Tabela3[[#This Row],[Nome]]),Tabela3[Div Base]*Tabela3[Ações])</f>
        <v>0</v>
      </c>
      <c r="AM350" s="6">
        <f>Tabela3[Patrimônio Líquido]/Tabela3[Total Ações]</f>
        <v>10.001574738456483</v>
      </c>
      <c r="AN350" s="48">
        <f>MAX(Tabela3[[#This Row],[Cotação 1]:[Cotação 5]])</f>
        <v>7.98</v>
      </c>
      <c r="AO350" s="44">
        <f>Tabela3[Cotação]/Tabela3[VPA]</f>
        <v>0.79787435565687059</v>
      </c>
      <c r="AP350" s="40">
        <f>IF(Tabela3[[#This Row],[Lucro/Ação]]&gt;0,Tabela3[[#This Row],[Cotação]]/(Tabela3[[#This Row],[Lucro/Ação]]/Tabela3[Ref]*4),0)</f>
        <v>0</v>
      </c>
      <c r="AQ350" s="78">
        <f>Tabela3[Lucro Distribuir]/Tabela3[Total Ações]</f>
        <v>0</v>
      </c>
      <c r="AR350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50" s="14" t="str">
        <f>IF(AND(Tabela3[% A.A.]&gt;=6%,SUMPRODUCT(N(Tabela3[Nome]=Tabela3[[#This Row],[Nome]]),Tabela3[PL])&gt;0,Tabela3[Rentabilidade s/ PL]&gt;=Tabela3[Rentabilidade s/ PL Média]),"Sim","Não")</f>
        <v>Não</v>
      </c>
      <c r="AT350" s="42">
        <f>IF(Tabela3[Cotação]&gt;0,Tabela3[[#This Row],[Lucro]]/Tabela3[[#This Row],[Cotação]],0)</f>
        <v>0</v>
      </c>
      <c r="AU350" s="42">
        <f>((1+Tabela3[[#This Row],[% Yield]])^(1/(3*Tabela3[[#This Row],[Ref]])))^(12)-1</f>
        <v>0</v>
      </c>
      <c r="AV350" s="14">
        <f>IF(Tabela3[Cotação]&gt;0,($BH$1/Tabela3[[#This Row],[Cotação]]-MOD($BH$1/Tabela3[[#This Row],[Cotação]],100)),)</f>
        <v>0</v>
      </c>
      <c r="AW350" s="17">
        <f>Tabela3[[#This Row],[Ativos]]*Tabela3[Lucro]</f>
        <v>0</v>
      </c>
      <c r="AX350" s="17">
        <f>SUMPRODUCT(N(Tabela1[Código]=Tabela3[[#This Row],[PAPEL]]),Tabela1[Fechamento])</f>
        <v>0</v>
      </c>
      <c r="AY350" s="17">
        <f>SUMPRODUCT(N(Tabela17[Código]=Tabela3[[#This Row],[PAPEL]]),Tabela17[Fechamento])</f>
        <v>0</v>
      </c>
      <c r="AZ350" s="17">
        <f>SUMPRODUCT(N(Tabela176[Código]=Tabela3[[#This Row],[PAPEL]]),Tabela176[Fechamento])</f>
        <v>7.98</v>
      </c>
      <c r="BA350" s="17">
        <f>SUMPRODUCT(N(Tabela1768[Código]=Tabela3[[#This Row],[PAPEL]]),Tabela1768[Fechamento])</f>
        <v>0</v>
      </c>
      <c r="BB350" s="7">
        <f>SUMPRODUCT(N(Tabela17683[Código]=Tabela3[[#This Row],[PAPEL]]),Tabela17683[Fechamento])</f>
        <v>0</v>
      </c>
    </row>
    <row r="351" spans="1:54" hidden="1" x14ac:dyDescent="0.2">
      <c r="A351" s="3" t="s">
        <v>903</v>
      </c>
      <c r="B351" s="58" t="s">
        <v>895</v>
      </c>
      <c r="C351" s="16" t="str">
        <f>LEFT(Tabela3[PAPEL],LEN(Tabela3[PAPEL])-(LEN(Tabela3[PAPEL])-4))</f>
        <v>AHEB</v>
      </c>
      <c r="D351" s="16">
        <v>3</v>
      </c>
      <c r="E351" s="5">
        <v>199970873</v>
      </c>
      <c r="F351" s="56">
        <v>6154605</v>
      </c>
      <c r="G351" s="81">
        <v>0.25</v>
      </c>
      <c r="H351" s="87"/>
      <c r="J351" s="18"/>
      <c r="K351" s="16"/>
      <c r="L351" s="87"/>
      <c r="M351" s="54"/>
      <c r="N351" s="54"/>
      <c r="O351" s="54"/>
      <c r="P351" s="91">
        <v>68456000</v>
      </c>
      <c r="Q351" s="73">
        <v>-16033000</v>
      </c>
      <c r="R351" s="73">
        <f>IF(Tabela3[[#This Row],[Ativo || Passivo]]&gt;0,Tabela3[[#This Row],[Ativo || Passivo]]-Tabela3[[#This Row],[Patrimônio Líquido]],0)</f>
        <v>0</v>
      </c>
      <c r="S351" s="73">
        <f>Tabela3[[#This Row],[Cotação]]*Tabela3[[#This Row],[Total Ações]]</f>
        <v>135349948.5</v>
      </c>
      <c r="T351" s="37">
        <f>IF(Tabela3[[#This Row],[Passivo Circulante]]&gt;0,Tabela3[[#This Row],[Ativo Circulante]]/Tabela3[[#This Row],[Passivo Circulante]],0)</f>
        <v>0</v>
      </c>
      <c r="U351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51" s="18">
        <f>IF(Tabela3[[#This Row],[Lucro Líquido]]&gt;0,Tabela3[[#This Row],[Lucro Líquido]]/Tabela3[[#This Row],[Patrimônio Líquido]],0)</f>
        <v>0</v>
      </c>
      <c r="W351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51" s="18">
        <f>IF(Tabela3[[#This Row],[Dívida]]&gt;0,Tabela3[[#This Row],[Dívida]]/Tabela3[[#This Row],[Patrimônio Líquido]],0)</f>
        <v>0</v>
      </c>
      <c r="Y351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51" s="7">
        <f>Tabela3[[#This Row],[Capital Social]]*20%</f>
        <v>39994174.600000001</v>
      </c>
      <c r="AA351" s="47">
        <f>IF((Tabela3[Lucro Líquido]*5%)&gt;Tabela3[Teto R. Legal],Tabela3[Teto R. Legal],Tabela3[Lucro Líquido]*5%)</f>
        <v>-801650</v>
      </c>
      <c r="AB351" s="47">
        <f>IF(Tabela3[Lucro Líquido]&lt;0,0,Tabela3[Lucro Líquido]-Tabela3[Reserva Legal])</f>
        <v>0</v>
      </c>
      <c r="AC351" s="47">
        <f>Tabela3[[#This Row],[Lucro Distribuir]]*Tabela3[%Div]</f>
        <v>0</v>
      </c>
      <c r="AD351" s="56">
        <f>SUMPRODUCT(N(Tabela3[Nome]=Tabela3[[#This Row],[Nome]]),Tabela3[Ações])</f>
        <v>6941023</v>
      </c>
      <c r="AE351" s="85">
        <f>Tabela3[Capital Social]/Tabela3[Total Ações]</f>
        <v>28.810000053306265</v>
      </c>
      <c r="AF351" s="85">
        <f>Tabela3[[#This Row],[Lucro Líquido]]/Tabela3[[#This Row],[Total Ações]]</f>
        <v>-2.3098900551114729</v>
      </c>
      <c r="AG351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51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51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51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51" s="7">
        <f>Tabela3[Div Base]*Tabela3[Ações]</f>
        <v>0</v>
      </c>
      <c r="AL351" s="7">
        <f>SUMPRODUCT(N(Tabela3[Nome]=Tabela3[[#This Row],[Nome]]),Tabela3[Div Base]*Tabela3[Ações])</f>
        <v>0</v>
      </c>
      <c r="AM351" s="5">
        <f>Tabela3[Patrimônio Líquido]/Tabela3[Total Ações]</f>
        <v>9.8625231468041523</v>
      </c>
      <c r="AN351" s="52">
        <f>MAX(Tabela3[[#This Row],[Cotação 1]:[Cotação 5]])</f>
        <v>19.5</v>
      </c>
      <c r="AO351" s="53">
        <f>Tabela3[Cotação]/Tabela3[VPA]</f>
        <v>1.9771816714385884</v>
      </c>
      <c r="AP351" s="37">
        <f>IF(Tabela3[[#This Row],[Lucro/Ação]]&gt;0,Tabela3[[#This Row],[Cotação]]/(Tabela3[[#This Row],[Lucro/Ação]]/Tabela3[Ref]*4),0)</f>
        <v>0</v>
      </c>
      <c r="AQ351" s="85">
        <f>Tabela3[Lucro Distribuir]/Tabela3[Total Ações]</f>
        <v>0</v>
      </c>
      <c r="AR351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51" s="10" t="str">
        <f>IF(AND(Tabela3[% A.A.]&gt;=6%,SUMPRODUCT(N(Tabela3[Nome]=Tabela3[[#This Row],[Nome]]),Tabela3[PL])&gt;0,Tabela3[Rentabilidade s/ PL]&gt;=Tabela3[Rentabilidade s/ PL Média]),"Sim","Não")</f>
        <v>Não</v>
      </c>
      <c r="AT351" s="22">
        <f>IF(Tabela3[Cotação]&gt;0,Tabela3[[#This Row],[Lucro]]/Tabela3[[#This Row],[Cotação]],0)</f>
        <v>0</v>
      </c>
      <c r="AU351" s="22">
        <f>((1+Tabela3[[#This Row],[% Yield]])^(1/(3*Tabela3[[#This Row],[Ref]])))^(12)-1</f>
        <v>0</v>
      </c>
      <c r="AV351" s="10">
        <f>IF(Tabela3[Cotação]&gt;0,($BH$1/Tabela3[[#This Row],[Cotação]]-MOD($BH$1/Tabela3[[#This Row],[Cotação]],100)),)</f>
        <v>0</v>
      </c>
      <c r="AW351" s="7">
        <f>Tabela3[[#This Row],[Ativos]]*Tabela3[Lucro]</f>
        <v>0</v>
      </c>
      <c r="AX351" s="7">
        <f>SUMPRODUCT(N(Tabela1[Código]=Tabela3[[#This Row],[PAPEL]]),Tabela1[Fechamento])</f>
        <v>0</v>
      </c>
      <c r="AY351" s="7">
        <f>SUMPRODUCT(N(Tabela17[Código]=Tabela3[[#This Row],[PAPEL]]),Tabela17[Fechamento])</f>
        <v>0</v>
      </c>
      <c r="AZ351" s="7">
        <f>SUMPRODUCT(N(Tabela176[Código]=Tabela3[[#This Row],[PAPEL]]),Tabela176[Fechamento])</f>
        <v>0</v>
      </c>
      <c r="BA351" s="7">
        <f>SUMPRODUCT(N(Tabela1768[Código]=Tabela3[[#This Row],[PAPEL]]),Tabela1768[Fechamento])</f>
        <v>19.5</v>
      </c>
      <c r="BB351" s="7">
        <f>SUMPRODUCT(N(Tabela17683[Código]=Tabela3[[#This Row],[PAPEL]]),Tabela17683[Fechamento])</f>
        <v>0</v>
      </c>
    </row>
    <row r="352" spans="1:54" hidden="1" x14ac:dyDescent="0.2">
      <c r="A352" s="3" t="s">
        <v>903</v>
      </c>
      <c r="B352" s="58" t="s">
        <v>896</v>
      </c>
      <c r="C352" s="16" t="str">
        <f>LEFT(Tabela3[PAPEL],LEN(Tabela3[PAPEL])-(LEN(Tabela3[PAPEL])-4))</f>
        <v>AHEB</v>
      </c>
      <c r="D352" s="16">
        <v>3</v>
      </c>
      <c r="E352" s="5">
        <v>199970873</v>
      </c>
      <c r="F352" s="56">
        <v>317899</v>
      </c>
      <c r="G352" s="81">
        <v>0.25</v>
      </c>
      <c r="H352" s="87"/>
      <c r="I352" s="18">
        <v>0.08</v>
      </c>
      <c r="J352" s="18"/>
      <c r="K352" s="16"/>
      <c r="L352" s="87"/>
      <c r="M352" s="54"/>
      <c r="N352" s="54"/>
      <c r="O352" s="54"/>
      <c r="P352" s="91">
        <v>68456000</v>
      </c>
      <c r="Q352" s="73">
        <v>-16033000</v>
      </c>
      <c r="R352" s="73">
        <f>IF(Tabela3[[#This Row],[Ativo || Passivo]]&gt;0,Tabela3[[#This Row],[Ativo || Passivo]]-Tabela3[[#This Row],[Patrimônio Líquido]],0)</f>
        <v>0</v>
      </c>
      <c r="S352" s="73">
        <f>Tabela3[[#This Row],[Cotação]]*Tabela3[[#This Row],[Total Ações]]</f>
        <v>138889870.23000002</v>
      </c>
      <c r="T352" s="37">
        <f>IF(Tabela3[[#This Row],[Passivo Circulante]]&gt;0,Tabela3[[#This Row],[Ativo Circulante]]/Tabela3[[#This Row],[Passivo Circulante]],0)</f>
        <v>0</v>
      </c>
      <c r="U352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52" s="18">
        <f>IF(Tabela3[[#This Row],[Lucro Líquido]]&gt;0,Tabela3[[#This Row],[Lucro Líquido]]/Tabela3[[#This Row],[Patrimônio Líquido]],0)</f>
        <v>0</v>
      </c>
      <c r="W352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52" s="18">
        <f>IF(Tabela3[[#This Row],[Dívida]]&gt;0,Tabela3[[#This Row],[Dívida]]/Tabela3[[#This Row],[Patrimônio Líquido]],0)</f>
        <v>0</v>
      </c>
      <c r="Y352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52" s="7">
        <f>Tabela3[[#This Row],[Capital Social]]*20%</f>
        <v>39994174.600000001</v>
      </c>
      <c r="AA352" s="47">
        <f>IF((Tabela3[Lucro Líquido]*5%)&gt;Tabela3[Teto R. Legal],Tabela3[Teto R. Legal],Tabela3[Lucro Líquido]*5%)</f>
        <v>-801650</v>
      </c>
      <c r="AB352" s="47">
        <f>IF(Tabela3[Lucro Líquido]&lt;0,0,Tabela3[Lucro Líquido]-Tabela3[Reserva Legal])</f>
        <v>0</v>
      </c>
      <c r="AC352" s="47">
        <f>Tabela3[[#This Row],[Lucro Distribuir]]*Tabela3[%Div]</f>
        <v>0</v>
      </c>
      <c r="AD352" s="56">
        <f>SUMPRODUCT(N(Tabela3[Nome]=Tabela3[[#This Row],[Nome]]),Tabela3[Ações])</f>
        <v>6941023</v>
      </c>
      <c r="AE352" s="85">
        <f>Tabela3[Capital Social]/Tabela3[Total Ações]</f>
        <v>28.810000053306265</v>
      </c>
      <c r="AF352" s="85">
        <f>Tabela3[[#This Row],[Lucro Líquido]]/Tabela3[[#This Row],[Total Ações]]</f>
        <v>-2.3098900551114729</v>
      </c>
      <c r="AG352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52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52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52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52" s="7">
        <f>Tabela3[Div Base]*Tabela3[Ações]</f>
        <v>0</v>
      </c>
      <c r="AL352" s="7">
        <f>SUMPRODUCT(N(Tabela3[Nome]=Tabela3[[#This Row],[Nome]]),Tabela3[Div Base]*Tabela3[Ações])</f>
        <v>0</v>
      </c>
      <c r="AM352" s="5">
        <f>Tabela3[Patrimônio Líquido]/Tabela3[Total Ações]</f>
        <v>9.8625231468041523</v>
      </c>
      <c r="AN352" s="52">
        <f>MAX(Tabela3[[#This Row],[Cotação 1]:[Cotação 5]])</f>
        <v>20.010000000000002</v>
      </c>
      <c r="AO352" s="53">
        <f>Tabela3[Cotação]/Tabela3[VPA]</f>
        <v>2.0288925766915979</v>
      </c>
      <c r="AP352" s="37">
        <f>IF(Tabela3[[#This Row],[Lucro/Ação]]&gt;0,Tabela3[[#This Row],[Cotação]]/(Tabela3[[#This Row],[Lucro/Ação]]/Tabela3[Ref]*4),0)</f>
        <v>0</v>
      </c>
      <c r="AQ352" s="85">
        <f>Tabela3[Lucro Distribuir]/Tabela3[Total Ações]</f>
        <v>0</v>
      </c>
      <c r="AR352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52" s="10" t="str">
        <f>IF(AND(Tabela3[% A.A.]&gt;=6%,SUMPRODUCT(N(Tabela3[Nome]=Tabela3[[#This Row],[Nome]]),Tabela3[PL])&gt;0,Tabela3[Rentabilidade s/ PL]&gt;=Tabela3[Rentabilidade s/ PL Média]),"Sim","Não")</f>
        <v>Não</v>
      </c>
      <c r="AT352" s="22">
        <f>IF(Tabela3[Cotação]&gt;0,Tabela3[[#This Row],[Lucro]]/Tabela3[[#This Row],[Cotação]],0)</f>
        <v>0</v>
      </c>
      <c r="AU352" s="22">
        <f>((1+Tabela3[[#This Row],[% Yield]])^(1/(3*Tabela3[[#This Row],[Ref]])))^(12)-1</f>
        <v>0</v>
      </c>
      <c r="AV352" s="10">
        <f>IF(Tabela3[Cotação]&gt;0,($BH$1/Tabela3[[#This Row],[Cotação]]-MOD($BH$1/Tabela3[[#This Row],[Cotação]],100)),)</f>
        <v>0</v>
      </c>
      <c r="AW352" s="7">
        <f>Tabela3[[#This Row],[Ativos]]*Tabela3[Lucro]</f>
        <v>0</v>
      </c>
      <c r="AX352" s="7">
        <f>SUMPRODUCT(N(Tabela1[Código]=Tabela3[[#This Row],[PAPEL]]),Tabela1[Fechamento])</f>
        <v>0</v>
      </c>
      <c r="AY352" s="7">
        <f>SUMPRODUCT(N(Tabela17[Código]=Tabela3[[#This Row],[PAPEL]]),Tabela17[Fechamento])</f>
        <v>0</v>
      </c>
      <c r="AZ352" s="7">
        <f>SUMPRODUCT(N(Tabela176[Código]=Tabela3[[#This Row],[PAPEL]]),Tabela176[Fechamento])</f>
        <v>0</v>
      </c>
      <c r="BA352" s="7">
        <f>SUMPRODUCT(N(Tabela1768[Código]=Tabela3[[#This Row],[PAPEL]]),Tabela1768[Fechamento])</f>
        <v>20.010000000000002</v>
      </c>
      <c r="BB352" s="7">
        <f>SUMPRODUCT(N(Tabela17683[Código]=Tabela3[[#This Row],[PAPEL]]),Tabela17683[Fechamento])</f>
        <v>0</v>
      </c>
    </row>
    <row r="353" spans="1:54" hidden="1" x14ac:dyDescent="0.2">
      <c r="A353" s="3" t="s">
        <v>903</v>
      </c>
      <c r="B353" s="58" t="s">
        <v>897</v>
      </c>
      <c r="C353" s="16" t="str">
        <f>LEFT(Tabela3[PAPEL],LEN(Tabela3[PAPEL])-(LEN(Tabela3[PAPEL])-4))</f>
        <v>AHEB</v>
      </c>
      <c r="D353" s="16">
        <v>3</v>
      </c>
      <c r="E353" s="5">
        <v>199970873</v>
      </c>
      <c r="F353" s="56">
        <v>468519</v>
      </c>
      <c r="G353" s="81">
        <v>0.25</v>
      </c>
      <c r="H353" s="87"/>
      <c r="I353" s="18">
        <v>0.08</v>
      </c>
      <c r="J353" s="18"/>
      <c r="K353" s="16"/>
      <c r="L353" s="87"/>
      <c r="M353" s="54"/>
      <c r="N353" s="54"/>
      <c r="O353" s="54"/>
      <c r="P353" s="91">
        <v>68456000</v>
      </c>
      <c r="Q353" s="73">
        <v>-16033000</v>
      </c>
      <c r="R353" s="73">
        <f>IF(Tabela3[[#This Row],[Ativo || Passivo]]&gt;0,Tabela3[[#This Row],[Ativo || Passivo]]-Tabela3[[#This Row],[Patrimônio Líquido]],0)</f>
        <v>0</v>
      </c>
      <c r="S353" s="73">
        <f>Tabela3[[#This Row],[Cotação]]*Tabela3[[#This Row],[Total Ações]]</f>
        <v>243005215.22999999</v>
      </c>
      <c r="T353" s="37">
        <f>IF(Tabela3[[#This Row],[Passivo Circulante]]&gt;0,Tabela3[[#This Row],[Ativo Circulante]]/Tabela3[[#This Row],[Passivo Circulante]],0)</f>
        <v>0</v>
      </c>
      <c r="U353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53" s="18">
        <f>IF(Tabela3[[#This Row],[Lucro Líquido]]&gt;0,Tabela3[[#This Row],[Lucro Líquido]]/Tabela3[[#This Row],[Patrimônio Líquido]],0)</f>
        <v>0</v>
      </c>
      <c r="W353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53" s="18">
        <f>IF(Tabela3[[#This Row],[Dívida]]&gt;0,Tabela3[[#This Row],[Dívida]]/Tabela3[[#This Row],[Patrimônio Líquido]],0)</f>
        <v>0</v>
      </c>
      <c r="Y353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53" s="7">
        <f>Tabela3[[#This Row],[Capital Social]]*20%</f>
        <v>39994174.600000001</v>
      </c>
      <c r="AA353" s="47">
        <f>IF((Tabela3[Lucro Líquido]*5%)&gt;Tabela3[Teto R. Legal],Tabela3[Teto R. Legal],Tabela3[Lucro Líquido]*5%)</f>
        <v>-801650</v>
      </c>
      <c r="AB353" s="47">
        <f>IF(Tabela3[Lucro Líquido]&lt;0,0,Tabela3[Lucro Líquido]-Tabela3[Reserva Legal])</f>
        <v>0</v>
      </c>
      <c r="AC353" s="47">
        <f>Tabela3[[#This Row],[Lucro Distribuir]]*Tabela3[%Div]</f>
        <v>0</v>
      </c>
      <c r="AD353" s="56">
        <f>SUMPRODUCT(N(Tabela3[Nome]=Tabela3[[#This Row],[Nome]]),Tabela3[Ações])</f>
        <v>6941023</v>
      </c>
      <c r="AE353" s="85">
        <f>Tabela3[Capital Social]/Tabela3[Total Ações]</f>
        <v>28.810000053306265</v>
      </c>
      <c r="AF353" s="85">
        <f>Tabela3[[#This Row],[Lucro Líquido]]/Tabela3[[#This Row],[Total Ações]]</f>
        <v>-2.3098900551114729</v>
      </c>
      <c r="AG353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53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53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53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53" s="7">
        <f>Tabela3[Div Base]*Tabela3[Ações]</f>
        <v>0</v>
      </c>
      <c r="AL353" s="7">
        <f>SUMPRODUCT(N(Tabela3[Nome]=Tabela3[[#This Row],[Nome]]),Tabela3[Div Base]*Tabela3[Ações])</f>
        <v>0</v>
      </c>
      <c r="AM353" s="5">
        <f>Tabela3[Patrimônio Líquido]/Tabela3[Total Ações]</f>
        <v>9.8625231468041523</v>
      </c>
      <c r="AN353" s="52">
        <f>MAX(Tabela3[[#This Row],[Cotação 1]:[Cotação 5]])</f>
        <v>35.01</v>
      </c>
      <c r="AO353" s="53">
        <f>Tabela3[Cotação]/Tabela3[VPA]</f>
        <v>3.5498015547212809</v>
      </c>
      <c r="AP353" s="37">
        <f>IF(Tabela3[[#This Row],[Lucro/Ação]]&gt;0,Tabela3[[#This Row],[Cotação]]/(Tabela3[[#This Row],[Lucro/Ação]]/Tabela3[Ref]*4),0)</f>
        <v>0</v>
      </c>
      <c r="AQ353" s="85">
        <f>Tabela3[Lucro Distribuir]/Tabela3[Total Ações]</f>
        <v>0</v>
      </c>
      <c r="AR353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53" s="10" t="str">
        <f>IF(AND(Tabela3[% A.A.]&gt;=6%,SUMPRODUCT(N(Tabela3[Nome]=Tabela3[[#This Row],[Nome]]),Tabela3[PL])&gt;0,Tabela3[Rentabilidade s/ PL]&gt;=Tabela3[Rentabilidade s/ PL Média]),"Sim","Não")</f>
        <v>Não</v>
      </c>
      <c r="AT353" s="22">
        <f>IF(Tabela3[Cotação]&gt;0,Tabela3[[#This Row],[Lucro]]/Tabela3[[#This Row],[Cotação]],0)</f>
        <v>0</v>
      </c>
      <c r="AU353" s="22">
        <f>((1+Tabela3[[#This Row],[% Yield]])^(1/(3*Tabela3[[#This Row],[Ref]])))^(12)-1</f>
        <v>0</v>
      </c>
      <c r="AV353" s="10">
        <f>IF(Tabela3[Cotação]&gt;0,($BH$1/Tabela3[[#This Row],[Cotação]]-MOD($BH$1/Tabela3[[#This Row],[Cotação]],100)),)</f>
        <v>0</v>
      </c>
      <c r="AW353" s="7">
        <f>Tabela3[[#This Row],[Ativos]]*Tabela3[Lucro]</f>
        <v>0</v>
      </c>
      <c r="AX353" s="7">
        <f>SUMPRODUCT(N(Tabela1[Código]=Tabela3[[#This Row],[PAPEL]]),Tabela1[Fechamento])</f>
        <v>0</v>
      </c>
      <c r="AY353" s="7">
        <f>SUMPRODUCT(N(Tabela17[Código]=Tabela3[[#This Row],[PAPEL]]),Tabela17[Fechamento])</f>
        <v>0</v>
      </c>
      <c r="AZ353" s="7">
        <f>SUMPRODUCT(N(Tabela176[Código]=Tabela3[[#This Row],[PAPEL]]),Tabela176[Fechamento])</f>
        <v>0</v>
      </c>
      <c r="BA353" s="7">
        <f>SUMPRODUCT(N(Tabela1768[Código]=Tabela3[[#This Row],[PAPEL]]),Tabela1768[Fechamento])</f>
        <v>35.01</v>
      </c>
      <c r="BB353" s="7">
        <f>SUMPRODUCT(N(Tabela17683[Código]=Tabela3[[#This Row],[PAPEL]]),Tabela17683[Fechamento])</f>
        <v>0</v>
      </c>
    </row>
    <row r="354" spans="1:54" hidden="1" x14ac:dyDescent="0.2">
      <c r="A354" s="3" t="s">
        <v>1636</v>
      </c>
      <c r="B354" s="57" t="s">
        <v>1598</v>
      </c>
      <c r="C354" s="16" t="str">
        <f>LEFT(Tabela3[PAPEL],LEN(Tabela3[PAPEL])-(LEN(Tabela3[PAPEL])-4))</f>
        <v>BDLL</v>
      </c>
      <c r="D354" s="16">
        <v>3</v>
      </c>
      <c r="E354" s="5">
        <v>116800000</v>
      </c>
      <c r="F354" s="56">
        <v>607192</v>
      </c>
      <c r="G354" s="81">
        <v>0.25</v>
      </c>
      <c r="H354" s="87"/>
      <c r="J354" s="18"/>
      <c r="K354" s="16"/>
      <c r="L354" s="87"/>
      <c r="M354" s="54"/>
      <c r="N354" s="54"/>
      <c r="O354" s="54"/>
      <c r="P354" s="91">
        <v>366268000</v>
      </c>
      <c r="Q354" s="73">
        <v>-26803000</v>
      </c>
      <c r="R354" s="73">
        <f>IF(Tabela3[[#This Row],[Ativo || Passivo]]&gt;0,Tabela3[[#This Row],[Ativo || Passivo]]-Tabela3[[#This Row],[Patrimônio Líquido]],0)</f>
        <v>0</v>
      </c>
      <c r="S354" s="73">
        <f>Tabela3[[#This Row],[Cotação]]*Tabela3[[#This Row],[Total Ações]]</f>
        <v>72000000</v>
      </c>
      <c r="T354" s="37">
        <f>IF(Tabela3[[#This Row],[Passivo Circulante]]&gt;0,Tabela3[[#This Row],[Ativo Circulante]]/Tabela3[[#This Row],[Passivo Circulante]],0)</f>
        <v>0</v>
      </c>
      <c r="U354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54" s="18">
        <f>IF(Tabela3[[#This Row],[Lucro Líquido]]&gt;0,Tabela3[[#This Row],[Lucro Líquido]]/Tabela3[[#This Row],[Patrimônio Líquido]],0)</f>
        <v>0</v>
      </c>
      <c r="W354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54" s="18">
        <f>IF(Tabela3[[#This Row],[Dívida]]&gt;0,Tabela3[[#This Row],[Dívida]]/Tabela3[[#This Row],[Patrimônio Líquido]],0)</f>
        <v>0</v>
      </c>
      <c r="Y354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54" s="7">
        <f>Tabela3[[#This Row],[Capital Social]]*20%</f>
        <v>23360000</v>
      </c>
      <c r="AA354" s="47">
        <f>IF((Tabela3[Lucro Líquido]*5%)&gt;Tabela3[Teto R. Legal],Tabela3[Teto R. Legal],Tabela3[Lucro Líquido]*5%)</f>
        <v>-1340150</v>
      </c>
      <c r="AB354" s="47">
        <f>IF(Tabela3[Lucro Líquido]&lt;0,0,Tabela3[Lucro Líquido]-Tabela3[Reserva Legal])</f>
        <v>0</v>
      </c>
      <c r="AC354" s="47">
        <f>Tabela3[[#This Row],[Lucro Distribuir]]*Tabela3[%Div]</f>
        <v>0</v>
      </c>
      <c r="AD354" s="56">
        <f>SUMPRODUCT(N(Tabela3[Nome]=Tabela3[[#This Row],[Nome]]),Tabela3[Ações])</f>
        <v>1600000</v>
      </c>
      <c r="AE354" s="85">
        <f>Tabela3[Capital Social]/Tabela3[Total Ações]</f>
        <v>73</v>
      </c>
      <c r="AF354" s="85">
        <f>Tabela3[[#This Row],[Lucro Líquido]]/Tabela3[[#This Row],[Total Ações]]</f>
        <v>-16.751874999999998</v>
      </c>
      <c r="AG354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54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54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54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54" s="7">
        <f>Tabela3[Div Base]*Tabela3[Ações]</f>
        <v>0</v>
      </c>
      <c r="AL354" s="121">
        <f>SUMPRODUCT(N(Tabela3[Nome]=Tabela3[[#This Row],[Nome]]),Tabela3[Div Base]*Tabela3[Ações])</f>
        <v>0</v>
      </c>
      <c r="AM354" s="5">
        <f>Tabela3[Patrimônio Líquido]/Tabela3[Total Ações]</f>
        <v>228.91749999999999</v>
      </c>
      <c r="AN354" s="52">
        <f>MAX(Tabela3[[#This Row],[Cotação 1]:[Cotação 5]])</f>
        <v>45</v>
      </c>
      <c r="AO354" s="53">
        <f>Tabela3[Cotação]/Tabela3[VPA]</f>
        <v>0.19657736957637578</v>
      </c>
      <c r="AP354" s="37">
        <f>IF(Tabela3[[#This Row],[Lucro/Ação]]&gt;0,Tabela3[[#This Row],[Cotação]]/(Tabela3[[#This Row],[Lucro/Ação]]/Tabela3[Ref]*4),0)</f>
        <v>0</v>
      </c>
      <c r="AQ354" s="85">
        <f>Tabela3[Lucro Distribuir]/Tabela3[Total Ações]</f>
        <v>0</v>
      </c>
      <c r="AR354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54" s="10" t="str">
        <f>IF(AND(Tabela3[% A.A.]&gt;=6%,SUMPRODUCT(N(Tabela3[Nome]=Tabela3[[#This Row],[Nome]]),Tabela3[PL])&gt;0,Tabela3[Rentabilidade s/ PL]&gt;=Tabela3[Rentabilidade s/ PL Média]),"Sim","Não")</f>
        <v>Não</v>
      </c>
      <c r="AT354" s="22">
        <f>IF(Tabela3[Cotação]&gt;0,Tabela3[[#This Row],[Lucro]]/Tabela3[[#This Row],[Cotação]],0)</f>
        <v>0</v>
      </c>
      <c r="AU354" s="22">
        <f>((1+Tabela3[[#This Row],[% Yield]])^(1/(3*Tabela3[[#This Row],[Ref]])))^(12)-1</f>
        <v>0</v>
      </c>
      <c r="AV354" s="10">
        <f>IF(Tabela3[Cotação]&gt;0,($BH$1/Tabela3[[#This Row],[Cotação]]-MOD($BH$1/Tabela3[[#This Row],[Cotação]],100)),)</f>
        <v>0</v>
      </c>
      <c r="AW354" s="7">
        <f>Tabela3[[#This Row],[Ativos]]*Tabela3[Lucro]</f>
        <v>0</v>
      </c>
      <c r="AX354" s="7">
        <f>SUMPRODUCT(N(Tabela1[Código]=Tabela3[[#This Row],[PAPEL]]),Tabela1[Fechamento])</f>
        <v>0</v>
      </c>
      <c r="AY354" s="7">
        <f>SUMPRODUCT(N(Tabela17[Código]=Tabela3[[#This Row],[PAPEL]]),Tabela17[Fechamento])</f>
        <v>0</v>
      </c>
      <c r="AZ354" s="7">
        <f>SUMPRODUCT(N(Tabela176[Código]=Tabela3[[#This Row],[PAPEL]]),Tabela176[Fechamento])</f>
        <v>0</v>
      </c>
      <c r="BA354" s="7">
        <f>SUMPRODUCT(N(Tabela1768[Código]=Tabela3[[#This Row],[PAPEL]]),Tabela1768[Fechamento])</f>
        <v>0</v>
      </c>
      <c r="BB354" s="7">
        <f>SUMPRODUCT(N(Tabela17683[Código]=Tabela3[[#This Row],[PAPEL]]),Tabela17683[Fechamento])</f>
        <v>45</v>
      </c>
    </row>
    <row r="355" spans="1:54" hidden="1" x14ac:dyDescent="0.2">
      <c r="A355" s="3" t="s">
        <v>1636</v>
      </c>
      <c r="B355" s="57" t="s">
        <v>1599</v>
      </c>
      <c r="C355" s="16" t="str">
        <f>LEFT(Tabela3[PAPEL],LEN(Tabela3[PAPEL])-(LEN(Tabela3[PAPEL])-4))</f>
        <v>BDLL</v>
      </c>
      <c r="D355" s="16">
        <v>3</v>
      </c>
      <c r="E355" s="5">
        <v>116800000</v>
      </c>
      <c r="F355" s="56">
        <v>992808</v>
      </c>
      <c r="G355" s="81">
        <v>0.25</v>
      </c>
      <c r="H355" s="87"/>
      <c r="I355" s="18">
        <v>0.08</v>
      </c>
      <c r="J355" s="18"/>
      <c r="K355" s="16"/>
      <c r="L355" s="87"/>
      <c r="M355" s="54"/>
      <c r="N355" s="54"/>
      <c r="O355" s="54"/>
      <c r="P355" s="91">
        <v>366268000</v>
      </c>
      <c r="Q355" s="73">
        <v>-26803000</v>
      </c>
      <c r="R355" s="73">
        <f>IF(Tabela3[[#This Row],[Ativo || Passivo]]&gt;0,Tabela3[[#This Row],[Ativo || Passivo]]-Tabela3[[#This Row],[Patrimônio Líquido]],0)</f>
        <v>0</v>
      </c>
      <c r="S355" s="73">
        <f>Tabela3[[#This Row],[Cotação]]*Tabela3[[#This Row],[Total Ações]]</f>
        <v>64000000</v>
      </c>
      <c r="T355" s="37">
        <f>IF(Tabela3[[#This Row],[Passivo Circulante]]&gt;0,Tabela3[[#This Row],[Ativo Circulante]]/Tabela3[[#This Row],[Passivo Circulante]],0)</f>
        <v>0</v>
      </c>
      <c r="U355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55" s="18">
        <f>IF(Tabela3[[#This Row],[Lucro Líquido]]&gt;0,Tabela3[[#This Row],[Lucro Líquido]]/Tabela3[[#This Row],[Patrimônio Líquido]],0)</f>
        <v>0</v>
      </c>
      <c r="W355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55" s="18">
        <f>IF(Tabela3[[#This Row],[Dívida]]&gt;0,Tabela3[[#This Row],[Dívida]]/Tabela3[[#This Row],[Patrimônio Líquido]],0)</f>
        <v>0</v>
      </c>
      <c r="Y355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55" s="7">
        <f>Tabela3[[#This Row],[Capital Social]]*20%</f>
        <v>23360000</v>
      </c>
      <c r="AA355" s="47">
        <f>IF((Tabela3[Lucro Líquido]*5%)&gt;Tabela3[Teto R. Legal],Tabela3[Teto R. Legal],Tabela3[Lucro Líquido]*5%)</f>
        <v>-1340150</v>
      </c>
      <c r="AB355" s="47">
        <f>IF(Tabela3[Lucro Líquido]&lt;0,0,Tabela3[Lucro Líquido]-Tabela3[Reserva Legal])</f>
        <v>0</v>
      </c>
      <c r="AC355" s="47">
        <f>Tabela3[[#This Row],[Lucro Distribuir]]*Tabela3[%Div]</f>
        <v>0</v>
      </c>
      <c r="AD355" s="56">
        <f>SUMPRODUCT(N(Tabela3[Nome]=Tabela3[[#This Row],[Nome]]),Tabela3[Ações])</f>
        <v>1600000</v>
      </c>
      <c r="AE355" s="85">
        <f>Tabela3[Capital Social]/Tabela3[Total Ações]</f>
        <v>73</v>
      </c>
      <c r="AF355" s="85">
        <f>Tabela3[[#This Row],[Lucro Líquido]]/Tabela3[[#This Row],[Total Ações]]</f>
        <v>-16.751874999999998</v>
      </c>
      <c r="AG355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55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55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55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55" s="7">
        <f>Tabela3[Div Base]*Tabela3[Ações]</f>
        <v>0</v>
      </c>
      <c r="AL355" s="121">
        <f>SUMPRODUCT(N(Tabela3[Nome]=Tabela3[[#This Row],[Nome]]),Tabela3[Div Base]*Tabela3[Ações])</f>
        <v>0</v>
      </c>
      <c r="AM355" s="5">
        <f>Tabela3[Patrimônio Líquido]/Tabela3[Total Ações]</f>
        <v>228.91749999999999</v>
      </c>
      <c r="AN355" s="52">
        <f>MAX(Tabela3[[#This Row],[Cotação 1]:[Cotação 5]])</f>
        <v>40</v>
      </c>
      <c r="AO355" s="53">
        <f>Tabela3[Cotação]/Tabela3[VPA]</f>
        <v>0.17473543962344515</v>
      </c>
      <c r="AP355" s="37">
        <f>IF(Tabela3[[#This Row],[Lucro/Ação]]&gt;0,Tabela3[[#This Row],[Cotação]]/(Tabela3[[#This Row],[Lucro/Ação]]/Tabela3[Ref]*4),0)</f>
        <v>0</v>
      </c>
      <c r="AQ355" s="85">
        <f>Tabela3[Lucro Distribuir]/Tabela3[Total Ações]</f>
        <v>0</v>
      </c>
      <c r="AR355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55" s="10" t="str">
        <f>IF(AND(Tabela3[% A.A.]&gt;=6%,SUMPRODUCT(N(Tabela3[Nome]=Tabela3[[#This Row],[Nome]]),Tabela3[PL])&gt;0,Tabela3[Rentabilidade s/ PL]&gt;=Tabela3[Rentabilidade s/ PL Média]),"Sim","Não")</f>
        <v>Não</v>
      </c>
      <c r="AT355" s="22">
        <f>IF(Tabela3[Cotação]&gt;0,Tabela3[[#This Row],[Lucro]]/Tabela3[[#This Row],[Cotação]],0)</f>
        <v>0</v>
      </c>
      <c r="AU355" s="22">
        <f>((1+Tabela3[[#This Row],[% Yield]])^(1/(3*Tabela3[[#This Row],[Ref]])))^(12)-1</f>
        <v>0</v>
      </c>
      <c r="AV355" s="10">
        <f>IF(Tabela3[Cotação]&gt;0,($BH$1/Tabela3[[#This Row],[Cotação]]-MOD($BH$1/Tabela3[[#This Row],[Cotação]],100)),)</f>
        <v>0</v>
      </c>
      <c r="AW355" s="7">
        <f>Tabela3[[#This Row],[Ativos]]*Tabela3[Lucro]</f>
        <v>0</v>
      </c>
      <c r="AX355" s="7">
        <f>SUMPRODUCT(N(Tabela1[Código]=Tabela3[[#This Row],[PAPEL]]),Tabela1[Fechamento])</f>
        <v>0</v>
      </c>
      <c r="AY355" s="7">
        <f>SUMPRODUCT(N(Tabela17[Código]=Tabela3[[#This Row],[PAPEL]]),Tabela17[Fechamento])</f>
        <v>0</v>
      </c>
      <c r="AZ355" s="7">
        <f>SUMPRODUCT(N(Tabela176[Código]=Tabela3[[#This Row],[PAPEL]]),Tabela176[Fechamento])</f>
        <v>0</v>
      </c>
      <c r="BA355" s="7">
        <f>SUMPRODUCT(N(Tabela1768[Código]=Tabela3[[#This Row],[PAPEL]]),Tabela1768[Fechamento])</f>
        <v>0</v>
      </c>
      <c r="BB355" s="7">
        <f>SUMPRODUCT(N(Tabela17683[Código]=Tabela3[[#This Row],[PAPEL]]),Tabela17683[Fechamento])</f>
        <v>40</v>
      </c>
    </row>
    <row r="356" spans="1:54" hidden="1" x14ac:dyDescent="0.2">
      <c r="A356" s="3" t="s">
        <v>279</v>
      </c>
      <c r="B356" s="58" t="s">
        <v>866</v>
      </c>
      <c r="C356" s="16" t="str">
        <f>LEFT(Tabela3[PAPEL],LEN(Tabela3[PAPEL])-(LEN(Tabela3[PAPEL])-4))</f>
        <v>BEEF</v>
      </c>
      <c r="D356" s="16">
        <v>3</v>
      </c>
      <c r="E356" s="5">
        <v>744141845.75</v>
      </c>
      <c r="F356" s="56">
        <v>145056023</v>
      </c>
      <c r="G356" s="81">
        <v>0.25</v>
      </c>
      <c r="H356" s="87"/>
      <c r="J356" s="18"/>
      <c r="K356" s="16"/>
      <c r="L356" s="87"/>
      <c r="M356" s="54"/>
      <c r="N356" s="54"/>
      <c r="O356" s="54"/>
      <c r="P356" s="91">
        <v>536987000</v>
      </c>
      <c r="Q356" s="73">
        <v>-189214000</v>
      </c>
      <c r="R356" s="73">
        <f>IF(Tabela3[[#This Row],[Ativo || Passivo]]&gt;0,Tabela3[[#This Row],[Ativo || Passivo]]-Tabela3[[#This Row],[Patrimônio Líquido]],0)</f>
        <v>0</v>
      </c>
      <c r="S356" s="73">
        <f>Tabela3[[#This Row],[Cotação]]*Tabela3[[#This Row],[Total Ações]]</f>
        <v>1466516392.53</v>
      </c>
      <c r="T356" s="37">
        <f>IF(Tabela3[[#This Row],[Passivo Circulante]]&gt;0,Tabela3[[#This Row],[Ativo Circulante]]/Tabela3[[#This Row],[Passivo Circulante]],0)</f>
        <v>0</v>
      </c>
      <c r="U356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56" s="18">
        <f>IF(Tabela3[[#This Row],[Lucro Líquido]]&gt;0,Tabela3[[#This Row],[Lucro Líquido]]/Tabela3[[#This Row],[Patrimônio Líquido]],0)</f>
        <v>0</v>
      </c>
      <c r="W356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56" s="18">
        <f>IF(Tabela3[[#This Row],[Dívida]]&gt;0,Tabela3[[#This Row],[Dívida]]/Tabela3[[#This Row],[Patrimônio Líquido]],0)</f>
        <v>0</v>
      </c>
      <c r="Y356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56" s="7">
        <f>Tabela3[[#This Row],[Capital Social]]*20%</f>
        <v>148828369.15000001</v>
      </c>
      <c r="AA356" s="47">
        <f>IF((Tabela3[Lucro Líquido]*5%)&gt;Tabela3[Teto R. Legal],Tabela3[Teto R. Legal],Tabela3[Lucro Líquido]*5%)</f>
        <v>-9460700</v>
      </c>
      <c r="AB356" s="47">
        <f>IF(Tabela3[Lucro Líquido]&lt;0,0,Tabela3[Lucro Líquido]-Tabela3[Reserva Legal])</f>
        <v>0</v>
      </c>
      <c r="AC356" s="47">
        <f>Tabela3[[#This Row],[Lucro Distribuir]]*Tabela3[%Div]</f>
        <v>0</v>
      </c>
      <c r="AD356" s="56">
        <f>SUMPRODUCT(N(Tabela3[Nome]=Tabela3[[#This Row],[Nome]]),Tabela3[Ações])</f>
        <v>145056023</v>
      </c>
      <c r="AE356" s="85">
        <f>Tabela3[Capital Social]/Tabela3[Total Ações]</f>
        <v>5.130030662360018</v>
      </c>
      <c r="AF356" s="85">
        <f>Tabela3[[#This Row],[Lucro Líquido]]/Tabela3[[#This Row],[Total Ações]]</f>
        <v>-1.304420154963162</v>
      </c>
      <c r="AG356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56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56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56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56" s="7">
        <f>Tabela3[Div Base]*Tabela3[Ações]</f>
        <v>0</v>
      </c>
      <c r="AL356" s="7">
        <f>SUMPRODUCT(N(Tabela3[Nome]=Tabela3[[#This Row],[Nome]]),Tabela3[Div Base]*Tabela3[Ações])</f>
        <v>0</v>
      </c>
      <c r="AM356" s="5">
        <f>Tabela3[Patrimônio Líquido]/Tabela3[Total Ações]</f>
        <v>3.7019283232382567</v>
      </c>
      <c r="AN356" s="52">
        <f>MAX(Tabela3[[#This Row],[Cotação 1]:[Cotação 5]])</f>
        <v>10.11</v>
      </c>
      <c r="AO356" s="53">
        <f>Tabela3[Cotação]/Tabela3[VPA]</f>
        <v>2.7310091166639041</v>
      </c>
      <c r="AP356" s="37">
        <f>IF(Tabela3[[#This Row],[Lucro/Ação]]&gt;0,Tabela3[[#This Row],[Cotação]]/(Tabela3[[#This Row],[Lucro/Ação]]/Tabela3[Ref]*4),0)</f>
        <v>0</v>
      </c>
      <c r="AQ356" s="85">
        <f>Tabela3[Lucro Distribuir]/Tabela3[Total Ações]</f>
        <v>0</v>
      </c>
      <c r="AR356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56" s="10" t="str">
        <f>IF(AND(Tabela3[% A.A.]&gt;=6%,SUMPRODUCT(N(Tabela3[Nome]=Tabela3[[#This Row],[Nome]]),Tabela3[PL])&gt;0,Tabela3[Rentabilidade s/ PL]&gt;=Tabela3[Rentabilidade s/ PL Média]),"Sim","Não")</f>
        <v>Não</v>
      </c>
      <c r="AT356" s="22">
        <f>IF(Tabela3[Cotação]&gt;0,Tabela3[[#This Row],[Lucro]]/Tabela3[[#This Row],[Cotação]],0)</f>
        <v>0</v>
      </c>
      <c r="AU356" s="22">
        <f>((1+Tabela3[[#This Row],[% Yield]])^(1/(3*Tabela3[[#This Row],[Ref]])))^(12)-1</f>
        <v>0</v>
      </c>
      <c r="AV356" s="10">
        <f>IF(Tabela3[Cotação]&gt;0,($BH$1/Tabela3[[#This Row],[Cotação]]-MOD($BH$1/Tabela3[[#This Row],[Cotação]],100)),)</f>
        <v>0</v>
      </c>
      <c r="AW356" s="7">
        <f>Tabela3[[#This Row],[Ativos]]*Tabela3[Lucro]</f>
        <v>0</v>
      </c>
      <c r="AX356" s="7">
        <f>SUMPRODUCT(N(Tabela1[Código]=Tabela3[[#This Row],[PAPEL]]),Tabela1[Fechamento])</f>
        <v>0</v>
      </c>
      <c r="AY356" s="7">
        <f>SUMPRODUCT(N(Tabela17[Código]=Tabela3[[#This Row],[PAPEL]]),Tabela17[Fechamento])</f>
        <v>0</v>
      </c>
      <c r="AZ356" s="7">
        <f>SUMPRODUCT(N(Tabela176[Código]=Tabela3[[#This Row],[PAPEL]]),Tabela176[Fechamento])</f>
        <v>10.11</v>
      </c>
      <c r="BA356" s="7">
        <f>SUMPRODUCT(N(Tabela1768[Código]=Tabela3[[#This Row],[PAPEL]]),Tabela1768[Fechamento])</f>
        <v>0</v>
      </c>
      <c r="BB356" s="7">
        <f>SUMPRODUCT(N(Tabela17683[Código]=Tabela3[[#This Row],[PAPEL]]),Tabela17683[Fechamento])</f>
        <v>0</v>
      </c>
    </row>
    <row r="357" spans="1:54" hidden="1" x14ac:dyDescent="0.2">
      <c r="A357" s="4" t="s">
        <v>771</v>
      </c>
      <c r="B357" s="57" t="s">
        <v>767</v>
      </c>
      <c r="C357" s="15" t="str">
        <f>LEFT(Tabela3[PAPEL],LEN(Tabela3[PAPEL])-(LEN(Tabela3[PAPEL])-4))</f>
        <v>BIOM</v>
      </c>
      <c r="D357" s="15">
        <v>3</v>
      </c>
      <c r="E357" s="6">
        <v>13062247.32</v>
      </c>
      <c r="F357" s="8">
        <v>17338833</v>
      </c>
      <c r="G357" s="86">
        <v>0.25</v>
      </c>
      <c r="H357" s="15"/>
      <c r="I357" s="19"/>
      <c r="J357" s="19"/>
      <c r="K357" s="88"/>
      <c r="L357" s="88"/>
      <c r="M357" s="55"/>
      <c r="N357" s="55"/>
      <c r="O357" s="55"/>
      <c r="P357" s="92">
        <v>-30201000</v>
      </c>
      <c r="Q357" s="93">
        <v>-8750000</v>
      </c>
      <c r="R357" s="93">
        <f>IF(Tabela3[[#This Row],[Ativo || Passivo]]&gt;0,Tabela3[[#This Row],[Ativo || Passivo]]-Tabela3[[#This Row],[Patrimônio Líquido]],0)</f>
        <v>0</v>
      </c>
      <c r="S357" s="93">
        <f>Tabela3[[#This Row],[Cotação]]*Tabela3[[#This Row],[Total Ações]]</f>
        <v>169053621.75</v>
      </c>
      <c r="T357" s="40">
        <f>IF(Tabela3[[#This Row],[Passivo Circulante]]&gt;0,Tabela3[[#This Row],[Ativo Circulante]]/Tabela3[[#This Row],[Passivo Circulante]],0)</f>
        <v>0</v>
      </c>
      <c r="U357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57" s="19">
        <f>IF(Tabela3[[#This Row],[Lucro Líquido]]&gt;0,Tabela3[[#This Row],[Lucro Líquido]]/Tabela3[[#This Row],[Patrimônio Líquido]],0)</f>
        <v>0</v>
      </c>
      <c r="W357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57" s="19">
        <f>IF(Tabela3[[#This Row],[Dívida]]&gt;0,Tabela3[[#This Row],[Dívida]]/Tabela3[[#This Row],[Patrimônio Líquido]],0)</f>
        <v>0</v>
      </c>
      <c r="Y357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57" s="13">
        <f>Tabela3[[#This Row],[Capital Social]]*20%</f>
        <v>2612449.4640000002</v>
      </c>
      <c r="AA357" s="13">
        <f>IF((Tabela3[Lucro Líquido]*5%)&gt;Tabela3[Teto R. Legal],Tabela3[Teto R. Legal],Tabela3[Lucro Líquido]*5%)</f>
        <v>-437500</v>
      </c>
      <c r="AB357" s="13">
        <f>IF(Tabela3[Lucro Líquido]&lt;0,0,Tabela3[Lucro Líquido]-Tabela3[Reserva Legal])</f>
        <v>0</v>
      </c>
      <c r="AC357" s="13">
        <f>Tabela3[[#This Row],[Lucro Distribuir]]*Tabela3[%Div]</f>
        <v>0</v>
      </c>
      <c r="AD357" s="56">
        <f>SUMPRODUCT(N(Tabela3[Nome]=Tabela3[[#This Row],[Nome]]),Tabela3[Ações])</f>
        <v>17338833</v>
      </c>
      <c r="AE357" s="6">
        <f>Tabela3[Capital Social]/Tabela3[Total Ações]</f>
        <v>0.75335216159011398</v>
      </c>
      <c r="AF357" s="78">
        <f>Tabela3[[#This Row],[Lucro Líquido]]/Tabela3[[#This Row],[Total Ações]]</f>
        <v>-0.50464757345549149</v>
      </c>
      <c r="AG357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57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57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57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57" s="13">
        <f>Tabela3[Div Base]*Tabela3[Ações]</f>
        <v>0</v>
      </c>
      <c r="AL357" s="13">
        <f>SUMPRODUCT(N(Tabela3[Nome]=Tabela3[[#This Row],[Nome]]),Tabela3[Div Base]*Tabela3[Ações])</f>
        <v>0</v>
      </c>
      <c r="AM357" s="6">
        <f>Tabela3[Patrimônio Líquido]/Tabela3[Total Ações]</f>
        <v>-1.741812727534777</v>
      </c>
      <c r="AN357" s="48">
        <f>MAX(Tabela3[[#This Row],[Cotação 1]:[Cotação 5]])</f>
        <v>9.75</v>
      </c>
      <c r="AO357" s="44">
        <f>Tabela3[Cotação]/Tabela3[VPA]</f>
        <v>-5.5976166931558557</v>
      </c>
      <c r="AP357" s="40">
        <f>IF(Tabela3[[#This Row],[Lucro/Ação]]&gt;0,Tabela3[[#This Row],[Cotação]]/(Tabela3[[#This Row],[Lucro/Ação]]/Tabela3[Ref]*4),0)</f>
        <v>0</v>
      </c>
      <c r="AQ357" s="78">
        <f>Tabela3[Lucro Distribuir]/Tabela3[Total Ações]</f>
        <v>0</v>
      </c>
      <c r="AR357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57" s="14" t="str">
        <f>IF(AND(Tabela3[% A.A.]&gt;=6%,SUMPRODUCT(N(Tabela3[Nome]=Tabela3[[#This Row],[Nome]]),Tabela3[PL])&gt;0,Tabela3[Rentabilidade s/ PL]&gt;=Tabela3[Rentabilidade s/ PL Média]),"Sim","Não")</f>
        <v>Não</v>
      </c>
      <c r="AT357" s="42">
        <f>IF(Tabela3[Cotação]&gt;0,Tabela3[[#This Row],[Lucro]]/Tabela3[[#This Row],[Cotação]],0)</f>
        <v>0</v>
      </c>
      <c r="AU357" s="42">
        <f>((1+Tabela3[[#This Row],[% Yield]])^(1/(3*Tabela3[[#This Row],[Ref]])))^(12)-1</f>
        <v>0</v>
      </c>
      <c r="AV357" s="14">
        <f>IF(Tabela3[Cotação]&gt;0,($BH$1/Tabela3[[#This Row],[Cotação]]-MOD($BH$1/Tabela3[[#This Row],[Cotação]],100)),)</f>
        <v>0</v>
      </c>
      <c r="AW357" s="17">
        <f>Tabela3[[#This Row],[Ativos]]*Tabela3[Lucro]</f>
        <v>0</v>
      </c>
      <c r="AX357" s="17">
        <f>SUMPRODUCT(N(Tabela1[Código]=Tabela3[[#This Row],[PAPEL]]),Tabela1[Fechamento])</f>
        <v>0</v>
      </c>
      <c r="AY357" s="17">
        <f>SUMPRODUCT(N(Tabela17[Código]=Tabela3[[#This Row],[PAPEL]]),Tabela17[Fechamento])</f>
        <v>0</v>
      </c>
      <c r="AZ357" s="17">
        <f>SUMPRODUCT(N(Tabela176[Código]=Tabela3[[#This Row],[PAPEL]]),Tabela176[Fechamento])</f>
        <v>9.75</v>
      </c>
      <c r="BA357" s="17">
        <f>SUMPRODUCT(N(Tabela1768[Código]=Tabela3[[#This Row],[PAPEL]]),Tabela1768[Fechamento])</f>
        <v>0</v>
      </c>
      <c r="BB357" s="7">
        <f>SUMPRODUCT(N(Tabela17683[Código]=Tabela3[[#This Row],[PAPEL]]),Tabela17683[Fechamento])</f>
        <v>0</v>
      </c>
    </row>
    <row r="358" spans="1:54" hidden="1" x14ac:dyDescent="0.2">
      <c r="A358" s="3" t="s">
        <v>1330</v>
      </c>
      <c r="B358" s="58" t="s">
        <v>1331</v>
      </c>
      <c r="C358" s="16" t="str">
        <f>LEFT(Tabela3[PAPEL],LEN(Tabela3[PAPEL])-(LEN(Tabela3[PAPEL])-4))</f>
        <v>BISA</v>
      </c>
      <c r="D358" s="16">
        <v>3</v>
      </c>
      <c r="E358" s="5">
        <v>2543247634.8000002</v>
      </c>
      <c r="F358" s="56">
        <v>575902712</v>
      </c>
      <c r="G358" s="81">
        <v>0.25</v>
      </c>
      <c r="H358" s="87"/>
      <c r="J358" s="18"/>
      <c r="K358" s="16"/>
      <c r="L358" s="87"/>
      <c r="M358" s="54"/>
      <c r="N358" s="54"/>
      <c r="O358" s="54"/>
      <c r="P358" s="91">
        <v>2596093000</v>
      </c>
      <c r="Q358" s="73">
        <v>-261426000</v>
      </c>
      <c r="R358" s="73">
        <f>IF(Tabela3[[#This Row],[Ativo || Passivo]]&gt;0,Tabela3[[#This Row],[Ativo || Passivo]]-Tabela3[[#This Row],[Patrimônio Líquido]],0)</f>
        <v>0</v>
      </c>
      <c r="S358" s="73">
        <f>Tabela3[[#This Row],[Cotação]]*Tabela3[[#This Row],[Total Ações]]</f>
        <v>840817959.51999998</v>
      </c>
      <c r="T358" s="37">
        <f>IF(Tabela3[[#This Row],[Passivo Circulante]]&gt;0,Tabela3[[#This Row],[Ativo Circulante]]/Tabela3[[#This Row],[Passivo Circulante]],0)</f>
        <v>0</v>
      </c>
      <c r="U358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58" s="18">
        <f>IF(Tabela3[[#This Row],[Lucro Líquido]]&gt;0,Tabela3[[#This Row],[Lucro Líquido]]/Tabela3[[#This Row],[Patrimônio Líquido]],0)</f>
        <v>0</v>
      </c>
      <c r="W358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58" s="18">
        <f>IF(Tabela3[[#This Row],[Dívida]]&gt;0,Tabela3[[#This Row],[Dívida]]/Tabela3[[#This Row],[Patrimônio Líquido]],0)</f>
        <v>0</v>
      </c>
      <c r="Y358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58" s="7">
        <f>Tabela3[[#This Row],[Capital Social]]*20%</f>
        <v>508649526.96000004</v>
      </c>
      <c r="AA358" s="47">
        <f>IF((Tabela3[Lucro Líquido]*5%)&gt;Tabela3[Teto R. Legal],Tabela3[Teto R. Legal],Tabela3[Lucro Líquido]*5%)</f>
        <v>-13071300</v>
      </c>
      <c r="AB358" s="47">
        <f>IF(Tabela3[Lucro Líquido]&lt;0,0,Tabela3[Lucro Líquido]-Tabela3[Reserva Legal])</f>
        <v>0</v>
      </c>
      <c r="AC358" s="47">
        <f>Tabela3[[#This Row],[Lucro Distribuir]]*Tabela3[%Div]</f>
        <v>0</v>
      </c>
      <c r="AD358" s="56">
        <f>SUMPRODUCT(N(Tabela3[Nome]=Tabela3[[#This Row],[Nome]]),Tabela3[Ações])</f>
        <v>575902712</v>
      </c>
      <c r="AE358" s="85">
        <f>Tabela3[Capital Social]/Tabela3[Total Ações]</f>
        <v>4.4161063697161405</v>
      </c>
      <c r="AF358" s="85">
        <f>Tabela3[[#This Row],[Lucro Líquido]]/Tabela3[[#This Row],[Total Ações]]</f>
        <v>-0.45394125527229673</v>
      </c>
      <c r="AG358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58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58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58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58" s="7">
        <f>Tabela3[Div Base]*Tabela3[Ações]</f>
        <v>0</v>
      </c>
      <c r="AL358" s="121">
        <f>SUMPRODUCT(N(Tabela3[Nome]=Tabela3[[#This Row],[Nome]]),Tabela3[Div Base]*Tabela3[Ações])</f>
        <v>0</v>
      </c>
      <c r="AM358" s="5">
        <f>Tabela3[Patrimônio Líquido]/Tabela3[Total Ações]</f>
        <v>4.5078672940856022</v>
      </c>
      <c r="AN358" s="52">
        <f>MAX(Tabela3[[#This Row],[Cotação 1]:[Cotação 5]])</f>
        <v>1.46</v>
      </c>
      <c r="AO358" s="53">
        <f>Tabela3[Cotação]/Tabela3[VPA]</f>
        <v>0.32387821219039536</v>
      </c>
      <c r="AP358" s="37">
        <f>IF(Tabela3[[#This Row],[Lucro/Ação]]&gt;0,Tabela3[[#This Row],[Cotação]]/(Tabela3[[#This Row],[Lucro/Ação]]/Tabela3[Ref]*4),0)</f>
        <v>0</v>
      </c>
      <c r="AQ358" s="85">
        <f>Tabela3[Lucro Distribuir]/Tabela3[Total Ações]</f>
        <v>0</v>
      </c>
      <c r="AR358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58" s="10" t="str">
        <f>IF(AND(Tabela3[% A.A.]&gt;=6%,SUMPRODUCT(N(Tabela3[Nome]=Tabela3[[#This Row],[Nome]]),Tabela3[PL])&gt;0,Tabela3[Rentabilidade s/ PL]&gt;=Tabela3[Rentabilidade s/ PL Média]),"Sim","Não")</f>
        <v>Não</v>
      </c>
      <c r="AT358" s="22">
        <f>IF(Tabela3[Cotação]&gt;0,Tabela3[[#This Row],[Lucro]]/Tabela3[[#This Row],[Cotação]],0)</f>
        <v>0</v>
      </c>
      <c r="AU358" s="22">
        <f>((1+Tabela3[[#This Row],[% Yield]])^(1/(3*Tabela3[[#This Row],[Ref]])))^(12)-1</f>
        <v>0</v>
      </c>
      <c r="AV358" s="10">
        <f>IF(Tabela3[Cotação]&gt;0,($BH$1/Tabela3[[#This Row],[Cotação]]-MOD($BH$1/Tabela3[[#This Row],[Cotação]],100)),)</f>
        <v>300</v>
      </c>
      <c r="AW358" s="7">
        <f>Tabela3[[#This Row],[Ativos]]*Tabela3[Lucro]</f>
        <v>0</v>
      </c>
      <c r="AX358" s="7">
        <f>SUMPRODUCT(N(Tabela1[Código]=Tabela3[[#This Row],[PAPEL]]),Tabela1[Fechamento])</f>
        <v>0</v>
      </c>
      <c r="AY358" s="7">
        <f>SUMPRODUCT(N(Tabela17[Código]=Tabela3[[#This Row],[PAPEL]]),Tabela17[Fechamento])</f>
        <v>0</v>
      </c>
      <c r="AZ358" s="7">
        <f>SUMPRODUCT(N(Tabela176[Código]=Tabela3[[#This Row],[PAPEL]]),Tabela176[Fechamento])</f>
        <v>0</v>
      </c>
      <c r="BA358" s="7">
        <f>SUMPRODUCT(N(Tabela1768[Código]=Tabela3[[#This Row],[PAPEL]]),Tabela1768[Fechamento])</f>
        <v>1.46</v>
      </c>
      <c r="BB358" s="7">
        <f>SUMPRODUCT(N(Tabela17683[Código]=Tabela3[[#This Row],[PAPEL]]),Tabela17683[Fechamento])</f>
        <v>0</v>
      </c>
    </row>
    <row r="359" spans="1:54" hidden="1" x14ac:dyDescent="0.2">
      <c r="A359" s="4" t="s">
        <v>14</v>
      </c>
      <c r="B359" s="57" t="s">
        <v>559</v>
      </c>
      <c r="C359" s="15" t="str">
        <f>LEFT(Tabela3[PAPEL],LEN(Tabela3[PAPEL])-(LEN(Tabela3[PAPEL])-4))</f>
        <v>BMEB</v>
      </c>
      <c r="D359" s="15">
        <v>3</v>
      </c>
      <c r="E359" s="6">
        <v>433340000</v>
      </c>
      <c r="F359" s="8">
        <v>26262082</v>
      </c>
      <c r="G359" s="86">
        <v>0.25</v>
      </c>
      <c r="H359" s="15"/>
      <c r="I359" s="19"/>
      <c r="J359" s="19"/>
      <c r="K359" s="88"/>
      <c r="L359" s="88"/>
      <c r="M359" s="55"/>
      <c r="N359" s="55"/>
      <c r="O359" s="55"/>
      <c r="P359" s="92">
        <v>819449000</v>
      </c>
      <c r="Q359" s="93">
        <v>-33881000</v>
      </c>
      <c r="R359" s="93">
        <f>IF(Tabela3[[#This Row],[Ativo || Passivo]]&gt;0,Tabela3[[#This Row],[Ativo || Passivo]]-Tabela3[[#This Row],[Patrimônio Líquido]],0)</f>
        <v>0</v>
      </c>
      <c r="S359" s="93">
        <f>Tabela3[[#This Row],[Cotação]]*Tabela3[[#This Row],[Total Ações]]</f>
        <v>571640000</v>
      </c>
      <c r="T359" s="40">
        <f>IF(Tabela3[[#This Row],[Passivo Circulante]]&gt;0,Tabela3[[#This Row],[Ativo Circulante]]/Tabela3[[#This Row],[Passivo Circulante]],0)</f>
        <v>0</v>
      </c>
      <c r="U359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59" s="19">
        <f>IF(Tabela3[[#This Row],[Lucro Líquido]]&gt;0,Tabela3[[#This Row],[Lucro Líquido]]/Tabela3[[#This Row],[Patrimônio Líquido]],0)</f>
        <v>0</v>
      </c>
      <c r="W359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59" s="19">
        <f>IF(Tabela3[[#This Row],[Dívida]]&gt;0,Tabela3[[#This Row],[Dívida]]/Tabela3[[#This Row],[Patrimônio Líquido]],0)</f>
        <v>0</v>
      </c>
      <c r="Y359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59" s="13">
        <f>Tabela3[[#This Row],[Capital Social]]*20%</f>
        <v>86668000</v>
      </c>
      <c r="AA359" s="13">
        <f>IF((Tabela3[Lucro Líquido]*5%)&gt;Tabela3[Teto R. Legal],Tabela3[Teto R. Legal],Tabela3[Lucro Líquido]*5%)</f>
        <v>-1694050</v>
      </c>
      <c r="AB359" s="13">
        <f>IF(Tabela3[Lucro Líquido]&lt;0,0,Tabela3[Lucro Líquido]-Tabela3[Reserva Legal])</f>
        <v>0</v>
      </c>
      <c r="AC359" s="13">
        <f>Tabela3[[#This Row],[Lucro Distribuir]]*Tabela3[%Div]</f>
        <v>0</v>
      </c>
      <c r="AD359" s="56">
        <f>SUMPRODUCT(N(Tabela3[Nome]=Tabela3[[#This Row],[Nome]]),Tabela3[Ações])</f>
        <v>46100000</v>
      </c>
      <c r="AE359" s="6">
        <f>Tabela3[Capital Social]/Tabela3[Total Ações]</f>
        <v>9.4</v>
      </c>
      <c r="AF359" s="78">
        <f>Tabela3[[#This Row],[Lucro Líquido]]/Tabela3[[#This Row],[Total Ações]]</f>
        <v>-0.73494577006507589</v>
      </c>
      <c r="AG359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59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59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59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59" s="13">
        <f>Tabela3[Div Base]*Tabela3[Ações]</f>
        <v>0</v>
      </c>
      <c r="AL359" s="13">
        <f>SUMPRODUCT(N(Tabela3[Nome]=Tabela3[[#This Row],[Nome]]),Tabela3[Div Base]*Tabela3[Ações])</f>
        <v>0</v>
      </c>
      <c r="AM359" s="6">
        <f>Tabela3[Patrimônio Líquido]/Tabela3[Total Ações]</f>
        <v>17.775466377440345</v>
      </c>
      <c r="AN359" s="48">
        <f>MAX(Tabela3[[#This Row],[Cotação 1]:[Cotação 5]])</f>
        <v>12.4</v>
      </c>
      <c r="AO359" s="44">
        <f>Tabela3[Cotação]/Tabela3[VPA]</f>
        <v>0.69759069813984775</v>
      </c>
      <c r="AP359" s="40">
        <f>IF(Tabela3[[#This Row],[Lucro/Ação]]&gt;0,Tabela3[[#This Row],[Cotação]]/(Tabela3[[#This Row],[Lucro/Ação]]/Tabela3[Ref]*4),0)</f>
        <v>0</v>
      </c>
      <c r="AQ359" s="78">
        <f>Tabela3[Lucro Distribuir]/Tabela3[Total Ações]</f>
        <v>0</v>
      </c>
      <c r="AR359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59" s="14" t="str">
        <f>IF(AND(Tabela3[% A.A.]&gt;=6%,SUMPRODUCT(N(Tabela3[Nome]=Tabela3[[#This Row],[Nome]]),Tabela3[PL])&gt;0,Tabela3[Rentabilidade s/ PL]&gt;=Tabela3[Rentabilidade s/ PL Média]),"Sim","Não")</f>
        <v>Não</v>
      </c>
      <c r="AT359" s="42">
        <f>IF(Tabela3[Cotação]&gt;0,Tabela3[[#This Row],[Lucro]]/Tabela3[[#This Row],[Cotação]],0)</f>
        <v>0</v>
      </c>
      <c r="AU359" s="42">
        <f>((1+Tabela3[[#This Row],[% Yield]])^(1/(3*Tabela3[[#This Row],[Ref]])))^(12)-1</f>
        <v>0</v>
      </c>
      <c r="AV359" s="14">
        <f>IF(Tabela3[Cotação]&gt;0,($BH$1/Tabela3[[#This Row],[Cotação]]-MOD($BH$1/Tabela3[[#This Row],[Cotação]],100)),)</f>
        <v>0</v>
      </c>
      <c r="AW359" s="17">
        <f>Tabela3[[#This Row],[Ativos]]*Tabela3[Lucro]</f>
        <v>0</v>
      </c>
      <c r="AX359" s="17">
        <f>SUMPRODUCT(N(Tabela1[Código]=Tabela3[[#This Row],[PAPEL]]),Tabela1[Fechamento])</f>
        <v>0</v>
      </c>
      <c r="AY359" s="17">
        <f>SUMPRODUCT(N(Tabela17[Código]=Tabela3[[#This Row],[PAPEL]]),Tabela17[Fechamento])</f>
        <v>0</v>
      </c>
      <c r="AZ359" s="17">
        <f>SUMPRODUCT(N(Tabela176[Código]=Tabela3[[#This Row],[PAPEL]]),Tabela176[Fechamento])</f>
        <v>12.4</v>
      </c>
      <c r="BA359" s="17">
        <f>SUMPRODUCT(N(Tabela1768[Código]=Tabela3[[#This Row],[PAPEL]]),Tabela1768[Fechamento])</f>
        <v>0</v>
      </c>
      <c r="BB359" s="7">
        <f>SUMPRODUCT(N(Tabela17683[Código]=Tabela3[[#This Row],[PAPEL]]),Tabela17683[Fechamento])</f>
        <v>0</v>
      </c>
    </row>
    <row r="360" spans="1:54" hidden="1" x14ac:dyDescent="0.2">
      <c r="A360" s="4" t="s">
        <v>14</v>
      </c>
      <c r="B360" s="57" t="s">
        <v>560</v>
      </c>
      <c r="C360" s="15" t="str">
        <f>LEFT(Tabela3[PAPEL],LEN(Tabela3[PAPEL])-(LEN(Tabela3[PAPEL])-4))</f>
        <v>BMEB</v>
      </c>
      <c r="D360" s="15">
        <v>3</v>
      </c>
      <c r="E360" s="6">
        <v>433340000</v>
      </c>
      <c r="F360" s="8">
        <v>19837918</v>
      </c>
      <c r="G360" s="86">
        <v>0.25</v>
      </c>
      <c r="H360" s="15"/>
      <c r="I360" s="19">
        <v>0.06</v>
      </c>
      <c r="J360" s="19">
        <v>0.1</v>
      </c>
      <c r="K360" s="88"/>
      <c r="L360" s="88"/>
      <c r="M360" s="55"/>
      <c r="N360" s="55"/>
      <c r="O360" s="55"/>
      <c r="P360" s="92">
        <v>819449000</v>
      </c>
      <c r="Q360" s="93">
        <v>-33881000</v>
      </c>
      <c r="R360" s="93">
        <f>IF(Tabela3[[#This Row],[Ativo || Passivo]]&gt;0,Tabela3[[#This Row],[Ativo || Passivo]]-Tabela3[[#This Row],[Patrimônio Líquido]],0)</f>
        <v>0</v>
      </c>
      <c r="S360" s="93">
        <f>Tabela3[[#This Row],[Cotação]]*Tabela3[[#This Row],[Total Ações]]</f>
        <v>338835000</v>
      </c>
      <c r="T360" s="40">
        <f>IF(Tabela3[[#This Row],[Passivo Circulante]]&gt;0,Tabela3[[#This Row],[Ativo Circulante]]/Tabela3[[#This Row],[Passivo Circulante]],0)</f>
        <v>0</v>
      </c>
      <c r="U360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60" s="19">
        <f>IF(Tabela3[[#This Row],[Lucro Líquido]]&gt;0,Tabela3[[#This Row],[Lucro Líquido]]/Tabela3[[#This Row],[Patrimônio Líquido]],0)</f>
        <v>0</v>
      </c>
      <c r="W360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60" s="19">
        <f>IF(Tabela3[[#This Row],[Dívida]]&gt;0,Tabela3[[#This Row],[Dívida]]/Tabela3[[#This Row],[Patrimônio Líquido]],0)</f>
        <v>0</v>
      </c>
      <c r="Y360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60" s="13">
        <f>Tabela3[[#This Row],[Capital Social]]*20%</f>
        <v>86668000</v>
      </c>
      <c r="AA360" s="13">
        <f>IF((Tabela3[Lucro Líquido]*5%)&gt;Tabela3[Teto R. Legal],Tabela3[Teto R. Legal],Tabela3[Lucro Líquido]*5%)</f>
        <v>-1694050</v>
      </c>
      <c r="AB360" s="13">
        <f>IF(Tabela3[Lucro Líquido]&lt;0,0,Tabela3[Lucro Líquido]-Tabela3[Reserva Legal])</f>
        <v>0</v>
      </c>
      <c r="AC360" s="13">
        <f>Tabela3[[#This Row],[Lucro Distribuir]]*Tabela3[%Div]</f>
        <v>0</v>
      </c>
      <c r="AD360" s="56">
        <f>SUMPRODUCT(N(Tabela3[Nome]=Tabela3[[#This Row],[Nome]]),Tabela3[Ações])</f>
        <v>46100000</v>
      </c>
      <c r="AE360" s="6">
        <f>Tabela3[Capital Social]/Tabela3[Total Ações]</f>
        <v>9.4</v>
      </c>
      <c r="AF360" s="78">
        <f>Tabela3[[#This Row],[Lucro Líquido]]/Tabela3[[#This Row],[Total Ações]]</f>
        <v>-0.73494577006507589</v>
      </c>
      <c r="AG360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60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60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60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60" s="13">
        <f>Tabela3[Div Base]*Tabela3[Ações]</f>
        <v>0</v>
      </c>
      <c r="AL360" s="13">
        <f>SUMPRODUCT(N(Tabela3[Nome]=Tabela3[[#This Row],[Nome]]),Tabela3[Div Base]*Tabela3[Ações])</f>
        <v>0</v>
      </c>
      <c r="AM360" s="6">
        <f>Tabela3[Patrimônio Líquido]/Tabela3[Total Ações]</f>
        <v>17.775466377440345</v>
      </c>
      <c r="AN360" s="48">
        <f>MAX(Tabela3[[#This Row],[Cotação 1]:[Cotação 5]])</f>
        <v>7.35</v>
      </c>
      <c r="AO360" s="44">
        <f>Tabela3[Cotação]/Tabela3[VPA]</f>
        <v>0.41349126059095809</v>
      </c>
      <c r="AP360" s="40">
        <f>IF(Tabela3[[#This Row],[Lucro/Ação]]&gt;0,Tabela3[[#This Row],[Cotação]]/(Tabela3[[#This Row],[Lucro/Ação]]/Tabela3[Ref]*4),0)</f>
        <v>0</v>
      </c>
      <c r="AQ360" s="78">
        <f>Tabela3[Lucro Distribuir]/Tabela3[Total Ações]</f>
        <v>0</v>
      </c>
      <c r="AR360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60" s="14" t="str">
        <f>IF(AND(Tabela3[% A.A.]&gt;=6%,SUMPRODUCT(N(Tabela3[Nome]=Tabela3[[#This Row],[Nome]]),Tabela3[PL])&gt;0,Tabela3[Rentabilidade s/ PL]&gt;=Tabela3[Rentabilidade s/ PL Média]),"Sim","Não")</f>
        <v>Não</v>
      </c>
      <c r="AT360" s="42">
        <f>IF(Tabela3[Cotação]&gt;0,Tabela3[[#This Row],[Lucro]]/Tabela3[[#This Row],[Cotação]],0)</f>
        <v>0</v>
      </c>
      <c r="AU360" s="42">
        <f>((1+Tabela3[[#This Row],[% Yield]])^(1/(3*Tabela3[[#This Row],[Ref]])))^(12)-1</f>
        <v>0</v>
      </c>
      <c r="AV360" s="14">
        <f>IF(Tabela3[Cotação]&gt;0,($BH$1/Tabela3[[#This Row],[Cotação]]-MOD($BH$1/Tabela3[[#This Row],[Cotação]],100)),)</f>
        <v>0</v>
      </c>
      <c r="AW360" s="17">
        <f>Tabela3[[#This Row],[Ativos]]*Tabela3[Lucro]</f>
        <v>0</v>
      </c>
      <c r="AX360" s="17">
        <f>SUMPRODUCT(N(Tabela1[Código]=Tabela3[[#This Row],[PAPEL]]),Tabela1[Fechamento])</f>
        <v>0</v>
      </c>
      <c r="AY360" s="17">
        <f>SUMPRODUCT(N(Tabela17[Código]=Tabela3[[#This Row],[PAPEL]]),Tabela17[Fechamento])</f>
        <v>0</v>
      </c>
      <c r="AZ360" s="17">
        <f>SUMPRODUCT(N(Tabela176[Código]=Tabela3[[#This Row],[PAPEL]]),Tabela176[Fechamento])</f>
        <v>7.35</v>
      </c>
      <c r="BA360" s="17">
        <f>SUMPRODUCT(N(Tabela1768[Código]=Tabela3[[#This Row],[PAPEL]]),Tabela1768[Fechamento])</f>
        <v>0</v>
      </c>
      <c r="BB360" s="7">
        <f>SUMPRODUCT(N(Tabela17683[Código]=Tabela3[[#This Row],[PAPEL]]),Tabela17683[Fechamento])</f>
        <v>0</v>
      </c>
    </row>
    <row r="361" spans="1:54" hidden="1" x14ac:dyDescent="0.2">
      <c r="A361" s="3" t="s">
        <v>815</v>
      </c>
      <c r="B361" s="58" t="s">
        <v>816</v>
      </c>
      <c r="C361" s="16" t="str">
        <f>LEFT(Tabela3[PAPEL],LEN(Tabela3[PAPEL])-(LEN(Tabela3[PAPEL])-4))</f>
        <v>BOBR</v>
      </c>
      <c r="D361" s="16">
        <v>3</v>
      </c>
      <c r="E361" s="5">
        <v>795142427.63999999</v>
      </c>
      <c r="F361" s="56">
        <v>20000000</v>
      </c>
      <c r="G361" s="81">
        <v>0.25</v>
      </c>
      <c r="H361" s="87"/>
      <c r="J361" s="18"/>
      <c r="K361" s="16"/>
      <c r="L361" s="87"/>
      <c r="M361" s="54"/>
      <c r="N361" s="54"/>
      <c r="O361" s="54"/>
      <c r="P361" s="91">
        <v>-37030000</v>
      </c>
      <c r="Q361" s="73">
        <v>-45486000</v>
      </c>
      <c r="R361" s="73">
        <f>IF(Tabela3[[#This Row],[Ativo || Passivo]]&gt;0,Tabela3[[#This Row],[Ativo || Passivo]]-Tabela3[[#This Row],[Patrimônio Líquido]],0)</f>
        <v>0</v>
      </c>
      <c r="S361" s="73">
        <f>Tabela3[[#This Row],[Cotação]]*Tabela3[[#This Row],[Total Ações]]</f>
        <v>0</v>
      </c>
      <c r="T361" s="37">
        <f>IF(Tabela3[[#This Row],[Passivo Circulante]]&gt;0,Tabela3[[#This Row],[Ativo Circulante]]/Tabela3[[#This Row],[Passivo Circulante]],0)</f>
        <v>0</v>
      </c>
      <c r="U361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61" s="18">
        <f>IF(Tabela3[[#This Row],[Lucro Líquido]]&gt;0,Tabela3[[#This Row],[Lucro Líquido]]/Tabela3[[#This Row],[Patrimônio Líquido]],0)</f>
        <v>0</v>
      </c>
      <c r="W361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61" s="18">
        <f>IF(Tabela3[[#This Row],[Dívida]]&gt;0,Tabela3[[#This Row],[Dívida]]/Tabela3[[#This Row],[Patrimônio Líquido]],0)</f>
        <v>0</v>
      </c>
      <c r="Y361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61" s="7">
        <f>Tabela3[[#This Row],[Capital Social]]*20%</f>
        <v>159028485.528</v>
      </c>
      <c r="AA361" s="47">
        <f>IF((Tabela3[Lucro Líquido]*5%)&gt;Tabela3[Teto R. Legal],Tabela3[Teto R. Legal],Tabela3[Lucro Líquido]*5%)</f>
        <v>-2274300</v>
      </c>
      <c r="AB361" s="47">
        <f>IF(Tabela3[Lucro Líquido]&lt;0,0,Tabela3[Lucro Líquido]-Tabela3[Reserva Legal])</f>
        <v>0</v>
      </c>
      <c r="AC361" s="47">
        <f>Tabela3[[#This Row],[Lucro Distribuir]]*Tabela3[%Div]</f>
        <v>0</v>
      </c>
      <c r="AD361" s="56">
        <f>SUMPRODUCT(N(Tabela3[Nome]=Tabela3[[#This Row],[Nome]]),Tabela3[Ações])</f>
        <v>54064588</v>
      </c>
      <c r="AE361" s="85">
        <f>Tabela3[Capital Social]/Tabela3[Total Ações]</f>
        <v>14.70726878821309</v>
      </c>
      <c r="AF361" s="85">
        <f>Tabela3[[#This Row],[Lucro Líquido]]/Tabela3[[#This Row],[Total Ações]]</f>
        <v>-0.841327043868345</v>
      </c>
      <c r="AG361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61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61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61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61" s="7">
        <f>Tabela3[Div Base]*Tabela3[Ações]</f>
        <v>0</v>
      </c>
      <c r="AL361" s="7">
        <f>SUMPRODUCT(N(Tabela3[Nome]=Tabela3[[#This Row],[Nome]]),Tabela3[Div Base]*Tabela3[Ações])</f>
        <v>0</v>
      </c>
      <c r="AM361" s="5">
        <f>Tabela3[Patrimônio Líquido]/Tabela3[Total Ações]</f>
        <v>-0.68492152386327254</v>
      </c>
      <c r="AN361" s="52">
        <f>MAX(Tabela3[[#This Row],[Cotação 1]:[Cotação 5]])</f>
        <v>0</v>
      </c>
      <c r="AO361" s="53">
        <f>Tabela3[Cotação]/Tabela3[VPA]</f>
        <v>0</v>
      </c>
      <c r="AP361" s="37">
        <f>IF(Tabela3[[#This Row],[Lucro/Ação]]&gt;0,Tabela3[[#This Row],[Cotação]]/(Tabela3[[#This Row],[Lucro/Ação]]/Tabela3[Ref]*4),0)</f>
        <v>0</v>
      </c>
      <c r="AQ361" s="85">
        <f>Tabela3[Lucro Distribuir]/Tabela3[Total Ações]</f>
        <v>0</v>
      </c>
      <c r="AR361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61" s="10" t="str">
        <f>IF(AND(Tabela3[% A.A.]&gt;=6%,SUMPRODUCT(N(Tabela3[Nome]=Tabela3[[#This Row],[Nome]]),Tabela3[PL])&gt;0,Tabela3[Rentabilidade s/ PL]&gt;=Tabela3[Rentabilidade s/ PL Média]),"Sim","Não")</f>
        <v>Não</v>
      </c>
      <c r="AT361" s="22">
        <f>IF(Tabela3[Cotação]&gt;0,Tabela3[[#This Row],[Lucro]]/Tabela3[[#This Row],[Cotação]],0)</f>
        <v>0</v>
      </c>
      <c r="AU361" s="22">
        <f>((1+Tabela3[[#This Row],[% Yield]])^(1/(3*Tabela3[[#This Row],[Ref]])))^(12)-1</f>
        <v>0</v>
      </c>
      <c r="AV361" s="10">
        <f>IF(Tabela3[Cotação]&gt;0,($BH$1/Tabela3[[#This Row],[Cotação]]-MOD($BH$1/Tabela3[[#This Row],[Cotação]],100)),)</f>
        <v>0</v>
      </c>
      <c r="AW361" s="7">
        <f>Tabela3[[#This Row],[Ativos]]*Tabela3[Lucro]</f>
        <v>0</v>
      </c>
      <c r="AX361" s="7">
        <f>SUMPRODUCT(N(Tabela1[Código]=Tabela3[[#This Row],[PAPEL]]),Tabela1[Fechamento])</f>
        <v>0</v>
      </c>
      <c r="AY361" s="7">
        <f>SUMPRODUCT(N(Tabela17[Código]=Tabela3[[#This Row],[PAPEL]]),Tabela17[Fechamento])</f>
        <v>0</v>
      </c>
      <c r="AZ361" s="7">
        <f>SUMPRODUCT(N(Tabela176[Código]=Tabela3[[#This Row],[PAPEL]]),Tabela176[Fechamento])</f>
        <v>0</v>
      </c>
      <c r="BA361" s="7">
        <f>SUMPRODUCT(N(Tabela1768[Código]=Tabela3[[#This Row],[PAPEL]]),Tabela1768[Fechamento])</f>
        <v>0</v>
      </c>
      <c r="BB361" s="7">
        <f>SUMPRODUCT(N(Tabela17683[Código]=Tabela3[[#This Row],[PAPEL]]),Tabela17683[Fechamento])</f>
        <v>0</v>
      </c>
    </row>
    <row r="362" spans="1:54" hidden="1" x14ac:dyDescent="0.2">
      <c r="A362" s="3" t="s">
        <v>815</v>
      </c>
      <c r="B362" s="58" t="s">
        <v>817</v>
      </c>
      <c r="C362" s="16" t="str">
        <f>LEFT(Tabela3[PAPEL],LEN(Tabela3[PAPEL])-(LEN(Tabela3[PAPEL])-4))</f>
        <v>BOBR</v>
      </c>
      <c r="D362" s="16">
        <v>3</v>
      </c>
      <c r="E362" s="5">
        <v>795142427.63999999</v>
      </c>
      <c r="F362" s="56">
        <v>34064588</v>
      </c>
      <c r="G362" s="81">
        <v>0.25</v>
      </c>
      <c r="H362" s="87"/>
      <c r="J362" s="18">
        <v>0.1</v>
      </c>
      <c r="K362" s="16"/>
      <c r="L362" s="87"/>
      <c r="M362" s="54"/>
      <c r="N362" s="54"/>
      <c r="O362" s="54"/>
      <c r="P362" s="91">
        <v>-37030000</v>
      </c>
      <c r="Q362" s="73">
        <v>-45486000</v>
      </c>
      <c r="R362" s="73">
        <f>IF(Tabela3[[#This Row],[Ativo || Passivo]]&gt;0,Tabela3[[#This Row],[Ativo || Passivo]]-Tabela3[[#This Row],[Patrimônio Líquido]],0)</f>
        <v>0</v>
      </c>
      <c r="S362" s="73">
        <f>Tabela3[[#This Row],[Cotação]]*Tabela3[[#This Row],[Total Ações]]</f>
        <v>323846882.12</v>
      </c>
      <c r="T362" s="37">
        <f>IF(Tabela3[[#This Row],[Passivo Circulante]]&gt;0,Tabela3[[#This Row],[Ativo Circulante]]/Tabela3[[#This Row],[Passivo Circulante]],0)</f>
        <v>0</v>
      </c>
      <c r="U362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62" s="18">
        <f>IF(Tabela3[[#This Row],[Lucro Líquido]]&gt;0,Tabela3[[#This Row],[Lucro Líquido]]/Tabela3[[#This Row],[Patrimônio Líquido]],0)</f>
        <v>0</v>
      </c>
      <c r="W362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62" s="18">
        <f>IF(Tabela3[[#This Row],[Dívida]]&gt;0,Tabela3[[#This Row],[Dívida]]/Tabela3[[#This Row],[Patrimônio Líquido]],0)</f>
        <v>0</v>
      </c>
      <c r="Y362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62" s="7">
        <f>Tabela3[[#This Row],[Capital Social]]*20%</f>
        <v>159028485.528</v>
      </c>
      <c r="AA362" s="47">
        <f>IF((Tabela3[Lucro Líquido]*5%)&gt;Tabela3[Teto R. Legal],Tabela3[Teto R. Legal],Tabela3[Lucro Líquido]*5%)</f>
        <v>-2274300</v>
      </c>
      <c r="AB362" s="47">
        <f>IF(Tabela3[Lucro Líquido]&lt;0,0,Tabela3[Lucro Líquido]-Tabela3[Reserva Legal])</f>
        <v>0</v>
      </c>
      <c r="AC362" s="47">
        <f>Tabela3[[#This Row],[Lucro Distribuir]]*Tabela3[%Div]</f>
        <v>0</v>
      </c>
      <c r="AD362" s="56">
        <f>SUMPRODUCT(N(Tabela3[Nome]=Tabela3[[#This Row],[Nome]]),Tabela3[Ações])</f>
        <v>54064588</v>
      </c>
      <c r="AE362" s="85">
        <f>Tabela3[Capital Social]/Tabela3[Total Ações]</f>
        <v>14.70726878821309</v>
      </c>
      <c r="AF362" s="85">
        <f>Tabela3[[#This Row],[Lucro Líquido]]/Tabela3[[#This Row],[Total Ações]]</f>
        <v>-0.841327043868345</v>
      </c>
      <c r="AG362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62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62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62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62" s="7">
        <f>Tabela3[Div Base]*Tabela3[Ações]</f>
        <v>0</v>
      </c>
      <c r="AL362" s="7">
        <f>SUMPRODUCT(N(Tabela3[Nome]=Tabela3[[#This Row],[Nome]]),Tabela3[Div Base]*Tabela3[Ações])</f>
        <v>0</v>
      </c>
      <c r="AM362" s="5">
        <f>Tabela3[Patrimônio Líquido]/Tabela3[Total Ações]</f>
        <v>-0.68492152386327254</v>
      </c>
      <c r="AN362" s="52">
        <f>MAX(Tabela3[[#This Row],[Cotação 1]:[Cotação 5]])</f>
        <v>5.99</v>
      </c>
      <c r="AO362" s="53">
        <f>Tabela3[Cotação]/Tabela3[VPA]</f>
        <v>-8.7455274674588175</v>
      </c>
      <c r="AP362" s="37">
        <f>IF(Tabela3[[#This Row],[Lucro/Ação]]&gt;0,Tabela3[[#This Row],[Cotação]]/(Tabela3[[#This Row],[Lucro/Ação]]/Tabela3[Ref]*4),0)</f>
        <v>0</v>
      </c>
      <c r="AQ362" s="85">
        <f>Tabela3[Lucro Distribuir]/Tabela3[Total Ações]</f>
        <v>0</v>
      </c>
      <c r="AR362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62" s="10" t="str">
        <f>IF(AND(Tabela3[% A.A.]&gt;=6%,SUMPRODUCT(N(Tabela3[Nome]=Tabela3[[#This Row],[Nome]]),Tabela3[PL])&gt;0,Tabela3[Rentabilidade s/ PL]&gt;=Tabela3[Rentabilidade s/ PL Média]),"Sim","Não")</f>
        <v>Não</v>
      </c>
      <c r="AT362" s="22">
        <f>IF(Tabela3[Cotação]&gt;0,Tabela3[[#This Row],[Lucro]]/Tabela3[[#This Row],[Cotação]],0)</f>
        <v>0</v>
      </c>
      <c r="AU362" s="22">
        <f>((1+Tabela3[[#This Row],[% Yield]])^(1/(3*Tabela3[[#This Row],[Ref]])))^(12)-1</f>
        <v>0</v>
      </c>
      <c r="AV362" s="10">
        <f>IF(Tabela3[Cotação]&gt;0,($BH$1/Tabela3[[#This Row],[Cotação]]-MOD($BH$1/Tabela3[[#This Row],[Cotação]],100)),)</f>
        <v>0</v>
      </c>
      <c r="AW362" s="7">
        <f>Tabela3[[#This Row],[Ativos]]*Tabela3[Lucro]</f>
        <v>0</v>
      </c>
      <c r="AX362" s="7">
        <f>SUMPRODUCT(N(Tabela1[Código]=Tabela3[[#This Row],[PAPEL]]),Tabela1[Fechamento])</f>
        <v>0</v>
      </c>
      <c r="AY362" s="7">
        <f>SUMPRODUCT(N(Tabela17[Código]=Tabela3[[#This Row],[PAPEL]]),Tabela17[Fechamento])</f>
        <v>0</v>
      </c>
      <c r="AZ362" s="7">
        <f>SUMPRODUCT(N(Tabela176[Código]=Tabela3[[#This Row],[PAPEL]]),Tabela176[Fechamento])</f>
        <v>5.99</v>
      </c>
      <c r="BA362" s="7">
        <f>SUMPRODUCT(N(Tabela1768[Código]=Tabela3[[#This Row],[PAPEL]]),Tabela1768[Fechamento])</f>
        <v>0</v>
      </c>
      <c r="BB362" s="7">
        <f>SUMPRODUCT(N(Tabela17683[Código]=Tabela3[[#This Row],[PAPEL]]),Tabela17683[Fechamento])</f>
        <v>0</v>
      </c>
    </row>
    <row r="363" spans="1:54" hidden="1" x14ac:dyDescent="0.2">
      <c r="A363" s="4" t="s">
        <v>14</v>
      </c>
      <c r="B363" s="57" t="s">
        <v>567</v>
      </c>
      <c r="C363" s="15" t="str">
        <f>LEFT(Tabela3[PAPEL],LEN(Tabela3[PAPEL])-(LEN(Tabela3[PAPEL])-4))</f>
        <v>BPMN</v>
      </c>
      <c r="D363" s="15">
        <v>4</v>
      </c>
      <c r="E363" s="6">
        <v>2867020093.0500002</v>
      </c>
      <c r="F363" s="8">
        <v>292463400</v>
      </c>
      <c r="G363" s="86">
        <v>0.25</v>
      </c>
      <c r="H363" s="15"/>
      <c r="I363" s="19"/>
      <c r="J363" s="19"/>
      <c r="K363" s="88"/>
      <c r="L363" s="88"/>
      <c r="M363" s="55"/>
      <c r="N363" s="55"/>
      <c r="O363" s="55"/>
      <c r="P363" s="92">
        <v>2308053000</v>
      </c>
      <c r="Q363" s="93">
        <v>-229048000</v>
      </c>
      <c r="R363" s="93">
        <f>IF(Tabela3[[#This Row],[Ativo || Passivo]]&gt;0,Tabela3[[#This Row],[Ativo || Passivo]]-Tabela3[[#This Row],[Patrimônio Líquido]],0)</f>
        <v>0</v>
      </c>
      <c r="S363" s="93">
        <f>Tabela3[[#This Row],[Cotação]]*Tabela3[[#This Row],[Total Ações]]</f>
        <v>0</v>
      </c>
      <c r="T363" s="40">
        <f>IF(Tabela3[[#This Row],[Passivo Circulante]]&gt;0,Tabela3[[#This Row],[Ativo Circulante]]/Tabela3[[#This Row],[Passivo Circulante]],0)</f>
        <v>0</v>
      </c>
      <c r="U363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63" s="19">
        <f>IF(Tabela3[[#This Row],[Lucro Líquido]]&gt;0,Tabela3[[#This Row],[Lucro Líquido]]/Tabela3[[#This Row],[Patrimônio Líquido]],0)</f>
        <v>0</v>
      </c>
      <c r="W363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63" s="19">
        <f>IF(Tabela3[[#This Row],[Dívida]]&gt;0,Tabela3[[#This Row],[Dívida]]/Tabela3[[#This Row],[Patrimônio Líquido]],0)</f>
        <v>0</v>
      </c>
      <c r="Y363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63" s="13">
        <f>Tabela3[[#This Row],[Capital Social]]*20%</f>
        <v>573404018.61000001</v>
      </c>
      <c r="AA363" s="13">
        <f>IF((Tabela3[Lucro Líquido]*5%)&gt;Tabela3[Teto R. Legal],Tabela3[Teto R. Legal],Tabela3[Lucro Líquido]*5%)</f>
        <v>-11452400</v>
      </c>
      <c r="AB363" s="13">
        <f>IF(Tabela3[Lucro Líquido]&lt;0,0,Tabela3[Lucro Líquido]-Tabela3[Reserva Legal])</f>
        <v>0</v>
      </c>
      <c r="AC363" s="13">
        <f>Tabela3[[#This Row],[Lucro Distribuir]]*Tabela3[%Div]</f>
        <v>0</v>
      </c>
      <c r="AD363" s="56">
        <f>SUMPRODUCT(N(Tabela3[Nome]=Tabela3[[#This Row],[Nome]]),Tabela3[Ações])</f>
        <v>535076075</v>
      </c>
      <c r="AE363" s="6">
        <f>Tabela3[Capital Social]/Tabela3[Total Ações]</f>
        <v>5.3581541522857288</v>
      </c>
      <c r="AF363" s="78">
        <f>Tabela3[[#This Row],[Lucro Líquido]]/Tabela3[[#This Row],[Total Ações]]</f>
        <v>-0.42806623338559846</v>
      </c>
      <c r="AG363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63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63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63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63" s="13">
        <f>Tabela3[Div Base]*Tabela3[Ações]</f>
        <v>0</v>
      </c>
      <c r="AL363" s="13">
        <f>SUMPRODUCT(N(Tabela3[Nome]=Tabela3[[#This Row],[Nome]]),Tabela3[Div Base]*Tabela3[Ações])</f>
        <v>0</v>
      </c>
      <c r="AM363" s="6">
        <f>Tabela3[Patrimônio Líquido]/Tabela3[Total Ações]</f>
        <v>4.3135043928099384</v>
      </c>
      <c r="AN363" s="48">
        <f>MAX(Tabela3[[#This Row],[Cotação 1]:[Cotação 5]])</f>
        <v>0</v>
      </c>
      <c r="AO363" s="44">
        <f>Tabela3[Cotação]/Tabela3[VPA]</f>
        <v>0</v>
      </c>
      <c r="AP363" s="40">
        <f>IF(Tabela3[[#This Row],[Lucro/Ação]]&gt;0,Tabela3[[#This Row],[Cotação]]/(Tabela3[[#This Row],[Lucro/Ação]]/Tabela3[Ref]*4),0)</f>
        <v>0</v>
      </c>
      <c r="AQ363" s="78">
        <f>Tabela3[Lucro Distribuir]/Tabela3[Total Ações]</f>
        <v>0</v>
      </c>
      <c r="AR363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63" s="14" t="str">
        <f>IF(AND(Tabela3[% A.A.]&gt;=6%,SUMPRODUCT(N(Tabela3[Nome]=Tabela3[[#This Row],[Nome]]),Tabela3[PL])&gt;0,Tabela3[Rentabilidade s/ PL]&gt;=Tabela3[Rentabilidade s/ PL Média]),"Sim","Não")</f>
        <v>Não</v>
      </c>
      <c r="AT363" s="42">
        <f>IF(Tabela3[Cotação]&gt;0,Tabela3[[#This Row],[Lucro]]/Tabela3[[#This Row],[Cotação]],0)</f>
        <v>0</v>
      </c>
      <c r="AU363" s="42">
        <f>((1+Tabela3[[#This Row],[% Yield]])^(1/(3*Tabela3[[#This Row],[Ref]])))^(12)-1</f>
        <v>0</v>
      </c>
      <c r="AV363" s="14">
        <f>IF(Tabela3[Cotação]&gt;0,($BH$1/Tabela3[[#This Row],[Cotação]]-MOD($BH$1/Tabela3[[#This Row],[Cotação]],100)),)</f>
        <v>0</v>
      </c>
      <c r="AW363" s="17">
        <f>Tabela3[[#This Row],[Ativos]]*Tabela3[Lucro]</f>
        <v>0</v>
      </c>
      <c r="AX363" s="17">
        <f>SUMPRODUCT(N(Tabela1[Código]=Tabela3[[#This Row],[PAPEL]]),Tabela1[Fechamento])</f>
        <v>0</v>
      </c>
      <c r="AY363" s="17">
        <f>SUMPRODUCT(N(Tabela17[Código]=Tabela3[[#This Row],[PAPEL]]),Tabela17[Fechamento])</f>
        <v>0</v>
      </c>
      <c r="AZ363" s="17">
        <f>SUMPRODUCT(N(Tabela176[Código]=Tabela3[[#This Row],[PAPEL]]),Tabela176[Fechamento])</f>
        <v>0</v>
      </c>
      <c r="BA363" s="17">
        <f>SUMPRODUCT(N(Tabela1768[Código]=Tabela3[[#This Row],[PAPEL]]),Tabela1768[Fechamento])</f>
        <v>0</v>
      </c>
      <c r="BB363" s="7">
        <f>SUMPRODUCT(N(Tabela17683[Código]=Tabela3[[#This Row],[PAPEL]]),Tabela17683[Fechamento])</f>
        <v>0</v>
      </c>
    </row>
    <row r="364" spans="1:54" hidden="1" x14ac:dyDescent="0.2">
      <c r="A364" s="4" t="s">
        <v>14</v>
      </c>
      <c r="B364" s="57" t="s">
        <v>568</v>
      </c>
      <c r="C364" s="15" t="str">
        <f>LEFT(Tabela3[PAPEL],LEN(Tabela3[PAPEL])-(LEN(Tabela3[PAPEL])-4))</f>
        <v>BPMN</v>
      </c>
      <c r="D364" s="15">
        <v>4</v>
      </c>
      <c r="E364" s="6">
        <v>2867020093.0500002</v>
      </c>
      <c r="F364" s="8">
        <v>242612675</v>
      </c>
      <c r="G364" s="86">
        <v>0.25</v>
      </c>
      <c r="H364" s="15"/>
      <c r="I364" s="19"/>
      <c r="J364" s="19"/>
      <c r="K364" s="88"/>
      <c r="L364" s="88"/>
      <c r="M364" s="55"/>
      <c r="N364" s="55"/>
      <c r="O364" s="55"/>
      <c r="P364" s="92">
        <v>2308053000</v>
      </c>
      <c r="Q364" s="93">
        <v>-229048000</v>
      </c>
      <c r="R364" s="93">
        <f>IF(Tabela3[[#This Row],[Ativo || Passivo]]&gt;0,Tabela3[[#This Row],[Ativo || Passivo]]-Tabela3[[#This Row],[Patrimônio Líquido]],0)</f>
        <v>0</v>
      </c>
      <c r="S364" s="93">
        <f>Tabela3[[#This Row],[Cotação]]*Tabela3[[#This Row],[Total Ações]]</f>
        <v>0</v>
      </c>
      <c r="T364" s="40">
        <f>IF(Tabela3[[#This Row],[Passivo Circulante]]&gt;0,Tabela3[[#This Row],[Ativo Circulante]]/Tabela3[[#This Row],[Passivo Circulante]],0)</f>
        <v>0</v>
      </c>
      <c r="U364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64" s="19">
        <f>IF(Tabela3[[#This Row],[Lucro Líquido]]&gt;0,Tabela3[[#This Row],[Lucro Líquido]]/Tabela3[[#This Row],[Patrimônio Líquido]],0)</f>
        <v>0</v>
      </c>
      <c r="W364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64" s="19">
        <f>IF(Tabela3[[#This Row],[Dívida]]&gt;0,Tabela3[[#This Row],[Dívida]]/Tabela3[[#This Row],[Patrimônio Líquido]],0)</f>
        <v>0</v>
      </c>
      <c r="Y364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64" s="13">
        <f>Tabela3[[#This Row],[Capital Social]]*20%</f>
        <v>573404018.61000001</v>
      </c>
      <c r="AA364" s="13">
        <f>IF((Tabela3[Lucro Líquido]*5%)&gt;Tabela3[Teto R. Legal],Tabela3[Teto R. Legal],Tabela3[Lucro Líquido]*5%)</f>
        <v>-11452400</v>
      </c>
      <c r="AB364" s="13">
        <f>IF(Tabela3[Lucro Líquido]&lt;0,0,Tabela3[Lucro Líquido]-Tabela3[Reserva Legal])</f>
        <v>0</v>
      </c>
      <c r="AC364" s="13">
        <f>Tabela3[[#This Row],[Lucro Distribuir]]*Tabela3[%Div]</f>
        <v>0</v>
      </c>
      <c r="AD364" s="56">
        <f>SUMPRODUCT(N(Tabela3[Nome]=Tabela3[[#This Row],[Nome]]),Tabela3[Ações])</f>
        <v>535076075</v>
      </c>
      <c r="AE364" s="6">
        <f>Tabela3[Capital Social]/Tabela3[Total Ações]</f>
        <v>5.3581541522857288</v>
      </c>
      <c r="AF364" s="78">
        <f>Tabela3[[#This Row],[Lucro Líquido]]/Tabela3[[#This Row],[Total Ações]]</f>
        <v>-0.42806623338559846</v>
      </c>
      <c r="AG364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64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64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64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64" s="13">
        <f>Tabela3[Div Base]*Tabela3[Ações]</f>
        <v>0</v>
      </c>
      <c r="AL364" s="13">
        <f>SUMPRODUCT(N(Tabela3[Nome]=Tabela3[[#This Row],[Nome]]),Tabela3[Div Base]*Tabela3[Ações])</f>
        <v>0</v>
      </c>
      <c r="AM364" s="6">
        <f>Tabela3[Patrimônio Líquido]/Tabela3[Total Ações]</f>
        <v>4.3135043928099384</v>
      </c>
      <c r="AN364" s="48">
        <f>MAX(Tabela3[[#This Row],[Cotação 1]:[Cotação 5]])</f>
        <v>0</v>
      </c>
      <c r="AO364" s="44">
        <f>Tabela3[Cotação]/Tabela3[VPA]</f>
        <v>0</v>
      </c>
      <c r="AP364" s="40">
        <f>IF(Tabela3[[#This Row],[Lucro/Ação]]&gt;0,Tabela3[[#This Row],[Cotação]]/(Tabela3[[#This Row],[Lucro/Ação]]/Tabela3[Ref]*4),0)</f>
        <v>0</v>
      </c>
      <c r="AQ364" s="78">
        <f>Tabela3[Lucro Distribuir]/Tabela3[Total Ações]</f>
        <v>0</v>
      </c>
      <c r="AR364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64" s="14" t="str">
        <f>IF(AND(Tabela3[% A.A.]&gt;=6%,SUMPRODUCT(N(Tabela3[Nome]=Tabela3[[#This Row],[Nome]]),Tabela3[PL])&gt;0,Tabela3[Rentabilidade s/ PL]&gt;=Tabela3[Rentabilidade s/ PL Média]),"Sim","Não")</f>
        <v>Não</v>
      </c>
      <c r="AT364" s="42">
        <f>IF(Tabela3[Cotação]&gt;0,Tabela3[[#This Row],[Lucro]]/Tabela3[[#This Row],[Cotação]],0)</f>
        <v>0</v>
      </c>
      <c r="AU364" s="42">
        <f>((1+Tabela3[[#This Row],[% Yield]])^(1/(3*Tabela3[[#This Row],[Ref]])))^(12)-1</f>
        <v>0</v>
      </c>
      <c r="AV364" s="14">
        <f>IF(Tabela3[Cotação]&gt;0,($BH$1/Tabela3[[#This Row],[Cotação]]-MOD($BH$1/Tabela3[[#This Row],[Cotação]],100)),)</f>
        <v>0</v>
      </c>
      <c r="AW364" s="17">
        <f>Tabela3[[#This Row],[Ativos]]*Tabela3[Lucro]</f>
        <v>0</v>
      </c>
      <c r="AX364" s="17">
        <f>SUMPRODUCT(N(Tabela1[Código]=Tabela3[[#This Row],[PAPEL]]),Tabela1[Fechamento])</f>
        <v>0</v>
      </c>
      <c r="AY364" s="17">
        <f>SUMPRODUCT(N(Tabela17[Código]=Tabela3[[#This Row],[PAPEL]]),Tabela17[Fechamento])</f>
        <v>0</v>
      </c>
      <c r="AZ364" s="17">
        <f>SUMPRODUCT(N(Tabela176[Código]=Tabela3[[#This Row],[PAPEL]]),Tabela176[Fechamento])</f>
        <v>0</v>
      </c>
      <c r="BA364" s="17">
        <f>SUMPRODUCT(N(Tabela1768[Código]=Tabela3[[#This Row],[PAPEL]]),Tabela1768[Fechamento])</f>
        <v>0</v>
      </c>
      <c r="BB364" s="7">
        <f>SUMPRODUCT(N(Tabela17683[Código]=Tabela3[[#This Row],[PAPEL]]),Tabela17683[Fechamento])</f>
        <v>0</v>
      </c>
    </row>
    <row r="365" spans="1:54" hidden="1" x14ac:dyDescent="0.2">
      <c r="A365" s="3" t="s">
        <v>269</v>
      </c>
      <c r="B365" s="58" t="s">
        <v>883</v>
      </c>
      <c r="C365" s="16" t="str">
        <f>LEFT(Tabela3[PAPEL],LEN(Tabela3[PAPEL])-(LEN(Tabela3[PAPEL])-4))</f>
        <v>BSEV</v>
      </c>
      <c r="D365" s="16">
        <v>4</v>
      </c>
      <c r="E365" s="5">
        <v>2490036011.5700002</v>
      </c>
      <c r="F365" s="56">
        <v>206810613</v>
      </c>
      <c r="G365" s="81">
        <v>0.25</v>
      </c>
      <c r="H365" s="87"/>
      <c r="J365" s="18"/>
      <c r="K365" s="16"/>
      <c r="L365" s="87"/>
      <c r="M365" s="54"/>
      <c r="N365" s="54"/>
      <c r="O365" s="54"/>
      <c r="P365" s="91">
        <v>2497136000</v>
      </c>
      <c r="Q365" s="73">
        <v>-450135000</v>
      </c>
      <c r="R365" s="73">
        <f>IF(Tabela3[[#This Row],[Ativo || Passivo]]&gt;0,Tabela3[[#This Row],[Ativo || Passivo]]-Tabela3[[#This Row],[Patrimônio Líquido]],0)</f>
        <v>0</v>
      </c>
      <c r="S365" s="73">
        <f>Tabela3[[#This Row],[Cotação]]*Tabela3[[#This Row],[Total Ações]]</f>
        <v>1863363623.1299999</v>
      </c>
      <c r="T365" s="37">
        <f>IF(Tabela3[[#This Row],[Passivo Circulante]]&gt;0,Tabela3[[#This Row],[Ativo Circulante]]/Tabela3[[#This Row],[Passivo Circulante]],0)</f>
        <v>0</v>
      </c>
      <c r="U365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65" s="18">
        <f>IF(Tabela3[[#This Row],[Lucro Líquido]]&gt;0,Tabela3[[#This Row],[Lucro Líquido]]/Tabela3[[#This Row],[Patrimônio Líquido]],0)</f>
        <v>0</v>
      </c>
      <c r="W365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65" s="18">
        <f>IF(Tabela3[[#This Row],[Dívida]]&gt;0,Tabela3[[#This Row],[Dívida]]/Tabela3[[#This Row],[Patrimônio Líquido]],0)</f>
        <v>0</v>
      </c>
      <c r="Y365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65" s="7">
        <f>Tabela3[[#This Row],[Capital Social]]*20%</f>
        <v>498007202.31400007</v>
      </c>
      <c r="AA365" s="47">
        <f>IF((Tabela3[Lucro Líquido]*5%)&gt;Tabela3[Teto R. Legal],Tabela3[Teto R. Legal],Tabela3[Lucro Líquido]*5%)</f>
        <v>-22506750</v>
      </c>
      <c r="AB365" s="47">
        <f>IF(Tabela3[Lucro Líquido]&lt;0,0,Tabela3[Lucro Líquido]-Tabela3[Reserva Legal])</f>
        <v>0</v>
      </c>
      <c r="AC365" s="47">
        <f>Tabela3[[#This Row],[Lucro Distribuir]]*Tabela3[%Div]</f>
        <v>0</v>
      </c>
      <c r="AD365" s="56">
        <f>SUMPRODUCT(N(Tabela3[Nome]=Tabela3[[#This Row],[Nome]]),Tabela3[Ações])</f>
        <v>206810613</v>
      </c>
      <c r="AE365" s="85">
        <f>Tabela3[Capital Social]/Tabela3[Total Ações]</f>
        <v>12.040175189510222</v>
      </c>
      <c r="AF365" s="85">
        <f>Tabela3[[#This Row],[Lucro Líquido]]/Tabela3[[#This Row],[Total Ações]]</f>
        <v>-2.1765565773938302</v>
      </c>
      <c r="AG365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65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65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65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65" s="7">
        <f>Tabela3[Div Base]*Tabela3[Ações]</f>
        <v>0</v>
      </c>
      <c r="AL365" s="7">
        <f>SUMPRODUCT(N(Tabela3[Nome]=Tabela3[[#This Row],[Nome]]),Tabela3[Div Base]*Tabela3[Ações])</f>
        <v>0</v>
      </c>
      <c r="AM365" s="5">
        <f>Tabela3[Patrimônio Líquido]/Tabela3[Total Ações]</f>
        <v>12.074506060286181</v>
      </c>
      <c r="AN365" s="52">
        <f>MAX(Tabela3[[#This Row],[Cotação 1]:[Cotação 5]])</f>
        <v>9.01</v>
      </c>
      <c r="AO365" s="53">
        <f>Tabela3[Cotação]/Tabela3[VPA]</f>
        <v>0.74620029631145435</v>
      </c>
      <c r="AP365" s="37">
        <f>IF(Tabela3[[#This Row],[Lucro/Ação]]&gt;0,Tabela3[[#This Row],[Cotação]]/(Tabela3[[#This Row],[Lucro/Ação]]/Tabela3[Ref]*4),0)</f>
        <v>0</v>
      </c>
      <c r="AQ365" s="85">
        <f>Tabela3[Lucro Distribuir]/Tabela3[Total Ações]</f>
        <v>0</v>
      </c>
      <c r="AR365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65" s="10" t="str">
        <f>IF(AND(Tabela3[% A.A.]&gt;=6%,SUMPRODUCT(N(Tabela3[Nome]=Tabela3[[#This Row],[Nome]]),Tabela3[PL])&gt;0,Tabela3[Rentabilidade s/ PL]&gt;=Tabela3[Rentabilidade s/ PL Média]),"Sim","Não")</f>
        <v>Não</v>
      </c>
      <c r="AT365" s="22">
        <f>IF(Tabela3[Cotação]&gt;0,Tabela3[[#This Row],[Lucro]]/Tabela3[[#This Row],[Cotação]],0)</f>
        <v>0</v>
      </c>
      <c r="AU365" s="22">
        <f>((1+Tabela3[[#This Row],[% Yield]])^(1/(3*Tabela3[[#This Row],[Ref]])))^(12)-1</f>
        <v>0</v>
      </c>
      <c r="AV365" s="10">
        <f>IF(Tabela3[Cotação]&gt;0,($BH$1/Tabela3[[#This Row],[Cotação]]-MOD($BH$1/Tabela3[[#This Row],[Cotação]],100)),)</f>
        <v>0</v>
      </c>
      <c r="AW365" s="7">
        <f>Tabela3[[#This Row],[Ativos]]*Tabela3[Lucro]</f>
        <v>0</v>
      </c>
      <c r="AX365" s="7">
        <f>SUMPRODUCT(N(Tabela1[Código]=Tabela3[[#This Row],[PAPEL]]),Tabela1[Fechamento])</f>
        <v>0</v>
      </c>
      <c r="AY365" s="7">
        <f>SUMPRODUCT(N(Tabela17[Código]=Tabela3[[#This Row],[PAPEL]]),Tabela17[Fechamento])</f>
        <v>0</v>
      </c>
      <c r="AZ365" s="7">
        <f>SUMPRODUCT(N(Tabela176[Código]=Tabela3[[#This Row],[PAPEL]]),Tabela176[Fechamento])</f>
        <v>0</v>
      </c>
      <c r="BA365" s="7">
        <f>SUMPRODUCT(N(Tabela1768[Código]=Tabela3[[#This Row],[PAPEL]]),Tabela1768[Fechamento])</f>
        <v>9.01</v>
      </c>
      <c r="BB365" s="7">
        <f>SUMPRODUCT(N(Tabela17683[Código]=Tabela3[[#This Row],[PAPEL]]),Tabela17683[Fechamento])</f>
        <v>0</v>
      </c>
    </row>
    <row r="366" spans="1:54" hidden="1" x14ac:dyDescent="0.2">
      <c r="A366" s="3" t="s">
        <v>823</v>
      </c>
      <c r="B366" s="58" t="s">
        <v>828</v>
      </c>
      <c r="C366" s="16" t="str">
        <f>LEFT(Tabela3[PAPEL],LEN(Tabela3[PAPEL])-(LEN(Tabela3[PAPEL])-4))</f>
        <v>BTOW</v>
      </c>
      <c r="D366" s="16">
        <v>3</v>
      </c>
      <c r="E366" s="5">
        <v>1198991738.6400001</v>
      </c>
      <c r="F366" s="56">
        <v>158999202</v>
      </c>
      <c r="G366" s="81">
        <v>0.25</v>
      </c>
      <c r="H366" s="87"/>
      <c r="J366" s="18"/>
      <c r="K366" s="16"/>
      <c r="L366" s="87"/>
      <c r="M366" s="54"/>
      <c r="N366" s="54"/>
      <c r="O366" s="54"/>
      <c r="P366" s="91">
        <v>832936000</v>
      </c>
      <c r="Q366" s="73">
        <v>-149050000</v>
      </c>
      <c r="R366" s="73">
        <f>IF(Tabela3[[#This Row],[Ativo || Passivo]]&gt;0,Tabela3[[#This Row],[Ativo || Passivo]]-Tabela3[[#This Row],[Patrimônio Líquido]],0)</f>
        <v>0</v>
      </c>
      <c r="S366" s="73">
        <f>Tabela3[[#This Row],[Cotação]]*Tabela3[[#This Row],[Total Ações]]</f>
        <v>3548862188.6399999</v>
      </c>
      <c r="T366" s="37">
        <f>IF(Tabela3[[#This Row],[Passivo Circulante]]&gt;0,Tabela3[[#This Row],[Ativo Circulante]]/Tabela3[[#This Row],[Passivo Circulante]],0)</f>
        <v>0</v>
      </c>
      <c r="U366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66" s="18">
        <f>IF(Tabela3[[#This Row],[Lucro Líquido]]&gt;0,Tabela3[[#This Row],[Lucro Líquido]]/Tabela3[[#This Row],[Patrimônio Líquido]],0)</f>
        <v>0</v>
      </c>
      <c r="W366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66" s="18">
        <f>IF(Tabela3[[#This Row],[Dívida]]&gt;0,Tabela3[[#This Row],[Dívida]]/Tabela3[[#This Row],[Patrimônio Líquido]],0)</f>
        <v>0</v>
      </c>
      <c r="Y366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66" s="7">
        <f>Tabela3[[#This Row],[Capital Social]]*20%</f>
        <v>239798347.72800004</v>
      </c>
      <c r="AA366" s="47">
        <f>IF((Tabela3[Lucro Líquido]*5%)&gt;Tabela3[Teto R. Legal],Tabela3[Teto R. Legal],Tabela3[Lucro Líquido]*5%)</f>
        <v>-7452500</v>
      </c>
      <c r="AB366" s="47">
        <f>IF(Tabela3[Lucro Líquido]&lt;0,0,Tabela3[Lucro Líquido]-Tabela3[Reserva Legal])</f>
        <v>0</v>
      </c>
      <c r="AC366" s="47">
        <f>Tabela3[[#This Row],[Lucro Distribuir]]*Tabela3[%Div]</f>
        <v>0</v>
      </c>
      <c r="AD366" s="56">
        <f>SUMPRODUCT(N(Tabela3[Nome]=Tabela3[[#This Row],[Nome]]),Tabela3[Ações])</f>
        <v>158999202</v>
      </c>
      <c r="AE366" s="85">
        <f>Tabela3[Capital Social]/Tabela3[Total Ações]</f>
        <v>7.5408663915181169</v>
      </c>
      <c r="AF366" s="85">
        <f>Tabela3[[#This Row],[Lucro Líquido]]/Tabela3[[#This Row],[Total Ações]]</f>
        <v>-0.93742608846552578</v>
      </c>
      <c r="AG366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66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66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66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66" s="7">
        <f>Tabela3[Div Base]*Tabela3[Ações]</f>
        <v>0</v>
      </c>
      <c r="AL366" s="7">
        <f>SUMPRODUCT(N(Tabela3[Nome]=Tabela3[[#This Row],[Nome]]),Tabela3[Div Base]*Tabela3[Ações])</f>
        <v>0</v>
      </c>
      <c r="AM366" s="5">
        <f>Tabela3[Patrimônio Líquido]/Tabela3[Total Ações]</f>
        <v>5.2386174868978275</v>
      </c>
      <c r="AN366" s="52">
        <f>MAX(Tabela3[[#This Row],[Cotação 1]:[Cotação 5]])</f>
        <v>22.32</v>
      </c>
      <c r="AO366" s="53">
        <f>Tabela3[Cotação]/Tabela3[VPA]</f>
        <v>4.2606661119701874</v>
      </c>
      <c r="AP366" s="37">
        <f>IF(Tabela3[[#This Row],[Lucro/Ação]]&gt;0,Tabela3[[#This Row],[Cotação]]/(Tabela3[[#This Row],[Lucro/Ação]]/Tabela3[Ref]*4),0)</f>
        <v>0</v>
      </c>
      <c r="AQ366" s="85">
        <f>Tabela3[Lucro Distribuir]/Tabela3[Total Ações]</f>
        <v>0</v>
      </c>
      <c r="AR366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66" s="10" t="str">
        <f>IF(AND(Tabela3[% A.A.]&gt;=6%,SUMPRODUCT(N(Tabela3[Nome]=Tabela3[[#This Row],[Nome]]),Tabela3[PL])&gt;0,Tabela3[Rentabilidade s/ PL]&gt;=Tabela3[Rentabilidade s/ PL Média]),"Sim","Não")</f>
        <v>Não</v>
      </c>
      <c r="AT366" s="22">
        <f>IF(Tabela3[Cotação]&gt;0,Tabela3[[#This Row],[Lucro]]/Tabela3[[#This Row],[Cotação]],0)</f>
        <v>0</v>
      </c>
      <c r="AU366" s="22">
        <f>((1+Tabela3[[#This Row],[% Yield]])^(1/(3*Tabela3[[#This Row],[Ref]])))^(12)-1</f>
        <v>0</v>
      </c>
      <c r="AV366" s="10">
        <f>IF(Tabela3[Cotação]&gt;0,($BH$1/Tabela3[[#This Row],[Cotação]]-MOD($BH$1/Tabela3[[#This Row],[Cotação]],100)),)</f>
        <v>0</v>
      </c>
      <c r="AW366" s="7">
        <f>Tabela3[[#This Row],[Ativos]]*Tabela3[Lucro]</f>
        <v>0</v>
      </c>
      <c r="AX366" s="7">
        <f>SUMPRODUCT(N(Tabela1[Código]=Tabela3[[#This Row],[PAPEL]]),Tabela1[Fechamento])</f>
        <v>0</v>
      </c>
      <c r="AY366" s="7">
        <f>SUMPRODUCT(N(Tabela17[Código]=Tabela3[[#This Row],[PAPEL]]),Tabela17[Fechamento])</f>
        <v>0</v>
      </c>
      <c r="AZ366" s="7">
        <f>SUMPRODUCT(N(Tabela176[Código]=Tabela3[[#This Row],[PAPEL]]),Tabela176[Fechamento])</f>
        <v>22.32</v>
      </c>
      <c r="BA366" s="7">
        <f>SUMPRODUCT(N(Tabela1768[Código]=Tabela3[[#This Row],[PAPEL]]),Tabela1768[Fechamento])</f>
        <v>0</v>
      </c>
      <c r="BB366" s="7">
        <f>SUMPRODUCT(N(Tabela17683[Código]=Tabela3[[#This Row],[PAPEL]]),Tabela17683[Fechamento])</f>
        <v>0</v>
      </c>
    </row>
    <row r="367" spans="1:54" hidden="1" x14ac:dyDescent="0.2">
      <c r="A367" s="4" t="s">
        <v>298</v>
      </c>
      <c r="B367" s="57" t="s">
        <v>718</v>
      </c>
      <c r="C367" s="15" t="str">
        <f>LEFT(Tabela3[PAPEL],LEN(Tabela3[PAPEL])-(LEN(Tabela3[PAPEL])-4))</f>
        <v>BTTL</v>
      </c>
      <c r="D367" s="16">
        <v>3</v>
      </c>
      <c r="E367" s="6">
        <v>151555970</v>
      </c>
      <c r="F367" s="8">
        <v>49911902</v>
      </c>
      <c r="G367" s="81">
        <v>0.25</v>
      </c>
      <c r="H367" s="15"/>
      <c r="I367" s="19"/>
      <c r="J367" s="19"/>
      <c r="K367" s="88"/>
      <c r="L367" s="88"/>
      <c r="M367" s="55"/>
      <c r="N367" s="55"/>
      <c r="O367" s="55"/>
      <c r="P367" s="92">
        <v>-68334000</v>
      </c>
      <c r="Q367" s="93">
        <v>-3348000</v>
      </c>
      <c r="R367" s="93">
        <f>IF(Tabela3[[#This Row],[Ativo || Passivo]]&gt;0,Tabela3[[#This Row],[Ativo || Passivo]]-Tabela3[[#This Row],[Patrimônio Líquido]],0)</f>
        <v>0</v>
      </c>
      <c r="S367" s="93">
        <f>Tabela3[[#This Row],[Cotação]]*Tabela3[[#This Row],[Total Ações]]</f>
        <v>118245405.12</v>
      </c>
      <c r="T367" s="40">
        <f>IF(Tabela3[[#This Row],[Passivo Circulante]]&gt;0,Tabela3[[#This Row],[Ativo Circulante]]/Tabela3[[#This Row],[Passivo Circulante]],0)</f>
        <v>0</v>
      </c>
      <c r="U367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67" s="19">
        <f>IF(Tabela3[[#This Row],[Lucro Líquido]]&gt;0,Tabela3[[#This Row],[Lucro Líquido]]/Tabela3[[#This Row],[Patrimônio Líquido]],0)</f>
        <v>0</v>
      </c>
      <c r="W367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67" s="19">
        <f>IF(Tabela3[[#This Row],[Dívida]]&gt;0,Tabela3[[#This Row],[Dívida]]/Tabela3[[#This Row],[Patrimônio Líquido]],0)</f>
        <v>0</v>
      </c>
      <c r="Y367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67" s="13">
        <f>Tabela3[[#This Row],[Capital Social]]*20%</f>
        <v>30311194</v>
      </c>
      <c r="AA367" s="13">
        <f>IF((Tabela3[Lucro Líquido]*5%)&gt;Tabela3[Teto R. Legal],Tabela3[Teto R. Legal],Tabela3[Lucro Líquido]*5%)</f>
        <v>-167400</v>
      </c>
      <c r="AB367" s="13">
        <f>IF(Tabela3[Lucro Líquido]&lt;0,0,Tabela3[Lucro Líquido]-Tabela3[Reserva Legal])</f>
        <v>0</v>
      </c>
      <c r="AC367" s="13">
        <f>Tabela3[[#This Row],[Lucro Distribuir]]*Tabela3[%Div]</f>
        <v>0</v>
      </c>
      <c r="AD367" s="21">
        <f>SUMPRODUCT(N(Tabela3[Nome]=Tabela3[[#This Row],[Nome]]),Tabela3[Ações])</f>
        <v>149677728</v>
      </c>
      <c r="AE367" s="6">
        <f>Tabela3[Capital Social]/Tabela3[Total Ações]</f>
        <v>1.0125485736929412</v>
      </c>
      <c r="AF367" s="78">
        <f>Tabela3[[#This Row],[Lucro Líquido]]/Tabela3[[#This Row],[Total Ações]]</f>
        <v>-2.2368057323799036E-2</v>
      </c>
      <c r="AG367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67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67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67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67" s="13">
        <f>Tabela3[Div Base]*Tabela3[Ações]</f>
        <v>0</v>
      </c>
      <c r="AL367" s="13">
        <f>SUMPRODUCT(N(Tabela3[Nome]=Tabela3[[#This Row],[Nome]]),Tabela3[Div Base]*Tabela3[Ações])</f>
        <v>0</v>
      </c>
      <c r="AM367" s="6">
        <f>Tabela3[Patrimônio Líquido]/Tabela3[Total Ações]</f>
        <v>-0.45654086892607026</v>
      </c>
      <c r="AN367" s="48">
        <f>MAX(Tabela3[[#This Row],[Cotação 1]:[Cotação 5]])</f>
        <v>0.79</v>
      </c>
      <c r="AO367" s="44">
        <f>Tabela3[Cotação]/Tabela3[VPA]</f>
        <v>-1.7304036807445782</v>
      </c>
      <c r="AP367" s="40">
        <f>IF(Tabela3[[#This Row],[Lucro/Ação]]&gt;0,Tabela3[[#This Row],[Cotação]]/(Tabela3[[#This Row],[Lucro/Ação]]/Tabela3[Ref]*4),0)</f>
        <v>0</v>
      </c>
      <c r="AQ367" s="78">
        <f>Tabela3[Lucro Distribuir]/Tabela3[Total Ações]</f>
        <v>0</v>
      </c>
      <c r="AR367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67" s="14" t="str">
        <f>IF(AND(Tabela3[% A.A.]&gt;=6%,SUMPRODUCT(N(Tabela3[Nome]=Tabela3[[#This Row],[Nome]]),Tabela3[PL])&gt;0,Tabela3[Rentabilidade s/ PL]&gt;=Tabela3[Rentabilidade s/ PL Média]),"Sim","Não")</f>
        <v>Não</v>
      </c>
      <c r="AT367" s="42">
        <f>IF(Tabela3[Cotação]&gt;0,Tabela3[[#This Row],[Lucro]]/Tabela3[[#This Row],[Cotação]],0)</f>
        <v>0</v>
      </c>
      <c r="AU367" s="42">
        <f>((1+Tabela3[[#This Row],[% Yield]])^(1/(3*Tabela3[[#This Row],[Ref]])))^(12)-1</f>
        <v>0</v>
      </c>
      <c r="AV367" s="14">
        <f>IF(Tabela3[Cotação]&gt;0,($BH$1/Tabela3[[#This Row],[Cotação]]-MOD($BH$1/Tabela3[[#This Row],[Cotação]],100)),)</f>
        <v>600</v>
      </c>
      <c r="AW367" s="17">
        <f>Tabela3[[#This Row],[Ativos]]*Tabela3[Lucro]</f>
        <v>0</v>
      </c>
      <c r="AX367" s="17">
        <f>SUMPRODUCT(N(Tabela1[Código]=Tabela3[[#This Row],[PAPEL]]),Tabela1[Fechamento])</f>
        <v>0</v>
      </c>
      <c r="AY367" s="17">
        <f>SUMPRODUCT(N(Tabela17[Código]=Tabela3[[#This Row],[PAPEL]]),Tabela17[Fechamento])</f>
        <v>0</v>
      </c>
      <c r="AZ367" s="17">
        <f>SUMPRODUCT(N(Tabela176[Código]=Tabela3[[#This Row],[PAPEL]]),Tabela176[Fechamento])</f>
        <v>0.79</v>
      </c>
      <c r="BA367" s="17">
        <f>SUMPRODUCT(N(Tabela1768[Código]=Tabela3[[#This Row],[PAPEL]]),Tabela1768[Fechamento])</f>
        <v>0</v>
      </c>
      <c r="BB367" s="7">
        <f>SUMPRODUCT(N(Tabela17683[Código]=Tabela3[[#This Row],[PAPEL]]),Tabela17683[Fechamento])</f>
        <v>0</v>
      </c>
    </row>
    <row r="368" spans="1:54" hidden="1" x14ac:dyDescent="0.2">
      <c r="A368" s="4" t="s">
        <v>298</v>
      </c>
      <c r="B368" s="57" t="s">
        <v>719</v>
      </c>
      <c r="C368" s="15" t="str">
        <f>LEFT(Tabela3[PAPEL],LEN(Tabela3[PAPEL])-(LEN(Tabela3[PAPEL])-4))</f>
        <v>BTTL</v>
      </c>
      <c r="D368" s="16">
        <v>3</v>
      </c>
      <c r="E368" s="6">
        <v>151555970</v>
      </c>
      <c r="F368" s="8">
        <v>99765826</v>
      </c>
      <c r="G368" s="81">
        <v>0.25</v>
      </c>
      <c r="H368" s="15"/>
      <c r="I368" s="19"/>
      <c r="J368" s="19"/>
      <c r="K368" s="88"/>
      <c r="L368" s="88"/>
      <c r="M368" s="55"/>
      <c r="N368" s="55"/>
      <c r="O368" s="55"/>
      <c r="P368" s="92">
        <v>-68334000</v>
      </c>
      <c r="Q368" s="93">
        <v>-3348000</v>
      </c>
      <c r="R368" s="93">
        <f>IF(Tabela3[[#This Row],[Ativo || Passivo]]&gt;0,Tabela3[[#This Row],[Ativo || Passivo]]-Tabela3[[#This Row],[Patrimônio Líquido]],0)</f>
        <v>0</v>
      </c>
      <c r="S368" s="93">
        <f>Tabela3[[#This Row],[Cotação]]*Tabela3[[#This Row],[Total Ações]]</f>
        <v>119742182.40000001</v>
      </c>
      <c r="T368" s="40">
        <f>IF(Tabela3[[#This Row],[Passivo Circulante]]&gt;0,Tabela3[[#This Row],[Ativo Circulante]]/Tabela3[[#This Row],[Passivo Circulante]],0)</f>
        <v>0</v>
      </c>
      <c r="U368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68" s="19">
        <f>IF(Tabela3[[#This Row],[Lucro Líquido]]&gt;0,Tabela3[[#This Row],[Lucro Líquido]]/Tabela3[[#This Row],[Patrimônio Líquido]],0)</f>
        <v>0</v>
      </c>
      <c r="W368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68" s="19">
        <f>IF(Tabela3[[#This Row],[Dívida]]&gt;0,Tabela3[[#This Row],[Dívida]]/Tabela3[[#This Row],[Patrimônio Líquido]],0)</f>
        <v>0</v>
      </c>
      <c r="Y368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68" s="13">
        <f>Tabela3[[#This Row],[Capital Social]]*20%</f>
        <v>30311194</v>
      </c>
      <c r="AA368" s="13">
        <f>IF((Tabela3[Lucro Líquido]*5%)&gt;Tabela3[Teto R. Legal],Tabela3[Teto R. Legal],Tabela3[Lucro Líquido]*5%)</f>
        <v>-167400</v>
      </c>
      <c r="AB368" s="13">
        <f>IF(Tabela3[Lucro Líquido]&lt;0,0,Tabela3[Lucro Líquido]-Tabela3[Reserva Legal])</f>
        <v>0</v>
      </c>
      <c r="AC368" s="13">
        <f>Tabela3[[#This Row],[Lucro Distribuir]]*Tabela3[%Div]</f>
        <v>0</v>
      </c>
      <c r="AD368" s="21">
        <f>SUMPRODUCT(N(Tabela3[Nome]=Tabela3[[#This Row],[Nome]]),Tabela3[Ações])</f>
        <v>149677728</v>
      </c>
      <c r="AE368" s="6">
        <f>Tabela3[Capital Social]/Tabela3[Total Ações]</f>
        <v>1.0125485736929412</v>
      </c>
      <c r="AF368" s="78">
        <f>Tabela3[[#This Row],[Lucro Líquido]]/Tabela3[[#This Row],[Total Ações]]</f>
        <v>-2.2368057323799036E-2</v>
      </c>
      <c r="AG368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68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68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68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68" s="13">
        <f>Tabela3[Div Base]*Tabela3[Ações]</f>
        <v>0</v>
      </c>
      <c r="AL368" s="13">
        <f>SUMPRODUCT(N(Tabela3[Nome]=Tabela3[[#This Row],[Nome]]),Tabela3[Div Base]*Tabela3[Ações])</f>
        <v>0</v>
      </c>
      <c r="AM368" s="6">
        <f>Tabela3[Patrimônio Líquido]/Tabela3[Total Ações]</f>
        <v>-0.45654086892607026</v>
      </c>
      <c r="AN368" s="48">
        <f>MAX(Tabela3[[#This Row],[Cotação 1]:[Cotação 5]])</f>
        <v>0.8</v>
      </c>
      <c r="AO368" s="44">
        <f>Tabela3[Cotação]/Tabela3[VPA]</f>
        <v>-1.7523075248046363</v>
      </c>
      <c r="AP368" s="40">
        <f>IF(Tabela3[[#This Row],[Lucro/Ação]]&gt;0,Tabela3[[#This Row],[Cotação]]/(Tabela3[[#This Row],[Lucro/Ação]]/Tabela3[Ref]*4),0)</f>
        <v>0</v>
      </c>
      <c r="AQ368" s="78">
        <f>Tabela3[Lucro Distribuir]/Tabela3[Total Ações]</f>
        <v>0</v>
      </c>
      <c r="AR368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68" s="14" t="str">
        <f>IF(AND(Tabela3[% A.A.]&gt;=6%,SUMPRODUCT(N(Tabela3[Nome]=Tabela3[[#This Row],[Nome]]),Tabela3[PL])&gt;0,Tabela3[Rentabilidade s/ PL]&gt;=Tabela3[Rentabilidade s/ PL Média]),"Sim","Não")</f>
        <v>Não</v>
      </c>
      <c r="AT368" s="42">
        <f>IF(Tabela3[Cotação]&gt;0,Tabela3[[#This Row],[Lucro]]/Tabela3[[#This Row],[Cotação]],0)</f>
        <v>0</v>
      </c>
      <c r="AU368" s="42">
        <f>((1+Tabela3[[#This Row],[% Yield]])^(1/(3*Tabela3[[#This Row],[Ref]])))^(12)-1</f>
        <v>0</v>
      </c>
      <c r="AV368" s="14">
        <f>IF(Tabela3[Cotação]&gt;0,($BH$1/Tabela3[[#This Row],[Cotação]]-MOD($BH$1/Tabela3[[#This Row],[Cotação]],100)),)</f>
        <v>600</v>
      </c>
      <c r="AW368" s="17">
        <f>Tabela3[[#This Row],[Ativos]]*Tabela3[Lucro]</f>
        <v>0</v>
      </c>
      <c r="AX368" s="17">
        <f>SUMPRODUCT(N(Tabela1[Código]=Tabela3[[#This Row],[PAPEL]]),Tabela1[Fechamento])</f>
        <v>0</v>
      </c>
      <c r="AY368" s="17">
        <f>SUMPRODUCT(N(Tabela17[Código]=Tabela3[[#This Row],[PAPEL]]),Tabela17[Fechamento])</f>
        <v>0</v>
      </c>
      <c r="AZ368" s="17">
        <f>SUMPRODUCT(N(Tabela176[Código]=Tabela3[[#This Row],[PAPEL]]),Tabela176[Fechamento])</f>
        <v>0.8</v>
      </c>
      <c r="BA368" s="17">
        <f>SUMPRODUCT(N(Tabela1768[Código]=Tabela3[[#This Row],[PAPEL]]),Tabela1768[Fechamento])</f>
        <v>0</v>
      </c>
      <c r="BB368" s="7">
        <f>SUMPRODUCT(N(Tabela17683[Código]=Tabela3[[#This Row],[PAPEL]]),Tabela17683[Fechamento])</f>
        <v>0</v>
      </c>
    </row>
    <row r="369" spans="1:54" hidden="1" x14ac:dyDescent="0.2">
      <c r="A369" s="3" t="s">
        <v>1467</v>
      </c>
      <c r="B369" s="57" t="s">
        <v>1449</v>
      </c>
      <c r="C369" s="16" t="str">
        <f>LEFT(Tabela3[PAPEL],LEN(Tabela3[PAPEL])-(LEN(Tabela3[PAPEL])-4))</f>
        <v>CARD</v>
      </c>
      <c r="D369" s="16">
        <v>3</v>
      </c>
      <c r="E369" s="5">
        <v>129231849.61</v>
      </c>
      <c r="F369" s="56">
        <v>42900000</v>
      </c>
      <c r="G369" s="81">
        <v>0.25</v>
      </c>
      <c r="H369" s="18"/>
      <c r="J369" s="18"/>
      <c r="K369" s="16"/>
      <c r="L369" s="87"/>
      <c r="M369" s="54"/>
      <c r="N369" s="54"/>
      <c r="O369" s="54"/>
      <c r="P369" s="91">
        <v>154722000</v>
      </c>
      <c r="Q369" s="73">
        <v>-1870000</v>
      </c>
      <c r="R369" s="73">
        <f>IF(Tabela3[[#This Row],[Ativo || Passivo]]&gt;0,Tabela3[[#This Row],[Ativo || Passivo]]-Tabela3[[#This Row],[Patrimônio Líquido]],0)</f>
        <v>0</v>
      </c>
      <c r="S369" s="73">
        <f>Tabela3[[#This Row],[Cotação]]*Tabela3[[#This Row],[Total Ações]]</f>
        <v>112398000</v>
      </c>
      <c r="T369" s="37">
        <f>IF(Tabela3[[#This Row],[Passivo Circulante]]&gt;0,Tabela3[[#This Row],[Ativo Circulante]]/Tabela3[[#This Row],[Passivo Circulante]],0)</f>
        <v>0</v>
      </c>
      <c r="U369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69" s="18">
        <f>IF(Tabela3[[#This Row],[Lucro Líquido]]&gt;0,Tabela3[[#This Row],[Lucro Líquido]]/Tabela3[[#This Row],[Patrimônio Líquido]],0)</f>
        <v>0</v>
      </c>
      <c r="W369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69" s="18">
        <f>IF(Tabela3[[#This Row],[Dívida]]&gt;0,Tabela3[[#This Row],[Dívida]]/Tabela3[[#This Row],[Patrimônio Líquido]],0)</f>
        <v>0</v>
      </c>
      <c r="Y369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69" s="7">
        <f>Tabela3[[#This Row],[Capital Social]]*20%</f>
        <v>25846369.922000002</v>
      </c>
      <c r="AA369" s="47">
        <f>IF((Tabela3[Lucro Líquido]*5%)&gt;Tabela3[Teto R. Legal],Tabela3[Teto R. Legal],Tabela3[Lucro Líquido]*5%)</f>
        <v>-93500</v>
      </c>
      <c r="AB369" s="47">
        <f>IF(Tabela3[Lucro Líquido]&lt;0,0,Tabela3[Lucro Líquido]-Tabela3[Reserva Legal])</f>
        <v>0</v>
      </c>
      <c r="AC369" s="47">
        <f>Tabela3[[#This Row],[Lucro Distribuir]]*Tabela3[%Div]</f>
        <v>0</v>
      </c>
      <c r="AD369" s="56">
        <f>SUMPRODUCT(N(Tabela3[Nome]=Tabela3[[#This Row],[Nome]]),Tabela3[Ações])</f>
        <v>42900000</v>
      </c>
      <c r="AE369" s="85">
        <f>Tabela3[Capital Social]/Tabela3[Total Ações]</f>
        <v>3.012397426806527</v>
      </c>
      <c r="AF369" s="85">
        <f>Tabela3[[#This Row],[Lucro Líquido]]/Tabela3[[#This Row],[Total Ações]]</f>
        <v>-4.3589743589743588E-2</v>
      </c>
      <c r="AG369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69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69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69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69" s="7">
        <f>Tabela3[Div Base]*Tabela3[Ações]</f>
        <v>0</v>
      </c>
      <c r="AL369" s="121">
        <f>SUMPRODUCT(N(Tabela3[Nome]=Tabela3[[#This Row],[Nome]]),Tabela3[Div Base]*Tabela3[Ações])</f>
        <v>0</v>
      </c>
      <c r="AM369" s="5">
        <f>Tabela3[Patrimônio Líquido]/Tabela3[Total Ações]</f>
        <v>3.6065734265734264</v>
      </c>
      <c r="AN369" s="52">
        <f>MAX(Tabela3[[#This Row],[Cotação 1]:[Cotação 5]])</f>
        <v>2.62</v>
      </c>
      <c r="AO369" s="53">
        <f>Tabela3[Cotação]/Tabela3[VPA]</f>
        <v>0.72645131267693031</v>
      </c>
      <c r="AP369" s="37">
        <f>IF(Tabela3[[#This Row],[Lucro/Ação]]&gt;0,Tabela3[[#This Row],[Cotação]]/(Tabela3[[#This Row],[Lucro/Ação]]/Tabela3[Ref]*4),0)</f>
        <v>0</v>
      </c>
      <c r="AQ369" s="85">
        <f>Tabela3[Lucro Distribuir]/Tabela3[Total Ações]</f>
        <v>0</v>
      </c>
      <c r="AR369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69" s="10" t="str">
        <f>IF(AND(Tabela3[% A.A.]&gt;=6%,SUMPRODUCT(N(Tabela3[Nome]=Tabela3[[#This Row],[Nome]]),Tabela3[PL])&gt;0,Tabela3[Rentabilidade s/ PL]&gt;=Tabela3[Rentabilidade s/ PL Média]),"Sim","Não")</f>
        <v>Não</v>
      </c>
      <c r="AT369" s="22">
        <f>IF(Tabela3[Cotação]&gt;0,Tabela3[[#This Row],[Lucro]]/Tabela3[[#This Row],[Cotação]],0)</f>
        <v>0</v>
      </c>
      <c r="AU369" s="22">
        <f>((1+Tabela3[[#This Row],[% Yield]])^(1/(3*Tabela3[[#This Row],[Ref]])))^(12)-1</f>
        <v>0</v>
      </c>
      <c r="AV369" s="10">
        <f>IF(Tabela3[Cotação]&gt;0,($BH$1/Tabela3[[#This Row],[Cotação]]-MOD($BH$1/Tabela3[[#This Row],[Cotação]],100)),)</f>
        <v>100</v>
      </c>
      <c r="AW369" s="7">
        <f>Tabela3[[#This Row],[Ativos]]*Tabela3[Lucro]</f>
        <v>0</v>
      </c>
      <c r="AX369" s="7">
        <f>SUMPRODUCT(N(Tabela1[Código]=Tabela3[[#This Row],[PAPEL]]),Tabela1[Fechamento])</f>
        <v>0</v>
      </c>
      <c r="AY369" s="7">
        <f>SUMPRODUCT(N(Tabela17[Código]=Tabela3[[#This Row],[PAPEL]]),Tabela17[Fechamento])</f>
        <v>0</v>
      </c>
      <c r="AZ369" s="7">
        <f>SUMPRODUCT(N(Tabela176[Código]=Tabela3[[#This Row],[PAPEL]]),Tabela176[Fechamento])</f>
        <v>0</v>
      </c>
      <c r="BA369" s="7">
        <f>SUMPRODUCT(N(Tabela1768[Código]=Tabela3[[#This Row],[PAPEL]]),Tabela1768[Fechamento])</f>
        <v>0</v>
      </c>
      <c r="BB369" s="7">
        <f>SUMPRODUCT(N(Tabela17683[Código]=Tabela3[[#This Row],[PAPEL]]),Tabela17683[Fechamento])</f>
        <v>2.62</v>
      </c>
    </row>
    <row r="370" spans="1:54" hidden="1" x14ac:dyDescent="0.2">
      <c r="A370" s="3" t="s">
        <v>1653</v>
      </c>
      <c r="B370" s="57" t="s">
        <v>1654</v>
      </c>
      <c r="C370" s="16" t="str">
        <f>LEFT(Tabela3[PAPEL],LEN(Tabela3[PAPEL])-(LEN(Tabela3[PAPEL])-4))</f>
        <v>CBMA</v>
      </c>
      <c r="D370" s="16">
        <v>3</v>
      </c>
      <c r="E370" s="5">
        <v>165260409.68000001</v>
      </c>
      <c r="F370" s="56">
        <v>40304114</v>
      </c>
      <c r="G370" s="81">
        <v>0.25</v>
      </c>
      <c r="H370" s="87"/>
      <c r="J370" s="18"/>
      <c r="K370" s="16"/>
      <c r="L370" s="87"/>
      <c r="M370" s="54"/>
      <c r="N370" s="54"/>
      <c r="O370" s="54"/>
      <c r="P370" s="91">
        <v>-4925159000</v>
      </c>
      <c r="Q370" s="73">
        <v>-425664000</v>
      </c>
      <c r="R370" s="73">
        <f>IF(Tabela3[[#This Row],[Ativo || Passivo]]&gt;0,Tabela3[[#This Row],[Ativo || Passivo]]-Tabela3[[#This Row],[Patrimônio Líquido]],0)</f>
        <v>0</v>
      </c>
      <c r="S370" s="73">
        <f>Tabela3[[#This Row],[Cotação]]*Tabela3[[#This Row],[Total Ações]]</f>
        <v>5129243.2</v>
      </c>
      <c r="T370" s="37">
        <f>IF(Tabela3[[#This Row],[Passivo Circulante]]&gt;0,Tabela3[[#This Row],[Ativo Circulante]]/Tabela3[[#This Row],[Passivo Circulante]],0)</f>
        <v>0</v>
      </c>
      <c r="U370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70" s="18">
        <f>IF(Tabela3[[#This Row],[Lucro Líquido]]&gt;0,Tabela3[[#This Row],[Lucro Líquido]]/Tabela3[[#This Row],[Patrimônio Líquido]],0)</f>
        <v>0</v>
      </c>
      <c r="W370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70" s="18">
        <f>IF(Tabela3[[#This Row],[Dívida]]&gt;0,Tabela3[[#This Row],[Dívida]]/Tabela3[[#This Row],[Patrimônio Líquido]],0)</f>
        <v>0</v>
      </c>
      <c r="Y370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70" s="7">
        <f>Tabela3[[#This Row],[Capital Social]]*20%</f>
        <v>33052081.936000004</v>
      </c>
      <c r="AA370" s="47">
        <f>IF((Tabela3[Lucro Líquido]*5%)&gt;Tabela3[Teto R. Legal],Tabela3[Teto R. Legal],Tabela3[Lucro Líquido]*5%)</f>
        <v>-21283200</v>
      </c>
      <c r="AB370" s="47">
        <f>IF(Tabela3[Lucro Líquido]&lt;0,0,Tabela3[Lucro Líquido]-Tabela3[Reserva Legal])</f>
        <v>0</v>
      </c>
      <c r="AC370" s="47">
        <f>Tabela3[[#This Row],[Lucro Distribuir]]*Tabela3[%Div]</f>
        <v>0</v>
      </c>
      <c r="AD370" s="56">
        <f>SUMPRODUCT(N(Tabela3[Nome]=Tabela3[[#This Row],[Nome]]),Tabela3[Ações])</f>
        <v>102584864</v>
      </c>
      <c r="AE370" s="85">
        <f>Tabela3[Capital Social]/Tabela3[Total Ações]</f>
        <v>1.6109628968265728</v>
      </c>
      <c r="AF370" s="85">
        <f>Tabela3[[#This Row],[Lucro Líquido]]/Tabela3[[#This Row],[Total Ações]]</f>
        <v>-4.1493840650800102</v>
      </c>
      <c r="AG370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70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70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70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70" s="7">
        <f>Tabela3[Div Base]*Tabela3[Ações]</f>
        <v>0</v>
      </c>
      <c r="AL370" s="121">
        <f>SUMPRODUCT(N(Tabela3[Nome]=Tabela3[[#This Row],[Nome]]),Tabela3[Div Base]*Tabela3[Ações])</f>
        <v>0</v>
      </c>
      <c r="AM370" s="5">
        <f>Tabela3[Patrimônio Líquido]/Tabela3[Total Ações]</f>
        <v>-48.010581755998622</v>
      </c>
      <c r="AN370" s="52">
        <f>MAX(Tabela3[[#This Row],[Cotação 1]:[Cotação 5]])</f>
        <v>0.05</v>
      </c>
      <c r="AO370" s="53">
        <f>Tabela3[Cotação]/Tabela3[VPA]</f>
        <v>-1.0414370784780757E-3</v>
      </c>
      <c r="AP370" s="37">
        <f>IF(Tabela3[[#This Row],[Lucro/Ação]]&gt;0,Tabela3[[#This Row],[Cotação]]/(Tabela3[[#This Row],[Lucro/Ação]]/Tabela3[Ref]*4),0)</f>
        <v>0</v>
      </c>
      <c r="AQ370" s="85">
        <f>Tabela3[Lucro Distribuir]/Tabela3[Total Ações]</f>
        <v>0</v>
      </c>
      <c r="AR370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70" s="10" t="str">
        <f>IF(AND(Tabela3[% A.A.]&gt;=6%,SUMPRODUCT(N(Tabela3[Nome]=Tabela3[[#This Row],[Nome]]),Tabela3[PL])&gt;0,Tabela3[Rentabilidade s/ PL]&gt;=Tabela3[Rentabilidade s/ PL Média]),"Sim","Não")</f>
        <v>Não</v>
      </c>
      <c r="AT370" s="22">
        <f>IF(Tabela3[Cotação]&gt;0,Tabela3[[#This Row],[Lucro]]/Tabela3[[#This Row],[Cotação]],0)</f>
        <v>0</v>
      </c>
      <c r="AU370" s="22">
        <f>((1+Tabela3[[#This Row],[% Yield]])^(1/(3*Tabela3[[#This Row],[Ref]])))^(12)-1</f>
        <v>0</v>
      </c>
      <c r="AV370" s="10">
        <f>IF(Tabela3[Cotação]&gt;0,($BH$1/Tabela3[[#This Row],[Cotação]]-MOD($BH$1/Tabela3[[#This Row],[Cotação]],100)),)</f>
        <v>10000</v>
      </c>
      <c r="AW370" s="7">
        <f>Tabela3[[#This Row],[Ativos]]*Tabela3[Lucro]</f>
        <v>0</v>
      </c>
      <c r="AX370" s="7">
        <f>SUMPRODUCT(N(Tabela1[Código]=Tabela3[[#This Row],[PAPEL]]),Tabela1[Fechamento])</f>
        <v>0</v>
      </c>
      <c r="AY370" s="7">
        <f>SUMPRODUCT(N(Tabela17[Código]=Tabela3[[#This Row],[PAPEL]]),Tabela17[Fechamento])</f>
        <v>0</v>
      </c>
      <c r="AZ370" s="7">
        <f>SUMPRODUCT(N(Tabela176[Código]=Tabela3[[#This Row],[PAPEL]]),Tabela176[Fechamento])</f>
        <v>0</v>
      </c>
      <c r="BA370" s="7">
        <f>SUMPRODUCT(N(Tabela1768[Código]=Tabela3[[#This Row],[PAPEL]]),Tabela1768[Fechamento])</f>
        <v>0</v>
      </c>
      <c r="BB370" s="7">
        <f>SUMPRODUCT(N(Tabela17683[Código]=Tabela3[[#This Row],[PAPEL]]),Tabela17683[Fechamento])</f>
        <v>0.05</v>
      </c>
    </row>
    <row r="371" spans="1:54" hidden="1" x14ac:dyDescent="0.2">
      <c r="A371" s="3" t="s">
        <v>1653</v>
      </c>
      <c r="B371" s="57" t="s">
        <v>1655</v>
      </c>
      <c r="C371" s="16" t="str">
        <f>LEFT(Tabela3[PAPEL],LEN(Tabela3[PAPEL])-(LEN(Tabela3[PAPEL])-4))</f>
        <v>CBMA</v>
      </c>
      <c r="D371" s="16">
        <v>3</v>
      </c>
      <c r="E371" s="5">
        <v>165260409.68000001</v>
      </c>
      <c r="F371" s="56">
        <v>62280750</v>
      </c>
      <c r="G371" s="81">
        <v>0.25</v>
      </c>
      <c r="H371" s="87"/>
      <c r="J371" s="18"/>
      <c r="K371" s="16"/>
      <c r="L371" s="87"/>
      <c r="M371" s="54"/>
      <c r="N371" s="54"/>
      <c r="O371" s="54"/>
      <c r="P371" s="91">
        <v>-4925159000</v>
      </c>
      <c r="Q371" s="73">
        <v>-425664000</v>
      </c>
      <c r="R371" s="73">
        <f>IF(Tabela3[[#This Row],[Ativo || Passivo]]&gt;0,Tabela3[[#This Row],[Ativo || Passivo]]-Tabela3[[#This Row],[Patrimônio Líquido]],0)</f>
        <v>0</v>
      </c>
      <c r="S371" s="73">
        <f>Tabela3[[#This Row],[Cotação]]*Tabela3[[#This Row],[Total Ações]]</f>
        <v>4103394.56</v>
      </c>
      <c r="T371" s="37">
        <f>IF(Tabela3[[#This Row],[Passivo Circulante]]&gt;0,Tabela3[[#This Row],[Ativo Circulante]]/Tabela3[[#This Row],[Passivo Circulante]],0)</f>
        <v>0</v>
      </c>
      <c r="U371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71" s="18">
        <f>IF(Tabela3[[#This Row],[Lucro Líquido]]&gt;0,Tabela3[[#This Row],[Lucro Líquido]]/Tabela3[[#This Row],[Patrimônio Líquido]],0)</f>
        <v>0</v>
      </c>
      <c r="W371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71" s="18">
        <f>IF(Tabela3[[#This Row],[Dívida]]&gt;0,Tabela3[[#This Row],[Dívida]]/Tabela3[[#This Row],[Patrimônio Líquido]],0)</f>
        <v>0</v>
      </c>
      <c r="Y371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71" s="7">
        <f>Tabela3[[#This Row],[Capital Social]]*20%</f>
        <v>33052081.936000004</v>
      </c>
      <c r="AA371" s="47">
        <f>IF((Tabela3[Lucro Líquido]*5%)&gt;Tabela3[Teto R. Legal],Tabela3[Teto R. Legal],Tabela3[Lucro Líquido]*5%)</f>
        <v>-21283200</v>
      </c>
      <c r="AB371" s="47">
        <f>IF(Tabela3[Lucro Líquido]&lt;0,0,Tabela3[Lucro Líquido]-Tabela3[Reserva Legal])</f>
        <v>0</v>
      </c>
      <c r="AC371" s="47">
        <f>Tabela3[[#This Row],[Lucro Distribuir]]*Tabela3[%Div]</f>
        <v>0</v>
      </c>
      <c r="AD371" s="56">
        <f>SUMPRODUCT(N(Tabela3[Nome]=Tabela3[[#This Row],[Nome]]),Tabela3[Ações])</f>
        <v>102584864</v>
      </c>
      <c r="AE371" s="85">
        <f>Tabela3[Capital Social]/Tabela3[Total Ações]</f>
        <v>1.6109628968265728</v>
      </c>
      <c r="AF371" s="85">
        <f>Tabela3[[#This Row],[Lucro Líquido]]/Tabela3[[#This Row],[Total Ações]]</f>
        <v>-4.1493840650800102</v>
      </c>
      <c r="AG371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71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71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71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71" s="7">
        <f>Tabela3[Div Base]*Tabela3[Ações]</f>
        <v>0</v>
      </c>
      <c r="AL371" s="121">
        <f>SUMPRODUCT(N(Tabela3[Nome]=Tabela3[[#This Row],[Nome]]),Tabela3[Div Base]*Tabela3[Ações])</f>
        <v>0</v>
      </c>
      <c r="AM371" s="5">
        <f>Tabela3[Patrimônio Líquido]/Tabela3[Total Ações]</f>
        <v>-48.010581755998622</v>
      </c>
      <c r="AN371" s="52">
        <f>MAX(Tabela3[[#This Row],[Cotação 1]:[Cotação 5]])</f>
        <v>0.04</v>
      </c>
      <c r="AO371" s="53">
        <f>Tabela3[Cotação]/Tabela3[VPA]</f>
        <v>-8.3314966278246047E-4</v>
      </c>
      <c r="AP371" s="37">
        <f>IF(Tabela3[[#This Row],[Lucro/Ação]]&gt;0,Tabela3[[#This Row],[Cotação]]/(Tabela3[[#This Row],[Lucro/Ação]]/Tabela3[Ref]*4),0)</f>
        <v>0</v>
      </c>
      <c r="AQ371" s="85">
        <f>Tabela3[Lucro Distribuir]/Tabela3[Total Ações]</f>
        <v>0</v>
      </c>
      <c r="AR371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71" s="10" t="str">
        <f>IF(AND(Tabela3[% A.A.]&gt;=6%,SUMPRODUCT(N(Tabela3[Nome]=Tabela3[[#This Row],[Nome]]),Tabela3[PL])&gt;0,Tabela3[Rentabilidade s/ PL]&gt;=Tabela3[Rentabilidade s/ PL Média]),"Sim","Não")</f>
        <v>Não</v>
      </c>
      <c r="AT371" s="22">
        <f>IF(Tabela3[Cotação]&gt;0,Tabela3[[#This Row],[Lucro]]/Tabela3[[#This Row],[Cotação]],0)</f>
        <v>0</v>
      </c>
      <c r="AU371" s="22">
        <f>((1+Tabela3[[#This Row],[% Yield]])^(1/(3*Tabela3[[#This Row],[Ref]])))^(12)-1</f>
        <v>0</v>
      </c>
      <c r="AV371" s="10">
        <f>IF(Tabela3[Cotação]&gt;0,($BH$1/Tabela3[[#This Row],[Cotação]]-MOD($BH$1/Tabela3[[#This Row],[Cotação]],100)),)</f>
        <v>12500</v>
      </c>
      <c r="AW371" s="7">
        <f>Tabela3[[#This Row],[Ativos]]*Tabela3[Lucro]</f>
        <v>0</v>
      </c>
      <c r="AX371" s="7">
        <f>SUMPRODUCT(N(Tabela1[Código]=Tabela3[[#This Row],[PAPEL]]),Tabela1[Fechamento])</f>
        <v>0</v>
      </c>
      <c r="AY371" s="7">
        <f>SUMPRODUCT(N(Tabela17[Código]=Tabela3[[#This Row],[PAPEL]]),Tabela17[Fechamento])</f>
        <v>0</v>
      </c>
      <c r="AZ371" s="7">
        <f>SUMPRODUCT(N(Tabela176[Código]=Tabela3[[#This Row],[PAPEL]]),Tabela176[Fechamento])</f>
        <v>0</v>
      </c>
      <c r="BA371" s="7">
        <f>SUMPRODUCT(N(Tabela1768[Código]=Tabela3[[#This Row],[PAPEL]]),Tabela1768[Fechamento])</f>
        <v>0</v>
      </c>
      <c r="BB371" s="7">
        <f>SUMPRODUCT(N(Tabela17683[Código]=Tabela3[[#This Row],[PAPEL]]),Tabela17683[Fechamento])</f>
        <v>0.04</v>
      </c>
    </row>
    <row r="372" spans="1:54" hidden="1" x14ac:dyDescent="0.2">
      <c r="A372" s="4" t="s">
        <v>340</v>
      </c>
      <c r="B372" s="128" t="s">
        <v>1432</v>
      </c>
      <c r="C372" s="16" t="str">
        <f>LEFT(Tabela3[PAPEL],LEN(Tabela3[PAPEL])-(LEN(Tabela3[PAPEL])-4))</f>
        <v>CCHI</v>
      </c>
      <c r="D372" s="16">
        <v>3</v>
      </c>
      <c r="E372" s="5">
        <v>31980000</v>
      </c>
      <c r="F372" s="56">
        <v>65862720</v>
      </c>
      <c r="G372" s="81">
        <v>0.25</v>
      </c>
      <c r="H372" s="18"/>
      <c r="J372" s="18"/>
      <c r="K372" s="16"/>
      <c r="L372" s="87"/>
      <c r="M372" s="54"/>
      <c r="N372" s="54"/>
      <c r="O372" s="54"/>
      <c r="P372" s="91">
        <v>-160447000</v>
      </c>
      <c r="Q372" s="73">
        <v>-1000</v>
      </c>
      <c r="R372" s="73">
        <f>IF(Tabela3[[#This Row],[Ativo || Passivo]]&gt;0,Tabela3[[#This Row],[Ativo || Passivo]]-Tabela3[[#This Row],[Patrimônio Líquido]],0)</f>
        <v>0</v>
      </c>
      <c r="S372" s="73">
        <f>Tabela3[[#This Row],[Cotação]]*Tabela3[[#This Row],[Total Ações]]</f>
        <v>11700000</v>
      </c>
      <c r="T372" s="37">
        <f>IF(Tabela3[[#This Row],[Passivo Circulante]]&gt;0,Tabela3[[#This Row],[Ativo Circulante]]/Tabela3[[#This Row],[Passivo Circulante]],0)</f>
        <v>0</v>
      </c>
      <c r="U372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72" s="18">
        <f>IF(Tabela3[[#This Row],[Lucro Líquido]]&gt;0,Tabela3[[#This Row],[Lucro Líquido]]/Tabela3[[#This Row],[Patrimônio Líquido]],0)</f>
        <v>0</v>
      </c>
      <c r="W372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72" s="18">
        <f>IF(Tabela3[[#This Row],[Dívida]]&gt;0,Tabela3[[#This Row],[Dívida]]/Tabela3[[#This Row],[Patrimônio Líquido]],0)</f>
        <v>0</v>
      </c>
      <c r="Y372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72" s="7">
        <f>Tabela3[[#This Row],[Capital Social]]*20%</f>
        <v>6396000</v>
      </c>
      <c r="AA372" s="47">
        <f>IF((Tabela3[Lucro Líquido]*5%)&gt;Tabela3[Teto R. Legal],Tabela3[Teto R. Legal],Tabela3[Lucro Líquido]*5%)</f>
        <v>-50</v>
      </c>
      <c r="AB372" s="47">
        <f>IF(Tabela3[Lucro Líquido]&lt;0,0,Tabela3[Lucro Líquido]-Tabela3[Reserva Legal])</f>
        <v>0</v>
      </c>
      <c r="AC372" s="47">
        <f>Tabela3[[#This Row],[Lucro Distribuir]]*Tabela3[%Div]</f>
        <v>0</v>
      </c>
      <c r="AD372" s="56">
        <f>SUMPRODUCT(N(Tabela3[Nome]=Tabela3[[#This Row],[Nome]]),Tabela3[Ações])</f>
        <v>78000000</v>
      </c>
      <c r="AE372" s="85">
        <f>Tabela3[Capital Social]/Tabela3[Total Ações]</f>
        <v>0.41</v>
      </c>
      <c r="AF372" s="85">
        <f>Tabela3[[#This Row],[Lucro Líquido]]/Tabela3[[#This Row],[Total Ações]]</f>
        <v>-1.282051282051282E-5</v>
      </c>
      <c r="AG372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72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72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72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72" s="7">
        <f>Tabela3[Div Base]*Tabela3[Ações]</f>
        <v>0</v>
      </c>
      <c r="AL372" s="121">
        <f>SUMPRODUCT(N(Tabela3[Nome]=Tabela3[[#This Row],[Nome]]),Tabela3[Div Base]*Tabela3[Ações])</f>
        <v>0</v>
      </c>
      <c r="AM372" s="5">
        <f>Tabela3[Patrimônio Líquido]/Tabela3[Total Ações]</f>
        <v>-2.0570128205128206</v>
      </c>
      <c r="AN372" s="52">
        <f>MAX(Tabela3[[#This Row],[Cotação 1]:[Cotação 5]])</f>
        <v>0.15</v>
      </c>
      <c r="AO372" s="53">
        <f>Tabela3[Cotação]/Tabela3[VPA]</f>
        <v>-7.2921276184659101E-2</v>
      </c>
      <c r="AP372" s="37">
        <f>IF(Tabela3[[#This Row],[Lucro/Ação]]&gt;0,Tabela3[[#This Row],[Cotação]]/(Tabela3[[#This Row],[Lucro/Ação]]/Tabela3[Ref]*4),0)</f>
        <v>0</v>
      </c>
      <c r="AQ372" s="85">
        <f>Tabela3[Lucro Distribuir]/Tabela3[Total Ações]</f>
        <v>0</v>
      </c>
      <c r="AR372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72" s="10" t="str">
        <f>IF(AND(Tabela3[% A.A.]&gt;=6%,SUMPRODUCT(N(Tabela3[Nome]=Tabela3[[#This Row],[Nome]]),Tabela3[PL])&gt;0,Tabela3[Rentabilidade s/ PL]&gt;=Tabela3[Rentabilidade s/ PL Média]),"Sim","Não")</f>
        <v>Não</v>
      </c>
      <c r="AT372" s="22">
        <f>IF(Tabela3[Cotação]&gt;0,Tabela3[[#This Row],[Lucro]]/Tabela3[[#This Row],[Cotação]],0)</f>
        <v>0</v>
      </c>
      <c r="AU372" s="22">
        <f>((1+Tabela3[[#This Row],[% Yield]])^(1/(3*Tabela3[[#This Row],[Ref]])))^(12)-1</f>
        <v>0</v>
      </c>
      <c r="AV372" s="10">
        <f>IF(Tabela3[Cotação]&gt;0,($BH$1/Tabela3[[#This Row],[Cotação]]-MOD($BH$1/Tabela3[[#This Row],[Cotação]],100)),)</f>
        <v>3300</v>
      </c>
      <c r="AW372" s="7">
        <f>Tabela3[[#This Row],[Ativos]]*Tabela3[Lucro]</f>
        <v>0</v>
      </c>
      <c r="AX372" s="7">
        <f>SUMPRODUCT(N(Tabela1[Código]=Tabela3[[#This Row],[PAPEL]]),Tabela1[Fechamento])</f>
        <v>0</v>
      </c>
      <c r="AY372" s="7">
        <f>SUMPRODUCT(N(Tabela17[Código]=Tabela3[[#This Row],[PAPEL]]),Tabela17[Fechamento])</f>
        <v>0</v>
      </c>
      <c r="AZ372" s="7">
        <f>SUMPRODUCT(N(Tabela176[Código]=Tabela3[[#This Row],[PAPEL]]),Tabela176[Fechamento])</f>
        <v>0</v>
      </c>
      <c r="BA372" s="7">
        <f>SUMPRODUCT(N(Tabela1768[Código]=Tabela3[[#This Row],[PAPEL]]),Tabela1768[Fechamento])</f>
        <v>0</v>
      </c>
      <c r="BB372" s="7">
        <f>SUMPRODUCT(N(Tabela17683[Código]=Tabela3[[#This Row],[PAPEL]]),Tabela17683[Fechamento])</f>
        <v>0.15</v>
      </c>
    </row>
    <row r="373" spans="1:54" hidden="1" x14ac:dyDescent="0.2">
      <c r="A373" s="4" t="s">
        <v>340</v>
      </c>
      <c r="B373" s="128" t="s">
        <v>1433</v>
      </c>
      <c r="C373" s="16" t="str">
        <f>LEFT(Tabela3[PAPEL],LEN(Tabela3[PAPEL])-(LEN(Tabela3[PAPEL])-4))</f>
        <v>CCHI</v>
      </c>
      <c r="D373" s="16">
        <v>3</v>
      </c>
      <c r="E373" s="5">
        <v>31980000</v>
      </c>
      <c r="F373" s="56">
        <v>12137280</v>
      </c>
      <c r="G373" s="81">
        <v>0.25</v>
      </c>
      <c r="H373" s="18"/>
      <c r="J373" s="18"/>
      <c r="K373" s="16"/>
      <c r="L373" s="87"/>
      <c r="M373" s="54"/>
      <c r="N373" s="54"/>
      <c r="O373" s="54"/>
      <c r="P373" s="91">
        <v>-160447000</v>
      </c>
      <c r="Q373" s="73">
        <v>-1000</v>
      </c>
      <c r="R373" s="73">
        <f>IF(Tabela3[[#This Row],[Ativo || Passivo]]&gt;0,Tabela3[[#This Row],[Ativo || Passivo]]-Tabela3[[#This Row],[Patrimônio Líquido]],0)</f>
        <v>0</v>
      </c>
      <c r="S373" s="73">
        <f>Tabela3[[#This Row],[Cotação]]*Tabela3[[#This Row],[Total Ações]]</f>
        <v>9360000</v>
      </c>
      <c r="T373" s="37">
        <f>IF(Tabela3[[#This Row],[Passivo Circulante]]&gt;0,Tabela3[[#This Row],[Ativo Circulante]]/Tabela3[[#This Row],[Passivo Circulante]],0)</f>
        <v>0</v>
      </c>
      <c r="U373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73" s="18">
        <f>IF(Tabela3[[#This Row],[Lucro Líquido]]&gt;0,Tabela3[[#This Row],[Lucro Líquido]]/Tabela3[[#This Row],[Patrimônio Líquido]],0)</f>
        <v>0</v>
      </c>
      <c r="W373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73" s="18">
        <f>IF(Tabela3[[#This Row],[Dívida]]&gt;0,Tabela3[[#This Row],[Dívida]]/Tabela3[[#This Row],[Patrimônio Líquido]],0)</f>
        <v>0</v>
      </c>
      <c r="Y373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73" s="7">
        <f>Tabela3[[#This Row],[Capital Social]]*20%</f>
        <v>6396000</v>
      </c>
      <c r="AA373" s="47">
        <f>IF((Tabela3[Lucro Líquido]*5%)&gt;Tabela3[Teto R. Legal],Tabela3[Teto R. Legal],Tabela3[Lucro Líquido]*5%)</f>
        <v>-50</v>
      </c>
      <c r="AB373" s="47">
        <f>IF(Tabela3[Lucro Líquido]&lt;0,0,Tabela3[Lucro Líquido]-Tabela3[Reserva Legal])</f>
        <v>0</v>
      </c>
      <c r="AC373" s="47">
        <f>Tabela3[[#This Row],[Lucro Distribuir]]*Tabela3[%Div]</f>
        <v>0</v>
      </c>
      <c r="AD373" s="56">
        <f>SUMPRODUCT(N(Tabela3[Nome]=Tabela3[[#This Row],[Nome]]),Tabela3[Ações])</f>
        <v>78000000</v>
      </c>
      <c r="AE373" s="85">
        <f>Tabela3[Capital Social]/Tabela3[Total Ações]</f>
        <v>0.41</v>
      </c>
      <c r="AF373" s="85">
        <f>Tabela3[[#This Row],[Lucro Líquido]]/Tabela3[[#This Row],[Total Ações]]</f>
        <v>-1.282051282051282E-5</v>
      </c>
      <c r="AG373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73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73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73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73" s="7">
        <f>Tabela3[Div Base]*Tabela3[Ações]</f>
        <v>0</v>
      </c>
      <c r="AL373" s="121">
        <f>SUMPRODUCT(N(Tabela3[Nome]=Tabela3[[#This Row],[Nome]]),Tabela3[Div Base]*Tabela3[Ações])</f>
        <v>0</v>
      </c>
      <c r="AM373" s="5">
        <f>Tabela3[Patrimônio Líquido]/Tabela3[Total Ações]</f>
        <v>-2.0570128205128206</v>
      </c>
      <c r="AN373" s="52">
        <f>MAX(Tabela3[[#This Row],[Cotação 1]:[Cotação 5]])</f>
        <v>0.12</v>
      </c>
      <c r="AO373" s="53">
        <f>Tabela3[Cotação]/Tabela3[VPA]</f>
        <v>-5.8337020947727282E-2</v>
      </c>
      <c r="AP373" s="37">
        <f>IF(Tabela3[[#This Row],[Lucro/Ação]]&gt;0,Tabela3[[#This Row],[Cotação]]/(Tabela3[[#This Row],[Lucro/Ação]]/Tabela3[Ref]*4),0)</f>
        <v>0</v>
      </c>
      <c r="AQ373" s="85">
        <f>Tabela3[Lucro Distribuir]/Tabela3[Total Ações]</f>
        <v>0</v>
      </c>
      <c r="AR373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73" s="10" t="str">
        <f>IF(AND(Tabela3[% A.A.]&gt;=6%,SUMPRODUCT(N(Tabela3[Nome]=Tabela3[[#This Row],[Nome]]),Tabela3[PL])&gt;0,Tabela3[Rentabilidade s/ PL]&gt;=Tabela3[Rentabilidade s/ PL Média]),"Sim","Não")</f>
        <v>Não</v>
      </c>
      <c r="AT373" s="22">
        <f>IF(Tabela3[Cotação]&gt;0,Tabela3[[#This Row],[Lucro]]/Tabela3[[#This Row],[Cotação]],0)</f>
        <v>0</v>
      </c>
      <c r="AU373" s="22">
        <f>((1+Tabela3[[#This Row],[% Yield]])^(1/(3*Tabela3[[#This Row],[Ref]])))^(12)-1</f>
        <v>0</v>
      </c>
      <c r="AV373" s="10">
        <f>IF(Tabela3[Cotação]&gt;0,($BH$1/Tabela3[[#This Row],[Cotação]]-MOD($BH$1/Tabela3[[#This Row],[Cotação]],100)),)</f>
        <v>4100</v>
      </c>
      <c r="AW373" s="7">
        <f>Tabela3[[#This Row],[Ativos]]*Tabela3[Lucro]</f>
        <v>0</v>
      </c>
      <c r="AX373" s="7">
        <f>SUMPRODUCT(N(Tabela1[Código]=Tabela3[[#This Row],[PAPEL]]),Tabela1[Fechamento])</f>
        <v>0</v>
      </c>
      <c r="AY373" s="7">
        <f>SUMPRODUCT(N(Tabela17[Código]=Tabela3[[#This Row],[PAPEL]]),Tabela17[Fechamento])</f>
        <v>0</v>
      </c>
      <c r="AZ373" s="7">
        <f>SUMPRODUCT(N(Tabela176[Código]=Tabela3[[#This Row],[PAPEL]]),Tabela176[Fechamento])</f>
        <v>0</v>
      </c>
      <c r="BA373" s="7">
        <f>SUMPRODUCT(N(Tabela1768[Código]=Tabela3[[#This Row],[PAPEL]]),Tabela1768[Fechamento])</f>
        <v>0</v>
      </c>
      <c r="BB373" s="7">
        <f>SUMPRODUCT(N(Tabela17683[Código]=Tabela3[[#This Row],[PAPEL]]),Tabela17683[Fechamento])</f>
        <v>0.12</v>
      </c>
    </row>
    <row r="374" spans="1:54" hidden="1" x14ac:dyDescent="0.2">
      <c r="A374" s="4" t="s">
        <v>673</v>
      </c>
      <c r="B374" s="57" t="s">
        <v>674</v>
      </c>
      <c r="C374" s="15" t="str">
        <f>LEFT(Tabela3[PAPEL],LEN(Tabela3[PAPEL])-(LEN(Tabela3[PAPEL])-4))</f>
        <v>CCXC</v>
      </c>
      <c r="D374" s="15">
        <v>3</v>
      </c>
      <c r="E374" s="6">
        <v>742186771.17999995</v>
      </c>
      <c r="F374" s="8">
        <v>170122934</v>
      </c>
      <c r="G374" s="86">
        <v>0.25</v>
      </c>
      <c r="H374" s="15"/>
      <c r="I374" s="19"/>
      <c r="J374" s="19"/>
      <c r="K374" s="88"/>
      <c r="L374" s="88"/>
      <c r="M374" s="55"/>
      <c r="N374" s="55"/>
      <c r="O374" s="55"/>
      <c r="P374" s="92">
        <v>740069000</v>
      </c>
      <c r="Q374" s="93">
        <v>-15716000</v>
      </c>
      <c r="R374" s="93">
        <f>IF(Tabela3[[#This Row],[Ativo || Passivo]]&gt;0,Tabela3[[#This Row],[Ativo || Passivo]]-Tabela3[[#This Row],[Patrimônio Líquido]],0)</f>
        <v>0</v>
      </c>
      <c r="S374" s="93">
        <f>Tabela3[[#This Row],[Cotação]]*Tabela3[[#This Row],[Total Ações]]</f>
        <v>168421704.66</v>
      </c>
      <c r="T374" s="40">
        <f>IF(Tabela3[[#This Row],[Passivo Circulante]]&gt;0,Tabela3[[#This Row],[Ativo Circulante]]/Tabela3[[#This Row],[Passivo Circulante]],0)</f>
        <v>0</v>
      </c>
      <c r="U374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74" s="19">
        <f>IF(Tabela3[[#This Row],[Lucro Líquido]]&gt;0,Tabela3[[#This Row],[Lucro Líquido]]/Tabela3[[#This Row],[Patrimônio Líquido]],0)</f>
        <v>0</v>
      </c>
      <c r="W374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74" s="19">
        <f>IF(Tabela3[[#This Row],[Dívida]]&gt;0,Tabela3[[#This Row],[Dívida]]/Tabela3[[#This Row],[Patrimônio Líquido]],0)</f>
        <v>0</v>
      </c>
      <c r="Y374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74" s="13">
        <f>Tabela3[[#This Row],[Capital Social]]*20%</f>
        <v>148437354.236</v>
      </c>
      <c r="AA374" s="13">
        <f>IF((Tabela3[Lucro Líquido]*5%)&gt;Tabela3[Teto R. Legal],Tabela3[Teto R. Legal],Tabela3[Lucro Líquido]*5%)</f>
        <v>-785800</v>
      </c>
      <c r="AB374" s="13">
        <f>IF(Tabela3[Lucro Líquido]&lt;0,0,Tabela3[Lucro Líquido]-Tabela3[Reserva Legal])</f>
        <v>0</v>
      </c>
      <c r="AC374" s="13">
        <f>Tabela3[[#This Row],[Lucro Distribuir]]*Tabela3[%Div]</f>
        <v>0</v>
      </c>
      <c r="AD374" s="56">
        <f>SUMPRODUCT(N(Tabela3[Nome]=Tabela3[[#This Row],[Nome]]),Tabela3[Ações])</f>
        <v>170122934</v>
      </c>
      <c r="AE374" s="6">
        <f>Tabela3[Capital Social]/Tabela3[Total Ações]</f>
        <v>4.3626497246984934</v>
      </c>
      <c r="AF374" s="78">
        <f>Tabela3[[#This Row],[Lucro Líquido]]/Tabela3[[#This Row],[Total Ações]]</f>
        <v>-9.2380254857349214E-2</v>
      </c>
      <c r="AG374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74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74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74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74" s="13">
        <f>Tabela3[Div Base]*Tabela3[Ações]</f>
        <v>0</v>
      </c>
      <c r="AL374" s="13">
        <f>SUMPRODUCT(N(Tabela3[Nome]=Tabela3[[#This Row],[Nome]]),Tabela3[Div Base]*Tabela3[Ações])</f>
        <v>0</v>
      </c>
      <c r="AM374" s="6">
        <f>Tabela3[Patrimônio Líquido]/Tabela3[Total Ações]</f>
        <v>4.3502012491743178</v>
      </c>
      <c r="AN374" s="48">
        <f>MAX(Tabela3[[#This Row],[Cotação 1]:[Cotação 5]])</f>
        <v>0.99</v>
      </c>
      <c r="AO374" s="44">
        <f>Tabela3[Cotação]/Tabela3[VPA]</f>
        <v>0.22757567829486169</v>
      </c>
      <c r="AP374" s="40">
        <f>IF(Tabela3[[#This Row],[Lucro/Ação]]&gt;0,Tabela3[[#This Row],[Cotação]]/(Tabela3[[#This Row],[Lucro/Ação]]/Tabela3[Ref]*4),0)</f>
        <v>0</v>
      </c>
      <c r="AQ374" s="78">
        <f>Tabela3[Lucro Distribuir]/Tabela3[Total Ações]</f>
        <v>0</v>
      </c>
      <c r="AR374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74" s="14" t="str">
        <f>IF(AND(Tabela3[% A.A.]&gt;=6%,SUMPRODUCT(N(Tabela3[Nome]=Tabela3[[#This Row],[Nome]]),Tabela3[PL])&gt;0,Tabela3[Rentabilidade s/ PL]&gt;=Tabela3[Rentabilidade s/ PL Média]),"Sim","Não")</f>
        <v>Não</v>
      </c>
      <c r="AT374" s="42">
        <f>IF(Tabela3[Cotação]&gt;0,Tabela3[[#This Row],[Lucro]]/Tabela3[[#This Row],[Cotação]],0)</f>
        <v>0</v>
      </c>
      <c r="AU374" s="42">
        <f>((1+Tabela3[[#This Row],[% Yield]])^(1/(3*Tabela3[[#This Row],[Ref]])))^(12)-1</f>
        <v>0</v>
      </c>
      <c r="AV374" s="14">
        <f>IF(Tabela3[Cotação]&gt;0,($BH$1/Tabela3[[#This Row],[Cotação]]-MOD($BH$1/Tabela3[[#This Row],[Cotação]],100)),)</f>
        <v>500</v>
      </c>
      <c r="AW374" s="17">
        <f>Tabela3[[#This Row],[Ativos]]*Tabela3[Lucro]</f>
        <v>0</v>
      </c>
      <c r="AX374" s="17">
        <f>SUMPRODUCT(N(Tabela1[Código]=Tabela3[[#This Row],[PAPEL]]),Tabela1[Fechamento])</f>
        <v>0</v>
      </c>
      <c r="AY374" s="17">
        <f>SUMPRODUCT(N(Tabela17[Código]=Tabela3[[#This Row],[PAPEL]]),Tabela17[Fechamento])</f>
        <v>0</v>
      </c>
      <c r="AZ374" s="17">
        <f>SUMPRODUCT(N(Tabela176[Código]=Tabela3[[#This Row],[PAPEL]]),Tabela176[Fechamento])</f>
        <v>0.99</v>
      </c>
      <c r="BA374" s="17">
        <f>SUMPRODUCT(N(Tabela1768[Código]=Tabela3[[#This Row],[PAPEL]]),Tabela1768[Fechamento])</f>
        <v>0</v>
      </c>
      <c r="BB374" s="7">
        <f>SUMPRODUCT(N(Tabela17683[Código]=Tabela3[[#This Row],[PAPEL]]),Tabela17683[Fechamento])</f>
        <v>0</v>
      </c>
    </row>
    <row r="375" spans="1:54" hidden="1" x14ac:dyDescent="0.2">
      <c r="A375" s="4" t="s">
        <v>12</v>
      </c>
      <c r="B375" s="57" t="s">
        <v>499</v>
      </c>
      <c r="C375" s="15" t="str">
        <f>LEFT(Tabela3[PAPEL],LEN(Tabela3[PAPEL])-(LEN(Tabela3[PAPEL])-4))</f>
        <v>CEED</v>
      </c>
      <c r="D375" s="15">
        <v>3</v>
      </c>
      <c r="E375" s="6">
        <v>23702962.149999999</v>
      </c>
      <c r="F375" s="8">
        <v>380669270</v>
      </c>
      <c r="G375" s="86">
        <v>0.5</v>
      </c>
      <c r="H375" s="15"/>
      <c r="I375" s="19"/>
      <c r="J375" s="19"/>
      <c r="K375" s="88"/>
      <c r="L375" s="88"/>
      <c r="M375" s="55"/>
      <c r="N375" s="55"/>
      <c r="O375" s="55"/>
      <c r="P375" s="92">
        <v>435830000</v>
      </c>
      <c r="Q375" s="93">
        <v>-212063000</v>
      </c>
      <c r="R375" s="93">
        <f>IF(Tabela3[[#This Row],[Ativo || Passivo]]&gt;0,Tabela3[[#This Row],[Ativo || Passivo]]-Tabela3[[#This Row],[Patrimônio Líquido]],0)</f>
        <v>0</v>
      </c>
      <c r="S375" s="93">
        <f>Tabela3[[#This Row],[Cotação]]*Tabela3[[#This Row],[Total Ações]]</f>
        <v>387229828</v>
      </c>
      <c r="T375" s="40">
        <f>IF(Tabela3[[#This Row],[Passivo Circulante]]&gt;0,Tabela3[[#This Row],[Ativo Circulante]]/Tabela3[[#This Row],[Passivo Circulante]],0)</f>
        <v>0</v>
      </c>
      <c r="U375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75" s="19">
        <f>IF(Tabela3[[#This Row],[Lucro Líquido]]&gt;0,Tabela3[[#This Row],[Lucro Líquido]]/Tabela3[[#This Row],[Patrimônio Líquido]],0)</f>
        <v>0</v>
      </c>
      <c r="W375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75" s="19">
        <f>IF(Tabela3[[#This Row],[Dívida]]&gt;0,Tabela3[[#This Row],[Dívida]]/Tabela3[[#This Row],[Patrimônio Líquido]],0)</f>
        <v>0</v>
      </c>
      <c r="Y375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75" s="13">
        <f>Tabela3[[#This Row],[Capital Social]]*20%</f>
        <v>4740592.43</v>
      </c>
      <c r="AA375" s="13">
        <f>IF((Tabela3[Lucro Líquido]*5%)&gt;Tabela3[Teto R. Legal],Tabela3[Teto R. Legal],Tabela3[Lucro Líquido]*5%)</f>
        <v>-10603150</v>
      </c>
      <c r="AB375" s="13">
        <f>IF(Tabela3[Lucro Líquido]&lt;0,0,Tabela3[Lucro Líquido]-Tabela3[Reserva Legal])</f>
        <v>0</v>
      </c>
      <c r="AC375" s="13">
        <f>Tabela3[[#This Row],[Lucro Distribuir]]*Tabela3[%Div]</f>
        <v>0</v>
      </c>
      <c r="AD375" s="56">
        <f>SUMPRODUCT(N(Tabela3[Nome]=Tabela3[[#This Row],[Nome]]),Tabela3[Ações])</f>
        <v>387229828</v>
      </c>
      <c r="AE375" s="6">
        <f>Tabela3[Capital Social]/Tabela3[Total Ações]</f>
        <v>6.1211612422584341E-2</v>
      </c>
      <c r="AF375" s="78">
        <f>Tabela3[[#This Row],[Lucro Líquido]]/Tabela3[[#This Row],[Total Ações]]</f>
        <v>-0.54764118016239183</v>
      </c>
      <c r="AG375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75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75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75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75" s="13">
        <f>Tabela3[Div Base]*Tabela3[Ações]</f>
        <v>0</v>
      </c>
      <c r="AL375" s="13">
        <f>SUMPRODUCT(N(Tabela3[Nome]=Tabela3[[#This Row],[Nome]]),Tabela3[Div Base]*Tabela3[Ações])</f>
        <v>0</v>
      </c>
      <c r="AM375" s="6">
        <f>Tabela3[Patrimônio Líquido]/Tabela3[Total Ações]</f>
        <v>1.1255073046697219</v>
      </c>
      <c r="AN375" s="48">
        <f>MAX(Tabela3[[#This Row],[Cotação 1]:[Cotação 5]])</f>
        <v>1</v>
      </c>
      <c r="AO375" s="44">
        <f>Tabela3[Cotação]/Tabela3[VPA]</f>
        <v>0.8884882362389005</v>
      </c>
      <c r="AP375" s="40">
        <f>IF(Tabela3[[#This Row],[Lucro/Ação]]&gt;0,Tabela3[[#This Row],[Cotação]]/(Tabela3[[#This Row],[Lucro/Ação]]/Tabela3[Ref]*4),0)</f>
        <v>0</v>
      </c>
      <c r="AQ375" s="78">
        <f>Tabela3[Lucro Distribuir]/Tabela3[Total Ações]</f>
        <v>0</v>
      </c>
      <c r="AR375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75" s="14" t="str">
        <f>IF(AND(Tabela3[% A.A.]&gt;=6%,SUMPRODUCT(N(Tabela3[Nome]=Tabela3[[#This Row],[Nome]]),Tabela3[PL])&gt;0,Tabela3[Rentabilidade s/ PL]&gt;=Tabela3[Rentabilidade s/ PL Média]),"Sim","Não")</f>
        <v>Não</v>
      </c>
      <c r="AT375" s="42">
        <f>IF(Tabela3[Cotação]&gt;0,Tabela3[[#This Row],[Lucro]]/Tabela3[[#This Row],[Cotação]],0)</f>
        <v>0</v>
      </c>
      <c r="AU375" s="42">
        <f>((1+Tabela3[[#This Row],[% Yield]])^(1/(3*Tabela3[[#This Row],[Ref]])))^(12)-1</f>
        <v>0</v>
      </c>
      <c r="AV375" s="14">
        <f>IF(Tabela3[Cotação]&gt;0,($BH$1/Tabela3[[#This Row],[Cotação]]-MOD($BH$1/Tabela3[[#This Row],[Cotação]],100)),)</f>
        <v>500</v>
      </c>
      <c r="AW375" s="17">
        <f>Tabela3[[#This Row],[Ativos]]*Tabela3[Lucro]</f>
        <v>0</v>
      </c>
      <c r="AX375" s="17">
        <f>SUMPRODUCT(N(Tabela1[Código]=Tabela3[[#This Row],[PAPEL]]),Tabela1[Fechamento])</f>
        <v>0</v>
      </c>
      <c r="AY375" s="17">
        <f>SUMPRODUCT(N(Tabela17[Código]=Tabela3[[#This Row],[PAPEL]]),Tabela17[Fechamento])</f>
        <v>1</v>
      </c>
      <c r="AZ375" s="7">
        <f>SUMPRODUCT(N(Tabela176[Código]=Tabela3[[#This Row],[PAPEL]]),Tabela176[Fechamento])</f>
        <v>0</v>
      </c>
      <c r="BA375" s="7">
        <f>SUMPRODUCT(N(Tabela1768[Código]=Tabela3[[#This Row],[PAPEL]]),Tabela1768[Fechamento])</f>
        <v>0</v>
      </c>
      <c r="BB375" s="7">
        <f>SUMPRODUCT(N(Tabela17683[Código]=Tabela3[[#This Row],[PAPEL]]),Tabela17683[Fechamento])</f>
        <v>0</v>
      </c>
    </row>
    <row r="376" spans="1:54" hidden="1" x14ac:dyDescent="0.2">
      <c r="A376" s="4" t="s">
        <v>12</v>
      </c>
      <c r="B376" s="57" t="s">
        <v>500</v>
      </c>
      <c r="C376" s="15" t="str">
        <f>LEFT(Tabela3[PAPEL],LEN(Tabela3[PAPEL])-(LEN(Tabela3[PAPEL])-4))</f>
        <v>CEED</v>
      </c>
      <c r="D376" s="15">
        <v>3</v>
      </c>
      <c r="E376" s="6">
        <v>23702962.149999999</v>
      </c>
      <c r="F376" s="8">
        <v>6560558</v>
      </c>
      <c r="G376" s="86">
        <v>0.5</v>
      </c>
      <c r="H376" s="15"/>
      <c r="I376" s="19">
        <v>0.1</v>
      </c>
      <c r="J376" s="19"/>
      <c r="K376" s="88"/>
      <c r="L376" s="88"/>
      <c r="M376" s="55"/>
      <c r="N376" s="55"/>
      <c r="O376" s="55"/>
      <c r="P376" s="92">
        <v>435830000</v>
      </c>
      <c r="Q376" s="93">
        <v>-212063000</v>
      </c>
      <c r="R376" s="93">
        <f>IF(Tabela3[[#This Row],[Ativo || Passivo]]&gt;0,Tabela3[[#This Row],[Ativo || Passivo]]-Tabela3[[#This Row],[Patrimônio Líquido]],0)</f>
        <v>0</v>
      </c>
      <c r="S376" s="93">
        <f>Tabela3[[#This Row],[Cotação]]*Tabela3[[#This Row],[Total Ações]]</f>
        <v>619567724.80000007</v>
      </c>
      <c r="T376" s="40">
        <f>IF(Tabela3[[#This Row],[Passivo Circulante]]&gt;0,Tabela3[[#This Row],[Ativo Circulante]]/Tabela3[[#This Row],[Passivo Circulante]],0)</f>
        <v>0</v>
      </c>
      <c r="U376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76" s="19">
        <f>IF(Tabela3[[#This Row],[Lucro Líquido]]&gt;0,Tabela3[[#This Row],[Lucro Líquido]]/Tabela3[[#This Row],[Patrimônio Líquido]],0)</f>
        <v>0</v>
      </c>
      <c r="W376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76" s="19">
        <f>IF(Tabela3[[#This Row],[Dívida]]&gt;0,Tabela3[[#This Row],[Dívida]]/Tabela3[[#This Row],[Patrimônio Líquido]],0)</f>
        <v>0</v>
      </c>
      <c r="Y376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76" s="13">
        <f>Tabela3[[#This Row],[Capital Social]]*20%</f>
        <v>4740592.43</v>
      </c>
      <c r="AA376" s="13">
        <f>IF((Tabela3[Lucro Líquido]*5%)&gt;Tabela3[Teto R. Legal],Tabela3[Teto R. Legal],Tabela3[Lucro Líquido]*5%)</f>
        <v>-10603150</v>
      </c>
      <c r="AB376" s="13">
        <f>IF(Tabela3[Lucro Líquido]&lt;0,0,Tabela3[Lucro Líquido]-Tabela3[Reserva Legal])</f>
        <v>0</v>
      </c>
      <c r="AC376" s="13">
        <f>Tabela3[[#This Row],[Lucro Distribuir]]*Tabela3[%Div]</f>
        <v>0</v>
      </c>
      <c r="AD376" s="56">
        <f>SUMPRODUCT(N(Tabela3[Nome]=Tabela3[[#This Row],[Nome]]),Tabela3[Ações])</f>
        <v>387229828</v>
      </c>
      <c r="AE376" s="6">
        <f>Tabela3[Capital Social]/Tabela3[Total Ações]</f>
        <v>6.1211612422584341E-2</v>
      </c>
      <c r="AF376" s="78">
        <f>Tabela3[[#This Row],[Lucro Líquido]]/Tabela3[[#This Row],[Total Ações]]</f>
        <v>-0.54764118016239183</v>
      </c>
      <c r="AG376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76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76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76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76" s="13">
        <f>Tabela3[Div Base]*Tabela3[Ações]</f>
        <v>0</v>
      </c>
      <c r="AL376" s="13">
        <f>SUMPRODUCT(N(Tabela3[Nome]=Tabela3[[#This Row],[Nome]]),Tabela3[Div Base]*Tabela3[Ações])</f>
        <v>0</v>
      </c>
      <c r="AM376" s="6">
        <f>Tabela3[Patrimônio Líquido]/Tabela3[Total Ações]</f>
        <v>1.1255073046697219</v>
      </c>
      <c r="AN376" s="48">
        <f>MAX(Tabela3[[#This Row],[Cotação 1]:[Cotação 5]])</f>
        <v>1.6</v>
      </c>
      <c r="AO376" s="44">
        <f>Tabela3[Cotação]/Tabela3[VPA]</f>
        <v>1.4215811779822407</v>
      </c>
      <c r="AP376" s="40">
        <f>IF(Tabela3[[#This Row],[Lucro/Ação]]&gt;0,Tabela3[[#This Row],[Cotação]]/(Tabela3[[#This Row],[Lucro/Ação]]/Tabela3[Ref]*4),0)</f>
        <v>0</v>
      </c>
      <c r="AQ376" s="78">
        <f>Tabela3[Lucro Distribuir]/Tabela3[Total Ações]</f>
        <v>0</v>
      </c>
      <c r="AR376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76" s="14" t="str">
        <f>IF(AND(Tabela3[% A.A.]&gt;=6%,SUMPRODUCT(N(Tabela3[Nome]=Tabela3[[#This Row],[Nome]]),Tabela3[PL])&gt;0,Tabela3[Rentabilidade s/ PL]&gt;=Tabela3[Rentabilidade s/ PL Média]),"Sim","Não")</f>
        <v>Não</v>
      </c>
      <c r="AT376" s="42">
        <f>IF(Tabela3[Cotação]&gt;0,Tabela3[[#This Row],[Lucro]]/Tabela3[[#This Row],[Cotação]],0)</f>
        <v>0</v>
      </c>
      <c r="AU376" s="42">
        <f>((1+Tabela3[[#This Row],[% Yield]])^(1/(3*Tabela3[[#This Row],[Ref]])))^(12)-1</f>
        <v>0</v>
      </c>
      <c r="AV376" s="14">
        <f>IF(Tabela3[Cotação]&gt;0,($BH$1/Tabela3[[#This Row],[Cotação]]-MOD($BH$1/Tabela3[[#This Row],[Cotação]],100)),)</f>
        <v>300</v>
      </c>
      <c r="AW376" s="17">
        <f>Tabela3[[#This Row],[Ativos]]*Tabela3[Lucro]</f>
        <v>0</v>
      </c>
      <c r="AX376" s="17">
        <f>SUMPRODUCT(N(Tabela1[Código]=Tabela3[[#This Row],[PAPEL]]),Tabela1[Fechamento])</f>
        <v>0</v>
      </c>
      <c r="AY376" s="17">
        <f>SUMPRODUCT(N(Tabela17[Código]=Tabela3[[#This Row],[PAPEL]]),Tabela17[Fechamento])</f>
        <v>1.6</v>
      </c>
      <c r="AZ376" s="7">
        <f>SUMPRODUCT(N(Tabela176[Código]=Tabela3[[#This Row],[PAPEL]]),Tabela176[Fechamento])</f>
        <v>0</v>
      </c>
      <c r="BA376" s="7">
        <f>SUMPRODUCT(N(Tabela1768[Código]=Tabela3[[#This Row],[PAPEL]]),Tabela1768[Fechamento])</f>
        <v>0</v>
      </c>
      <c r="BB376" s="7">
        <f>SUMPRODUCT(N(Tabela17683[Código]=Tabela3[[#This Row],[PAPEL]]),Tabela17683[Fechamento])</f>
        <v>0</v>
      </c>
    </row>
    <row r="377" spans="1:54" hidden="1" x14ac:dyDescent="0.2">
      <c r="A377" s="4" t="s">
        <v>12</v>
      </c>
      <c r="B377" s="128" t="s">
        <v>476</v>
      </c>
      <c r="C377" s="15" t="str">
        <f>LEFT(Tabela3[PAPEL],LEN(Tabela3[PAPEL])-(LEN(Tabela3[PAPEL])-4))</f>
        <v>CELP</v>
      </c>
      <c r="D377" s="15">
        <v>3</v>
      </c>
      <c r="E377" s="6">
        <v>924523856.14999998</v>
      </c>
      <c r="F377" s="8">
        <v>1902996369</v>
      </c>
      <c r="G377" s="81">
        <v>0.25</v>
      </c>
      <c r="H377" s="15"/>
      <c r="I377" s="19"/>
      <c r="J377" s="19"/>
      <c r="K377" s="88"/>
      <c r="L377" s="88"/>
      <c r="M377" s="55"/>
      <c r="N377" s="55"/>
      <c r="O377" s="55"/>
      <c r="P377" s="92">
        <v>474823000</v>
      </c>
      <c r="Q377" s="93">
        <v>-117999000</v>
      </c>
      <c r="R377" s="93">
        <f>IF(Tabela3[[#This Row],[Ativo || Passivo]]&gt;0,Tabela3[[#This Row],[Ativo || Passivo]]-Tabela3[[#This Row],[Patrimônio Líquido]],0)</f>
        <v>0</v>
      </c>
      <c r="S377" s="93">
        <f>Tabela3[[#This Row],[Cotação]]*Tabela3[[#This Row],[Total Ações]]</f>
        <v>2384312258.75</v>
      </c>
      <c r="T377" s="40">
        <f>IF(Tabela3[[#This Row],[Passivo Circulante]]&gt;0,Tabela3[[#This Row],[Ativo Circulante]]/Tabela3[[#This Row],[Passivo Circulante]],0)</f>
        <v>0</v>
      </c>
      <c r="U377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77" s="19">
        <f>IF(Tabela3[[#This Row],[Lucro Líquido]]&gt;0,Tabela3[[#This Row],[Lucro Líquido]]/Tabela3[[#This Row],[Patrimônio Líquido]],0)</f>
        <v>0</v>
      </c>
      <c r="W377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77" s="19">
        <f>IF(Tabela3[[#This Row],[Dívida]]&gt;0,Tabela3[[#This Row],[Dívida]]/Tabela3[[#This Row],[Patrimônio Líquido]],0)</f>
        <v>0</v>
      </c>
      <c r="Y377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77" s="13">
        <f>Tabela3[[#This Row],[Capital Social]]*20%</f>
        <v>184904771.23000002</v>
      </c>
      <c r="AA377" s="13">
        <f>IF((Tabela3[Lucro Líquido]*5%)&gt;Tabela3[Teto R. Legal],Tabela3[Teto R. Legal],Tabela3[Lucro Líquido]*5%)</f>
        <v>-5899950</v>
      </c>
      <c r="AB377" s="13">
        <f>IF(Tabela3[Lucro Líquido]&lt;0,0,Tabela3[Lucro Líquido]-Tabela3[Reserva Legal])</f>
        <v>0</v>
      </c>
      <c r="AC377" s="13">
        <f>Tabela3[[#This Row],[Lucro Distribuir]]*Tabela3[%Div]</f>
        <v>0</v>
      </c>
      <c r="AD377" s="56">
        <f>SUMPRODUCT(N(Tabela3[Nome]=Tabela3[[#This Row],[Nome]]),Tabela3[Ações])</f>
        <v>1907449807</v>
      </c>
      <c r="AE377" s="6">
        <f>Tabela3[Capital Social]/Tabela3[Total Ações]</f>
        <v>0.4846910533410434</v>
      </c>
      <c r="AF377" s="78">
        <f>Tabela3[[#This Row],[Lucro Líquido]]/Tabela3[[#This Row],[Total Ações]]</f>
        <v>-6.1862178269102938E-2</v>
      </c>
      <c r="AG377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77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77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77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77" s="13">
        <f>Tabela3[Div Base]*Tabela3[Ações]</f>
        <v>0</v>
      </c>
      <c r="AL377" s="13">
        <f>SUMPRODUCT(N(Tabela3[Nome]=Tabela3[[#This Row],[Nome]]),Tabela3[Div Base]*Tabela3[Ações])</f>
        <v>0</v>
      </c>
      <c r="AM377" s="6">
        <f>Tabela3[Patrimônio Líquido]/Tabela3[Total Ações]</f>
        <v>0.24893079663616019</v>
      </c>
      <c r="AN377" s="48">
        <f>MAX(Tabela3[[#This Row],[Cotação 1]:[Cotação 5]])</f>
        <v>1.25</v>
      </c>
      <c r="AO377" s="44">
        <f>Tabela3[Cotação]/Tabela3[VPA]</f>
        <v>5.0214759157622941</v>
      </c>
      <c r="AP377" s="40">
        <f>IF(Tabela3[[#This Row],[Lucro/Ação]]&gt;0,Tabela3[[#This Row],[Cotação]]/(Tabela3[[#This Row],[Lucro/Ação]]/Tabela3[Ref]*4),0)</f>
        <v>0</v>
      </c>
      <c r="AQ377" s="78">
        <f>Tabela3[Lucro Distribuir]/Tabela3[Total Ações]</f>
        <v>0</v>
      </c>
      <c r="AR377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77" s="14" t="str">
        <f>IF(AND(Tabela3[% A.A.]&gt;=6%,SUMPRODUCT(N(Tabela3[Nome]=Tabela3[[#This Row],[Nome]]),Tabela3[PL])&gt;0,Tabela3[Rentabilidade s/ PL]&gt;=Tabela3[Rentabilidade s/ PL Média]),"Sim","Não")</f>
        <v>Não</v>
      </c>
      <c r="AT377" s="42">
        <f>IF(Tabela3[Cotação]&gt;0,Tabela3[[#This Row],[Lucro]]/Tabela3[[#This Row],[Cotação]],0)</f>
        <v>0</v>
      </c>
      <c r="AU377" s="42">
        <f>((1+Tabela3[[#This Row],[% Yield]])^(1/(3*Tabela3[[#This Row],[Ref]])))^(12)-1</f>
        <v>0</v>
      </c>
      <c r="AV377" s="14">
        <f>IF(Tabela3[Cotação]&gt;0,($BH$1/Tabela3[[#This Row],[Cotação]]-MOD($BH$1/Tabela3[[#This Row],[Cotação]],100)),)</f>
        <v>400</v>
      </c>
      <c r="AW377" s="17">
        <f>Tabela3[[#This Row],[Ativos]]*Tabela3[Lucro]</f>
        <v>0</v>
      </c>
      <c r="AX377" s="17">
        <f>SUMPRODUCT(N(Tabela1[Código]=Tabela3[[#This Row],[PAPEL]]),Tabela1[Fechamento])</f>
        <v>0</v>
      </c>
      <c r="AY377" s="17">
        <f>SUMPRODUCT(N(Tabela17[Código]=Tabela3[[#This Row],[PAPEL]]),Tabela17[Fechamento])</f>
        <v>1.25</v>
      </c>
      <c r="AZ377" s="7">
        <f>SUMPRODUCT(N(Tabela176[Código]=Tabela3[[#This Row],[PAPEL]]),Tabela176[Fechamento])</f>
        <v>0</v>
      </c>
      <c r="BA377" s="7">
        <f>SUMPRODUCT(N(Tabela1768[Código]=Tabela3[[#This Row],[PAPEL]]),Tabela1768[Fechamento])</f>
        <v>0</v>
      </c>
      <c r="BB377" s="7">
        <f>SUMPRODUCT(N(Tabela17683[Código]=Tabela3[[#This Row],[PAPEL]]),Tabela17683[Fechamento])</f>
        <v>0</v>
      </c>
    </row>
    <row r="378" spans="1:54" hidden="1" x14ac:dyDescent="0.2">
      <c r="A378" s="4" t="s">
        <v>12</v>
      </c>
      <c r="B378" s="128" t="s">
        <v>477</v>
      </c>
      <c r="C378" s="15" t="str">
        <f>LEFT(Tabela3[PAPEL],LEN(Tabela3[PAPEL])-(LEN(Tabela3[PAPEL])-4))</f>
        <v>CELP</v>
      </c>
      <c r="D378" s="15">
        <v>3</v>
      </c>
      <c r="E378" s="6">
        <v>924523856.14999998</v>
      </c>
      <c r="F378" s="8">
        <v>2166816</v>
      </c>
      <c r="G378" s="81">
        <v>0.25</v>
      </c>
      <c r="H378" s="15"/>
      <c r="I378" s="19">
        <v>0.06</v>
      </c>
      <c r="J378" s="19"/>
      <c r="K378" s="88"/>
      <c r="L378" s="88"/>
      <c r="M378" s="55"/>
      <c r="N378" s="55"/>
      <c r="O378" s="55"/>
      <c r="P378" s="92">
        <v>474823000</v>
      </c>
      <c r="Q378" s="93">
        <v>-117999000</v>
      </c>
      <c r="R378" s="93">
        <f>IF(Tabela3[[#This Row],[Ativo || Passivo]]&gt;0,Tabela3[[#This Row],[Ativo || Passivo]]-Tabela3[[#This Row],[Patrimônio Líquido]],0)</f>
        <v>0</v>
      </c>
      <c r="S378" s="93">
        <f>Tabela3[[#This Row],[Cotação]]*Tabela3[[#This Row],[Total Ações]]</f>
        <v>1907449807</v>
      </c>
      <c r="T378" s="40">
        <f>IF(Tabela3[[#This Row],[Passivo Circulante]]&gt;0,Tabela3[[#This Row],[Ativo Circulante]]/Tabela3[[#This Row],[Passivo Circulante]],0)</f>
        <v>0</v>
      </c>
      <c r="U378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78" s="19">
        <f>IF(Tabela3[[#This Row],[Lucro Líquido]]&gt;0,Tabela3[[#This Row],[Lucro Líquido]]/Tabela3[[#This Row],[Patrimônio Líquido]],0)</f>
        <v>0</v>
      </c>
      <c r="W378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78" s="19">
        <f>IF(Tabela3[[#This Row],[Dívida]]&gt;0,Tabela3[[#This Row],[Dívida]]/Tabela3[[#This Row],[Patrimônio Líquido]],0)</f>
        <v>0</v>
      </c>
      <c r="Y378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78" s="13">
        <f>Tabela3[[#This Row],[Capital Social]]*20%</f>
        <v>184904771.23000002</v>
      </c>
      <c r="AA378" s="13">
        <f>IF((Tabela3[Lucro Líquido]*5%)&gt;Tabela3[Teto R. Legal],Tabela3[Teto R. Legal],Tabela3[Lucro Líquido]*5%)</f>
        <v>-5899950</v>
      </c>
      <c r="AB378" s="13">
        <f>IF(Tabela3[Lucro Líquido]&lt;0,0,Tabela3[Lucro Líquido]-Tabela3[Reserva Legal])</f>
        <v>0</v>
      </c>
      <c r="AC378" s="13">
        <f>Tabela3[[#This Row],[Lucro Distribuir]]*Tabela3[%Div]</f>
        <v>0</v>
      </c>
      <c r="AD378" s="56">
        <f>SUMPRODUCT(N(Tabela3[Nome]=Tabela3[[#This Row],[Nome]]),Tabela3[Ações])</f>
        <v>1907449807</v>
      </c>
      <c r="AE378" s="6">
        <f>Tabela3[Capital Social]/Tabela3[Total Ações]</f>
        <v>0.4846910533410434</v>
      </c>
      <c r="AF378" s="78">
        <f>Tabela3[[#This Row],[Lucro Líquido]]/Tabela3[[#This Row],[Total Ações]]</f>
        <v>-6.1862178269102938E-2</v>
      </c>
      <c r="AG378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78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78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78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78" s="13">
        <f>Tabela3[Div Base]*Tabela3[Ações]</f>
        <v>0</v>
      </c>
      <c r="AL378" s="13">
        <f>SUMPRODUCT(N(Tabela3[Nome]=Tabela3[[#This Row],[Nome]]),Tabela3[Div Base]*Tabela3[Ações])</f>
        <v>0</v>
      </c>
      <c r="AM378" s="6">
        <f>Tabela3[Patrimônio Líquido]/Tabela3[Total Ações]</f>
        <v>0.24893079663616019</v>
      </c>
      <c r="AN378" s="48">
        <f>MAX(Tabela3[[#This Row],[Cotação 1]:[Cotação 5]])</f>
        <v>1</v>
      </c>
      <c r="AO378" s="44">
        <f>Tabela3[Cotação]/Tabela3[VPA]</f>
        <v>4.0171807326098357</v>
      </c>
      <c r="AP378" s="40">
        <f>IF(Tabela3[[#This Row],[Lucro/Ação]]&gt;0,Tabela3[[#This Row],[Cotação]]/(Tabela3[[#This Row],[Lucro/Ação]]/Tabela3[Ref]*4),0)</f>
        <v>0</v>
      </c>
      <c r="AQ378" s="78">
        <f>Tabela3[Lucro Distribuir]/Tabela3[Total Ações]</f>
        <v>0</v>
      </c>
      <c r="AR378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78" s="14" t="str">
        <f>IF(AND(Tabela3[% A.A.]&gt;=6%,SUMPRODUCT(N(Tabela3[Nome]=Tabela3[[#This Row],[Nome]]),Tabela3[PL])&gt;0,Tabela3[Rentabilidade s/ PL]&gt;=Tabela3[Rentabilidade s/ PL Média]),"Sim","Não")</f>
        <v>Não</v>
      </c>
      <c r="AT378" s="42">
        <f>IF(Tabela3[Cotação]&gt;0,Tabela3[[#This Row],[Lucro]]/Tabela3[[#This Row],[Cotação]],0)</f>
        <v>0</v>
      </c>
      <c r="AU378" s="42">
        <f>((1+Tabela3[[#This Row],[% Yield]])^(1/(3*Tabela3[[#This Row],[Ref]])))^(12)-1</f>
        <v>0</v>
      </c>
      <c r="AV378" s="14">
        <f>IF(Tabela3[Cotação]&gt;0,($BH$1/Tabela3[[#This Row],[Cotação]]-MOD($BH$1/Tabela3[[#This Row],[Cotação]],100)),)</f>
        <v>500</v>
      </c>
      <c r="AW378" s="17">
        <f>Tabela3[[#This Row],[Ativos]]*Tabela3[Lucro]</f>
        <v>0</v>
      </c>
      <c r="AX378" s="17">
        <f>SUMPRODUCT(N(Tabela1[Código]=Tabela3[[#This Row],[PAPEL]]),Tabela1[Fechamento])</f>
        <v>0</v>
      </c>
      <c r="AY378" s="17">
        <f>SUMPRODUCT(N(Tabela17[Código]=Tabela3[[#This Row],[PAPEL]]),Tabela17[Fechamento])</f>
        <v>1</v>
      </c>
      <c r="AZ378" s="7">
        <f>SUMPRODUCT(N(Tabela176[Código]=Tabela3[[#This Row],[PAPEL]]),Tabela176[Fechamento])</f>
        <v>0</v>
      </c>
      <c r="BA378" s="7">
        <f>SUMPRODUCT(N(Tabela1768[Código]=Tabela3[[#This Row],[PAPEL]]),Tabela1768[Fechamento])</f>
        <v>0</v>
      </c>
      <c r="BB378" s="7">
        <f>SUMPRODUCT(N(Tabela17683[Código]=Tabela3[[#This Row],[PAPEL]]),Tabela17683[Fechamento])</f>
        <v>0</v>
      </c>
    </row>
    <row r="379" spans="1:54" hidden="1" x14ac:dyDescent="0.2">
      <c r="A379" s="4" t="s">
        <v>12</v>
      </c>
      <c r="B379" s="128" t="s">
        <v>478</v>
      </c>
      <c r="C379" s="15" t="str">
        <f>LEFT(Tabela3[PAPEL],LEN(Tabela3[PAPEL])-(LEN(Tabela3[PAPEL])-4))</f>
        <v>CELP</v>
      </c>
      <c r="D379" s="15">
        <v>3</v>
      </c>
      <c r="E379" s="6">
        <v>924523856.14999998</v>
      </c>
      <c r="F379" s="8">
        <v>1085373</v>
      </c>
      <c r="G379" s="81">
        <v>0.25</v>
      </c>
      <c r="H379" s="15"/>
      <c r="I379" s="19">
        <v>0.1</v>
      </c>
      <c r="J379" s="19"/>
      <c r="K379" s="88"/>
      <c r="L379" s="88"/>
      <c r="M379" s="55"/>
      <c r="N379" s="55"/>
      <c r="O379" s="55"/>
      <c r="P379" s="92">
        <v>474823000</v>
      </c>
      <c r="Q379" s="93">
        <v>-117999000</v>
      </c>
      <c r="R379" s="93">
        <f>IF(Tabela3[[#This Row],[Ativo || Passivo]]&gt;0,Tabela3[[#This Row],[Ativo || Passivo]]-Tabela3[[#This Row],[Patrimônio Líquido]],0)</f>
        <v>0</v>
      </c>
      <c r="S379" s="93">
        <f>Tabela3[[#This Row],[Cotação]]*Tabela3[[#This Row],[Total Ações]]</f>
        <v>1430587355.25</v>
      </c>
      <c r="T379" s="40">
        <f>IF(Tabela3[[#This Row],[Passivo Circulante]]&gt;0,Tabela3[[#This Row],[Ativo Circulante]]/Tabela3[[#This Row],[Passivo Circulante]],0)</f>
        <v>0</v>
      </c>
      <c r="U379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79" s="19">
        <f>IF(Tabela3[[#This Row],[Lucro Líquido]]&gt;0,Tabela3[[#This Row],[Lucro Líquido]]/Tabela3[[#This Row],[Patrimônio Líquido]],0)</f>
        <v>0</v>
      </c>
      <c r="W379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79" s="19">
        <f>IF(Tabela3[[#This Row],[Dívida]]&gt;0,Tabela3[[#This Row],[Dívida]]/Tabela3[[#This Row],[Patrimônio Líquido]],0)</f>
        <v>0</v>
      </c>
      <c r="Y379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79" s="13">
        <f>Tabela3[[#This Row],[Capital Social]]*20%</f>
        <v>184904771.23000002</v>
      </c>
      <c r="AA379" s="13">
        <f>IF((Tabela3[Lucro Líquido]*5%)&gt;Tabela3[Teto R. Legal],Tabela3[Teto R. Legal],Tabela3[Lucro Líquido]*5%)</f>
        <v>-5899950</v>
      </c>
      <c r="AB379" s="13">
        <f>IF(Tabela3[Lucro Líquido]&lt;0,0,Tabela3[Lucro Líquido]-Tabela3[Reserva Legal])</f>
        <v>0</v>
      </c>
      <c r="AC379" s="13">
        <f>Tabela3[[#This Row],[Lucro Distribuir]]*Tabela3[%Div]</f>
        <v>0</v>
      </c>
      <c r="AD379" s="56">
        <f>SUMPRODUCT(N(Tabela3[Nome]=Tabela3[[#This Row],[Nome]]),Tabela3[Ações])</f>
        <v>1907449807</v>
      </c>
      <c r="AE379" s="6">
        <f>Tabela3[Capital Social]/Tabela3[Total Ações]</f>
        <v>0.4846910533410434</v>
      </c>
      <c r="AF379" s="78">
        <f>Tabela3[[#This Row],[Lucro Líquido]]/Tabela3[[#This Row],[Total Ações]]</f>
        <v>-6.1862178269102938E-2</v>
      </c>
      <c r="AG379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79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79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79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79" s="13">
        <f>Tabela3[Div Base]*Tabela3[Ações]</f>
        <v>0</v>
      </c>
      <c r="AL379" s="13">
        <f>SUMPRODUCT(N(Tabela3[Nome]=Tabela3[[#This Row],[Nome]]),Tabela3[Div Base]*Tabela3[Ações])</f>
        <v>0</v>
      </c>
      <c r="AM379" s="6">
        <f>Tabela3[Patrimônio Líquido]/Tabela3[Total Ações]</f>
        <v>0.24893079663616019</v>
      </c>
      <c r="AN379" s="48">
        <f>MAX(Tabela3[[#This Row],[Cotação 1]:[Cotação 5]])</f>
        <v>0.75</v>
      </c>
      <c r="AO379" s="44">
        <f>Tabela3[Cotação]/Tabela3[VPA]</f>
        <v>3.0128855494573767</v>
      </c>
      <c r="AP379" s="40">
        <f>IF(Tabela3[[#This Row],[Lucro/Ação]]&gt;0,Tabela3[[#This Row],[Cotação]]/(Tabela3[[#This Row],[Lucro/Ação]]/Tabela3[Ref]*4),0)</f>
        <v>0</v>
      </c>
      <c r="AQ379" s="78">
        <f>Tabela3[Lucro Distribuir]/Tabela3[Total Ações]</f>
        <v>0</v>
      </c>
      <c r="AR379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79" s="14" t="str">
        <f>IF(AND(Tabela3[% A.A.]&gt;=6%,SUMPRODUCT(N(Tabela3[Nome]=Tabela3[[#This Row],[Nome]]),Tabela3[PL])&gt;0,Tabela3[Rentabilidade s/ PL]&gt;=Tabela3[Rentabilidade s/ PL Média]),"Sim","Não")</f>
        <v>Não</v>
      </c>
      <c r="AT379" s="42">
        <f>IF(Tabela3[Cotação]&gt;0,Tabela3[[#This Row],[Lucro]]/Tabela3[[#This Row],[Cotação]],0)</f>
        <v>0</v>
      </c>
      <c r="AU379" s="42">
        <f>((1+Tabela3[[#This Row],[% Yield]])^(1/(3*Tabela3[[#This Row],[Ref]])))^(12)-1</f>
        <v>0</v>
      </c>
      <c r="AV379" s="14">
        <f>IF(Tabela3[Cotação]&gt;0,($BH$1/Tabela3[[#This Row],[Cotação]]-MOD($BH$1/Tabela3[[#This Row],[Cotação]],100)),)</f>
        <v>600</v>
      </c>
      <c r="AW379" s="17">
        <f>Tabela3[[#This Row],[Ativos]]*Tabela3[Lucro]</f>
        <v>0</v>
      </c>
      <c r="AX379" s="17">
        <f>SUMPRODUCT(N(Tabela1[Código]=Tabela3[[#This Row],[PAPEL]]),Tabela1[Fechamento])</f>
        <v>0</v>
      </c>
      <c r="AY379" s="17">
        <f>SUMPRODUCT(N(Tabela17[Código]=Tabela3[[#This Row],[PAPEL]]),Tabela17[Fechamento])</f>
        <v>0.75</v>
      </c>
      <c r="AZ379" s="7">
        <f>SUMPRODUCT(N(Tabela176[Código]=Tabela3[[#This Row],[PAPEL]]),Tabela176[Fechamento])</f>
        <v>0</v>
      </c>
      <c r="BA379" s="7">
        <f>SUMPRODUCT(N(Tabela1768[Código]=Tabela3[[#This Row],[PAPEL]]),Tabela1768[Fechamento])</f>
        <v>0</v>
      </c>
      <c r="BB379" s="7">
        <f>SUMPRODUCT(N(Tabela17683[Código]=Tabela3[[#This Row],[PAPEL]]),Tabela17683[Fechamento])</f>
        <v>0</v>
      </c>
    </row>
    <row r="380" spans="1:54" hidden="1" x14ac:dyDescent="0.2">
      <c r="A380" s="4" t="s">
        <v>12</v>
      </c>
      <c r="B380" s="128" t="s">
        <v>479</v>
      </c>
      <c r="C380" s="15" t="str">
        <f>LEFT(Tabela3[PAPEL],LEN(Tabela3[PAPEL])-(LEN(Tabela3[PAPEL])-4))</f>
        <v>CELP</v>
      </c>
      <c r="D380" s="15">
        <v>3</v>
      </c>
      <c r="E380" s="6">
        <v>924523856.14999998</v>
      </c>
      <c r="F380" s="8">
        <v>1201249</v>
      </c>
      <c r="G380" s="81">
        <v>0.25</v>
      </c>
      <c r="H380" s="15"/>
      <c r="I380" s="19">
        <v>0.03</v>
      </c>
      <c r="J380" s="19"/>
      <c r="K380" s="88"/>
      <c r="L380" s="88"/>
      <c r="M380" s="55"/>
      <c r="N380" s="55"/>
      <c r="O380" s="55"/>
      <c r="P380" s="92">
        <v>474823000</v>
      </c>
      <c r="Q380" s="93">
        <v>-117999000</v>
      </c>
      <c r="R380" s="93">
        <f>IF(Tabela3[[#This Row],[Ativo || Passivo]]&gt;0,Tabela3[[#This Row],[Ativo || Passivo]]-Tabela3[[#This Row],[Patrimônio Líquido]],0)</f>
        <v>0</v>
      </c>
      <c r="S380" s="93">
        <f>Tabela3[[#This Row],[Cotação]]*Tabela3[[#This Row],[Total Ações]]</f>
        <v>1144469884.2</v>
      </c>
      <c r="T380" s="40">
        <f>IF(Tabela3[[#This Row],[Passivo Circulante]]&gt;0,Tabela3[[#This Row],[Ativo Circulante]]/Tabela3[[#This Row],[Passivo Circulante]],0)</f>
        <v>0</v>
      </c>
      <c r="U380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80" s="19">
        <f>IF(Tabela3[[#This Row],[Lucro Líquido]]&gt;0,Tabela3[[#This Row],[Lucro Líquido]]/Tabela3[[#This Row],[Patrimônio Líquido]],0)</f>
        <v>0</v>
      </c>
      <c r="W380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80" s="19">
        <f>IF(Tabela3[[#This Row],[Dívida]]&gt;0,Tabela3[[#This Row],[Dívida]]/Tabela3[[#This Row],[Patrimônio Líquido]],0)</f>
        <v>0</v>
      </c>
      <c r="Y380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80" s="13">
        <f>Tabela3[[#This Row],[Capital Social]]*20%</f>
        <v>184904771.23000002</v>
      </c>
      <c r="AA380" s="13">
        <f>IF((Tabela3[Lucro Líquido]*5%)&gt;Tabela3[Teto R. Legal],Tabela3[Teto R. Legal],Tabela3[Lucro Líquido]*5%)</f>
        <v>-5899950</v>
      </c>
      <c r="AB380" s="13">
        <f>IF(Tabela3[Lucro Líquido]&lt;0,0,Tabela3[Lucro Líquido]-Tabela3[Reserva Legal])</f>
        <v>0</v>
      </c>
      <c r="AC380" s="13">
        <f>Tabela3[[#This Row],[Lucro Distribuir]]*Tabela3[%Div]</f>
        <v>0</v>
      </c>
      <c r="AD380" s="56">
        <f>SUMPRODUCT(N(Tabela3[Nome]=Tabela3[[#This Row],[Nome]]),Tabela3[Ações])</f>
        <v>1907449807</v>
      </c>
      <c r="AE380" s="6">
        <f>Tabela3[Capital Social]/Tabela3[Total Ações]</f>
        <v>0.4846910533410434</v>
      </c>
      <c r="AF380" s="78">
        <f>Tabela3[[#This Row],[Lucro Líquido]]/Tabela3[[#This Row],[Total Ações]]</f>
        <v>-6.1862178269102938E-2</v>
      </c>
      <c r="AG380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80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80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80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80" s="13">
        <f>Tabela3[Div Base]*Tabela3[Ações]</f>
        <v>0</v>
      </c>
      <c r="AL380" s="13">
        <f>SUMPRODUCT(N(Tabela3[Nome]=Tabela3[[#This Row],[Nome]]),Tabela3[Div Base]*Tabela3[Ações])</f>
        <v>0</v>
      </c>
      <c r="AM380" s="6">
        <f>Tabela3[Patrimônio Líquido]/Tabela3[Total Ações]</f>
        <v>0.24893079663616019</v>
      </c>
      <c r="AN380" s="48">
        <f>MAX(Tabela3[[#This Row],[Cotação 1]:[Cotação 5]])</f>
        <v>0.6</v>
      </c>
      <c r="AO380" s="44">
        <f>Tabela3[Cotação]/Tabela3[VPA]</f>
        <v>2.4103084395659011</v>
      </c>
      <c r="AP380" s="40">
        <f>IF(Tabela3[[#This Row],[Lucro/Ação]]&gt;0,Tabela3[[#This Row],[Cotação]]/(Tabela3[[#This Row],[Lucro/Ação]]/Tabela3[Ref]*4),0)</f>
        <v>0</v>
      </c>
      <c r="AQ380" s="78">
        <f>Tabela3[Lucro Distribuir]/Tabela3[Total Ações]</f>
        <v>0</v>
      </c>
      <c r="AR380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80" s="14" t="str">
        <f>IF(AND(Tabela3[% A.A.]&gt;=6%,SUMPRODUCT(N(Tabela3[Nome]=Tabela3[[#This Row],[Nome]]),Tabela3[PL])&gt;0,Tabela3[Rentabilidade s/ PL]&gt;=Tabela3[Rentabilidade s/ PL Média]),"Sim","Não")</f>
        <v>Não</v>
      </c>
      <c r="AT380" s="42">
        <f>IF(Tabela3[Cotação]&gt;0,Tabela3[[#This Row],[Lucro]]/Tabela3[[#This Row],[Cotação]],0)</f>
        <v>0</v>
      </c>
      <c r="AU380" s="42">
        <f>((1+Tabela3[[#This Row],[% Yield]])^(1/(3*Tabela3[[#This Row],[Ref]])))^(12)-1</f>
        <v>0</v>
      </c>
      <c r="AV380" s="14">
        <f>IF(Tabela3[Cotação]&gt;0,($BH$1/Tabela3[[#This Row],[Cotação]]-MOD($BH$1/Tabela3[[#This Row],[Cotação]],100)),)</f>
        <v>800</v>
      </c>
      <c r="AW380" s="17">
        <f>Tabela3[[#This Row],[Ativos]]*Tabela3[Lucro]</f>
        <v>0</v>
      </c>
      <c r="AX380" s="17">
        <f>SUMPRODUCT(N(Tabela1[Código]=Tabela3[[#This Row],[PAPEL]]),Tabela1[Fechamento])</f>
        <v>0</v>
      </c>
      <c r="AY380" s="17">
        <f>SUMPRODUCT(N(Tabela17[Código]=Tabela3[[#This Row],[PAPEL]]),Tabela17[Fechamento])</f>
        <v>0.6</v>
      </c>
      <c r="AZ380" s="7">
        <f>SUMPRODUCT(N(Tabela176[Código]=Tabela3[[#This Row],[PAPEL]]),Tabela176[Fechamento])</f>
        <v>0</v>
      </c>
      <c r="BA380" s="7">
        <f>SUMPRODUCT(N(Tabela1768[Código]=Tabela3[[#This Row],[PAPEL]]),Tabela1768[Fechamento])</f>
        <v>0</v>
      </c>
      <c r="BB380" s="7">
        <f>SUMPRODUCT(N(Tabela17683[Código]=Tabela3[[#This Row],[PAPEL]]),Tabela17683[Fechamento])</f>
        <v>0</v>
      </c>
    </row>
    <row r="381" spans="1:54" hidden="1" x14ac:dyDescent="0.2">
      <c r="A381" s="3" t="s">
        <v>858</v>
      </c>
      <c r="B381" s="127" t="s">
        <v>854</v>
      </c>
      <c r="C381" s="16" t="str">
        <f>LEFT(Tabela3[PAPEL],LEN(Tabela3[PAPEL])-(LEN(Tabela3[PAPEL])-4))</f>
        <v>CLAN</v>
      </c>
      <c r="D381" s="16">
        <v>2</v>
      </c>
      <c r="E381" s="5">
        <v>1000070000</v>
      </c>
      <c r="F381" s="56">
        <v>70759470</v>
      </c>
      <c r="G381" s="81">
        <v>0.25</v>
      </c>
      <c r="H381" s="87"/>
      <c r="J381" s="18"/>
      <c r="K381" s="16"/>
      <c r="L381" s="87"/>
      <c r="M381" s="54"/>
      <c r="N381" s="54"/>
      <c r="O381" s="54"/>
      <c r="P381" s="91">
        <v>979640000</v>
      </c>
      <c r="Q381" s="73">
        <v>-43203000</v>
      </c>
      <c r="R381" s="73">
        <f>IF(Tabela3[[#This Row],[Ativo || Passivo]]&gt;0,Tabela3[[#This Row],[Ativo || Passivo]]-Tabela3[[#This Row],[Patrimônio Líquido]],0)</f>
        <v>0</v>
      </c>
      <c r="S381" s="73">
        <f>Tabela3[[#This Row],[Cotação]]*Tabela3[[#This Row],[Total Ações]]</f>
        <v>0</v>
      </c>
      <c r="T381" s="37">
        <f>IF(Tabela3[[#This Row],[Passivo Circulante]]&gt;0,Tabela3[[#This Row],[Ativo Circulante]]/Tabela3[[#This Row],[Passivo Circulante]],0)</f>
        <v>0</v>
      </c>
      <c r="U381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81" s="18">
        <f>IF(Tabela3[[#This Row],[Lucro Líquido]]&gt;0,Tabela3[[#This Row],[Lucro Líquido]]/Tabela3[[#This Row],[Patrimônio Líquido]],0)</f>
        <v>0</v>
      </c>
      <c r="W381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81" s="18">
        <f>IF(Tabela3[[#This Row],[Dívida]]&gt;0,Tabela3[[#This Row],[Dívida]]/Tabela3[[#This Row],[Patrimônio Líquido]],0)</f>
        <v>0</v>
      </c>
      <c r="Y381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81" s="7">
        <f>Tabela3[[#This Row],[Capital Social]]*20%</f>
        <v>200014000</v>
      </c>
      <c r="AA381" s="47">
        <f>IF((Tabela3[Lucro Líquido]*5%)&gt;Tabela3[Teto R. Legal],Tabela3[Teto R. Legal],Tabela3[Lucro Líquido]*5%)</f>
        <v>-2160150</v>
      </c>
      <c r="AB381" s="47">
        <f>IF(Tabela3[Lucro Líquido]&lt;0,0,Tabela3[Lucro Líquido]-Tabela3[Reserva Legal])</f>
        <v>0</v>
      </c>
      <c r="AC381" s="47">
        <f>Tabela3[[#This Row],[Lucro Distribuir]]*Tabela3[%Div]</f>
        <v>0</v>
      </c>
      <c r="AD381" s="56">
        <f>SUMPRODUCT(N(Tabela3[Nome]=Tabela3[[#This Row],[Nome]]),Tabela3[Ações])</f>
        <v>158703348</v>
      </c>
      <c r="AE381" s="85">
        <f>Tabela3[Capital Social]/Tabela3[Total Ações]</f>
        <v>6.3015053721487968</v>
      </c>
      <c r="AF381" s="85">
        <f>Tabela3[[#This Row],[Lucro Líquido]]/Tabela3[[#This Row],[Total Ações]]</f>
        <v>-0.27222488085128488</v>
      </c>
      <c r="AG381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81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81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81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81" s="7">
        <f>Tabela3[Div Base]*Tabela3[Ações]</f>
        <v>0</v>
      </c>
      <c r="AL381" s="7">
        <f>SUMPRODUCT(N(Tabela3[Nome]=Tabela3[[#This Row],[Nome]]),Tabela3[Div Base]*Tabela3[Ações])</f>
        <v>0</v>
      </c>
      <c r="AM381" s="5">
        <f>Tabela3[Patrimônio Líquido]/Tabela3[Total Ações]</f>
        <v>6.1727746285478489</v>
      </c>
      <c r="AN381" s="52">
        <f>MAX(Tabela3[[#This Row],[Cotação 1]:[Cotação 5]])</f>
        <v>0</v>
      </c>
      <c r="AO381" s="53">
        <f>Tabela3[Cotação]/Tabela3[VPA]</f>
        <v>0</v>
      </c>
      <c r="AP381" s="37">
        <f>IF(Tabela3[[#This Row],[Lucro/Ação]]&gt;0,Tabela3[[#This Row],[Cotação]]/(Tabela3[[#This Row],[Lucro/Ação]]/Tabela3[Ref]*4),0)</f>
        <v>0</v>
      </c>
      <c r="AQ381" s="85">
        <f>Tabela3[Lucro Distribuir]/Tabela3[Total Ações]</f>
        <v>0</v>
      </c>
      <c r="AR381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81" s="10" t="str">
        <f>IF(AND(Tabela3[% A.A.]&gt;=6%,SUMPRODUCT(N(Tabela3[Nome]=Tabela3[[#This Row],[Nome]]),Tabela3[PL])&gt;0,Tabela3[Rentabilidade s/ PL]&gt;=Tabela3[Rentabilidade s/ PL Média]),"Sim","Não")</f>
        <v>Não</v>
      </c>
      <c r="AT381" s="22">
        <f>IF(Tabela3[Cotação]&gt;0,Tabela3[[#This Row],[Lucro]]/Tabela3[[#This Row],[Cotação]],0)</f>
        <v>0</v>
      </c>
      <c r="AU381" s="22">
        <f>((1+Tabela3[[#This Row],[% Yield]])^(1/(3*Tabela3[[#This Row],[Ref]])))^(12)-1</f>
        <v>0</v>
      </c>
      <c r="AV381" s="10">
        <f>IF(Tabela3[Cotação]&gt;0,($BH$1/Tabela3[[#This Row],[Cotação]]-MOD($BH$1/Tabela3[[#This Row],[Cotação]],100)),)</f>
        <v>0</v>
      </c>
      <c r="AW381" s="7">
        <f>Tabela3[[#This Row],[Ativos]]*Tabela3[Lucro]</f>
        <v>0</v>
      </c>
      <c r="AX381" s="7">
        <f>SUMPRODUCT(N(Tabela1[Código]=Tabela3[[#This Row],[PAPEL]]),Tabela1[Fechamento])</f>
        <v>0</v>
      </c>
      <c r="AY381" s="7">
        <f>SUMPRODUCT(N(Tabela17[Código]=Tabela3[[#This Row],[PAPEL]]),Tabela17[Fechamento])</f>
        <v>0</v>
      </c>
      <c r="AZ381" s="7">
        <f>SUMPRODUCT(N(Tabela176[Código]=Tabela3[[#This Row],[PAPEL]]),Tabela176[Fechamento])</f>
        <v>0</v>
      </c>
      <c r="BA381" s="7">
        <f>SUMPRODUCT(N(Tabela1768[Código]=Tabela3[[#This Row],[PAPEL]]),Tabela1768[Fechamento])</f>
        <v>0</v>
      </c>
      <c r="BB381" s="7">
        <f>SUMPRODUCT(N(Tabela17683[Código]=Tabela3[[#This Row],[PAPEL]]),Tabela17683[Fechamento])</f>
        <v>0</v>
      </c>
    </row>
    <row r="382" spans="1:54" hidden="1" x14ac:dyDescent="0.2">
      <c r="A382" s="3" t="s">
        <v>858</v>
      </c>
      <c r="B382" s="127" t="s">
        <v>855</v>
      </c>
      <c r="C382" s="16" t="str">
        <f>LEFT(Tabela3[PAPEL],LEN(Tabela3[PAPEL])-(LEN(Tabela3[PAPEL])-4))</f>
        <v>CLAN</v>
      </c>
      <c r="D382" s="16">
        <v>2</v>
      </c>
      <c r="E382" s="5">
        <v>1000070000</v>
      </c>
      <c r="F382" s="56">
        <v>87943878</v>
      </c>
      <c r="G382" s="81">
        <v>0.25</v>
      </c>
      <c r="H382" s="87"/>
      <c r="J382" s="18">
        <v>0.1</v>
      </c>
      <c r="K382" s="16"/>
      <c r="L382" s="87"/>
      <c r="M382" s="54"/>
      <c r="N382" s="54"/>
      <c r="O382" s="54"/>
      <c r="P382" s="91">
        <v>979640000</v>
      </c>
      <c r="Q382" s="73">
        <v>-43203000</v>
      </c>
      <c r="R382" s="73">
        <f>IF(Tabela3[[#This Row],[Ativo || Passivo]]&gt;0,Tabela3[[#This Row],[Ativo || Passivo]]-Tabela3[[#This Row],[Patrimônio Líquido]],0)</f>
        <v>0</v>
      </c>
      <c r="S382" s="73">
        <f>Tabela3[[#This Row],[Cotação]]*Tabela3[[#This Row],[Total Ações]]</f>
        <v>476110044</v>
      </c>
      <c r="T382" s="37">
        <f>IF(Tabela3[[#This Row],[Passivo Circulante]]&gt;0,Tabela3[[#This Row],[Ativo Circulante]]/Tabela3[[#This Row],[Passivo Circulante]],0)</f>
        <v>0</v>
      </c>
      <c r="U382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82" s="18">
        <f>IF(Tabela3[[#This Row],[Lucro Líquido]]&gt;0,Tabela3[[#This Row],[Lucro Líquido]]/Tabela3[[#This Row],[Patrimônio Líquido]],0)</f>
        <v>0</v>
      </c>
      <c r="W382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82" s="18">
        <f>IF(Tabela3[[#This Row],[Dívida]]&gt;0,Tabela3[[#This Row],[Dívida]]/Tabela3[[#This Row],[Patrimônio Líquido]],0)</f>
        <v>0</v>
      </c>
      <c r="Y382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82" s="7">
        <f>Tabela3[[#This Row],[Capital Social]]*20%</f>
        <v>200014000</v>
      </c>
      <c r="AA382" s="47">
        <f>IF((Tabela3[Lucro Líquido]*5%)&gt;Tabela3[Teto R. Legal],Tabela3[Teto R. Legal],Tabela3[Lucro Líquido]*5%)</f>
        <v>-2160150</v>
      </c>
      <c r="AB382" s="47">
        <f>IF(Tabela3[Lucro Líquido]&lt;0,0,Tabela3[Lucro Líquido]-Tabela3[Reserva Legal])</f>
        <v>0</v>
      </c>
      <c r="AC382" s="47">
        <f>Tabela3[[#This Row],[Lucro Distribuir]]*Tabela3[%Div]</f>
        <v>0</v>
      </c>
      <c r="AD382" s="56">
        <f>SUMPRODUCT(N(Tabela3[Nome]=Tabela3[[#This Row],[Nome]]),Tabela3[Ações])</f>
        <v>158703348</v>
      </c>
      <c r="AE382" s="85">
        <f>Tabela3[Capital Social]/Tabela3[Total Ações]</f>
        <v>6.3015053721487968</v>
      </c>
      <c r="AF382" s="85">
        <f>Tabela3[[#This Row],[Lucro Líquido]]/Tabela3[[#This Row],[Total Ações]]</f>
        <v>-0.27222488085128488</v>
      </c>
      <c r="AG382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82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82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82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82" s="7">
        <f>Tabela3[Div Base]*Tabela3[Ações]</f>
        <v>0</v>
      </c>
      <c r="AL382" s="7">
        <f>SUMPRODUCT(N(Tabela3[Nome]=Tabela3[[#This Row],[Nome]]),Tabela3[Div Base]*Tabela3[Ações])</f>
        <v>0</v>
      </c>
      <c r="AM382" s="5">
        <f>Tabela3[Patrimônio Líquido]/Tabela3[Total Ações]</f>
        <v>6.1727746285478489</v>
      </c>
      <c r="AN382" s="52">
        <f>MAX(Tabela3[[#This Row],[Cotação 1]:[Cotação 5]])</f>
        <v>3</v>
      </c>
      <c r="AO382" s="53">
        <f>Tabela3[Cotação]/Tabela3[VPA]</f>
        <v>0.48600510799885671</v>
      </c>
      <c r="AP382" s="37">
        <f>IF(Tabela3[[#This Row],[Lucro/Ação]]&gt;0,Tabela3[[#This Row],[Cotação]]/(Tabela3[[#This Row],[Lucro/Ação]]/Tabela3[Ref]*4),0)</f>
        <v>0</v>
      </c>
      <c r="AQ382" s="85">
        <f>Tabela3[Lucro Distribuir]/Tabela3[Total Ações]</f>
        <v>0</v>
      </c>
      <c r="AR382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82" s="10" t="str">
        <f>IF(AND(Tabela3[% A.A.]&gt;=6%,SUMPRODUCT(N(Tabela3[Nome]=Tabela3[[#This Row],[Nome]]),Tabela3[PL])&gt;0,Tabela3[Rentabilidade s/ PL]&gt;=Tabela3[Rentabilidade s/ PL Média]),"Sim","Não")</f>
        <v>Não</v>
      </c>
      <c r="AT382" s="22">
        <f>IF(Tabela3[Cotação]&gt;0,Tabela3[[#This Row],[Lucro]]/Tabela3[[#This Row],[Cotação]],0)</f>
        <v>0</v>
      </c>
      <c r="AU382" s="22">
        <f>((1+Tabela3[[#This Row],[% Yield]])^(1/(3*Tabela3[[#This Row],[Ref]])))^(12)-1</f>
        <v>0</v>
      </c>
      <c r="AV382" s="10">
        <f>IF(Tabela3[Cotação]&gt;0,($BH$1/Tabela3[[#This Row],[Cotação]]-MOD($BH$1/Tabela3[[#This Row],[Cotação]],100)),)</f>
        <v>100</v>
      </c>
      <c r="AW382" s="7">
        <f>Tabela3[[#This Row],[Ativos]]*Tabela3[Lucro]</f>
        <v>0</v>
      </c>
      <c r="AX382" s="7">
        <f>SUMPRODUCT(N(Tabela1[Código]=Tabela3[[#This Row],[PAPEL]]),Tabela1[Fechamento])</f>
        <v>0</v>
      </c>
      <c r="AY382" s="7">
        <f>SUMPRODUCT(N(Tabela17[Código]=Tabela3[[#This Row],[PAPEL]]),Tabela17[Fechamento])</f>
        <v>0</v>
      </c>
      <c r="AZ382" s="7">
        <f>SUMPRODUCT(N(Tabela176[Código]=Tabela3[[#This Row],[PAPEL]]),Tabela176[Fechamento])</f>
        <v>3</v>
      </c>
      <c r="BA382" s="7">
        <f>SUMPRODUCT(N(Tabela1768[Código]=Tabela3[[#This Row],[PAPEL]]),Tabela1768[Fechamento])</f>
        <v>0</v>
      </c>
      <c r="BB382" s="7">
        <f>SUMPRODUCT(N(Tabela17683[Código]=Tabela3[[#This Row],[PAPEL]]),Tabela17683[Fechamento])</f>
        <v>0</v>
      </c>
    </row>
    <row r="383" spans="1:54" hidden="1" x14ac:dyDescent="0.2">
      <c r="A383" s="3" t="s">
        <v>346</v>
      </c>
      <c r="B383" s="57" t="s">
        <v>738</v>
      </c>
      <c r="C383" s="15" t="str">
        <f>LEFT(Tabela3[PAPEL],LEN(Tabela3[PAPEL])-(LEN(Tabela3[PAPEL])-4))</f>
        <v>CORR</v>
      </c>
      <c r="D383" s="15">
        <v>3</v>
      </c>
      <c r="E383" s="6">
        <v>10000</v>
      </c>
      <c r="F383" s="8">
        <v>7815</v>
      </c>
      <c r="G383" s="81">
        <v>0.25</v>
      </c>
      <c r="H383" s="15"/>
      <c r="I383" s="19"/>
      <c r="J383" s="19"/>
      <c r="K383" s="88"/>
      <c r="L383" s="88"/>
      <c r="M383" s="55"/>
      <c r="N383" s="55"/>
      <c r="O383" s="55"/>
      <c r="P383" s="92">
        <v>7227000</v>
      </c>
      <c r="Q383" s="93">
        <v>-199000</v>
      </c>
      <c r="R383" s="93">
        <f>IF(Tabela3[[#This Row],[Ativo || Passivo]]&gt;0,Tabela3[[#This Row],[Ativo || Passivo]]-Tabela3[[#This Row],[Patrimônio Líquido]],0)</f>
        <v>0</v>
      </c>
      <c r="S383" s="93">
        <f>Tabela3[[#This Row],[Cotação]]*Tabela3[[#This Row],[Total Ações]]</f>
        <v>0</v>
      </c>
      <c r="T383" s="40">
        <f>IF(Tabela3[[#This Row],[Passivo Circulante]]&gt;0,Tabela3[[#This Row],[Ativo Circulante]]/Tabela3[[#This Row],[Passivo Circulante]],0)</f>
        <v>0</v>
      </c>
      <c r="U383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83" s="19">
        <f>IF(Tabela3[[#This Row],[Lucro Líquido]]&gt;0,Tabela3[[#This Row],[Lucro Líquido]]/Tabela3[[#This Row],[Patrimônio Líquido]],0)</f>
        <v>0</v>
      </c>
      <c r="W383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83" s="19">
        <f>IF(Tabela3[[#This Row],[Dívida]]&gt;0,Tabela3[[#This Row],[Dívida]]/Tabela3[[#This Row],[Patrimônio Líquido]],0)</f>
        <v>0</v>
      </c>
      <c r="Y383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83" s="13">
        <f>Tabela3[[#This Row],[Capital Social]]*20%</f>
        <v>2000</v>
      </c>
      <c r="AA383" s="13">
        <f>IF((Tabela3[Lucro Líquido]*5%)&gt;Tabela3[Teto R. Legal],Tabela3[Teto R. Legal],Tabela3[Lucro Líquido]*5%)</f>
        <v>-9950</v>
      </c>
      <c r="AB383" s="13">
        <f>IF(Tabela3[Lucro Líquido]&lt;0,0,Tabela3[Lucro Líquido]-Tabela3[Reserva Legal])</f>
        <v>0</v>
      </c>
      <c r="AC383" s="13">
        <f>Tabela3[[#This Row],[Lucro Distribuir]]*Tabela3[%Div]</f>
        <v>0</v>
      </c>
      <c r="AD383" s="21">
        <f>SUMPRODUCT(N(Tabela3[Nome]=Tabela3[[#This Row],[Nome]]),Tabela3[Ações])</f>
        <v>23153</v>
      </c>
      <c r="AE383" s="6">
        <f>Tabela3[Capital Social]/Tabela3[Total Ações]</f>
        <v>0.431909471774716</v>
      </c>
      <c r="AF383" s="78">
        <f>Tabela3[[#This Row],[Lucro Líquido]]/Tabela3[[#This Row],[Total Ações]]</f>
        <v>-8.5949984883168487</v>
      </c>
      <c r="AG383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83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83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83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83" s="13">
        <f>Tabela3[Div Base]*Tabela3[Ações]</f>
        <v>0</v>
      </c>
      <c r="AL383" s="13">
        <f>SUMPRODUCT(N(Tabela3[Nome]=Tabela3[[#This Row],[Nome]]),Tabela3[Div Base]*Tabela3[Ações])</f>
        <v>0</v>
      </c>
      <c r="AM383" s="6">
        <f>Tabela3[Patrimônio Líquido]/Tabela3[Total Ações]</f>
        <v>312.14097525158729</v>
      </c>
      <c r="AN383" s="48">
        <f>MAX(Tabela3[[#This Row],[Cotação 1]:[Cotação 5]])</f>
        <v>0</v>
      </c>
      <c r="AO383" s="44">
        <f>Tabela3[Cotação]/Tabela3[VPA]</f>
        <v>0</v>
      </c>
      <c r="AP383" s="40">
        <f>IF(Tabela3[[#This Row],[Lucro/Ação]]&gt;0,Tabela3[[#This Row],[Cotação]]/(Tabela3[[#This Row],[Lucro/Ação]]/Tabela3[Ref]*4),0)</f>
        <v>0</v>
      </c>
      <c r="AQ383" s="78">
        <f>Tabela3[Lucro Distribuir]/Tabela3[Total Ações]</f>
        <v>0</v>
      </c>
      <c r="AR383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83" s="14" t="str">
        <f>IF(AND(Tabela3[% A.A.]&gt;=6%,SUMPRODUCT(N(Tabela3[Nome]=Tabela3[[#This Row],[Nome]]),Tabela3[PL])&gt;0,Tabela3[Rentabilidade s/ PL]&gt;=Tabela3[Rentabilidade s/ PL Média]),"Sim","Não")</f>
        <v>Não</v>
      </c>
      <c r="AT383" s="42">
        <f>IF(Tabela3[Cotação]&gt;0,Tabela3[[#This Row],[Lucro]]/Tabela3[[#This Row],[Cotação]],0)</f>
        <v>0</v>
      </c>
      <c r="AU383" s="42">
        <f>((1+Tabela3[[#This Row],[% Yield]])^(1/(3*Tabela3[[#This Row],[Ref]])))^(12)-1</f>
        <v>0</v>
      </c>
      <c r="AV383" s="14">
        <f>IF(Tabela3[Cotação]&gt;0,($BH$1/Tabela3[[#This Row],[Cotação]]-MOD($BH$1/Tabela3[[#This Row],[Cotação]],100)),)</f>
        <v>0</v>
      </c>
      <c r="AW383" s="17">
        <f>Tabela3[[#This Row],[Ativos]]*Tabela3[Lucro]</f>
        <v>0</v>
      </c>
      <c r="AX383" s="17">
        <f>SUMPRODUCT(N(Tabela1[Código]=Tabela3[[#This Row],[PAPEL]]),Tabela1[Fechamento])</f>
        <v>0</v>
      </c>
      <c r="AY383" s="17">
        <f>SUMPRODUCT(N(Tabela17[Código]=Tabela3[[#This Row],[PAPEL]]),Tabela17[Fechamento])</f>
        <v>0</v>
      </c>
      <c r="AZ383" s="17">
        <f>SUMPRODUCT(N(Tabela176[Código]=Tabela3[[#This Row],[PAPEL]]),Tabela176[Fechamento])</f>
        <v>0</v>
      </c>
      <c r="BA383" s="17">
        <f>SUMPRODUCT(N(Tabela1768[Código]=Tabela3[[#This Row],[PAPEL]]),Tabela1768[Fechamento])</f>
        <v>0</v>
      </c>
      <c r="BB383" s="7">
        <f>SUMPRODUCT(N(Tabela17683[Código]=Tabela3[[#This Row],[PAPEL]]),Tabela17683[Fechamento])</f>
        <v>0</v>
      </c>
    </row>
    <row r="384" spans="1:54" hidden="1" x14ac:dyDescent="0.2">
      <c r="A384" s="3" t="s">
        <v>346</v>
      </c>
      <c r="B384" s="57" t="s">
        <v>739</v>
      </c>
      <c r="C384" s="15" t="str">
        <f>LEFT(Tabela3[PAPEL],LEN(Tabela3[PAPEL])-(LEN(Tabela3[PAPEL])-4))</f>
        <v>CORR</v>
      </c>
      <c r="D384" s="15">
        <v>3</v>
      </c>
      <c r="E384" s="6">
        <v>10000</v>
      </c>
      <c r="F384" s="8">
        <v>15338</v>
      </c>
      <c r="G384" s="81">
        <v>0.25</v>
      </c>
      <c r="H384" s="15"/>
      <c r="I384" s="19">
        <v>0.1</v>
      </c>
      <c r="J384" s="19"/>
      <c r="K384" s="88"/>
      <c r="L384" s="88"/>
      <c r="M384" s="55"/>
      <c r="N384" s="55"/>
      <c r="O384" s="55"/>
      <c r="P384" s="92">
        <v>7227000</v>
      </c>
      <c r="Q384" s="93">
        <v>-199000</v>
      </c>
      <c r="R384" s="93">
        <f>IF(Tabela3[[#This Row],[Ativo || Passivo]]&gt;0,Tabela3[[#This Row],[Ativo || Passivo]]-Tabela3[[#This Row],[Patrimônio Líquido]],0)</f>
        <v>0</v>
      </c>
      <c r="S384" s="93">
        <f>Tabela3[[#This Row],[Cotação]]*Tabela3[[#This Row],[Total Ações]]</f>
        <v>4862361.5299999993</v>
      </c>
      <c r="T384" s="40">
        <f>IF(Tabela3[[#This Row],[Passivo Circulante]]&gt;0,Tabela3[[#This Row],[Ativo Circulante]]/Tabela3[[#This Row],[Passivo Circulante]],0)</f>
        <v>0</v>
      </c>
      <c r="U384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84" s="19">
        <f>IF(Tabela3[[#This Row],[Lucro Líquido]]&gt;0,Tabela3[[#This Row],[Lucro Líquido]]/Tabela3[[#This Row],[Patrimônio Líquido]],0)</f>
        <v>0</v>
      </c>
      <c r="W384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84" s="19">
        <f>IF(Tabela3[[#This Row],[Dívida]]&gt;0,Tabela3[[#This Row],[Dívida]]/Tabela3[[#This Row],[Patrimônio Líquido]],0)</f>
        <v>0</v>
      </c>
      <c r="Y384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84" s="13">
        <f>Tabela3[[#This Row],[Capital Social]]*20%</f>
        <v>2000</v>
      </c>
      <c r="AA384" s="13">
        <f>IF((Tabela3[Lucro Líquido]*5%)&gt;Tabela3[Teto R. Legal],Tabela3[Teto R. Legal],Tabela3[Lucro Líquido]*5%)</f>
        <v>-9950</v>
      </c>
      <c r="AB384" s="13">
        <f>IF(Tabela3[Lucro Líquido]&lt;0,0,Tabela3[Lucro Líquido]-Tabela3[Reserva Legal])</f>
        <v>0</v>
      </c>
      <c r="AC384" s="13">
        <f>Tabela3[[#This Row],[Lucro Distribuir]]*Tabela3[%Div]</f>
        <v>0</v>
      </c>
      <c r="AD384" s="21">
        <f>SUMPRODUCT(N(Tabela3[Nome]=Tabela3[[#This Row],[Nome]]),Tabela3[Ações])</f>
        <v>23153</v>
      </c>
      <c r="AE384" s="6">
        <f>Tabela3[Capital Social]/Tabela3[Total Ações]</f>
        <v>0.431909471774716</v>
      </c>
      <c r="AF384" s="78">
        <f>Tabela3[[#This Row],[Lucro Líquido]]/Tabela3[[#This Row],[Total Ações]]</f>
        <v>-8.5949984883168487</v>
      </c>
      <c r="AG384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84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84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84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84" s="13">
        <f>Tabela3[Div Base]*Tabela3[Ações]</f>
        <v>0</v>
      </c>
      <c r="AL384" s="13">
        <f>SUMPRODUCT(N(Tabela3[Nome]=Tabela3[[#This Row],[Nome]]),Tabela3[Div Base]*Tabela3[Ações])</f>
        <v>0</v>
      </c>
      <c r="AM384" s="6">
        <f>Tabela3[Patrimônio Líquido]/Tabela3[Total Ações]</f>
        <v>312.14097525158729</v>
      </c>
      <c r="AN384" s="48">
        <f>MAX(Tabela3[[#This Row],[Cotação 1]:[Cotação 5]])</f>
        <v>210.01</v>
      </c>
      <c r="AO384" s="44">
        <f>Tabela3[Cotação]/Tabela3[VPA]</f>
        <v>0.67280497163414965</v>
      </c>
      <c r="AP384" s="40">
        <f>IF(Tabela3[[#This Row],[Lucro/Ação]]&gt;0,Tabela3[[#This Row],[Cotação]]/(Tabela3[[#This Row],[Lucro/Ação]]/Tabela3[Ref]*4),0)</f>
        <v>0</v>
      </c>
      <c r="AQ384" s="78">
        <f>Tabela3[Lucro Distribuir]/Tabela3[Total Ações]</f>
        <v>0</v>
      </c>
      <c r="AR384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84" s="14" t="str">
        <f>IF(AND(Tabela3[% A.A.]&gt;=6%,SUMPRODUCT(N(Tabela3[Nome]=Tabela3[[#This Row],[Nome]]),Tabela3[PL])&gt;0,Tabela3[Rentabilidade s/ PL]&gt;=Tabela3[Rentabilidade s/ PL Média]),"Sim","Não")</f>
        <v>Não</v>
      </c>
      <c r="AT384" s="42">
        <f>IF(Tabela3[Cotação]&gt;0,Tabela3[[#This Row],[Lucro]]/Tabela3[[#This Row],[Cotação]],0)</f>
        <v>0</v>
      </c>
      <c r="AU384" s="42">
        <f>((1+Tabela3[[#This Row],[% Yield]])^(1/(3*Tabela3[[#This Row],[Ref]])))^(12)-1</f>
        <v>0</v>
      </c>
      <c r="AV384" s="14">
        <f>IF(Tabela3[Cotação]&gt;0,($BH$1/Tabela3[[#This Row],[Cotação]]-MOD($BH$1/Tabela3[[#This Row],[Cotação]],100)),)</f>
        <v>0</v>
      </c>
      <c r="AW384" s="17">
        <f>Tabela3[[#This Row],[Ativos]]*Tabela3[Lucro]</f>
        <v>0</v>
      </c>
      <c r="AX384" s="17">
        <f>SUMPRODUCT(N(Tabela1[Código]=Tabela3[[#This Row],[PAPEL]]),Tabela1[Fechamento])</f>
        <v>0</v>
      </c>
      <c r="AY384" s="17">
        <f>SUMPRODUCT(N(Tabela17[Código]=Tabela3[[#This Row],[PAPEL]]),Tabela17[Fechamento])</f>
        <v>0</v>
      </c>
      <c r="AZ384" s="17">
        <f>SUMPRODUCT(N(Tabela176[Código]=Tabela3[[#This Row],[PAPEL]]),Tabela176[Fechamento])</f>
        <v>210.01</v>
      </c>
      <c r="BA384" s="17">
        <f>SUMPRODUCT(N(Tabela1768[Código]=Tabela3[[#This Row],[PAPEL]]),Tabela1768[Fechamento])</f>
        <v>0</v>
      </c>
      <c r="BB384" s="7">
        <f>SUMPRODUCT(N(Tabela17683[Código]=Tabela3[[#This Row],[PAPEL]]),Tabela17683[Fechamento])</f>
        <v>0</v>
      </c>
    </row>
    <row r="385" spans="1:54" hidden="1" x14ac:dyDescent="0.2">
      <c r="A385" s="3" t="s">
        <v>1330</v>
      </c>
      <c r="B385" s="57" t="s">
        <v>1339</v>
      </c>
      <c r="C385" s="16" t="str">
        <f>LEFT(Tabela3[PAPEL],LEN(Tabela3[PAPEL])-(LEN(Tabela3[PAPEL])-4))</f>
        <v>CRDE</v>
      </c>
      <c r="D385" s="16">
        <v>3</v>
      </c>
      <c r="E385" s="5">
        <v>391346714</v>
      </c>
      <c r="F385" s="56">
        <v>48443062</v>
      </c>
      <c r="G385" s="81">
        <v>0.25</v>
      </c>
      <c r="H385" s="87"/>
      <c r="J385" s="18"/>
      <c r="K385" s="16"/>
      <c r="L385" s="87"/>
      <c r="M385" s="54"/>
      <c r="N385" s="54"/>
      <c r="O385" s="54"/>
      <c r="P385" s="91">
        <v>367051000</v>
      </c>
      <c r="Q385" s="73">
        <v>-21576000</v>
      </c>
      <c r="R385" s="73">
        <f>IF(Tabela3[[#This Row],[Ativo || Passivo]]&gt;0,Tabela3[[#This Row],[Ativo || Passivo]]-Tabela3[[#This Row],[Patrimônio Líquido]],0)</f>
        <v>0</v>
      </c>
      <c r="S385" s="73">
        <f>Tabela3[[#This Row],[Cotação]]*Tabela3[[#This Row],[Total Ações]]</f>
        <v>160346535.22</v>
      </c>
      <c r="T385" s="37">
        <f>IF(Tabela3[[#This Row],[Passivo Circulante]]&gt;0,Tabela3[[#This Row],[Ativo Circulante]]/Tabela3[[#This Row],[Passivo Circulante]],0)</f>
        <v>0</v>
      </c>
      <c r="U385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85" s="18">
        <f>IF(Tabela3[[#This Row],[Lucro Líquido]]&gt;0,Tabela3[[#This Row],[Lucro Líquido]]/Tabela3[[#This Row],[Patrimônio Líquido]],0)</f>
        <v>0</v>
      </c>
      <c r="W385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85" s="18">
        <f>IF(Tabela3[[#This Row],[Dívida]]&gt;0,Tabela3[[#This Row],[Dívida]]/Tabela3[[#This Row],[Patrimônio Líquido]],0)</f>
        <v>0</v>
      </c>
      <c r="Y385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85" s="7">
        <f>Tabela3[[#This Row],[Capital Social]]*20%</f>
        <v>78269342.799999997</v>
      </c>
      <c r="AA385" s="47">
        <f>IF((Tabela3[Lucro Líquido]*5%)&gt;Tabela3[Teto R. Legal],Tabela3[Teto R. Legal],Tabela3[Lucro Líquido]*5%)</f>
        <v>-1078800</v>
      </c>
      <c r="AB385" s="47">
        <f>IF(Tabela3[Lucro Líquido]&lt;0,0,Tabela3[Lucro Líquido]-Tabela3[Reserva Legal])</f>
        <v>0</v>
      </c>
      <c r="AC385" s="47">
        <f>Tabela3[[#This Row],[Lucro Distribuir]]*Tabela3[%Div]</f>
        <v>0</v>
      </c>
      <c r="AD385" s="56">
        <f>SUMPRODUCT(N(Tabela3[Nome]=Tabela3[[#This Row],[Nome]]),Tabela3[Ações])</f>
        <v>48443062</v>
      </c>
      <c r="AE385" s="85">
        <f>Tabela3[Capital Social]/Tabela3[Total Ações]</f>
        <v>8.078488391175604</v>
      </c>
      <c r="AF385" s="85">
        <f>Tabela3[[#This Row],[Lucro Líquido]]/Tabela3[[#This Row],[Total Ações]]</f>
        <v>-0.44538885671595241</v>
      </c>
      <c r="AG385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85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85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85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85" s="7">
        <f>Tabela3[Div Base]*Tabela3[Ações]</f>
        <v>0</v>
      </c>
      <c r="AL385" s="121">
        <f>SUMPRODUCT(N(Tabela3[Nome]=Tabela3[[#This Row],[Nome]]),Tabela3[Div Base]*Tabela3[Ações])</f>
        <v>0</v>
      </c>
      <c r="AM385" s="5">
        <f>Tabela3[Patrimônio Líquido]/Tabela3[Total Ações]</f>
        <v>7.576957047017383</v>
      </c>
      <c r="AN385" s="52">
        <f>MAX(Tabela3[[#This Row],[Cotação 1]:[Cotação 5]])</f>
        <v>3.31</v>
      </c>
      <c r="AO385" s="53">
        <f>Tabela3[Cotação]/Tabela3[VPA]</f>
        <v>0.4368508333174409</v>
      </c>
      <c r="AP385" s="37">
        <f>IF(Tabela3[[#This Row],[Lucro/Ação]]&gt;0,Tabela3[[#This Row],[Cotação]]/(Tabela3[[#This Row],[Lucro/Ação]]/Tabela3[Ref]*4),0)</f>
        <v>0</v>
      </c>
      <c r="AQ385" s="85">
        <f>Tabela3[Lucro Distribuir]/Tabela3[Total Ações]</f>
        <v>0</v>
      </c>
      <c r="AR385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85" s="10" t="str">
        <f>IF(AND(Tabela3[% A.A.]&gt;=6%,SUMPRODUCT(N(Tabela3[Nome]=Tabela3[[#This Row],[Nome]]),Tabela3[PL])&gt;0,Tabela3[Rentabilidade s/ PL]&gt;=Tabela3[Rentabilidade s/ PL Média]),"Sim","Não")</f>
        <v>Não</v>
      </c>
      <c r="AT385" s="22">
        <f>IF(Tabela3[Cotação]&gt;0,Tabela3[[#This Row],[Lucro]]/Tabela3[[#This Row],[Cotação]],0)</f>
        <v>0</v>
      </c>
      <c r="AU385" s="22">
        <f>((1+Tabela3[[#This Row],[% Yield]])^(1/(3*Tabela3[[#This Row],[Ref]])))^(12)-1</f>
        <v>0</v>
      </c>
      <c r="AV385" s="10">
        <f>IF(Tabela3[Cotação]&gt;0,($BH$1/Tabela3[[#This Row],[Cotação]]-MOD($BH$1/Tabela3[[#This Row],[Cotação]],100)),)</f>
        <v>100</v>
      </c>
      <c r="AW385" s="7">
        <f>Tabela3[[#This Row],[Ativos]]*Tabela3[Lucro]</f>
        <v>0</v>
      </c>
      <c r="AX385" s="7">
        <f>SUMPRODUCT(N(Tabela1[Código]=Tabela3[[#This Row],[PAPEL]]),Tabela1[Fechamento])</f>
        <v>0</v>
      </c>
      <c r="AY385" s="7">
        <f>SUMPRODUCT(N(Tabela17[Código]=Tabela3[[#This Row],[PAPEL]]),Tabela17[Fechamento])</f>
        <v>0</v>
      </c>
      <c r="AZ385" s="7">
        <f>SUMPRODUCT(N(Tabela176[Código]=Tabela3[[#This Row],[PAPEL]]),Tabela176[Fechamento])</f>
        <v>0</v>
      </c>
      <c r="BA385" s="7">
        <f>SUMPRODUCT(N(Tabela1768[Código]=Tabela3[[#This Row],[PAPEL]]),Tabela1768[Fechamento])</f>
        <v>3.31</v>
      </c>
      <c r="BB385" s="7">
        <f>SUMPRODUCT(N(Tabela17683[Código]=Tabela3[[#This Row],[PAPEL]]),Tabela17683[Fechamento])</f>
        <v>0</v>
      </c>
    </row>
    <row r="386" spans="1:54" hidden="1" x14ac:dyDescent="0.2">
      <c r="A386" s="3" t="s">
        <v>1467</v>
      </c>
      <c r="B386" s="57" t="s">
        <v>1446</v>
      </c>
      <c r="C386" s="16" t="str">
        <f>LEFT(Tabela3[PAPEL],LEN(Tabela3[PAPEL])-(LEN(Tabela3[PAPEL])-4))</f>
        <v>CTAX</v>
      </c>
      <c r="D386" s="16">
        <v>3</v>
      </c>
      <c r="E386" s="5"/>
      <c r="F386" s="56"/>
      <c r="G386" s="81">
        <v>0.25</v>
      </c>
      <c r="H386" s="18"/>
      <c r="J386" s="18"/>
      <c r="K386" s="16">
        <v>1</v>
      </c>
      <c r="L386" s="87">
        <v>4</v>
      </c>
      <c r="M386" s="54"/>
      <c r="N386" s="54"/>
      <c r="O386" s="54"/>
      <c r="P386" s="91"/>
      <c r="Q386" s="73"/>
      <c r="R386" s="73">
        <f>IF(Tabela3[[#This Row],[Ativo || Passivo]]&gt;0,Tabela3[[#This Row],[Ativo || Passivo]]-Tabela3[[#This Row],[Patrimônio Líquido]],0)</f>
        <v>0</v>
      </c>
      <c r="S386" s="73">
        <f>Tabela3[[#This Row],[Cotação]]*Tabela3[[#This Row],[Total Ações]]</f>
        <v>7088241335</v>
      </c>
      <c r="T386" s="37">
        <f>IF(Tabela3[[#This Row],[Passivo Circulante]]&gt;0,Tabela3[[#This Row],[Ativo Circulante]]/Tabela3[[#This Row],[Passivo Circulante]],0)</f>
        <v>0</v>
      </c>
      <c r="U386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86" s="18">
        <f>IF(Tabela3[[#This Row],[Lucro Líquido]]&gt;0,Tabela3[[#This Row],[Lucro Líquido]]/Tabela3[[#This Row],[Patrimônio Líquido]],0)</f>
        <v>0</v>
      </c>
      <c r="W386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86" s="18">
        <f>IF(Tabela3[[#This Row],[Dívida]]&gt;0,Tabela3[[#This Row],[Dívida]]/Tabela3[[#This Row],[Patrimônio Líquido]],0)</f>
        <v>0</v>
      </c>
      <c r="Y386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86" s="7">
        <f>Tabela3[[#This Row],[Capital Social]]*20%</f>
        <v>0</v>
      </c>
      <c r="AA386" s="47">
        <f>IF((Tabela3[Lucro Líquido]*5%)&gt;Tabela3[Teto R. Legal],Tabela3[Teto R. Legal],Tabela3[Lucro Líquido]*5%)</f>
        <v>0</v>
      </c>
      <c r="AB386" s="47">
        <f>IF(Tabela3[Lucro Líquido]&lt;0,0,Tabela3[Lucro Líquido]-Tabela3[Reserva Legal])</f>
        <v>0</v>
      </c>
      <c r="AC386" s="47">
        <f>Tabela3[[#This Row],[Lucro Distribuir]]*Tabela3[%Div]</f>
        <v>0</v>
      </c>
      <c r="AD386" s="56">
        <f>SUMPRODUCT(N(Tabela3[Nome]=Tabela3[[#This Row],[Nome]]),Tabela3[Ações])</f>
        <v>345767870</v>
      </c>
      <c r="AE386" s="85">
        <f>Tabela3[Capital Social]/Tabela3[Total Ações]</f>
        <v>0</v>
      </c>
      <c r="AF386" s="85">
        <f>Tabela3[[#This Row],[Lucro Líquido]]/Tabela3[[#This Row],[Total Ações]]</f>
        <v>0</v>
      </c>
      <c r="AG386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86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86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86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86" s="7">
        <f>Tabela3[Div Base]*Tabela3[Ações]</f>
        <v>0</v>
      </c>
      <c r="AL386" s="121">
        <f>SUMPRODUCT(N(Tabela3[Nome]=Tabela3[[#This Row],[Nome]]),Tabela3[Div Base]*Tabela3[Ações])</f>
        <v>7315209.290891516</v>
      </c>
      <c r="AM386" s="5">
        <f>Tabela3[Patrimônio Líquido]/Tabela3[Total Ações]</f>
        <v>0</v>
      </c>
      <c r="AN386" s="52">
        <f>MAX(Tabela3[[#This Row],[Cotação 1]:[Cotação 5]])</f>
        <v>20.5</v>
      </c>
      <c r="AO386" s="53" t="e">
        <f>Tabela3[Cotação]/Tabela3[VPA]</f>
        <v>#DIV/0!</v>
      </c>
      <c r="AP386" s="37">
        <f>IF(Tabela3[[#This Row],[Lucro/Ação]]&gt;0,Tabela3[[#This Row],[Cotação]]/(Tabela3[[#This Row],[Lucro/Ação]]/Tabela3[Ref]*4),0)</f>
        <v>0</v>
      </c>
      <c r="AQ386" s="85">
        <f>Tabela3[Lucro Distribuir]/Tabela3[Total Ações]</f>
        <v>0</v>
      </c>
      <c r="AR386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0.12944858063301254</v>
      </c>
      <c r="AS386" s="10" t="str">
        <f>IF(AND(Tabela3[% A.A.]&gt;=6%,SUMPRODUCT(N(Tabela3[Nome]=Tabela3[[#This Row],[Nome]]),Tabela3[PL])&gt;0,Tabela3[Rentabilidade s/ PL]&gt;=Tabela3[Rentabilidade s/ PL Média]),"Sim","Não")</f>
        <v>Não</v>
      </c>
      <c r="AT386" s="22">
        <f>IF(Tabela3[Cotação]&gt;0,Tabela3[[#This Row],[Lucro]]/Tabela3[[#This Row],[Cotação]],0)</f>
        <v>6.3145649089274411E-3</v>
      </c>
      <c r="AU386" s="22">
        <f>((1+Tabela3[[#This Row],[% Yield]])^(1/(3*Tabela3[[#This Row],[Ref]])))^(12)-1</f>
        <v>8.4282683062222308E-3</v>
      </c>
      <c r="AV386" s="10">
        <f>IF(Tabela3[Cotação]&gt;0,($BH$1/Tabela3[[#This Row],[Cotação]]-MOD($BH$1/Tabela3[[#This Row],[Cotação]],100)),)</f>
        <v>0</v>
      </c>
      <c r="AW386" s="7">
        <f>Tabela3[[#This Row],[Ativos]]*Tabela3[Lucro]</f>
        <v>0</v>
      </c>
      <c r="AX386" s="7">
        <f>SUMPRODUCT(N(Tabela1[Código]=Tabela3[[#This Row],[PAPEL]]),Tabela1[Fechamento])</f>
        <v>0</v>
      </c>
      <c r="AY386" s="7">
        <f>SUMPRODUCT(N(Tabela17[Código]=Tabela3[[#This Row],[PAPEL]]),Tabela17[Fechamento])</f>
        <v>0</v>
      </c>
      <c r="AZ386" s="7">
        <f>SUMPRODUCT(N(Tabela176[Código]=Tabela3[[#This Row],[PAPEL]]),Tabela176[Fechamento])</f>
        <v>0</v>
      </c>
      <c r="BA386" s="7">
        <f>SUMPRODUCT(N(Tabela1768[Código]=Tabela3[[#This Row],[PAPEL]]),Tabela1768[Fechamento])</f>
        <v>0</v>
      </c>
      <c r="BB386" s="7">
        <f>SUMPRODUCT(N(Tabela17683[Código]=Tabela3[[#This Row],[PAPEL]]),Tabela17683[Fechamento])</f>
        <v>20.5</v>
      </c>
    </row>
    <row r="387" spans="1:54" hidden="1" x14ac:dyDescent="0.2">
      <c r="A387" s="3" t="s">
        <v>935</v>
      </c>
      <c r="B387" s="58" t="s">
        <v>1117</v>
      </c>
      <c r="C387" s="16" t="str">
        <f>LEFT(Tabela3[PAPEL],LEN(Tabela3[PAPEL])-(LEN(Tabela3[PAPEL])-4))</f>
        <v>CTKA</v>
      </c>
      <c r="D387" s="16">
        <v>3</v>
      </c>
      <c r="E387" s="5">
        <v>60000000</v>
      </c>
      <c r="F387" s="56">
        <v>6120851</v>
      </c>
      <c r="G387" s="81">
        <v>0.35</v>
      </c>
      <c r="H387" s="87"/>
      <c r="J387" s="18"/>
      <c r="K387" s="16"/>
      <c r="L387" s="87"/>
      <c r="M387" s="54"/>
      <c r="N387" s="54"/>
      <c r="O387" s="54"/>
      <c r="P387" s="91">
        <v>3518000</v>
      </c>
      <c r="Q387" s="73">
        <v>-32852000</v>
      </c>
      <c r="R387" s="73">
        <f>IF(Tabela3[[#This Row],[Ativo || Passivo]]&gt;0,Tabela3[[#This Row],[Ativo || Passivo]]-Tabela3[[#This Row],[Patrimônio Líquido]],0)</f>
        <v>0</v>
      </c>
      <c r="S387" s="73">
        <f>Tabela3[[#This Row],[Cotação]]*Tabela3[[#This Row],[Total Ações]]</f>
        <v>31693523.400000002</v>
      </c>
      <c r="T387" s="37">
        <f>IF(Tabela3[[#This Row],[Passivo Circulante]]&gt;0,Tabela3[[#This Row],[Ativo Circulante]]/Tabela3[[#This Row],[Passivo Circulante]],0)</f>
        <v>0</v>
      </c>
      <c r="U387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87" s="18">
        <f>IF(Tabela3[[#This Row],[Lucro Líquido]]&gt;0,Tabela3[[#This Row],[Lucro Líquido]]/Tabela3[[#This Row],[Patrimônio Líquido]],0)</f>
        <v>0</v>
      </c>
      <c r="W387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87" s="18">
        <f>IF(Tabela3[[#This Row],[Dívida]]&gt;0,Tabela3[[#This Row],[Dívida]]/Tabela3[[#This Row],[Patrimônio Líquido]],0)</f>
        <v>0</v>
      </c>
      <c r="Y387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87" s="7">
        <f>Tabela3[[#This Row],[Capital Social]]*20%</f>
        <v>12000000</v>
      </c>
      <c r="AA387" s="47">
        <f>IF((Tabela3[Lucro Líquido]*5%)&gt;Tabela3[Teto R. Legal],Tabela3[Teto R. Legal],Tabela3[Lucro Líquido]*5%)</f>
        <v>-1642600</v>
      </c>
      <c r="AB387" s="47">
        <f>IF(Tabela3[Lucro Líquido]&lt;0,0,Tabela3[Lucro Líquido]-Tabela3[Reserva Legal])</f>
        <v>0</v>
      </c>
      <c r="AC387" s="47">
        <f>Tabela3[[#This Row],[Lucro Distribuir]]*Tabela3[%Div]</f>
        <v>0</v>
      </c>
      <c r="AD387" s="56">
        <f>SUMPRODUCT(N(Tabela3[Nome]=Tabela3[[#This Row],[Nome]]),Tabela3[Ações])</f>
        <v>14406147</v>
      </c>
      <c r="AE387" s="85">
        <f>Tabela3[Capital Social]/Tabela3[Total Ações]</f>
        <v>4.1648887797688028</v>
      </c>
      <c r="AF387" s="85">
        <f>Tabela3[[#This Row],[Lucro Líquido]]/Tabela3[[#This Row],[Total Ações]]</f>
        <v>-2.2804154365494118</v>
      </c>
      <c r="AG387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87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87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87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87" s="7">
        <f>Tabela3[Div Base]*Tabela3[Ações]</f>
        <v>0</v>
      </c>
      <c r="AL387" s="7">
        <f>SUMPRODUCT(N(Tabela3[Nome]=Tabela3[[#This Row],[Nome]]),Tabela3[Div Base]*Tabela3[Ações])</f>
        <v>0</v>
      </c>
      <c r="AM387" s="5">
        <f>Tabela3[Patrimônio Líquido]/Tabela3[Total Ações]</f>
        <v>0.24420131212044413</v>
      </c>
      <c r="AN387" s="52">
        <f>MAX(Tabela3[[#This Row],[Cotação 1]:[Cotação 5]])</f>
        <v>2.2000000000000002</v>
      </c>
      <c r="AO387" s="53">
        <f>Tabela3[Cotação]/Tabela3[VPA]</f>
        <v>9.0089606026151241</v>
      </c>
      <c r="AP387" s="37">
        <f>IF(Tabela3[[#This Row],[Lucro/Ação]]&gt;0,Tabela3[[#This Row],[Cotação]]/(Tabela3[[#This Row],[Lucro/Ação]]/Tabela3[Ref]*4),0)</f>
        <v>0</v>
      </c>
      <c r="AQ387" s="85">
        <f>Tabela3[Lucro Distribuir]/Tabela3[Total Ações]</f>
        <v>0</v>
      </c>
      <c r="AR387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87" s="10" t="str">
        <f>IF(AND(Tabela3[% A.A.]&gt;=6%,SUMPRODUCT(N(Tabela3[Nome]=Tabela3[[#This Row],[Nome]]),Tabela3[PL])&gt;0,Tabela3[Rentabilidade s/ PL]&gt;=Tabela3[Rentabilidade s/ PL Média]),"Sim","Não")</f>
        <v>Não</v>
      </c>
      <c r="AT387" s="22">
        <f>IF(Tabela3[Cotação]&gt;0,Tabela3[[#This Row],[Lucro]]/Tabela3[[#This Row],[Cotação]],0)</f>
        <v>0</v>
      </c>
      <c r="AU387" s="22">
        <f>((1+Tabela3[[#This Row],[% Yield]])^(1/(3*Tabela3[[#This Row],[Ref]])))^(12)-1</f>
        <v>0</v>
      </c>
      <c r="AV387" s="10">
        <f>IF(Tabela3[Cotação]&gt;0,($BH$1/Tabela3[[#This Row],[Cotação]]-MOD($BH$1/Tabela3[[#This Row],[Cotação]],100)),)</f>
        <v>200</v>
      </c>
      <c r="AW387" s="7">
        <f>Tabela3[[#This Row],[Ativos]]*Tabela3[Lucro]</f>
        <v>0</v>
      </c>
      <c r="AX387" s="7">
        <f>SUMPRODUCT(N(Tabela1[Código]=Tabela3[[#This Row],[PAPEL]]),Tabela1[Fechamento])</f>
        <v>0</v>
      </c>
      <c r="AY387" s="7">
        <f>SUMPRODUCT(N(Tabela17[Código]=Tabela3[[#This Row],[PAPEL]]),Tabela17[Fechamento])</f>
        <v>0</v>
      </c>
      <c r="AZ387" s="7">
        <f>SUMPRODUCT(N(Tabela176[Código]=Tabela3[[#This Row],[PAPEL]]),Tabela176[Fechamento])</f>
        <v>0</v>
      </c>
      <c r="BA387" s="7">
        <f>SUMPRODUCT(N(Tabela1768[Código]=Tabela3[[#This Row],[PAPEL]]),Tabela1768[Fechamento])</f>
        <v>2.2000000000000002</v>
      </c>
      <c r="BB387" s="7">
        <f>SUMPRODUCT(N(Tabela17683[Código]=Tabela3[[#This Row],[PAPEL]]),Tabela17683[Fechamento])</f>
        <v>0</v>
      </c>
    </row>
    <row r="388" spans="1:54" hidden="1" x14ac:dyDescent="0.2">
      <c r="A388" s="3" t="s">
        <v>935</v>
      </c>
      <c r="B388" s="58" t="s">
        <v>1118</v>
      </c>
      <c r="C388" s="16" t="str">
        <f>LEFT(Tabela3[PAPEL],LEN(Tabela3[PAPEL])-(LEN(Tabela3[PAPEL])-4))</f>
        <v>CTKA</v>
      </c>
      <c r="D388" s="16">
        <v>3</v>
      </c>
      <c r="E388" s="5">
        <v>60000000</v>
      </c>
      <c r="F388" s="56">
        <v>8285296</v>
      </c>
      <c r="G388" s="81">
        <v>0.35</v>
      </c>
      <c r="H388" s="87"/>
      <c r="J388" s="18">
        <v>0.1</v>
      </c>
      <c r="K388" s="16"/>
      <c r="L388" s="87"/>
      <c r="M388" s="54"/>
      <c r="N388" s="54"/>
      <c r="O388" s="54"/>
      <c r="P388" s="91">
        <v>3518000</v>
      </c>
      <c r="Q388" s="73">
        <v>-32852000</v>
      </c>
      <c r="R388" s="73">
        <f>IF(Tabela3[[#This Row],[Ativo || Passivo]]&gt;0,Tabela3[[#This Row],[Ativo || Passivo]]-Tabela3[[#This Row],[Patrimônio Líquido]],0)</f>
        <v>0</v>
      </c>
      <c r="S388" s="73">
        <f>Tabela3[[#This Row],[Cotação]]*Tabela3[[#This Row],[Total Ações]]</f>
        <v>9363995.5500000007</v>
      </c>
      <c r="T388" s="37">
        <f>IF(Tabela3[[#This Row],[Passivo Circulante]]&gt;0,Tabela3[[#This Row],[Ativo Circulante]]/Tabela3[[#This Row],[Passivo Circulante]],0)</f>
        <v>0</v>
      </c>
      <c r="U388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88" s="18">
        <f>IF(Tabela3[[#This Row],[Lucro Líquido]]&gt;0,Tabela3[[#This Row],[Lucro Líquido]]/Tabela3[[#This Row],[Patrimônio Líquido]],0)</f>
        <v>0</v>
      </c>
      <c r="W388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88" s="18">
        <f>IF(Tabela3[[#This Row],[Dívida]]&gt;0,Tabela3[[#This Row],[Dívida]]/Tabela3[[#This Row],[Patrimônio Líquido]],0)</f>
        <v>0</v>
      </c>
      <c r="Y388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88" s="7">
        <f>Tabela3[[#This Row],[Capital Social]]*20%</f>
        <v>12000000</v>
      </c>
      <c r="AA388" s="47">
        <f>IF((Tabela3[Lucro Líquido]*5%)&gt;Tabela3[Teto R. Legal],Tabela3[Teto R. Legal],Tabela3[Lucro Líquido]*5%)</f>
        <v>-1642600</v>
      </c>
      <c r="AB388" s="47">
        <f>IF(Tabela3[Lucro Líquido]&lt;0,0,Tabela3[Lucro Líquido]-Tabela3[Reserva Legal])</f>
        <v>0</v>
      </c>
      <c r="AC388" s="47">
        <f>Tabela3[[#This Row],[Lucro Distribuir]]*Tabela3[%Div]</f>
        <v>0</v>
      </c>
      <c r="AD388" s="56">
        <f>SUMPRODUCT(N(Tabela3[Nome]=Tabela3[[#This Row],[Nome]]),Tabela3[Ações])</f>
        <v>14406147</v>
      </c>
      <c r="AE388" s="85">
        <f>Tabela3[Capital Social]/Tabela3[Total Ações]</f>
        <v>4.1648887797688028</v>
      </c>
      <c r="AF388" s="85">
        <f>Tabela3[[#This Row],[Lucro Líquido]]/Tabela3[[#This Row],[Total Ações]]</f>
        <v>-2.2804154365494118</v>
      </c>
      <c r="AG388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88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88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88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88" s="7">
        <f>Tabela3[Div Base]*Tabela3[Ações]</f>
        <v>0</v>
      </c>
      <c r="AL388" s="7">
        <f>SUMPRODUCT(N(Tabela3[Nome]=Tabela3[[#This Row],[Nome]]),Tabela3[Div Base]*Tabela3[Ações])</f>
        <v>0</v>
      </c>
      <c r="AM388" s="5">
        <f>Tabela3[Patrimônio Líquido]/Tabela3[Total Ações]</f>
        <v>0.24420131212044413</v>
      </c>
      <c r="AN388" s="52">
        <f>MAX(Tabela3[[#This Row],[Cotação 1]:[Cotação 5]])</f>
        <v>0.65</v>
      </c>
      <c r="AO388" s="53">
        <f>Tabela3[Cotação]/Tabela3[VPA]</f>
        <v>2.6617383598635591</v>
      </c>
      <c r="AP388" s="37">
        <f>IF(Tabela3[[#This Row],[Lucro/Ação]]&gt;0,Tabela3[[#This Row],[Cotação]]/(Tabela3[[#This Row],[Lucro/Ação]]/Tabela3[Ref]*4),0)</f>
        <v>0</v>
      </c>
      <c r="AQ388" s="85">
        <f>Tabela3[Lucro Distribuir]/Tabela3[Total Ações]</f>
        <v>0</v>
      </c>
      <c r="AR388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88" s="10" t="str">
        <f>IF(AND(Tabela3[% A.A.]&gt;=6%,SUMPRODUCT(N(Tabela3[Nome]=Tabela3[[#This Row],[Nome]]),Tabela3[PL])&gt;0,Tabela3[Rentabilidade s/ PL]&gt;=Tabela3[Rentabilidade s/ PL Média]),"Sim","Não")</f>
        <v>Não</v>
      </c>
      <c r="AT388" s="22">
        <f>IF(Tabela3[Cotação]&gt;0,Tabela3[[#This Row],[Lucro]]/Tabela3[[#This Row],[Cotação]],0)</f>
        <v>0</v>
      </c>
      <c r="AU388" s="22">
        <f>((1+Tabela3[[#This Row],[% Yield]])^(1/(3*Tabela3[[#This Row],[Ref]])))^(12)-1</f>
        <v>0</v>
      </c>
      <c r="AV388" s="10">
        <f>IF(Tabela3[Cotação]&gt;0,($BH$1/Tabela3[[#This Row],[Cotação]]-MOD($BH$1/Tabela3[[#This Row],[Cotação]],100)),)</f>
        <v>700</v>
      </c>
      <c r="AW388" s="7">
        <f>Tabela3[[#This Row],[Ativos]]*Tabela3[Lucro]</f>
        <v>0</v>
      </c>
      <c r="AX388" s="7">
        <f>SUMPRODUCT(N(Tabela1[Código]=Tabela3[[#This Row],[PAPEL]]),Tabela1[Fechamento])</f>
        <v>0</v>
      </c>
      <c r="AY388" s="7">
        <f>SUMPRODUCT(N(Tabela17[Código]=Tabela3[[#This Row],[PAPEL]]),Tabela17[Fechamento])</f>
        <v>0</v>
      </c>
      <c r="AZ388" s="7">
        <f>SUMPRODUCT(N(Tabela176[Código]=Tabela3[[#This Row],[PAPEL]]),Tabela176[Fechamento])</f>
        <v>0</v>
      </c>
      <c r="BA388" s="7">
        <f>SUMPRODUCT(N(Tabela1768[Código]=Tabela3[[#This Row],[PAPEL]]),Tabela1768[Fechamento])</f>
        <v>0.65</v>
      </c>
      <c r="BB388" s="7">
        <f>SUMPRODUCT(N(Tabela17683[Código]=Tabela3[[#This Row],[PAPEL]]),Tabela17683[Fechamento])</f>
        <v>0</v>
      </c>
    </row>
    <row r="389" spans="1:54" hidden="1" x14ac:dyDescent="0.2">
      <c r="A389" s="3" t="s">
        <v>935</v>
      </c>
      <c r="B389" s="58" t="s">
        <v>1097</v>
      </c>
      <c r="C389" s="16" t="str">
        <f>LEFT(Tabela3[PAPEL],LEN(Tabela3[PAPEL])-(LEN(Tabela3[PAPEL])-4))</f>
        <v>CTNM</v>
      </c>
      <c r="D389" s="16">
        <v>3</v>
      </c>
      <c r="E389" s="5">
        <v>882235698</v>
      </c>
      <c r="F389" s="56">
        <v>55651200</v>
      </c>
      <c r="G389" s="81">
        <v>0.25</v>
      </c>
      <c r="H389" s="87"/>
      <c r="J389" s="18"/>
      <c r="K389" s="16"/>
      <c r="L389" s="87"/>
      <c r="M389" s="54"/>
      <c r="N389" s="54"/>
      <c r="O389" s="54"/>
      <c r="P389" s="91">
        <v>1000768000</v>
      </c>
      <c r="Q389" s="73">
        <v>-24156000</v>
      </c>
      <c r="R389" s="73">
        <f>IF(Tabela3[[#This Row],[Ativo || Passivo]]&gt;0,Tabela3[[#This Row],[Ativo || Passivo]]-Tabela3[[#This Row],[Patrimônio Líquido]],0)</f>
        <v>0</v>
      </c>
      <c r="S389" s="73">
        <f>Tabela3[[#This Row],[Cotação]]*Tabela3[[#This Row],[Total Ações]]</f>
        <v>302688195.16000003</v>
      </c>
      <c r="T389" s="37">
        <f>IF(Tabela3[[#This Row],[Passivo Circulante]]&gt;0,Tabela3[[#This Row],[Ativo Circulante]]/Tabela3[[#This Row],[Passivo Circulante]],0)</f>
        <v>0</v>
      </c>
      <c r="U389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89" s="18">
        <f>IF(Tabela3[[#This Row],[Lucro Líquido]]&gt;0,Tabela3[[#This Row],[Lucro Líquido]]/Tabela3[[#This Row],[Patrimônio Líquido]],0)</f>
        <v>0</v>
      </c>
      <c r="W389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89" s="18">
        <f>IF(Tabela3[[#This Row],[Dívida]]&gt;0,Tabela3[[#This Row],[Dívida]]/Tabela3[[#This Row],[Patrimônio Líquido]],0)</f>
        <v>0</v>
      </c>
      <c r="Y389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89" s="7">
        <f>Tabela3[[#This Row],[Capital Social]]*20%</f>
        <v>176447139.60000002</v>
      </c>
      <c r="AA389" s="47">
        <f>IF((Tabela3[Lucro Líquido]*5%)&gt;Tabela3[Teto R. Legal],Tabela3[Teto R. Legal],Tabela3[Lucro Líquido]*5%)</f>
        <v>-1207800</v>
      </c>
      <c r="AB389" s="47">
        <f>IF(Tabela3[Lucro Líquido]&lt;0,0,Tabela3[Lucro Líquido]-Tabela3[Reserva Legal])</f>
        <v>0</v>
      </c>
      <c r="AC389" s="47">
        <f>Tabela3[[#This Row],[Lucro Distribuir]]*Tabela3[%Div]</f>
        <v>0</v>
      </c>
      <c r="AD389" s="56">
        <f>SUMPRODUCT(N(Tabela3[Nome]=Tabela3[[#This Row],[Nome]]),Tabela3[Ações])</f>
        <v>122545828</v>
      </c>
      <c r="AE389" s="85">
        <f>Tabela3[Capital Social]/Tabela3[Total Ações]</f>
        <v>7.1992307889910379</v>
      </c>
      <c r="AF389" s="85">
        <f>Tabela3[[#This Row],[Lucro Líquido]]/Tabela3[[#This Row],[Total Ações]]</f>
        <v>-0.19711809364901431</v>
      </c>
      <c r="AG389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89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89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89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89" s="7">
        <f>Tabela3[Div Base]*Tabela3[Ações]</f>
        <v>0</v>
      </c>
      <c r="AL389" s="7">
        <f>SUMPRODUCT(N(Tabela3[Nome]=Tabela3[[#This Row],[Nome]]),Tabela3[Div Base]*Tabela3[Ações])</f>
        <v>0</v>
      </c>
      <c r="AM389" s="5">
        <f>Tabela3[Patrimônio Líquido]/Tabela3[Total Ações]</f>
        <v>8.1664795638738514</v>
      </c>
      <c r="AN389" s="52">
        <f>MAX(Tabela3[[#This Row],[Cotação 1]:[Cotação 5]])</f>
        <v>2.4700000000000002</v>
      </c>
      <c r="AO389" s="53">
        <f>Tabela3[Cotação]/Tabela3[VPA]</f>
        <v>0.30245590902187125</v>
      </c>
      <c r="AP389" s="37">
        <f>IF(Tabela3[[#This Row],[Lucro/Ação]]&gt;0,Tabela3[[#This Row],[Cotação]]/(Tabela3[[#This Row],[Lucro/Ação]]/Tabela3[Ref]*4),0)</f>
        <v>0</v>
      </c>
      <c r="AQ389" s="85">
        <f>Tabela3[Lucro Distribuir]/Tabela3[Total Ações]</f>
        <v>0</v>
      </c>
      <c r="AR389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89" s="10" t="str">
        <f>IF(AND(Tabela3[% A.A.]&gt;=6%,SUMPRODUCT(N(Tabela3[Nome]=Tabela3[[#This Row],[Nome]]),Tabela3[PL])&gt;0,Tabela3[Rentabilidade s/ PL]&gt;=Tabela3[Rentabilidade s/ PL Média]),"Sim","Não")</f>
        <v>Não</v>
      </c>
      <c r="AT389" s="22">
        <f>IF(Tabela3[Cotação]&gt;0,Tabela3[[#This Row],[Lucro]]/Tabela3[[#This Row],[Cotação]],0)</f>
        <v>0</v>
      </c>
      <c r="AU389" s="22">
        <f>((1+Tabela3[[#This Row],[% Yield]])^(1/(3*Tabela3[[#This Row],[Ref]])))^(12)-1</f>
        <v>0</v>
      </c>
      <c r="AV389" s="10">
        <f>IF(Tabela3[Cotação]&gt;0,($BH$1/Tabela3[[#This Row],[Cotação]]-MOD($BH$1/Tabela3[[#This Row],[Cotação]],100)),)</f>
        <v>200</v>
      </c>
      <c r="AW389" s="7">
        <f>Tabela3[[#This Row],[Ativos]]*Tabela3[Lucro]</f>
        <v>0</v>
      </c>
      <c r="AX389" s="7">
        <f>SUMPRODUCT(N(Tabela1[Código]=Tabela3[[#This Row],[PAPEL]]),Tabela1[Fechamento])</f>
        <v>0</v>
      </c>
      <c r="AY389" s="7">
        <f>SUMPRODUCT(N(Tabela17[Código]=Tabela3[[#This Row],[PAPEL]]),Tabela17[Fechamento])</f>
        <v>0</v>
      </c>
      <c r="AZ389" s="7">
        <f>SUMPRODUCT(N(Tabela176[Código]=Tabela3[[#This Row],[PAPEL]]),Tabela176[Fechamento])</f>
        <v>0</v>
      </c>
      <c r="BA389" s="7">
        <f>SUMPRODUCT(N(Tabela1768[Código]=Tabela3[[#This Row],[PAPEL]]),Tabela1768[Fechamento])</f>
        <v>2.4700000000000002</v>
      </c>
      <c r="BB389" s="7">
        <f>SUMPRODUCT(N(Tabela17683[Código]=Tabela3[[#This Row],[PAPEL]]),Tabela17683[Fechamento])</f>
        <v>0</v>
      </c>
    </row>
    <row r="390" spans="1:54" hidden="1" x14ac:dyDescent="0.2">
      <c r="A390" s="3" t="s">
        <v>935</v>
      </c>
      <c r="B390" s="58" t="s">
        <v>1098</v>
      </c>
      <c r="C390" s="16" t="str">
        <f>LEFT(Tabela3[PAPEL],LEN(Tabela3[PAPEL])-(LEN(Tabela3[PAPEL])-4))</f>
        <v>CTNM</v>
      </c>
      <c r="D390" s="16">
        <v>3</v>
      </c>
      <c r="E390" s="5">
        <v>882235698</v>
      </c>
      <c r="F390" s="56">
        <v>66894628</v>
      </c>
      <c r="G390" s="81">
        <v>0.25</v>
      </c>
      <c r="H390" s="87"/>
      <c r="J390" s="18"/>
      <c r="K390" s="16"/>
      <c r="L390" s="87"/>
      <c r="M390" s="54"/>
      <c r="N390" s="54"/>
      <c r="O390" s="54"/>
      <c r="P390" s="91">
        <v>1000768000</v>
      </c>
      <c r="Q390" s="73">
        <v>-24156000</v>
      </c>
      <c r="R390" s="73">
        <f>IF(Tabela3[[#This Row],[Ativo || Passivo]]&gt;0,Tabela3[[#This Row],[Ativo || Passivo]]-Tabela3[[#This Row],[Patrimônio Líquido]],0)</f>
        <v>0</v>
      </c>
      <c r="S390" s="73">
        <f>Tabela3[[#This Row],[Cotação]]*Tabela3[[#This Row],[Total Ações]]</f>
        <v>262248071.92000002</v>
      </c>
      <c r="T390" s="37">
        <f>IF(Tabela3[[#This Row],[Passivo Circulante]]&gt;0,Tabela3[[#This Row],[Ativo Circulante]]/Tabela3[[#This Row],[Passivo Circulante]],0)</f>
        <v>0</v>
      </c>
      <c r="U390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90" s="18">
        <f>IF(Tabela3[[#This Row],[Lucro Líquido]]&gt;0,Tabela3[[#This Row],[Lucro Líquido]]/Tabela3[[#This Row],[Patrimônio Líquido]],0)</f>
        <v>0</v>
      </c>
      <c r="W390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90" s="18">
        <f>IF(Tabela3[[#This Row],[Dívida]]&gt;0,Tabela3[[#This Row],[Dívida]]/Tabela3[[#This Row],[Patrimônio Líquido]],0)</f>
        <v>0</v>
      </c>
      <c r="Y390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90" s="7">
        <f>Tabela3[[#This Row],[Capital Social]]*20%</f>
        <v>176447139.60000002</v>
      </c>
      <c r="AA390" s="47">
        <f>IF((Tabela3[Lucro Líquido]*5%)&gt;Tabela3[Teto R. Legal],Tabela3[Teto R. Legal],Tabela3[Lucro Líquido]*5%)</f>
        <v>-1207800</v>
      </c>
      <c r="AB390" s="47">
        <f>IF(Tabela3[Lucro Líquido]&lt;0,0,Tabela3[Lucro Líquido]-Tabela3[Reserva Legal])</f>
        <v>0</v>
      </c>
      <c r="AC390" s="47">
        <f>Tabela3[[#This Row],[Lucro Distribuir]]*Tabela3[%Div]</f>
        <v>0</v>
      </c>
      <c r="AD390" s="56">
        <f>SUMPRODUCT(N(Tabela3[Nome]=Tabela3[[#This Row],[Nome]]),Tabela3[Ações])</f>
        <v>122545828</v>
      </c>
      <c r="AE390" s="85">
        <f>Tabela3[Capital Social]/Tabela3[Total Ações]</f>
        <v>7.1992307889910379</v>
      </c>
      <c r="AF390" s="85">
        <f>Tabela3[[#This Row],[Lucro Líquido]]/Tabela3[[#This Row],[Total Ações]]</f>
        <v>-0.19711809364901431</v>
      </c>
      <c r="AG390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90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90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90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90" s="7">
        <f>Tabela3[Div Base]*Tabela3[Ações]</f>
        <v>0</v>
      </c>
      <c r="AL390" s="7">
        <f>SUMPRODUCT(N(Tabela3[Nome]=Tabela3[[#This Row],[Nome]]),Tabela3[Div Base]*Tabela3[Ações])</f>
        <v>0</v>
      </c>
      <c r="AM390" s="5">
        <f>Tabela3[Patrimônio Líquido]/Tabela3[Total Ações]</f>
        <v>8.1664795638738514</v>
      </c>
      <c r="AN390" s="52">
        <f>MAX(Tabela3[[#This Row],[Cotação 1]:[Cotação 5]])</f>
        <v>2.14</v>
      </c>
      <c r="AO390" s="53">
        <f>Tabela3[Cotação]/Tabela3[VPA]</f>
        <v>0.26204681996226897</v>
      </c>
      <c r="AP390" s="37">
        <f>IF(Tabela3[[#This Row],[Lucro/Ação]]&gt;0,Tabela3[[#This Row],[Cotação]]/(Tabela3[[#This Row],[Lucro/Ação]]/Tabela3[Ref]*4),0)</f>
        <v>0</v>
      </c>
      <c r="AQ390" s="85">
        <f>Tabela3[Lucro Distribuir]/Tabela3[Total Ações]</f>
        <v>0</v>
      </c>
      <c r="AR390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90" s="10" t="str">
        <f>IF(AND(Tabela3[% A.A.]&gt;=6%,SUMPRODUCT(N(Tabela3[Nome]=Tabela3[[#This Row],[Nome]]),Tabela3[PL])&gt;0,Tabela3[Rentabilidade s/ PL]&gt;=Tabela3[Rentabilidade s/ PL Média]),"Sim","Não")</f>
        <v>Não</v>
      </c>
      <c r="AT390" s="22">
        <f>IF(Tabela3[Cotação]&gt;0,Tabela3[[#This Row],[Lucro]]/Tabela3[[#This Row],[Cotação]],0)</f>
        <v>0</v>
      </c>
      <c r="AU390" s="22">
        <f>((1+Tabela3[[#This Row],[% Yield]])^(1/(3*Tabela3[[#This Row],[Ref]])))^(12)-1</f>
        <v>0</v>
      </c>
      <c r="AV390" s="10">
        <f>IF(Tabela3[Cotação]&gt;0,($BH$1/Tabela3[[#This Row],[Cotação]]-MOD($BH$1/Tabela3[[#This Row],[Cotação]],100)),)</f>
        <v>200</v>
      </c>
      <c r="AW390" s="7">
        <f>Tabela3[[#This Row],[Ativos]]*Tabela3[Lucro]</f>
        <v>0</v>
      </c>
      <c r="AX390" s="7">
        <f>SUMPRODUCT(N(Tabela1[Código]=Tabela3[[#This Row],[PAPEL]]),Tabela1[Fechamento])</f>
        <v>0</v>
      </c>
      <c r="AY390" s="7">
        <f>SUMPRODUCT(N(Tabela17[Código]=Tabela3[[#This Row],[PAPEL]]),Tabela17[Fechamento])</f>
        <v>0</v>
      </c>
      <c r="AZ390" s="7">
        <f>SUMPRODUCT(N(Tabela176[Código]=Tabela3[[#This Row],[PAPEL]]),Tabela176[Fechamento])</f>
        <v>0</v>
      </c>
      <c r="BA390" s="7">
        <f>SUMPRODUCT(N(Tabela1768[Código]=Tabela3[[#This Row],[PAPEL]]),Tabela1768[Fechamento])</f>
        <v>2.14</v>
      </c>
      <c r="BB390" s="7">
        <f>SUMPRODUCT(N(Tabela17683[Código]=Tabela3[[#This Row],[PAPEL]]),Tabela17683[Fechamento])</f>
        <v>0</v>
      </c>
    </row>
    <row r="391" spans="1:54" hidden="1" x14ac:dyDescent="0.2">
      <c r="A391" s="3" t="s">
        <v>1709</v>
      </c>
      <c r="B391" s="57" t="s">
        <v>1661</v>
      </c>
      <c r="C391" s="16" t="str">
        <f>LEFT(Tabela3[PAPEL],LEN(Tabela3[PAPEL])-(LEN(Tabela3[PAPEL])-4))</f>
        <v>DHBI</v>
      </c>
      <c r="D391" s="16">
        <v>3</v>
      </c>
      <c r="E391" s="5">
        <v>105487086</v>
      </c>
      <c r="F391" s="56">
        <v>1448007</v>
      </c>
      <c r="G391" s="81">
        <v>0.25</v>
      </c>
      <c r="H391" s="87"/>
      <c r="J391" s="18"/>
      <c r="K391" s="16"/>
      <c r="L391" s="87"/>
      <c r="M391" s="54"/>
      <c r="N391" s="54"/>
      <c r="O391" s="54"/>
      <c r="P391" s="91">
        <v>-388239000</v>
      </c>
      <c r="Q391" s="73">
        <v>-80146000</v>
      </c>
      <c r="R391" s="73">
        <f>IF(Tabela3[[#This Row],[Ativo || Passivo]]&gt;0,Tabela3[[#This Row],[Ativo || Passivo]]-Tabela3[[#This Row],[Patrimônio Líquido]],0)</f>
        <v>0</v>
      </c>
      <c r="S391" s="73">
        <f>Tabela3[[#This Row],[Cotação]]*Tabela3[[#This Row],[Total Ações]]</f>
        <v>211348481.07999998</v>
      </c>
      <c r="T391" s="37">
        <f>IF(Tabela3[[#This Row],[Passivo Circulante]]&gt;0,Tabela3[[#This Row],[Ativo Circulante]]/Tabela3[[#This Row],[Passivo Circulante]],0)</f>
        <v>0</v>
      </c>
      <c r="U391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91" s="18">
        <f>IF(Tabela3[[#This Row],[Lucro Líquido]]&gt;0,Tabela3[[#This Row],[Lucro Líquido]]/Tabela3[[#This Row],[Patrimônio Líquido]],0)</f>
        <v>0</v>
      </c>
      <c r="W391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91" s="18">
        <f>IF(Tabela3[[#This Row],[Dívida]]&gt;0,Tabela3[[#This Row],[Dívida]]/Tabela3[[#This Row],[Patrimônio Líquido]],0)</f>
        <v>0</v>
      </c>
      <c r="Y391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91" s="7">
        <f>Tabela3[[#This Row],[Capital Social]]*20%</f>
        <v>21097417.200000003</v>
      </c>
      <c r="AA391" s="47">
        <f>IF((Tabela3[Lucro Líquido]*5%)&gt;Tabela3[Teto R. Legal],Tabela3[Teto R. Legal],Tabela3[Lucro Líquido]*5%)</f>
        <v>-4007300</v>
      </c>
      <c r="AB391" s="47">
        <f>IF(Tabela3[Lucro Líquido]&lt;0,0,Tabela3[Lucro Líquido]-Tabela3[Reserva Legal])</f>
        <v>0</v>
      </c>
      <c r="AC391" s="47">
        <f>Tabela3[[#This Row],[Lucro Distribuir]]*Tabela3[%Div]</f>
        <v>0</v>
      </c>
      <c r="AD391" s="56">
        <f>SUMPRODUCT(N(Tabela3[Nome]=Tabela3[[#This Row],[Nome]]),Tabela3[Ações])</f>
        <v>4196753</v>
      </c>
      <c r="AE391" s="85">
        <f>Tabela3[Capital Social]/Tabela3[Total Ações]</f>
        <v>25.135404918993327</v>
      </c>
      <c r="AF391" s="85">
        <f>Tabela3[[#This Row],[Lucro Líquido]]/Tabela3[[#This Row],[Total Ações]]</f>
        <v>-19.097144864136631</v>
      </c>
      <c r="AG391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91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91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91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91" s="7">
        <f>Tabela3[Div Base]*Tabela3[Ações]</f>
        <v>0</v>
      </c>
      <c r="AL391" s="121">
        <f>SUMPRODUCT(N(Tabela3[Nome]=Tabela3[[#This Row],[Nome]]),Tabela3[Div Base]*Tabela3[Ações])</f>
        <v>0</v>
      </c>
      <c r="AM391" s="5">
        <f>Tabela3[Patrimônio Líquido]/Tabela3[Total Ações]</f>
        <v>-92.509375700690512</v>
      </c>
      <c r="AN391" s="52">
        <f>MAX(Tabela3[[#This Row],[Cotação 1]:[Cotação 5]])</f>
        <v>50.36</v>
      </c>
      <c r="AO391" s="53">
        <f>Tabela3[Cotação]/Tabela3[VPA]</f>
        <v>-0.54437725493832401</v>
      </c>
      <c r="AP391" s="37">
        <f>IF(Tabela3[[#This Row],[Lucro/Ação]]&gt;0,Tabela3[[#This Row],[Cotação]]/(Tabela3[[#This Row],[Lucro/Ação]]/Tabela3[Ref]*4),0)</f>
        <v>0</v>
      </c>
      <c r="AQ391" s="85">
        <f>Tabela3[Lucro Distribuir]/Tabela3[Total Ações]</f>
        <v>0</v>
      </c>
      <c r="AR391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91" s="10" t="str">
        <f>IF(AND(Tabela3[% A.A.]&gt;=6%,SUMPRODUCT(N(Tabela3[Nome]=Tabela3[[#This Row],[Nome]]),Tabela3[PL])&gt;0,Tabela3[Rentabilidade s/ PL]&gt;=Tabela3[Rentabilidade s/ PL Média]),"Sim","Não")</f>
        <v>Não</v>
      </c>
      <c r="AT391" s="22">
        <f>IF(Tabela3[Cotação]&gt;0,Tabela3[[#This Row],[Lucro]]/Tabela3[[#This Row],[Cotação]],0)</f>
        <v>0</v>
      </c>
      <c r="AU391" s="22">
        <f>((1+Tabela3[[#This Row],[% Yield]])^(1/(3*Tabela3[[#This Row],[Ref]])))^(12)-1</f>
        <v>0</v>
      </c>
      <c r="AV391" s="10">
        <f>IF(Tabela3[Cotação]&gt;0,($BH$1/Tabela3[[#This Row],[Cotação]]-MOD($BH$1/Tabela3[[#This Row],[Cotação]],100)),)</f>
        <v>0</v>
      </c>
      <c r="AW391" s="7">
        <f>Tabela3[[#This Row],[Ativos]]*Tabela3[Lucro]</f>
        <v>0</v>
      </c>
      <c r="AX391" s="7">
        <f>SUMPRODUCT(N(Tabela1[Código]=Tabela3[[#This Row],[PAPEL]]),Tabela1[Fechamento])</f>
        <v>0</v>
      </c>
      <c r="AY391" s="7">
        <f>SUMPRODUCT(N(Tabela17[Código]=Tabela3[[#This Row],[PAPEL]]),Tabela17[Fechamento])</f>
        <v>0</v>
      </c>
      <c r="AZ391" s="7">
        <f>SUMPRODUCT(N(Tabela176[Código]=Tabela3[[#This Row],[PAPEL]]),Tabela176[Fechamento])</f>
        <v>0</v>
      </c>
      <c r="BA391" s="7">
        <f>SUMPRODUCT(N(Tabela1768[Código]=Tabela3[[#This Row],[PAPEL]]),Tabela1768[Fechamento])</f>
        <v>0</v>
      </c>
      <c r="BB391" s="7">
        <f>SUMPRODUCT(N(Tabela17683[Código]=Tabela3[[#This Row],[PAPEL]]),Tabela17683[Fechamento])</f>
        <v>50.36</v>
      </c>
    </row>
    <row r="392" spans="1:54" hidden="1" x14ac:dyDescent="0.2">
      <c r="A392" s="3" t="s">
        <v>1709</v>
      </c>
      <c r="B392" s="57" t="s">
        <v>1662</v>
      </c>
      <c r="C392" s="16" t="str">
        <f>LEFT(Tabela3[PAPEL],LEN(Tabela3[PAPEL])-(LEN(Tabela3[PAPEL])-4))</f>
        <v>DHBI</v>
      </c>
      <c r="D392" s="16">
        <v>3</v>
      </c>
      <c r="E392" s="5">
        <v>105487086</v>
      </c>
      <c r="F392" s="56">
        <v>2748746</v>
      </c>
      <c r="G392" s="81">
        <v>0.25</v>
      </c>
      <c r="H392" s="87"/>
      <c r="J392" s="18"/>
      <c r="K392" s="16"/>
      <c r="L392" s="87"/>
      <c r="M392" s="54"/>
      <c r="N392" s="54"/>
      <c r="O392" s="54"/>
      <c r="P392" s="91">
        <v>-388239000</v>
      </c>
      <c r="Q392" s="73">
        <v>-80146000</v>
      </c>
      <c r="R392" s="73">
        <f>IF(Tabela3[[#This Row],[Ativo || Passivo]]&gt;0,Tabela3[[#This Row],[Ativo || Passivo]]-Tabela3[[#This Row],[Patrimônio Líquido]],0)</f>
        <v>0</v>
      </c>
      <c r="S392" s="73">
        <f>Tabela3[[#This Row],[Cotação]]*Tabela3[[#This Row],[Total Ações]]</f>
        <v>34203536.950000003</v>
      </c>
      <c r="T392" s="37">
        <f>IF(Tabela3[[#This Row],[Passivo Circulante]]&gt;0,Tabela3[[#This Row],[Ativo Circulante]]/Tabela3[[#This Row],[Passivo Circulante]],0)</f>
        <v>0</v>
      </c>
      <c r="U392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92" s="18">
        <f>IF(Tabela3[[#This Row],[Lucro Líquido]]&gt;0,Tabela3[[#This Row],[Lucro Líquido]]/Tabela3[[#This Row],[Patrimônio Líquido]],0)</f>
        <v>0</v>
      </c>
      <c r="W392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92" s="18">
        <f>IF(Tabela3[[#This Row],[Dívida]]&gt;0,Tabela3[[#This Row],[Dívida]]/Tabela3[[#This Row],[Patrimônio Líquido]],0)</f>
        <v>0</v>
      </c>
      <c r="Y392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92" s="7">
        <f>Tabela3[[#This Row],[Capital Social]]*20%</f>
        <v>21097417.200000003</v>
      </c>
      <c r="AA392" s="47">
        <f>IF((Tabela3[Lucro Líquido]*5%)&gt;Tabela3[Teto R. Legal],Tabela3[Teto R. Legal],Tabela3[Lucro Líquido]*5%)</f>
        <v>-4007300</v>
      </c>
      <c r="AB392" s="47">
        <f>IF(Tabela3[Lucro Líquido]&lt;0,0,Tabela3[Lucro Líquido]-Tabela3[Reserva Legal])</f>
        <v>0</v>
      </c>
      <c r="AC392" s="47">
        <f>Tabela3[[#This Row],[Lucro Distribuir]]*Tabela3[%Div]</f>
        <v>0</v>
      </c>
      <c r="AD392" s="56">
        <f>SUMPRODUCT(N(Tabela3[Nome]=Tabela3[[#This Row],[Nome]]),Tabela3[Ações])</f>
        <v>4196753</v>
      </c>
      <c r="AE392" s="85">
        <f>Tabela3[Capital Social]/Tabela3[Total Ações]</f>
        <v>25.135404918993327</v>
      </c>
      <c r="AF392" s="85">
        <f>Tabela3[[#This Row],[Lucro Líquido]]/Tabela3[[#This Row],[Total Ações]]</f>
        <v>-19.097144864136631</v>
      </c>
      <c r="AG392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92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92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92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92" s="7">
        <f>Tabela3[Div Base]*Tabela3[Ações]</f>
        <v>0</v>
      </c>
      <c r="AL392" s="121">
        <f>SUMPRODUCT(N(Tabela3[Nome]=Tabela3[[#This Row],[Nome]]),Tabela3[Div Base]*Tabela3[Ações])</f>
        <v>0</v>
      </c>
      <c r="AM392" s="5">
        <f>Tabela3[Patrimônio Líquido]/Tabela3[Total Ações]</f>
        <v>-92.509375700690512</v>
      </c>
      <c r="AN392" s="52">
        <f>MAX(Tabela3[[#This Row],[Cotação 1]:[Cotação 5]])</f>
        <v>8.15</v>
      </c>
      <c r="AO392" s="53">
        <f>Tabela3[Cotação]/Tabela3[VPA]</f>
        <v>-8.8099178469963096E-2</v>
      </c>
      <c r="AP392" s="37">
        <f>IF(Tabela3[[#This Row],[Lucro/Ação]]&gt;0,Tabela3[[#This Row],[Cotação]]/(Tabela3[[#This Row],[Lucro/Ação]]/Tabela3[Ref]*4),0)</f>
        <v>0</v>
      </c>
      <c r="AQ392" s="85">
        <f>Tabela3[Lucro Distribuir]/Tabela3[Total Ações]</f>
        <v>0</v>
      </c>
      <c r="AR392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92" s="10" t="str">
        <f>IF(AND(Tabela3[% A.A.]&gt;=6%,SUMPRODUCT(N(Tabela3[Nome]=Tabela3[[#This Row],[Nome]]),Tabela3[PL])&gt;0,Tabela3[Rentabilidade s/ PL]&gt;=Tabela3[Rentabilidade s/ PL Média]),"Sim","Não")</f>
        <v>Não</v>
      </c>
      <c r="AT392" s="22">
        <f>IF(Tabela3[Cotação]&gt;0,Tabela3[[#This Row],[Lucro]]/Tabela3[[#This Row],[Cotação]],0)</f>
        <v>0</v>
      </c>
      <c r="AU392" s="22">
        <f>((1+Tabela3[[#This Row],[% Yield]])^(1/(3*Tabela3[[#This Row],[Ref]])))^(12)-1</f>
        <v>0</v>
      </c>
      <c r="AV392" s="10">
        <f>IF(Tabela3[Cotação]&gt;0,($BH$1/Tabela3[[#This Row],[Cotação]]-MOD($BH$1/Tabela3[[#This Row],[Cotação]],100)),)</f>
        <v>0</v>
      </c>
      <c r="AW392" s="7">
        <f>Tabela3[[#This Row],[Ativos]]*Tabela3[Lucro]</f>
        <v>0</v>
      </c>
      <c r="AX392" s="7">
        <f>SUMPRODUCT(N(Tabela1[Código]=Tabela3[[#This Row],[PAPEL]]),Tabela1[Fechamento])</f>
        <v>0</v>
      </c>
      <c r="AY392" s="7">
        <f>SUMPRODUCT(N(Tabela17[Código]=Tabela3[[#This Row],[PAPEL]]),Tabela17[Fechamento])</f>
        <v>0</v>
      </c>
      <c r="AZ392" s="7">
        <f>SUMPRODUCT(N(Tabela176[Código]=Tabela3[[#This Row],[PAPEL]]),Tabela176[Fechamento])</f>
        <v>0</v>
      </c>
      <c r="BA392" s="7">
        <f>SUMPRODUCT(N(Tabela1768[Código]=Tabela3[[#This Row],[PAPEL]]),Tabela1768[Fechamento])</f>
        <v>0</v>
      </c>
      <c r="BB392" s="7">
        <f>SUMPRODUCT(N(Tabela17683[Código]=Tabela3[[#This Row],[PAPEL]]),Tabela17683[Fechamento])</f>
        <v>8.15</v>
      </c>
    </row>
    <row r="393" spans="1:54" hidden="1" x14ac:dyDescent="0.2">
      <c r="A393" s="4" t="s">
        <v>298</v>
      </c>
      <c r="B393" s="57" t="s">
        <v>726</v>
      </c>
      <c r="C393" s="15" t="str">
        <f>LEFT(Tabela3[PAPEL],LEN(Tabela3[PAPEL])-(LEN(Tabela3[PAPEL])-4))</f>
        <v>DOCA</v>
      </c>
      <c r="D393" s="15">
        <v>3</v>
      </c>
      <c r="E393" s="6">
        <v>231161118.28999999</v>
      </c>
      <c r="F393" s="8">
        <v>1100656</v>
      </c>
      <c r="G393" s="86">
        <v>0.25</v>
      </c>
      <c r="H393" s="15"/>
      <c r="I393" s="19"/>
      <c r="J393" s="19"/>
      <c r="K393" s="88"/>
      <c r="L393" s="88"/>
      <c r="M393" s="55"/>
      <c r="N393" s="55"/>
      <c r="O393" s="55"/>
      <c r="P393" s="92">
        <v>-367598000</v>
      </c>
      <c r="Q393" s="93">
        <v>-10261000</v>
      </c>
      <c r="R393" s="93">
        <f>IF(Tabela3[[#This Row],[Ativo || Passivo]]&gt;0,Tabela3[[#This Row],[Ativo || Passivo]]-Tabela3[[#This Row],[Patrimônio Líquido]],0)</f>
        <v>0</v>
      </c>
      <c r="S393" s="93">
        <f>Tabela3[[#This Row],[Cotação]]*Tabela3[[#This Row],[Total Ações]]</f>
        <v>12749484</v>
      </c>
      <c r="T393" s="40">
        <f>IF(Tabela3[[#This Row],[Passivo Circulante]]&gt;0,Tabela3[[#This Row],[Ativo Circulante]]/Tabela3[[#This Row],[Passivo Circulante]],0)</f>
        <v>0</v>
      </c>
      <c r="U393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93" s="19">
        <f>IF(Tabela3[[#This Row],[Lucro Líquido]]&gt;0,Tabela3[[#This Row],[Lucro Líquido]]/Tabela3[[#This Row],[Patrimônio Líquido]],0)</f>
        <v>0</v>
      </c>
      <c r="W393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93" s="19">
        <f>IF(Tabela3[[#This Row],[Dívida]]&gt;0,Tabela3[[#This Row],[Dívida]]/Tabela3[[#This Row],[Patrimônio Líquido]],0)</f>
        <v>0</v>
      </c>
      <c r="Y393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93" s="13">
        <f>Tabela3[[#This Row],[Capital Social]]*20%</f>
        <v>46232223.658</v>
      </c>
      <c r="AA393" s="13">
        <f>IF((Tabela3[Lucro Líquido]*5%)&gt;Tabela3[Teto R. Legal],Tabela3[Teto R. Legal],Tabela3[Lucro Líquido]*5%)</f>
        <v>-513050</v>
      </c>
      <c r="AB393" s="13">
        <f>IF(Tabela3[Lucro Líquido]&lt;0,0,Tabela3[Lucro Líquido]-Tabela3[Reserva Legal])</f>
        <v>0</v>
      </c>
      <c r="AC393" s="13">
        <f>Tabela3[[#This Row],[Lucro Distribuir]]*Tabela3[%Div]</f>
        <v>0</v>
      </c>
      <c r="AD393" s="21">
        <f>SUMPRODUCT(N(Tabela3[Nome]=Tabela3[[#This Row],[Nome]]),Tabela3[Ações])</f>
        <v>1159044</v>
      </c>
      <c r="AE393" s="6">
        <f>Tabela3[Capital Social]/Tabela3[Total Ações]</f>
        <v>199.4411931643665</v>
      </c>
      <c r="AF393" s="78">
        <f>Tabela3[[#This Row],[Lucro Líquido]]/Tabela3[[#This Row],[Total Ações]]</f>
        <v>-8.8529857365207878</v>
      </c>
      <c r="AG393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93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93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93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93" s="13">
        <f>Tabela3[Div Base]*Tabela3[Ações]</f>
        <v>0</v>
      </c>
      <c r="AL393" s="13">
        <f>SUMPRODUCT(N(Tabela3[Nome]=Tabela3[[#This Row],[Nome]]),Tabela3[Div Base]*Tabela3[Ações])</f>
        <v>0</v>
      </c>
      <c r="AM393" s="6">
        <f>Tabela3[Patrimônio Líquido]/Tabela3[Total Ações]</f>
        <v>-317.15620804732174</v>
      </c>
      <c r="AN393" s="48">
        <f>MAX(Tabela3[[#This Row],[Cotação 1]:[Cotação 5]])</f>
        <v>11</v>
      </c>
      <c r="AO393" s="44">
        <f>Tabela3[Cotação]/Tabela3[VPA]</f>
        <v>-3.4683224609491893E-2</v>
      </c>
      <c r="AP393" s="40">
        <f>IF(Tabela3[[#This Row],[Lucro/Ação]]&gt;0,Tabela3[[#This Row],[Cotação]]/(Tabela3[[#This Row],[Lucro/Ação]]/Tabela3[Ref]*4),0)</f>
        <v>0</v>
      </c>
      <c r="AQ393" s="78">
        <f>Tabela3[Lucro Distribuir]/Tabela3[Total Ações]</f>
        <v>0</v>
      </c>
      <c r="AR393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93" s="14" t="str">
        <f>IF(AND(Tabela3[% A.A.]&gt;=6%,SUMPRODUCT(N(Tabela3[Nome]=Tabela3[[#This Row],[Nome]]),Tabela3[PL])&gt;0,Tabela3[Rentabilidade s/ PL]&gt;=Tabela3[Rentabilidade s/ PL Média]),"Sim","Não")</f>
        <v>Não</v>
      </c>
      <c r="AT393" s="42">
        <f>IF(Tabela3[Cotação]&gt;0,Tabela3[[#This Row],[Lucro]]/Tabela3[[#This Row],[Cotação]],0)</f>
        <v>0</v>
      </c>
      <c r="AU393" s="42">
        <f>((1+Tabela3[[#This Row],[% Yield]])^(1/(3*Tabela3[[#This Row],[Ref]])))^(12)-1</f>
        <v>0</v>
      </c>
      <c r="AV393" s="14">
        <f>IF(Tabela3[Cotação]&gt;0,($BH$1/Tabela3[[#This Row],[Cotação]]-MOD($BH$1/Tabela3[[#This Row],[Cotação]],100)),)</f>
        <v>0</v>
      </c>
      <c r="AW393" s="17">
        <f>Tabela3[[#This Row],[Ativos]]*Tabela3[Lucro]</f>
        <v>0</v>
      </c>
      <c r="AX393" s="17">
        <f>SUMPRODUCT(N(Tabela1[Código]=Tabela3[[#This Row],[PAPEL]]),Tabela1[Fechamento])</f>
        <v>0</v>
      </c>
      <c r="AY393" s="17">
        <f>SUMPRODUCT(N(Tabela17[Código]=Tabela3[[#This Row],[PAPEL]]),Tabela17[Fechamento])</f>
        <v>0</v>
      </c>
      <c r="AZ393" s="17">
        <f>SUMPRODUCT(N(Tabela176[Código]=Tabela3[[#This Row],[PAPEL]]),Tabela176[Fechamento])</f>
        <v>11</v>
      </c>
      <c r="BA393" s="17">
        <f>SUMPRODUCT(N(Tabela1768[Código]=Tabela3[[#This Row],[PAPEL]]),Tabela1768[Fechamento])</f>
        <v>0</v>
      </c>
      <c r="BB393" s="7">
        <f>SUMPRODUCT(N(Tabela17683[Código]=Tabela3[[#This Row],[PAPEL]]),Tabela17683[Fechamento])</f>
        <v>0</v>
      </c>
    </row>
    <row r="394" spans="1:54" hidden="1" x14ac:dyDescent="0.2">
      <c r="A394" s="4" t="s">
        <v>298</v>
      </c>
      <c r="B394" s="57" t="s">
        <v>727</v>
      </c>
      <c r="C394" s="15" t="str">
        <f>LEFT(Tabela3[PAPEL],LEN(Tabela3[PAPEL])-(LEN(Tabela3[PAPEL])-4))</f>
        <v>DOCA</v>
      </c>
      <c r="D394" s="15">
        <v>3</v>
      </c>
      <c r="E394" s="6">
        <v>231161118.28999999</v>
      </c>
      <c r="F394" s="8">
        <v>58388</v>
      </c>
      <c r="G394" s="86">
        <v>0.25</v>
      </c>
      <c r="H394" s="15"/>
      <c r="I394" s="19"/>
      <c r="J394" s="19">
        <v>0.1</v>
      </c>
      <c r="K394" s="88"/>
      <c r="L394" s="88"/>
      <c r="M394" s="55"/>
      <c r="N394" s="55"/>
      <c r="O394" s="55"/>
      <c r="P394" s="92">
        <v>-367598000</v>
      </c>
      <c r="Q394" s="93">
        <v>-10261000</v>
      </c>
      <c r="R394" s="93">
        <f>IF(Tabela3[[#This Row],[Ativo || Passivo]]&gt;0,Tabela3[[#This Row],[Ativo || Passivo]]-Tabela3[[#This Row],[Patrimônio Líquido]],0)</f>
        <v>0</v>
      </c>
      <c r="S394" s="93">
        <f>Tabela3[[#This Row],[Cotação]]*Tabela3[[#This Row],[Total Ações]]</f>
        <v>5806810.4399999995</v>
      </c>
      <c r="T394" s="40">
        <f>IF(Tabela3[[#This Row],[Passivo Circulante]]&gt;0,Tabela3[[#This Row],[Ativo Circulante]]/Tabela3[[#This Row],[Passivo Circulante]],0)</f>
        <v>0</v>
      </c>
      <c r="U394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94" s="19">
        <f>IF(Tabela3[[#This Row],[Lucro Líquido]]&gt;0,Tabela3[[#This Row],[Lucro Líquido]]/Tabela3[[#This Row],[Patrimônio Líquido]],0)</f>
        <v>0</v>
      </c>
      <c r="W394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94" s="19">
        <f>IF(Tabela3[[#This Row],[Dívida]]&gt;0,Tabela3[[#This Row],[Dívida]]/Tabela3[[#This Row],[Patrimônio Líquido]],0)</f>
        <v>0</v>
      </c>
      <c r="Y394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94" s="13">
        <f>Tabela3[[#This Row],[Capital Social]]*20%</f>
        <v>46232223.658</v>
      </c>
      <c r="AA394" s="13">
        <f>IF((Tabela3[Lucro Líquido]*5%)&gt;Tabela3[Teto R. Legal],Tabela3[Teto R. Legal],Tabela3[Lucro Líquido]*5%)</f>
        <v>-513050</v>
      </c>
      <c r="AB394" s="13">
        <f>IF(Tabela3[Lucro Líquido]&lt;0,0,Tabela3[Lucro Líquido]-Tabela3[Reserva Legal])</f>
        <v>0</v>
      </c>
      <c r="AC394" s="13">
        <f>Tabela3[[#This Row],[Lucro Distribuir]]*Tabela3[%Div]</f>
        <v>0</v>
      </c>
      <c r="AD394" s="21">
        <f>SUMPRODUCT(N(Tabela3[Nome]=Tabela3[[#This Row],[Nome]]),Tabela3[Ações])</f>
        <v>1159044</v>
      </c>
      <c r="AE394" s="6">
        <f>Tabela3[Capital Social]/Tabela3[Total Ações]</f>
        <v>199.4411931643665</v>
      </c>
      <c r="AF394" s="78">
        <f>Tabela3[[#This Row],[Lucro Líquido]]/Tabela3[[#This Row],[Total Ações]]</f>
        <v>-8.8529857365207878</v>
      </c>
      <c r="AG394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94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94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94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94" s="13">
        <f>Tabela3[Div Base]*Tabela3[Ações]</f>
        <v>0</v>
      </c>
      <c r="AL394" s="13">
        <f>SUMPRODUCT(N(Tabela3[Nome]=Tabela3[[#This Row],[Nome]]),Tabela3[Div Base]*Tabela3[Ações])</f>
        <v>0</v>
      </c>
      <c r="AM394" s="6">
        <f>Tabela3[Patrimônio Líquido]/Tabela3[Total Ações]</f>
        <v>-317.15620804732174</v>
      </c>
      <c r="AN394" s="48">
        <f>MAX(Tabela3[[#This Row],[Cotação 1]:[Cotação 5]])</f>
        <v>5.01</v>
      </c>
      <c r="AO394" s="44">
        <f>Tabela3[Cotação]/Tabela3[VPA]</f>
        <v>-1.5796632299414033E-2</v>
      </c>
      <c r="AP394" s="40">
        <f>IF(Tabela3[[#This Row],[Lucro/Ação]]&gt;0,Tabela3[[#This Row],[Cotação]]/(Tabela3[[#This Row],[Lucro/Ação]]/Tabela3[Ref]*4),0)</f>
        <v>0</v>
      </c>
      <c r="AQ394" s="78">
        <f>Tabela3[Lucro Distribuir]/Tabela3[Total Ações]</f>
        <v>0</v>
      </c>
      <c r="AR394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94" s="14" t="str">
        <f>IF(AND(Tabela3[% A.A.]&gt;=6%,SUMPRODUCT(N(Tabela3[Nome]=Tabela3[[#This Row],[Nome]]),Tabela3[PL])&gt;0,Tabela3[Rentabilidade s/ PL]&gt;=Tabela3[Rentabilidade s/ PL Média]),"Sim","Não")</f>
        <v>Não</v>
      </c>
      <c r="AT394" s="42">
        <f>IF(Tabela3[Cotação]&gt;0,Tabela3[[#This Row],[Lucro]]/Tabela3[[#This Row],[Cotação]],0)</f>
        <v>0</v>
      </c>
      <c r="AU394" s="42">
        <f>((1+Tabela3[[#This Row],[% Yield]])^(1/(3*Tabela3[[#This Row],[Ref]])))^(12)-1</f>
        <v>0</v>
      </c>
      <c r="AV394" s="14">
        <f>IF(Tabela3[Cotação]&gt;0,($BH$1/Tabela3[[#This Row],[Cotação]]-MOD($BH$1/Tabela3[[#This Row],[Cotação]],100)),)</f>
        <v>0</v>
      </c>
      <c r="AW394" s="17">
        <f>Tabela3[[#This Row],[Ativos]]*Tabela3[Lucro]</f>
        <v>0</v>
      </c>
      <c r="AX394" s="17">
        <f>SUMPRODUCT(N(Tabela1[Código]=Tabela3[[#This Row],[PAPEL]]),Tabela1[Fechamento])</f>
        <v>0</v>
      </c>
      <c r="AY394" s="17">
        <f>SUMPRODUCT(N(Tabela17[Código]=Tabela3[[#This Row],[PAPEL]]),Tabela17[Fechamento])</f>
        <v>0</v>
      </c>
      <c r="AZ394" s="17">
        <f>SUMPRODUCT(N(Tabela176[Código]=Tabela3[[#This Row],[PAPEL]]),Tabela176[Fechamento])</f>
        <v>5.01</v>
      </c>
      <c r="BA394" s="17">
        <f>SUMPRODUCT(N(Tabela1768[Código]=Tabela3[[#This Row],[PAPEL]]),Tabela1768[Fechamento])</f>
        <v>0</v>
      </c>
      <c r="BB394" s="7">
        <f>SUMPRODUCT(N(Tabela17683[Código]=Tabela3[[#This Row],[PAPEL]]),Tabela17683[Fechamento])</f>
        <v>0</v>
      </c>
    </row>
    <row r="395" spans="1:54" hidden="1" x14ac:dyDescent="0.2">
      <c r="A395" s="3" t="s">
        <v>1467</v>
      </c>
      <c r="B395" s="57" t="s">
        <v>1450</v>
      </c>
      <c r="C395" s="16" t="str">
        <f>LEFT(Tabela3[PAPEL],LEN(Tabela3[PAPEL])-(LEN(Tabela3[PAPEL])-4))</f>
        <v>DTCY</v>
      </c>
      <c r="D395" s="16">
        <v>3</v>
      </c>
      <c r="E395" s="5">
        <v>54109503.509999998</v>
      </c>
      <c r="F395" s="56">
        <v>52884310</v>
      </c>
      <c r="G395" s="81">
        <v>0.25</v>
      </c>
      <c r="H395" s="18"/>
      <c r="J395" s="18"/>
      <c r="K395" s="16"/>
      <c r="L395" s="87"/>
      <c r="M395" s="54"/>
      <c r="N395" s="54"/>
      <c r="O395" s="54"/>
      <c r="P395" s="91">
        <v>3294000</v>
      </c>
      <c r="Q395" s="73">
        <v>-1687000</v>
      </c>
      <c r="R395" s="73">
        <f>IF(Tabela3[[#This Row],[Ativo || Passivo]]&gt;0,Tabela3[[#This Row],[Ativo || Passivo]]-Tabela3[[#This Row],[Patrimônio Líquido]],0)</f>
        <v>0</v>
      </c>
      <c r="S395" s="73">
        <f>Tabela3[[#This Row],[Cotação]]*Tabela3[[#This Row],[Total Ações]]</f>
        <v>17962179.199999999</v>
      </c>
      <c r="T395" s="37">
        <f>IF(Tabela3[[#This Row],[Passivo Circulante]]&gt;0,Tabela3[[#This Row],[Ativo Circulante]]/Tabela3[[#This Row],[Passivo Circulante]],0)</f>
        <v>0</v>
      </c>
      <c r="U395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95" s="18">
        <f>IF(Tabela3[[#This Row],[Lucro Líquido]]&gt;0,Tabela3[[#This Row],[Lucro Líquido]]/Tabela3[[#This Row],[Patrimônio Líquido]],0)</f>
        <v>0</v>
      </c>
      <c r="W395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95" s="18">
        <f>IF(Tabela3[[#This Row],[Dívida]]&gt;0,Tabela3[[#This Row],[Dívida]]/Tabela3[[#This Row],[Patrimônio Líquido]],0)</f>
        <v>0</v>
      </c>
      <c r="Y395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95" s="7">
        <f>Tabela3[[#This Row],[Capital Social]]*20%</f>
        <v>10821900.702</v>
      </c>
      <c r="AA395" s="47">
        <f>IF((Tabela3[Lucro Líquido]*5%)&gt;Tabela3[Teto R. Legal],Tabela3[Teto R. Legal],Tabela3[Lucro Líquido]*5%)</f>
        <v>-84350</v>
      </c>
      <c r="AB395" s="47">
        <f>IF(Tabela3[Lucro Líquido]&lt;0,0,Tabela3[Lucro Líquido]-Tabela3[Reserva Legal])</f>
        <v>0</v>
      </c>
      <c r="AC395" s="47">
        <f>Tabela3[[#This Row],[Lucro Distribuir]]*Tabela3[%Div]</f>
        <v>0</v>
      </c>
      <c r="AD395" s="56">
        <f>SUMPRODUCT(N(Tabela3[Nome]=Tabela3[[#This Row],[Nome]]),Tabela3[Ações])</f>
        <v>56131810</v>
      </c>
      <c r="AE395" s="85">
        <f>Tabela3[Capital Social]/Tabela3[Total Ações]</f>
        <v>0.96397218457769307</v>
      </c>
      <c r="AF395" s="85">
        <f>Tabela3[[#This Row],[Lucro Líquido]]/Tabela3[[#This Row],[Total Ações]]</f>
        <v>-3.0054259786028634E-2</v>
      </c>
      <c r="AG395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95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95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95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95" s="7">
        <f>Tabela3[Div Base]*Tabela3[Ações]</f>
        <v>0</v>
      </c>
      <c r="AL395" s="121">
        <f>SUMPRODUCT(N(Tabela3[Nome]=Tabela3[[#This Row],[Nome]]),Tabela3[Div Base]*Tabela3[Ações])</f>
        <v>0</v>
      </c>
      <c r="AM395" s="5">
        <f>Tabela3[Patrimônio Líquido]/Tabela3[Total Ações]</f>
        <v>5.8683302747586437E-2</v>
      </c>
      <c r="AN395" s="52">
        <f>MAX(Tabela3[[#This Row],[Cotação 1]:[Cotação 5]])</f>
        <v>0.32</v>
      </c>
      <c r="AO395" s="53">
        <f>Tabela3[Cotação]/Tabela3[VPA]</f>
        <v>5.4529991499696422</v>
      </c>
      <c r="AP395" s="37">
        <f>IF(Tabela3[[#This Row],[Lucro/Ação]]&gt;0,Tabela3[[#This Row],[Cotação]]/(Tabela3[[#This Row],[Lucro/Ação]]/Tabela3[Ref]*4),0)</f>
        <v>0</v>
      </c>
      <c r="AQ395" s="85">
        <f>Tabela3[Lucro Distribuir]/Tabela3[Total Ações]</f>
        <v>0</v>
      </c>
      <c r="AR395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95" s="10" t="str">
        <f>IF(AND(Tabela3[% A.A.]&gt;=6%,SUMPRODUCT(N(Tabela3[Nome]=Tabela3[[#This Row],[Nome]]),Tabela3[PL])&gt;0,Tabela3[Rentabilidade s/ PL]&gt;=Tabela3[Rentabilidade s/ PL Média]),"Sim","Não")</f>
        <v>Não</v>
      </c>
      <c r="AT395" s="22">
        <f>IF(Tabela3[Cotação]&gt;0,Tabela3[[#This Row],[Lucro]]/Tabela3[[#This Row],[Cotação]],0)</f>
        <v>0</v>
      </c>
      <c r="AU395" s="22">
        <f>((1+Tabela3[[#This Row],[% Yield]])^(1/(3*Tabela3[[#This Row],[Ref]])))^(12)-1</f>
        <v>0</v>
      </c>
      <c r="AV395" s="10">
        <f>IF(Tabela3[Cotação]&gt;0,($BH$1/Tabela3[[#This Row],[Cotação]]-MOD($BH$1/Tabela3[[#This Row],[Cotação]],100)),)</f>
        <v>1500</v>
      </c>
      <c r="AW395" s="7">
        <f>Tabela3[[#This Row],[Ativos]]*Tabela3[Lucro]</f>
        <v>0</v>
      </c>
      <c r="AX395" s="7">
        <f>SUMPRODUCT(N(Tabela1[Código]=Tabela3[[#This Row],[PAPEL]]),Tabela1[Fechamento])</f>
        <v>0</v>
      </c>
      <c r="AY395" s="7">
        <f>SUMPRODUCT(N(Tabela17[Código]=Tabela3[[#This Row],[PAPEL]]),Tabela17[Fechamento])</f>
        <v>0</v>
      </c>
      <c r="AZ395" s="7">
        <f>SUMPRODUCT(N(Tabela176[Código]=Tabela3[[#This Row],[PAPEL]]),Tabela176[Fechamento])</f>
        <v>0</v>
      </c>
      <c r="BA395" s="7">
        <f>SUMPRODUCT(N(Tabela1768[Código]=Tabela3[[#This Row],[PAPEL]]),Tabela1768[Fechamento])</f>
        <v>0</v>
      </c>
      <c r="BB395" s="7">
        <f>SUMPRODUCT(N(Tabela17683[Código]=Tabela3[[#This Row],[PAPEL]]),Tabela17683[Fechamento])</f>
        <v>0.32</v>
      </c>
    </row>
    <row r="396" spans="1:54" hidden="1" x14ac:dyDescent="0.2">
      <c r="A396" s="3" t="s">
        <v>1467</v>
      </c>
      <c r="B396" s="57" t="s">
        <v>1451</v>
      </c>
      <c r="C396" s="16" t="str">
        <f>LEFT(Tabela3[PAPEL],LEN(Tabela3[PAPEL])-(LEN(Tabela3[PAPEL])-4))</f>
        <v>DTCY</v>
      </c>
      <c r="D396" s="16">
        <v>3</v>
      </c>
      <c r="E396" s="5">
        <v>54109503.509999998</v>
      </c>
      <c r="F396" s="56">
        <v>3247500</v>
      </c>
      <c r="G396" s="81">
        <v>0.25</v>
      </c>
      <c r="H396" s="18"/>
      <c r="J396" s="18">
        <v>0.1</v>
      </c>
      <c r="K396" s="16"/>
      <c r="L396" s="87"/>
      <c r="M396" s="54"/>
      <c r="N396" s="54"/>
      <c r="O396" s="54"/>
      <c r="P396" s="91">
        <v>3294000</v>
      </c>
      <c r="Q396" s="73">
        <v>-1687000</v>
      </c>
      <c r="R396" s="73">
        <f>IF(Tabela3[[#This Row],[Ativo || Passivo]]&gt;0,Tabela3[[#This Row],[Ativo || Passivo]]-Tabela3[[#This Row],[Patrimônio Líquido]],0)</f>
        <v>0</v>
      </c>
      <c r="S396" s="73">
        <f>Tabela3[[#This Row],[Cotação]]*Tabela3[[#This Row],[Total Ações]]</f>
        <v>0</v>
      </c>
      <c r="T396" s="37">
        <f>IF(Tabela3[[#This Row],[Passivo Circulante]]&gt;0,Tabela3[[#This Row],[Ativo Circulante]]/Tabela3[[#This Row],[Passivo Circulante]],0)</f>
        <v>0</v>
      </c>
      <c r="U396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96" s="18">
        <f>IF(Tabela3[[#This Row],[Lucro Líquido]]&gt;0,Tabela3[[#This Row],[Lucro Líquido]]/Tabela3[[#This Row],[Patrimônio Líquido]],0)</f>
        <v>0</v>
      </c>
      <c r="W396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96" s="18">
        <f>IF(Tabela3[[#This Row],[Dívida]]&gt;0,Tabela3[[#This Row],[Dívida]]/Tabela3[[#This Row],[Patrimônio Líquido]],0)</f>
        <v>0</v>
      </c>
      <c r="Y396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96" s="7">
        <f>Tabela3[[#This Row],[Capital Social]]*20%</f>
        <v>10821900.702</v>
      </c>
      <c r="AA396" s="47">
        <f>IF((Tabela3[Lucro Líquido]*5%)&gt;Tabela3[Teto R. Legal],Tabela3[Teto R. Legal],Tabela3[Lucro Líquido]*5%)</f>
        <v>-84350</v>
      </c>
      <c r="AB396" s="47">
        <f>IF(Tabela3[Lucro Líquido]&lt;0,0,Tabela3[Lucro Líquido]-Tabela3[Reserva Legal])</f>
        <v>0</v>
      </c>
      <c r="AC396" s="47">
        <f>Tabela3[[#This Row],[Lucro Distribuir]]*Tabela3[%Div]</f>
        <v>0</v>
      </c>
      <c r="AD396" s="56">
        <f>SUMPRODUCT(N(Tabela3[Nome]=Tabela3[[#This Row],[Nome]]),Tabela3[Ações])</f>
        <v>56131810</v>
      </c>
      <c r="AE396" s="85">
        <f>Tabela3[Capital Social]/Tabela3[Total Ações]</f>
        <v>0.96397218457769307</v>
      </c>
      <c r="AF396" s="85">
        <f>Tabela3[[#This Row],[Lucro Líquido]]/Tabela3[[#This Row],[Total Ações]]</f>
        <v>-3.0054259786028634E-2</v>
      </c>
      <c r="AG396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96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96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96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96" s="7">
        <f>Tabela3[Div Base]*Tabela3[Ações]</f>
        <v>0</v>
      </c>
      <c r="AL396" s="121">
        <f>SUMPRODUCT(N(Tabela3[Nome]=Tabela3[[#This Row],[Nome]]),Tabela3[Div Base]*Tabela3[Ações])</f>
        <v>0</v>
      </c>
      <c r="AM396" s="5">
        <f>Tabela3[Patrimônio Líquido]/Tabela3[Total Ações]</f>
        <v>5.8683302747586437E-2</v>
      </c>
      <c r="AN396" s="52">
        <f>MAX(Tabela3[[#This Row],[Cotação 1]:[Cotação 5]])</f>
        <v>0</v>
      </c>
      <c r="AO396" s="53">
        <f>Tabela3[Cotação]/Tabela3[VPA]</f>
        <v>0</v>
      </c>
      <c r="AP396" s="37">
        <f>IF(Tabela3[[#This Row],[Lucro/Ação]]&gt;0,Tabela3[[#This Row],[Cotação]]/(Tabela3[[#This Row],[Lucro/Ação]]/Tabela3[Ref]*4),0)</f>
        <v>0</v>
      </c>
      <c r="AQ396" s="85">
        <f>Tabela3[Lucro Distribuir]/Tabela3[Total Ações]</f>
        <v>0</v>
      </c>
      <c r="AR396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96" s="10" t="str">
        <f>IF(AND(Tabela3[% A.A.]&gt;=6%,SUMPRODUCT(N(Tabela3[Nome]=Tabela3[[#This Row],[Nome]]),Tabela3[PL])&gt;0,Tabela3[Rentabilidade s/ PL]&gt;=Tabela3[Rentabilidade s/ PL Média]),"Sim","Não")</f>
        <v>Não</v>
      </c>
      <c r="AT396" s="22">
        <f>IF(Tabela3[Cotação]&gt;0,Tabela3[[#This Row],[Lucro]]/Tabela3[[#This Row],[Cotação]],0)</f>
        <v>0</v>
      </c>
      <c r="AU396" s="22">
        <f>((1+Tabela3[[#This Row],[% Yield]])^(1/(3*Tabela3[[#This Row],[Ref]])))^(12)-1</f>
        <v>0</v>
      </c>
      <c r="AV396" s="10">
        <f>IF(Tabela3[Cotação]&gt;0,($BH$1/Tabela3[[#This Row],[Cotação]]-MOD($BH$1/Tabela3[[#This Row],[Cotação]],100)),)</f>
        <v>0</v>
      </c>
      <c r="AW396" s="7">
        <f>Tabela3[[#This Row],[Ativos]]*Tabela3[Lucro]</f>
        <v>0</v>
      </c>
      <c r="AX396" s="7">
        <f>SUMPRODUCT(N(Tabela1[Código]=Tabela3[[#This Row],[PAPEL]]),Tabela1[Fechamento])</f>
        <v>0</v>
      </c>
      <c r="AY396" s="7">
        <f>SUMPRODUCT(N(Tabela17[Código]=Tabela3[[#This Row],[PAPEL]]),Tabela17[Fechamento])</f>
        <v>0</v>
      </c>
      <c r="AZ396" s="7">
        <f>SUMPRODUCT(N(Tabela176[Código]=Tabela3[[#This Row],[PAPEL]]),Tabela176[Fechamento])</f>
        <v>0</v>
      </c>
      <c r="BA396" s="7">
        <f>SUMPRODUCT(N(Tabela1768[Código]=Tabela3[[#This Row],[PAPEL]]),Tabela1768[Fechamento])</f>
        <v>0</v>
      </c>
      <c r="BB396" s="7">
        <f>SUMPRODUCT(N(Tabela17683[Código]=Tabela3[[#This Row],[PAPEL]]),Tabela17683[Fechamento])</f>
        <v>0</v>
      </c>
    </row>
    <row r="397" spans="1:54" hidden="1" x14ac:dyDescent="0.2">
      <c r="A397" s="3" t="s">
        <v>935</v>
      </c>
      <c r="B397" s="58" t="s">
        <v>1112</v>
      </c>
      <c r="C397" s="16" t="str">
        <f>LEFT(Tabela3[PAPEL],LEN(Tabela3[PAPEL])-(LEN(Tabela3[PAPEL])-4))</f>
        <v>ECPR</v>
      </c>
      <c r="D397" s="16">
        <v>3</v>
      </c>
      <c r="E397" s="5">
        <v>74546944.540000007</v>
      </c>
      <c r="F397" s="56">
        <v>1026245</v>
      </c>
      <c r="G397" s="81">
        <v>0.33</v>
      </c>
      <c r="H397" s="87"/>
      <c r="J397" s="18"/>
      <c r="K397" s="16"/>
      <c r="L397" s="87"/>
      <c r="M397" s="54"/>
      <c r="N397" s="54"/>
      <c r="O397" s="54"/>
      <c r="P397" s="91">
        <v>231251000</v>
      </c>
      <c r="Q397" s="73">
        <v>-6051000</v>
      </c>
      <c r="R397" s="73">
        <f>IF(Tabela3[[#This Row],[Ativo || Passivo]]&gt;0,Tabela3[[#This Row],[Ativo || Passivo]]-Tabela3[[#This Row],[Patrimônio Líquido]],0)</f>
        <v>0</v>
      </c>
      <c r="S397" s="73">
        <f>Tabela3[[#This Row],[Cotação]]*Tabela3[[#This Row],[Total Ações]]</f>
        <v>60536039.039999999</v>
      </c>
      <c r="T397" s="37">
        <f>IF(Tabela3[[#This Row],[Passivo Circulante]]&gt;0,Tabela3[[#This Row],[Ativo Circulante]]/Tabela3[[#This Row],[Passivo Circulante]],0)</f>
        <v>0</v>
      </c>
      <c r="U397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97" s="18">
        <f>IF(Tabela3[[#This Row],[Lucro Líquido]]&gt;0,Tabela3[[#This Row],[Lucro Líquido]]/Tabela3[[#This Row],[Patrimônio Líquido]],0)</f>
        <v>0</v>
      </c>
      <c r="W397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97" s="18">
        <f>IF(Tabela3[[#This Row],[Dívida]]&gt;0,Tabela3[[#This Row],[Dívida]]/Tabela3[[#This Row],[Patrimônio Líquido]],0)</f>
        <v>0</v>
      </c>
      <c r="Y397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97" s="7">
        <f>Tabela3[[#This Row],[Capital Social]]*20%</f>
        <v>14909388.908000002</v>
      </c>
      <c r="AA397" s="47">
        <f>IF((Tabela3[Lucro Líquido]*5%)&gt;Tabela3[Teto R. Legal],Tabela3[Teto R. Legal],Tabela3[Lucro Líquido]*5%)</f>
        <v>-302550</v>
      </c>
      <c r="AB397" s="47">
        <f>IF(Tabela3[Lucro Líquido]&lt;0,0,Tabela3[Lucro Líquido]-Tabela3[Reserva Legal])</f>
        <v>0</v>
      </c>
      <c r="AC397" s="47">
        <f>Tabela3[[#This Row],[Lucro Distribuir]]*Tabela3[%Div]</f>
        <v>0</v>
      </c>
      <c r="AD397" s="56">
        <f>SUMPRODUCT(N(Tabela3[Nome]=Tabela3[[#This Row],[Nome]]),Tabela3[Ações])</f>
        <v>1900064</v>
      </c>
      <c r="AE397" s="85">
        <f>Tabela3[Capital Social]/Tabela3[Total Ações]</f>
        <v>39.233912405055833</v>
      </c>
      <c r="AF397" s="85">
        <f>Tabela3[[#This Row],[Lucro Líquido]]/Tabela3[[#This Row],[Total Ações]]</f>
        <v>-3.1846295703723664</v>
      </c>
      <c r="AG397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97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97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97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97" s="7">
        <f>Tabela3[Div Base]*Tabela3[Ações]</f>
        <v>0</v>
      </c>
      <c r="AL397" s="7">
        <f>SUMPRODUCT(N(Tabela3[Nome]=Tabela3[[#This Row],[Nome]]),Tabela3[Div Base]*Tabela3[Ações])</f>
        <v>0</v>
      </c>
      <c r="AM397" s="5">
        <f>Tabela3[Patrimônio Líquido]/Tabela3[Total Ações]</f>
        <v>121.70695302895061</v>
      </c>
      <c r="AN397" s="52">
        <f>MAX(Tabela3[[#This Row],[Cotação 1]:[Cotação 5]])</f>
        <v>31.86</v>
      </c>
      <c r="AO397" s="53">
        <f>Tabela3[Cotação]/Tabela3[VPA]</f>
        <v>0.26177633411314977</v>
      </c>
      <c r="AP397" s="37">
        <f>IF(Tabela3[[#This Row],[Lucro/Ação]]&gt;0,Tabela3[[#This Row],[Cotação]]/(Tabela3[[#This Row],[Lucro/Ação]]/Tabela3[Ref]*4),0)</f>
        <v>0</v>
      </c>
      <c r="AQ397" s="85">
        <f>Tabela3[Lucro Distribuir]/Tabela3[Total Ações]</f>
        <v>0</v>
      </c>
      <c r="AR397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97" s="10" t="str">
        <f>IF(AND(Tabela3[% A.A.]&gt;=6%,SUMPRODUCT(N(Tabela3[Nome]=Tabela3[[#This Row],[Nome]]),Tabela3[PL])&gt;0,Tabela3[Rentabilidade s/ PL]&gt;=Tabela3[Rentabilidade s/ PL Média]),"Sim","Não")</f>
        <v>Não</v>
      </c>
      <c r="AT397" s="22">
        <f>IF(Tabela3[Cotação]&gt;0,Tabela3[[#This Row],[Lucro]]/Tabela3[[#This Row],[Cotação]],0)</f>
        <v>0</v>
      </c>
      <c r="AU397" s="22">
        <f>((1+Tabela3[[#This Row],[% Yield]])^(1/(3*Tabela3[[#This Row],[Ref]])))^(12)-1</f>
        <v>0</v>
      </c>
      <c r="AV397" s="10">
        <f>IF(Tabela3[Cotação]&gt;0,($BH$1/Tabela3[[#This Row],[Cotação]]-MOD($BH$1/Tabela3[[#This Row],[Cotação]],100)),)</f>
        <v>0</v>
      </c>
      <c r="AW397" s="7">
        <f>Tabela3[[#This Row],[Ativos]]*Tabela3[Lucro]</f>
        <v>0</v>
      </c>
      <c r="AX397" s="7">
        <f>SUMPRODUCT(N(Tabela1[Código]=Tabela3[[#This Row],[PAPEL]]),Tabela1[Fechamento])</f>
        <v>0</v>
      </c>
      <c r="AY397" s="7">
        <f>SUMPRODUCT(N(Tabela17[Código]=Tabela3[[#This Row],[PAPEL]]),Tabela17[Fechamento])</f>
        <v>0</v>
      </c>
      <c r="AZ397" s="7">
        <f>SUMPRODUCT(N(Tabela176[Código]=Tabela3[[#This Row],[PAPEL]]),Tabela176[Fechamento])</f>
        <v>0</v>
      </c>
      <c r="BA397" s="7">
        <f>SUMPRODUCT(N(Tabela1768[Código]=Tabela3[[#This Row],[PAPEL]]),Tabela1768[Fechamento])</f>
        <v>31.86</v>
      </c>
      <c r="BB397" s="7">
        <f>SUMPRODUCT(N(Tabela17683[Código]=Tabela3[[#This Row],[PAPEL]]),Tabela17683[Fechamento])</f>
        <v>0</v>
      </c>
    </row>
    <row r="398" spans="1:54" hidden="1" x14ac:dyDescent="0.2">
      <c r="A398" s="3" t="s">
        <v>935</v>
      </c>
      <c r="B398" s="58" t="s">
        <v>1113</v>
      </c>
      <c r="C398" s="16" t="str">
        <f>LEFT(Tabela3[PAPEL],LEN(Tabela3[PAPEL])-(LEN(Tabela3[PAPEL])-4))</f>
        <v>ECPR</v>
      </c>
      <c r="D398" s="16">
        <v>3</v>
      </c>
      <c r="E398" s="5">
        <v>74546944.540000007</v>
      </c>
      <c r="F398" s="56">
        <v>873819</v>
      </c>
      <c r="G398" s="81">
        <v>0.33</v>
      </c>
      <c r="H398" s="87"/>
      <c r="J398" s="18">
        <v>0.1</v>
      </c>
      <c r="K398" s="16"/>
      <c r="L398" s="87"/>
      <c r="M398" s="54"/>
      <c r="N398" s="54"/>
      <c r="O398" s="54"/>
      <c r="P398" s="91">
        <v>231251000</v>
      </c>
      <c r="Q398" s="73">
        <v>-6051000</v>
      </c>
      <c r="R398" s="73">
        <f>IF(Tabela3[[#This Row],[Ativo || Passivo]]&gt;0,Tabela3[[#This Row],[Ativo || Passivo]]-Tabela3[[#This Row],[Patrimônio Líquido]],0)</f>
        <v>0</v>
      </c>
      <c r="S398" s="73">
        <f>Tabela3[[#This Row],[Cotação]]*Tabela3[[#This Row],[Total Ações]]</f>
        <v>93103136</v>
      </c>
      <c r="T398" s="37">
        <f>IF(Tabela3[[#This Row],[Passivo Circulante]]&gt;0,Tabela3[[#This Row],[Ativo Circulante]]/Tabela3[[#This Row],[Passivo Circulante]],0)</f>
        <v>0</v>
      </c>
      <c r="U398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98" s="18">
        <f>IF(Tabela3[[#This Row],[Lucro Líquido]]&gt;0,Tabela3[[#This Row],[Lucro Líquido]]/Tabela3[[#This Row],[Patrimônio Líquido]],0)</f>
        <v>0</v>
      </c>
      <c r="W398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98" s="18">
        <f>IF(Tabela3[[#This Row],[Dívida]]&gt;0,Tabela3[[#This Row],[Dívida]]/Tabela3[[#This Row],[Patrimônio Líquido]],0)</f>
        <v>0</v>
      </c>
      <c r="Y398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98" s="7">
        <f>Tabela3[[#This Row],[Capital Social]]*20%</f>
        <v>14909388.908000002</v>
      </c>
      <c r="AA398" s="47">
        <f>IF((Tabela3[Lucro Líquido]*5%)&gt;Tabela3[Teto R. Legal],Tabela3[Teto R. Legal],Tabela3[Lucro Líquido]*5%)</f>
        <v>-302550</v>
      </c>
      <c r="AB398" s="47">
        <f>IF(Tabela3[Lucro Líquido]&lt;0,0,Tabela3[Lucro Líquido]-Tabela3[Reserva Legal])</f>
        <v>0</v>
      </c>
      <c r="AC398" s="47">
        <f>Tabela3[[#This Row],[Lucro Distribuir]]*Tabela3[%Div]</f>
        <v>0</v>
      </c>
      <c r="AD398" s="56">
        <f>SUMPRODUCT(N(Tabela3[Nome]=Tabela3[[#This Row],[Nome]]),Tabela3[Ações])</f>
        <v>1900064</v>
      </c>
      <c r="AE398" s="85">
        <f>Tabela3[Capital Social]/Tabela3[Total Ações]</f>
        <v>39.233912405055833</v>
      </c>
      <c r="AF398" s="85">
        <f>Tabela3[[#This Row],[Lucro Líquido]]/Tabela3[[#This Row],[Total Ações]]</f>
        <v>-3.1846295703723664</v>
      </c>
      <c r="AG398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98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98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98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98" s="7">
        <f>Tabela3[Div Base]*Tabela3[Ações]</f>
        <v>0</v>
      </c>
      <c r="AL398" s="7">
        <f>SUMPRODUCT(N(Tabela3[Nome]=Tabela3[[#This Row],[Nome]]),Tabela3[Div Base]*Tabela3[Ações])</f>
        <v>0</v>
      </c>
      <c r="AM398" s="5">
        <f>Tabela3[Patrimônio Líquido]/Tabela3[Total Ações]</f>
        <v>121.70695302895061</v>
      </c>
      <c r="AN398" s="52">
        <f>MAX(Tabela3[[#This Row],[Cotação 1]:[Cotação 5]])</f>
        <v>49</v>
      </c>
      <c r="AO398" s="53">
        <f>Tabela3[Cotação]/Tabela3[VPA]</f>
        <v>0.40260641467496355</v>
      </c>
      <c r="AP398" s="37">
        <f>IF(Tabela3[[#This Row],[Lucro/Ação]]&gt;0,Tabela3[[#This Row],[Cotação]]/(Tabela3[[#This Row],[Lucro/Ação]]/Tabela3[Ref]*4),0)</f>
        <v>0</v>
      </c>
      <c r="AQ398" s="85">
        <f>Tabela3[Lucro Distribuir]/Tabela3[Total Ações]</f>
        <v>0</v>
      </c>
      <c r="AR398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98" s="10" t="str">
        <f>IF(AND(Tabela3[% A.A.]&gt;=6%,SUMPRODUCT(N(Tabela3[Nome]=Tabela3[[#This Row],[Nome]]),Tabela3[PL])&gt;0,Tabela3[Rentabilidade s/ PL]&gt;=Tabela3[Rentabilidade s/ PL Média]),"Sim","Não")</f>
        <v>Não</v>
      </c>
      <c r="AT398" s="22">
        <f>IF(Tabela3[Cotação]&gt;0,Tabela3[[#This Row],[Lucro]]/Tabela3[[#This Row],[Cotação]],0)</f>
        <v>0</v>
      </c>
      <c r="AU398" s="22">
        <f>((1+Tabela3[[#This Row],[% Yield]])^(1/(3*Tabela3[[#This Row],[Ref]])))^(12)-1</f>
        <v>0</v>
      </c>
      <c r="AV398" s="10">
        <f>IF(Tabela3[Cotação]&gt;0,($BH$1/Tabela3[[#This Row],[Cotação]]-MOD($BH$1/Tabela3[[#This Row],[Cotação]],100)),)</f>
        <v>0</v>
      </c>
      <c r="AW398" s="7">
        <f>Tabela3[[#This Row],[Ativos]]*Tabela3[Lucro]</f>
        <v>0</v>
      </c>
      <c r="AX398" s="7">
        <f>SUMPRODUCT(N(Tabela1[Código]=Tabela3[[#This Row],[PAPEL]]),Tabela1[Fechamento])</f>
        <v>0</v>
      </c>
      <c r="AY398" s="7">
        <f>SUMPRODUCT(N(Tabela17[Código]=Tabela3[[#This Row],[PAPEL]]),Tabela17[Fechamento])</f>
        <v>0</v>
      </c>
      <c r="AZ398" s="7">
        <f>SUMPRODUCT(N(Tabela176[Código]=Tabela3[[#This Row],[PAPEL]]),Tabela176[Fechamento])</f>
        <v>0</v>
      </c>
      <c r="BA398" s="7">
        <f>SUMPRODUCT(N(Tabela1768[Código]=Tabela3[[#This Row],[PAPEL]]),Tabela1768[Fechamento])</f>
        <v>49</v>
      </c>
      <c r="BB398" s="7">
        <f>SUMPRODUCT(N(Tabela17683[Código]=Tabela3[[#This Row],[PAPEL]]),Tabela17683[Fechamento])</f>
        <v>0</v>
      </c>
    </row>
    <row r="399" spans="1:54" hidden="1" x14ac:dyDescent="0.2">
      <c r="A399" s="4" t="s">
        <v>12</v>
      </c>
      <c r="B399" s="57" t="s">
        <v>97</v>
      </c>
      <c r="C399" s="14" t="str">
        <f>LEFT(Tabela3[PAPEL],LEN(Tabela3[PAPEL])-(LEN(Tabela3[PAPEL])-4))</f>
        <v>EEEL</v>
      </c>
      <c r="D399" s="15">
        <v>3</v>
      </c>
      <c r="E399" s="6">
        <v>588447186.05999994</v>
      </c>
      <c r="F399" s="8">
        <v>380669270</v>
      </c>
      <c r="G399" s="86">
        <v>0.5</v>
      </c>
      <c r="H399" s="15"/>
      <c r="I399" s="19"/>
      <c r="J399" s="19"/>
      <c r="K399" s="88"/>
      <c r="L399" s="88"/>
      <c r="M399" s="55"/>
      <c r="N399" s="55"/>
      <c r="O399" s="55"/>
      <c r="P399" s="89">
        <v>1791505000</v>
      </c>
      <c r="Q399" s="89">
        <v>-38094000</v>
      </c>
      <c r="R399" s="89">
        <f>IF(Tabela3[[#This Row],[Ativo || Passivo]]&gt;0,Tabela3[[#This Row],[Ativo || Passivo]]-Tabela3[[#This Row],[Patrimônio Líquido]],0)</f>
        <v>0</v>
      </c>
      <c r="S399" s="89">
        <f>Tabela3[[#This Row],[Cotação]]*Tabela3[[#This Row],[Total Ações]]</f>
        <v>557610952.31999993</v>
      </c>
      <c r="T399" s="134">
        <f>IF(Tabela3[[#This Row],[Passivo Circulante]]&gt;0,Tabela3[[#This Row],[Ativo Circulante]]/Tabela3[[#This Row],[Passivo Circulante]],0)</f>
        <v>0</v>
      </c>
      <c r="U399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399" s="19">
        <f>IF(Tabela3[[#This Row],[Lucro Líquido]]&gt;0,Tabela3[[#This Row],[Lucro Líquido]]/Tabela3[[#This Row],[Patrimônio Líquido]],0)</f>
        <v>0</v>
      </c>
      <c r="W399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399" s="19">
        <f>IF(Tabela3[[#This Row],[Dívida]]&gt;0,Tabela3[[#This Row],[Dívida]]/Tabela3[[#This Row],[Patrimônio Líquido]],0)</f>
        <v>0</v>
      </c>
      <c r="Y399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399" s="6">
        <f>Tabela3[[#This Row],[Capital Social]]*20%</f>
        <v>117689437.212</v>
      </c>
      <c r="AA399" s="6">
        <f>IF((Tabela3[Lucro Líquido]*5%)&gt;Tabela3[Teto R. Legal],Tabela3[Teto R. Legal],Tabela3[Lucro Líquido]*5%)</f>
        <v>-1904700</v>
      </c>
      <c r="AB399" s="89">
        <f>IF(Tabela3[Lucro Líquido]&lt;0,0,Tabela3[Lucro Líquido]-Tabela3[Reserva Legal])</f>
        <v>0</v>
      </c>
      <c r="AC399" s="89">
        <f>Tabela3[[#This Row],[Lucro Distribuir]]*Tabela3[%Div]</f>
        <v>0</v>
      </c>
      <c r="AD399" s="21">
        <f>SUMPRODUCT(N(Tabela3[Nome]=Tabela3[[#This Row],[Nome]]),Tabela3[Ações])</f>
        <v>387229828</v>
      </c>
      <c r="AE399" s="6">
        <f>Tabela3[Capital Social]/Tabela3[Total Ações]</f>
        <v>1.5196328988891836</v>
      </c>
      <c r="AF399" s="78">
        <f>Tabela3[[#This Row],[Lucro Líquido]]/Tabela3[[#This Row],[Total Ações]]</f>
        <v>-9.8375686079637439E-2</v>
      </c>
      <c r="AG399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399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399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399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399" s="6">
        <f>Tabela3[Div Base]*Tabela3[Ações]</f>
        <v>0</v>
      </c>
      <c r="AL399" s="6">
        <f>SUMPRODUCT(N(Tabela3[Nome]=Tabela3[[#This Row],[Nome]]),Tabela3[Div Base]*Tabela3[Ações])</f>
        <v>0</v>
      </c>
      <c r="AM399" s="6">
        <f>Tabela3[Patrimônio Líquido]/Tabela3[Total Ações]</f>
        <v>4.6264643642069849</v>
      </c>
      <c r="AN399" s="48">
        <f>MAX(Tabela3[[#This Row],[Cotação 1]:[Cotação 5]])</f>
        <v>1.44</v>
      </c>
      <c r="AO399" s="44">
        <f>Tabela3[Cotação]/Tabela3[VPA]</f>
        <v>0.31125280271057015</v>
      </c>
      <c r="AP399" s="40">
        <f>IF(Tabela3[[#This Row],[Lucro/Ação]]&gt;0,Tabela3[[#This Row],[Cotação]]/(Tabela3[[#This Row],[Lucro/Ação]]/Tabela3[Ref]*4),0)</f>
        <v>0</v>
      </c>
      <c r="AQ399" s="78">
        <f>Tabela3[Lucro Distribuir]/Tabela3[Total Ações]</f>
        <v>0</v>
      </c>
      <c r="AR399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399" s="15" t="str">
        <f>IF(AND(Tabela3[% A.A.]&gt;=6%,SUMPRODUCT(N(Tabela3[Nome]=Tabela3[[#This Row],[Nome]]),Tabela3[PL])&gt;0,Tabela3[Rentabilidade s/ PL]&gt;=Tabela3[Rentabilidade s/ PL Média]),"Sim","Não")</f>
        <v>Não</v>
      </c>
      <c r="AT399" s="42">
        <f>IF(Tabela3[Cotação]&gt;0,Tabela3[[#This Row],[Lucro]]/Tabela3[[#This Row],[Cotação]],0)</f>
        <v>0</v>
      </c>
      <c r="AU399" s="19">
        <f>((1+Tabela3[[#This Row],[% Yield]])^(1/(3*Tabela3[[#This Row],[Ref]])))^(12)-1</f>
        <v>0</v>
      </c>
      <c r="AV399" s="14">
        <f>IF(Tabela3[Cotação]&gt;0,($BH$1/Tabela3[[#This Row],[Cotação]]-MOD($BH$1/Tabela3[[#This Row],[Cotação]],100)),)</f>
        <v>300</v>
      </c>
      <c r="AW399" s="17">
        <f>Tabela3[[#This Row],[Ativos]]*Tabela3[Lucro]</f>
        <v>0</v>
      </c>
      <c r="AX399" s="5">
        <f>SUMPRODUCT(N(Tabela1[Código]=Tabela3[[#This Row],[PAPEL]]),Tabela1[Fechamento])</f>
        <v>1.44</v>
      </c>
      <c r="AY399" s="5">
        <f>SUMPRODUCT(N(Tabela17[Código]=Tabela3[[#This Row],[PAPEL]]),Tabela17[Fechamento])</f>
        <v>0</v>
      </c>
      <c r="AZ399" s="7">
        <f>SUMPRODUCT(N(Tabela176[Código]=Tabela3[[#This Row],[PAPEL]]),Tabela176[Fechamento])</f>
        <v>0</v>
      </c>
      <c r="BA399" s="7">
        <f>SUMPRODUCT(N(Tabela1768[Código]=Tabela3[[#This Row],[PAPEL]]),Tabela1768[Fechamento])</f>
        <v>0</v>
      </c>
      <c r="BB399" s="7">
        <f>SUMPRODUCT(N(Tabela17683[Código]=Tabela3[[#This Row],[PAPEL]]),Tabela17683[Fechamento])</f>
        <v>0</v>
      </c>
    </row>
    <row r="400" spans="1:54" hidden="1" x14ac:dyDescent="0.2">
      <c r="A400" s="4" t="s">
        <v>12</v>
      </c>
      <c r="B400" s="57" t="s">
        <v>98</v>
      </c>
      <c r="C400" s="14" t="str">
        <f>LEFT(Tabela3[PAPEL],LEN(Tabela3[PAPEL])-(LEN(Tabela3[PAPEL])-4))</f>
        <v>EEEL</v>
      </c>
      <c r="D400" s="15">
        <v>3</v>
      </c>
      <c r="E400" s="6">
        <v>588447186.05999994</v>
      </c>
      <c r="F400" s="8">
        <v>6560558</v>
      </c>
      <c r="G400" s="81">
        <v>0.5</v>
      </c>
      <c r="H400" s="15"/>
      <c r="I400" s="19">
        <v>0.1</v>
      </c>
      <c r="J400" s="19"/>
      <c r="K400" s="88"/>
      <c r="L400" s="88"/>
      <c r="M400" s="55"/>
      <c r="N400" s="55"/>
      <c r="O400" s="55"/>
      <c r="P400" s="89">
        <v>1791505000</v>
      </c>
      <c r="Q400" s="89">
        <v>-38094000</v>
      </c>
      <c r="R400" s="89">
        <f>IF(Tabela3[[#This Row],[Ativo || Passivo]]&gt;0,Tabela3[[#This Row],[Ativo || Passivo]]-Tabela3[[#This Row],[Patrimônio Líquido]],0)</f>
        <v>0</v>
      </c>
      <c r="S400" s="89">
        <f>Tabela3[[#This Row],[Cotação]]*Tabela3[[#This Row],[Total Ações]]</f>
        <v>693141392.12</v>
      </c>
      <c r="T400" s="134">
        <f>IF(Tabela3[[#This Row],[Passivo Circulante]]&gt;0,Tabela3[[#This Row],[Ativo Circulante]]/Tabela3[[#This Row],[Passivo Circulante]],0)</f>
        <v>0</v>
      </c>
      <c r="U400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00" s="19">
        <f>IF(Tabela3[[#This Row],[Lucro Líquido]]&gt;0,Tabela3[[#This Row],[Lucro Líquido]]/Tabela3[[#This Row],[Patrimônio Líquido]],0)</f>
        <v>0</v>
      </c>
      <c r="W400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00" s="19">
        <f>IF(Tabela3[[#This Row],[Dívida]]&gt;0,Tabela3[[#This Row],[Dívida]]/Tabela3[[#This Row],[Patrimônio Líquido]],0)</f>
        <v>0</v>
      </c>
      <c r="Y400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00" s="6">
        <f>Tabela3[[#This Row],[Capital Social]]*20%</f>
        <v>117689437.212</v>
      </c>
      <c r="AA400" s="6">
        <f>IF((Tabela3[Lucro Líquido]*5%)&gt;Tabela3[Teto R. Legal],Tabela3[Teto R. Legal],Tabela3[Lucro Líquido]*5%)</f>
        <v>-1904700</v>
      </c>
      <c r="AB400" s="89">
        <f>IF(Tabela3[Lucro Líquido]&lt;0,0,Tabela3[Lucro Líquido]-Tabela3[Reserva Legal])</f>
        <v>0</v>
      </c>
      <c r="AC400" s="89">
        <f>Tabela3[[#This Row],[Lucro Distribuir]]*Tabela3[%Div]</f>
        <v>0</v>
      </c>
      <c r="AD400" s="21">
        <f>SUMPRODUCT(N(Tabela3[Nome]=Tabela3[[#This Row],[Nome]]),Tabela3[Ações])</f>
        <v>387229828</v>
      </c>
      <c r="AE400" s="6">
        <f>Tabela3[Capital Social]/Tabela3[Total Ações]</f>
        <v>1.5196328988891836</v>
      </c>
      <c r="AF400" s="78">
        <f>Tabela3[[#This Row],[Lucro Líquido]]/Tabela3[[#This Row],[Total Ações]]</f>
        <v>-9.8375686079637439E-2</v>
      </c>
      <c r="AG400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00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00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00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00" s="6">
        <f>Tabela3[Div Base]*Tabela3[Ações]</f>
        <v>0</v>
      </c>
      <c r="AL400" s="6">
        <f>SUMPRODUCT(N(Tabela3[Nome]=Tabela3[[#This Row],[Nome]]),Tabela3[Div Base]*Tabela3[Ações])</f>
        <v>0</v>
      </c>
      <c r="AM400" s="6">
        <f>Tabela3[Patrimônio Líquido]/Tabela3[Total Ações]</f>
        <v>4.6264643642069849</v>
      </c>
      <c r="AN400" s="48">
        <f>MAX(Tabela3[[#This Row],[Cotação 1]:[Cotação 5]])</f>
        <v>1.79</v>
      </c>
      <c r="AO400" s="44">
        <f>Tabela3[Cotação]/Tabela3[VPA]</f>
        <v>0.38690452559161148</v>
      </c>
      <c r="AP400" s="40">
        <f>IF(Tabela3[[#This Row],[Lucro/Ação]]&gt;0,Tabela3[[#This Row],[Cotação]]/(Tabela3[[#This Row],[Lucro/Ação]]/Tabela3[Ref]*4),0)</f>
        <v>0</v>
      </c>
      <c r="AQ400" s="78">
        <f>Tabela3[Lucro Distribuir]/Tabela3[Total Ações]</f>
        <v>0</v>
      </c>
      <c r="AR400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00" s="15" t="str">
        <f>IF(AND(Tabela3[% A.A.]&gt;=6%,SUMPRODUCT(N(Tabela3[Nome]=Tabela3[[#This Row],[Nome]]),Tabela3[PL])&gt;0,Tabela3[Rentabilidade s/ PL]&gt;=Tabela3[Rentabilidade s/ PL Média]),"Sim","Não")</f>
        <v>Não</v>
      </c>
      <c r="AT400" s="42">
        <f>IF(Tabela3[Cotação]&gt;0,Tabela3[[#This Row],[Lucro]]/Tabela3[[#This Row],[Cotação]],0)</f>
        <v>0</v>
      </c>
      <c r="AU400" s="19">
        <f>((1+Tabela3[[#This Row],[% Yield]])^(1/(3*Tabela3[[#This Row],[Ref]])))^(12)-1</f>
        <v>0</v>
      </c>
      <c r="AV400" s="14">
        <f>IF(Tabela3[Cotação]&gt;0,($BH$1/Tabela3[[#This Row],[Cotação]]-MOD($BH$1/Tabela3[[#This Row],[Cotação]],100)),)</f>
        <v>200</v>
      </c>
      <c r="AW400" s="17">
        <f>Tabela3[[#This Row],[Ativos]]*Tabela3[Lucro]</f>
        <v>0</v>
      </c>
      <c r="AX400" s="5">
        <f>SUMPRODUCT(N(Tabela1[Código]=Tabela3[[#This Row],[PAPEL]]),Tabela1[Fechamento])</f>
        <v>1.79</v>
      </c>
      <c r="AY400" s="5">
        <f>SUMPRODUCT(N(Tabela17[Código]=Tabela3[[#This Row],[PAPEL]]),Tabela17[Fechamento])</f>
        <v>0</v>
      </c>
      <c r="AZ400" s="7">
        <f>SUMPRODUCT(N(Tabela176[Código]=Tabela3[[#This Row],[PAPEL]]),Tabela176[Fechamento])</f>
        <v>0</v>
      </c>
      <c r="BA400" s="7">
        <f>SUMPRODUCT(N(Tabela1768[Código]=Tabela3[[#This Row],[PAPEL]]),Tabela1768[Fechamento])</f>
        <v>0</v>
      </c>
      <c r="BB400" s="7">
        <f>SUMPRODUCT(N(Tabela17683[Código]=Tabela3[[#This Row],[PAPEL]]),Tabela17683[Fechamento])</f>
        <v>0</v>
      </c>
    </row>
    <row r="401" spans="1:54" hidden="1" x14ac:dyDescent="0.2">
      <c r="A401" s="4" t="s">
        <v>12</v>
      </c>
      <c r="B401" s="57" t="s">
        <v>2</v>
      </c>
      <c r="C401" s="15" t="str">
        <f>LEFT(Tabela3[PAPEL],LEN(Tabela3[PAPEL])-(LEN(Tabela3[PAPEL])-4))</f>
        <v>ELET</v>
      </c>
      <c r="D401" s="15">
        <v>3</v>
      </c>
      <c r="E401" s="6">
        <v>31305331463.740002</v>
      </c>
      <c r="F401" s="8">
        <v>1087050297</v>
      </c>
      <c r="G401" s="86">
        <v>0.25</v>
      </c>
      <c r="H401" s="15"/>
      <c r="I401" s="19"/>
      <c r="J401" s="19"/>
      <c r="K401" s="88"/>
      <c r="L401" s="88"/>
      <c r="M401" s="55"/>
      <c r="N401" s="55"/>
      <c r="O401" s="55"/>
      <c r="P401" s="89">
        <v>65493746000</v>
      </c>
      <c r="Q401" s="89">
        <v>-787071000</v>
      </c>
      <c r="R401" s="89">
        <f>IF(Tabela3[[#This Row],[Ativo || Passivo]]&gt;0,Tabela3[[#This Row],[Ativo || Passivo]]-Tabela3[[#This Row],[Patrimônio Líquido]],0)</f>
        <v>0</v>
      </c>
      <c r="S401" s="89">
        <f>Tabela3[[#This Row],[Cotação]]*Tabela3[[#This Row],[Total Ações]]</f>
        <v>6411485634</v>
      </c>
      <c r="T401" s="134">
        <f>IF(Tabela3[[#This Row],[Passivo Circulante]]&gt;0,Tabela3[[#This Row],[Ativo Circulante]]/Tabela3[[#This Row],[Passivo Circulante]],0)</f>
        <v>0</v>
      </c>
      <c r="U401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01" s="19">
        <f>IF(Tabela3[[#This Row],[Lucro Líquido]]&gt;0,Tabela3[[#This Row],[Lucro Líquido]]/Tabela3[[#This Row],[Patrimônio Líquido]],0)</f>
        <v>0</v>
      </c>
      <c r="W401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01" s="19">
        <f>IF(Tabela3[[#This Row],[Dívida]]&gt;0,Tabela3[[#This Row],[Dívida]]/Tabela3[[#This Row],[Patrimônio Líquido]],0)</f>
        <v>0</v>
      </c>
      <c r="Y401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01" s="6">
        <f>Tabela3[[#This Row],[Capital Social]]*20%</f>
        <v>6261066292.7480011</v>
      </c>
      <c r="AA401" s="6">
        <f>IF((Tabela3[Lucro Líquido]*5%)&gt;Tabela3[Teto R. Legal],Tabela3[Teto R. Legal],Tabela3[Lucro Líquido]*5%)</f>
        <v>-39353550</v>
      </c>
      <c r="AB401" s="89">
        <f>IF(Tabela3[Lucro Líquido]&lt;0,0,Tabela3[Lucro Líquido]-Tabela3[Reserva Legal])</f>
        <v>0</v>
      </c>
      <c r="AC401" s="89">
        <f>Tabela3[[#This Row],[Lucro Distribuir]]*Tabela3[%Div]</f>
        <v>0</v>
      </c>
      <c r="AD401" s="56">
        <f>SUMPRODUCT(N(Tabela3[Nome]=Tabela3[[#This Row],[Nome]]),Tabela3[Ações])</f>
        <v>1352634100</v>
      </c>
      <c r="AE401" s="6">
        <f>Tabela3[Capital Social]/Tabela3[Total Ações]</f>
        <v>23.143976234031069</v>
      </c>
      <c r="AF401" s="78">
        <f>Tabela3[[#This Row],[Lucro Líquido]]/Tabela3[[#This Row],[Total Ações]]</f>
        <v>-0.58188019953067871</v>
      </c>
      <c r="AG401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01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01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01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01" s="6">
        <f>Tabela3[Div Base]*Tabela3[Ações]</f>
        <v>0</v>
      </c>
      <c r="AL401" s="6">
        <f>SUMPRODUCT(N(Tabela3[Nome]=Tabela3[[#This Row],[Nome]]),Tabela3[Div Base]*Tabela3[Ações])</f>
        <v>0</v>
      </c>
      <c r="AM401" s="6">
        <f>Tabela3[Patrimônio Líquido]/Tabela3[Total Ações]</f>
        <v>48.419410689113931</v>
      </c>
      <c r="AN401" s="11">
        <f>MAX(Tabela3[[#This Row],[Cotação 1]:[Cotação 5]])</f>
        <v>4.74</v>
      </c>
      <c r="AO401" s="9">
        <f>Tabela3[Cotação]/Tabela3[VPA]</f>
        <v>9.7894623923328497E-2</v>
      </c>
      <c r="AP401" s="36">
        <f>IF(Tabela3[[#This Row],[Lucro/Ação]]&gt;0,Tabela3[[#This Row],[Cotação]]/(Tabela3[[#This Row],[Lucro/Ação]]/Tabela3[Ref]*4),0)</f>
        <v>0</v>
      </c>
      <c r="AQ401" s="78">
        <f>Tabela3[Lucro Distribuir]/Tabela3[Total Ações]</f>
        <v>0</v>
      </c>
      <c r="AR401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01" s="14" t="str">
        <f>IF(AND(Tabela3[% A.A.]&gt;=6%,SUMPRODUCT(N(Tabela3[Nome]=Tabela3[[#This Row],[Nome]]),Tabela3[PL])&gt;0,Tabela3[Rentabilidade s/ PL]&gt;=Tabela3[Rentabilidade s/ PL Média]),"Sim","Não")</f>
        <v>Não</v>
      </c>
      <c r="AT401" s="19">
        <f>IF(Tabela3[Cotação]&gt;0,Tabela3[[#This Row],[Lucro]]/Tabela3[[#This Row],[Cotação]],0)</f>
        <v>0</v>
      </c>
      <c r="AU401" s="19">
        <f>((1+Tabela3[[#This Row],[% Yield]])^(1/(3*Tabela3[[#This Row],[Ref]])))^(12)-1</f>
        <v>0</v>
      </c>
      <c r="AV401" s="10">
        <f>IF(Tabela3[Cotação]&gt;0,($BH$1/Tabela3[[#This Row],[Cotação]]-MOD($BH$1/Tabela3[[#This Row],[Cotação]],100)),)</f>
        <v>100</v>
      </c>
      <c r="AW401" s="5">
        <f>Tabela3[[#This Row],[Ativos]]*Tabela3[Lucro]</f>
        <v>0</v>
      </c>
      <c r="AX401" s="5">
        <f>SUMPRODUCT(N(Tabela1[Código]=Tabela3[[#This Row],[PAPEL]]),Tabela1[Fechamento])</f>
        <v>4.74</v>
      </c>
      <c r="AY401" s="5">
        <f>SUMPRODUCT(N(Tabela17[Código]=Tabela3[[#This Row],[PAPEL]]),Tabela17[Fechamento])</f>
        <v>0</v>
      </c>
      <c r="AZ401" s="7">
        <f>SUMPRODUCT(N(Tabela176[Código]=Tabela3[[#This Row],[PAPEL]]),Tabela176[Fechamento])</f>
        <v>0</v>
      </c>
      <c r="BA401" s="7">
        <f>SUMPRODUCT(N(Tabela1768[Código]=Tabela3[[#This Row],[PAPEL]]),Tabela1768[Fechamento])</f>
        <v>0</v>
      </c>
      <c r="BB401" s="7">
        <f>SUMPRODUCT(N(Tabela17683[Código]=Tabela3[[#This Row],[PAPEL]]),Tabela17683[Fechamento])</f>
        <v>0</v>
      </c>
    </row>
    <row r="402" spans="1:54" hidden="1" x14ac:dyDescent="0.2">
      <c r="A402" s="4" t="s">
        <v>12</v>
      </c>
      <c r="B402" s="57" t="s">
        <v>472</v>
      </c>
      <c r="C402" s="15" t="str">
        <f>LEFT(Tabela3[PAPEL],LEN(Tabela3[PAPEL])-(LEN(Tabela3[PAPEL])-4))</f>
        <v>ELET</v>
      </c>
      <c r="D402" s="15">
        <v>3</v>
      </c>
      <c r="E402" s="6">
        <v>31305331463.740002</v>
      </c>
      <c r="F402" s="8">
        <v>146920</v>
      </c>
      <c r="G402" s="86">
        <v>0.25</v>
      </c>
      <c r="H402" s="15"/>
      <c r="I402" s="19">
        <v>0.08</v>
      </c>
      <c r="J402" s="19"/>
      <c r="K402" s="88"/>
      <c r="L402" s="88"/>
      <c r="M402" s="55"/>
      <c r="N402" s="55"/>
      <c r="O402" s="55"/>
      <c r="P402" s="89">
        <v>65493746000</v>
      </c>
      <c r="Q402" s="89">
        <v>-787071000</v>
      </c>
      <c r="R402" s="89">
        <f>IF(Tabela3[[#This Row],[Ativo || Passivo]]&gt;0,Tabela3[[#This Row],[Ativo || Passivo]]-Tabela3[[#This Row],[Patrimônio Líquido]],0)</f>
        <v>0</v>
      </c>
      <c r="S402" s="89">
        <f>Tabela3[[#This Row],[Cotação]]*Tabela3[[#This Row],[Total Ações]]</f>
        <v>31124110641.000004</v>
      </c>
      <c r="T402" s="134">
        <f>IF(Tabela3[[#This Row],[Passivo Circulante]]&gt;0,Tabela3[[#This Row],[Ativo Circulante]]/Tabela3[[#This Row],[Passivo Circulante]],0)</f>
        <v>0</v>
      </c>
      <c r="U402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02" s="19">
        <f>IF(Tabela3[[#This Row],[Lucro Líquido]]&gt;0,Tabela3[[#This Row],[Lucro Líquido]]/Tabela3[[#This Row],[Patrimônio Líquido]],0)</f>
        <v>0</v>
      </c>
      <c r="W402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02" s="19">
        <f>IF(Tabela3[[#This Row],[Dívida]]&gt;0,Tabela3[[#This Row],[Dívida]]/Tabela3[[#This Row],[Patrimônio Líquido]],0)</f>
        <v>0</v>
      </c>
      <c r="Y402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02" s="6">
        <f>Tabela3[[#This Row],[Capital Social]]*20%</f>
        <v>6261066292.7480011</v>
      </c>
      <c r="AA402" s="6">
        <f>IF((Tabela3[Lucro Líquido]*5%)&gt;Tabela3[Teto R. Legal],Tabela3[Teto R. Legal],Tabela3[Lucro Líquido]*5%)</f>
        <v>-39353550</v>
      </c>
      <c r="AB402" s="89">
        <f>IF(Tabela3[Lucro Líquido]&lt;0,0,Tabela3[Lucro Líquido]-Tabela3[Reserva Legal])</f>
        <v>0</v>
      </c>
      <c r="AC402" s="89">
        <f>Tabela3[[#This Row],[Lucro Distribuir]]*Tabela3[%Div]</f>
        <v>0</v>
      </c>
      <c r="AD402" s="56">
        <f>SUMPRODUCT(N(Tabela3[Nome]=Tabela3[[#This Row],[Nome]]),Tabela3[Ações])</f>
        <v>1352634100</v>
      </c>
      <c r="AE402" s="6">
        <f>Tabela3[Capital Social]/Tabela3[Total Ações]</f>
        <v>23.143976234031069</v>
      </c>
      <c r="AF402" s="78">
        <f>Tabela3[[#This Row],[Lucro Líquido]]/Tabela3[[#This Row],[Total Ações]]</f>
        <v>-0.58188019953067871</v>
      </c>
      <c r="AG402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02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02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02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02" s="6">
        <f>Tabela3[Div Base]*Tabela3[Ações]</f>
        <v>0</v>
      </c>
      <c r="AL402" s="6">
        <f>SUMPRODUCT(N(Tabela3[Nome]=Tabela3[[#This Row],[Nome]]),Tabela3[Div Base]*Tabela3[Ações])</f>
        <v>0</v>
      </c>
      <c r="AM402" s="6">
        <f>Tabela3[Patrimônio Líquido]/Tabela3[Total Ações]</f>
        <v>48.419410689113931</v>
      </c>
      <c r="AN402" s="11">
        <f>MAX(Tabela3[[#This Row],[Cotação 1]:[Cotação 5]])</f>
        <v>23.01</v>
      </c>
      <c r="AO402" s="9">
        <f>Tabela3[Cotação]/Tabela3[VPA]</f>
        <v>0.47522263638729723</v>
      </c>
      <c r="AP402" s="36">
        <f>IF(Tabela3[[#This Row],[Lucro/Ação]]&gt;0,Tabela3[[#This Row],[Cotação]]/(Tabela3[[#This Row],[Lucro/Ação]]/Tabela3[Ref]*4),0)</f>
        <v>0</v>
      </c>
      <c r="AQ402" s="78">
        <f>Tabela3[Lucro Distribuir]/Tabela3[Total Ações]</f>
        <v>0</v>
      </c>
      <c r="AR402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02" s="14" t="str">
        <f>IF(AND(Tabela3[% A.A.]&gt;=6%,SUMPRODUCT(N(Tabela3[Nome]=Tabela3[[#This Row],[Nome]]),Tabela3[PL])&gt;0,Tabela3[Rentabilidade s/ PL]&gt;=Tabela3[Rentabilidade s/ PL Média]),"Sim","Não")</f>
        <v>Não</v>
      </c>
      <c r="AT402" s="19">
        <f>IF(Tabela3[Cotação]&gt;0,Tabela3[[#This Row],[Lucro]]/Tabela3[[#This Row],[Cotação]],0)</f>
        <v>0</v>
      </c>
      <c r="AU402" s="19">
        <f>((1+Tabela3[[#This Row],[% Yield]])^(1/(3*Tabela3[[#This Row],[Ref]])))^(12)-1</f>
        <v>0</v>
      </c>
      <c r="AV402" s="10">
        <f>IF(Tabela3[Cotação]&gt;0,($BH$1/Tabela3[[#This Row],[Cotação]]-MOD($BH$1/Tabela3[[#This Row],[Cotação]],100)),)</f>
        <v>0</v>
      </c>
      <c r="AW402" s="5">
        <f>Tabela3[[#This Row],[Ativos]]*Tabela3[Lucro]</f>
        <v>0</v>
      </c>
      <c r="AX402" s="5">
        <f>SUMPRODUCT(N(Tabela1[Código]=Tabela3[[#This Row],[PAPEL]]),Tabela1[Fechamento])</f>
        <v>0</v>
      </c>
      <c r="AY402" s="5">
        <f>SUMPRODUCT(N(Tabela17[Código]=Tabela3[[#This Row],[PAPEL]]),Tabela17[Fechamento])</f>
        <v>23.01</v>
      </c>
      <c r="AZ402" s="7">
        <f>SUMPRODUCT(N(Tabela176[Código]=Tabela3[[#This Row],[PAPEL]]),Tabela176[Fechamento])</f>
        <v>0</v>
      </c>
      <c r="BA402" s="7">
        <f>SUMPRODUCT(N(Tabela1768[Código]=Tabela3[[#This Row],[PAPEL]]),Tabela1768[Fechamento])</f>
        <v>0</v>
      </c>
      <c r="BB402" s="7">
        <f>SUMPRODUCT(N(Tabela17683[Código]=Tabela3[[#This Row],[PAPEL]]),Tabela17683[Fechamento])</f>
        <v>0</v>
      </c>
    </row>
    <row r="403" spans="1:54" hidden="1" x14ac:dyDescent="0.2">
      <c r="A403" s="4" t="s">
        <v>12</v>
      </c>
      <c r="B403" s="57" t="s">
        <v>27</v>
      </c>
      <c r="C403" s="15" t="str">
        <f>LEFT(Tabela3[PAPEL],LEN(Tabela3[PAPEL])-(LEN(Tabela3[PAPEL])-4))</f>
        <v>ELET</v>
      </c>
      <c r="D403" s="15">
        <v>3</v>
      </c>
      <c r="E403" s="6">
        <v>31305331463.740002</v>
      </c>
      <c r="F403" s="8">
        <v>265436883</v>
      </c>
      <c r="G403" s="81">
        <v>0.25</v>
      </c>
      <c r="H403" s="15"/>
      <c r="I403" s="19">
        <v>0.06</v>
      </c>
      <c r="J403" s="19"/>
      <c r="K403" s="88"/>
      <c r="L403" s="88"/>
      <c r="M403" s="55"/>
      <c r="N403" s="55"/>
      <c r="O403" s="55"/>
      <c r="P403" s="89">
        <v>65493746000</v>
      </c>
      <c r="Q403" s="89">
        <v>-787071000</v>
      </c>
      <c r="R403" s="89">
        <f>IF(Tabela3[[#This Row],[Ativo || Passivo]]&gt;0,Tabela3[[#This Row],[Ativo || Passivo]]-Tabela3[[#This Row],[Patrimônio Líquido]],0)</f>
        <v>0</v>
      </c>
      <c r="S403" s="89">
        <f>Tabela3[[#This Row],[Cotação]]*Tabela3[[#This Row],[Total Ações]]</f>
        <v>11822022034</v>
      </c>
      <c r="T403" s="134">
        <f>IF(Tabela3[[#This Row],[Passivo Circulante]]&gt;0,Tabela3[[#This Row],[Ativo Circulante]]/Tabela3[[#This Row],[Passivo Circulante]],0)</f>
        <v>0</v>
      </c>
      <c r="U403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03" s="19">
        <f>IF(Tabela3[[#This Row],[Lucro Líquido]]&gt;0,Tabela3[[#This Row],[Lucro Líquido]]/Tabela3[[#This Row],[Patrimônio Líquido]],0)</f>
        <v>0</v>
      </c>
      <c r="W403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03" s="19">
        <f>IF(Tabela3[[#This Row],[Dívida]]&gt;0,Tabela3[[#This Row],[Dívida]]/Tabela3[[#This Row],[Patrimônio Líquido]],0)</f>
        <v>0</v>
      </c>
      <c r="Y403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03" s="6">
        <f>Tabela3[[#This Row],[Capital Social]]*20%</f>
        <v>6261066292.7480011</v>
      </c>
      <c r="AA403" s="6">
        <f>IF((Tabela3[Lucro Líquido]*5%)&gt;Tabela3[Teto R. Legal],Tabela3[Teto R. Legal],Tabela3[Lucro Líquido]*5%)</f>
        <v>-39353550</v>
      </c>
      <c r="AB403" s="89">
        <f>IF(Tabela3[Lucro Líquido]&lt;0,0,Tabela3[Lucro Líquido]-Tabela3[Reserva Legal])</f>
        <v>0</v>
      </c>
      <c r="AC403" s="89">
        <f>Tabela3[[#This Row],[Lucro Distribuir]]*Tabela3[%Div]</f>
        <v>0</v>
      </c>
      <c r="AD403" s="56">
        <f>SUMPRODUCT(N(Tabela3[Nome]=Tabela3[[#This Row],[Nome]]),Tabela3[Ações])</f>
        <v>1352634100</v>
      </c>
      <c r="AE403" s="6">
        <f>Tabela3[Capital Social]/Tabela3[Total Ações]</f>
        <v>23.143976234031069</v>
      </c>
      <c r="AF403" s="78">
        <f>Tabela3[[#This Row],[Lucro Líquido]]/Tabela3[[#This Row],[Total Ações]]</f>
        <v>-0.58188019953067871</v>
      </c>
      <c r="AG403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03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03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03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03" s="6">
        <f>Tabela3[Div Base]*Tabela3[Ações]</f>
        <v>0</v>
      </c>
      <c r="AL403" s="6">
        <f>SUMPRODUCT(N(Tabela3[Nome]=Tabela3[[#This Row],[Nome]]),Tabela3[Div Base]*Tabela3[Ações])</f>
        <v>0</v>
      </c>
      <c r="AM403" s="28">
        <f>Tabela3[Patrimônio Líquido]/Tabela3[Total Ações]</f>
        <v>48.419410689113931</v>
      </c>
      <c r="AN403" s="29">
        <f>MAX(Tabela3[[#This Row],[Cotação 1]:[Cotação 5]])</f>
        <v>8.74</v>
      </c>
      <c r="AO403" s="30">
        <f>Tabela3[Cotação]/Tabela3[VPA]</f>
        <v>0.18050612090504031</v>
      </c>
      <c r="AP403" s="35">
        <f>IF(Tabela3[[#This Row],[Lucro/Ação]]&gt;0,Tabela3[[#This Row],[Cotação]]/(Tabela3[[#This Row],[Lucro/Ação]]/Tabela3[Ref]*4),0)</f>
        <v>0</v>
      </c>
      <c r="AQ403" s="78">
        <f>Tabela3[Lucro Distribuir]/Tabela3[Total Ações]</f>
        <v>0</v>
      </c>
      <c r="AR403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03" s="25" t="str">
        <f>IF(AND(Tabela3[% A.A.]&gt;=6%,SUMPRODUCT(N(Tabela3[Nome]=Tabela3[[#This Row],[Nome]]),Tabela3[PL])&gt;0,Tabela3[Rentabilidade s/ PL]&gt;=Tabela3[Rentabilidade s/ PL Média]),"Sim","Não")</f>
        <v>Não</v>
      </c>
      <c r="AT403" s="27">
        <f>IF(Tabela3[Cotação]&gt;0,Tabela3[[#This Row],[Lucro]]/Tabela3[[#This Row],[Cotação]],0)</f>
        <v>0</v>
      </c>
      <c r="AU403" s="49">
        <f>((1+Tabela3[[#This Row],[% Yield]])^(1/(3*Tabela3[[#This Row],[Ref]])))^(12)-1</f>
        <v>0</v>
      </c>
      <c r="AV403" s="10">
        <f>IF(Tabela3[Cotação]&gt;0,($BH$1/Tabela3[[#This Row],[Cotação]]-MOD($BH$1/Tabela3[[#This Row],[Cotação]],100)),)</f>
        <v>0</v>
      </c>
      <c r="AW403" s="5">
        <f>Tabela3[[#This Row],[Ativos]]*Tabela3[Lucro]</f>
        <v>0</v>
      </c>
      <c r="AX403" s="5">
        <f>SUMPRODUCT(N(Tabela1[Código]=Tabela3[[#This Row],[PAPEL]]),Tabela1[Fechamento])</f>
        <v>8.74</v>
      </c>
      <c r="AY403" s="5">
        <f>SUMPRODUCT(N(Tabela17[Código]=Tabela3[[#This Row],[PAPEL]]),Tabela17[Fechamento])</f>
        <v>0</v>
      </c>
      <c r="AZ403" s="7">
        <f>SUMPRODUCT(N(Tabela176[Código]=Tabela3[[#This Row],[PAPEL]]),Tabela176[Fechamento])</f>
        <v>0</v>
      </c>
      <c r="BA403" s="7">
        <f>SUMPRODUCT(N(Tabela1768[Código]=Tabela3[[#This Row],[PAPEL]]),Tabela1768[Fechamento])</f>
        <v>0</v>
      </c>
      <c r="BB403" s="7">
        <f>SUMPRODUCT(N(Tabela17683[Código]=Tabela3[[#This Row],[PAPEL]]),Tabela17683[Fechamento])</f>
        <v>0</v>
      </c>
    </row>
    <row r="404" spans="1:54" hidden="1" x14ac:dyDescent="0.2">
      <c r="A404" s="4" t="s">
        <v>12</v>
      </c>
      <c r="B404" s="57" t="s">
        <v>509</v>
      </c>
      <c r="C404" s="15" t="str">
        <f>LEFT(Tabela3[PAPEL],LEN(Tabela3[PAPEL])-(LEN(Tabela3[PAPEL])-4))</f>
        <v>ENEV</v>
      </c>
      <c r="D404" s="15">
        <v>3</v>
      </c>
      <c r="E404" s="6">
        <v>3736568320.8499999</v>
      </c>
      <c r="F404" s="8">
        <v>578479962</v>
      </c>
      <c r="G404" s="81">
        <v>0.25</v>
      </c>
      <c r="H404" s="15"/>
      <c r="I404" s="19"/>
      <c r="J404" s="19"/>
      <c r="K404" s="88"/>
      <c r="L404" s="88"/>
      <c r="M404" s="55"/>
      <c r="N404" s="55"/>
      <c r="O404" s="55"/>
      <c r="P404" s="92">
        <v>2723103000</v>
      </c>
      <c r="Q404" s="93">
        <v>-662181000</v>
      </c>
      <c r="R404" s="93">
        <f>IF(Tabela3[[#This Row],[Ativo || Passivo]]&gt;0,Tabela3[[#This Row],[Ativo || Passivo]]-Tabela3[[#This Row],[Patrimônio Líquido]],0)</f>
        <v>0</v>
      </c>
      <c r="S404" s="93">
        <f>Tabela3[[#This Row],[Cotação]]*Tabela3[[#This Row],[Total Ações]]</f>
        <v>1070187929.7</v>
      </c>
      <c r="T404" s="40">
        <f>IF(Tabela3[[#This Row],[Passivo Circulante]]&gt;0,Tabela3[[#This Row],[Ativo Circulante]]/Tabela3[[#This Row],[Passivo Circulante]],0)</f>
        <v>0</v>
      </c>
      <c r="U404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04" s="19">
        <f>IF(Tabela3[[#This Row],[Lucro Líquido]]&gt;0,Tabela3[[#This Row],[Lucro Líquido]]/Tabela3[[#This Row],[Patrimônio Líquido]],0)</f>
        <v>0</v>
      </c>
      <c r="W404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04" s="19">
        <f>IF(Tabela3[[#This Row],[Dívida]]&gt;0,Tabela3[[#This Row],[Dívida]]/Tabela3[[#This Row],[Patrimônio Líquido]],0)</f>
        <v>0</v>
      </c>
      <c r="Y404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04" s="13">
        <f>Tabela3[[#This Row],[Capital Social]]*20%</f>
        <v>747313664.17000008</v>
      </c>
      <c r="AA404" s="13">
        <f>IF((Tabela3[Lucro Líquido]*5%)&gt;Tabela3[Teto R. Legal],Tabela3[Teto R. Legal],Tabela3[Lucro Líquido]*5%)</f>
        <v>-33109050</v>
      </c>
      <c r="AB404" s="13">
        <f>IF(Tabela3[Lucro Líquido]&lt;0,0,Tabela3[Lucro Líquido]-Tabela3[Reserva Legal])</f>
        <v>0</v>
      </c>
      <c r="AC404" s="13">
        <f>Tabela3[[#This Row],[Lucro Distribuir]]*Tabela3[%Div]</f>
        <v>0</v>
      </c>
      <c r="AD404" s="56">
        <f>SUMPRODUCT(N(Tabela3[Nome]=Tabela3[[#This Row],[Nome]]),Tabela3[Ações])</f>
        <v>578479962</v>
      </c>
      <c r="AE404" s="6">
        <f>Tabela3[Capital Social]/Tabela3[Total Ações]</f>
        <v>6.4592873847028773</v>
      </c>
      <c r="AF404" s="78">
        <f>Tabela3[[#This Row],[Lucro Líquido]]/Tabela3[[#This Row],[Total Ações]]</f>
        <v>-1.1446913350474879</v>
      </c>
      <c r="AG404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04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04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04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04" s="13">
        <f>Tabela3[Div Base]*Tabela3[Ações]</f>
        <v>0</v>
      </c>
      <c r="AL404" s="13">
        <f>SUMPRODUCT(N(Tabela3[Nome]=Tabela3[[#This Row],[Nome]]),Tabela3[Div Base]*Tabela3[Ações])</f>
        <v>0</v>
      </c>
      <c r="AM404" s="6">
        <f>Tabela3[Patrimônio Líquido]/Tabela3[Total Ações]</f>
        <v>4.707341963212202</v>
      </c>
      <c r="AN404" s="48">
        <f>MAX(Tabela3[[#This Row],[Cotação 1]:[Cotação 5]])</f>
        <v>1.85</v>
      </c>
      <c r="AO404" s="44">
        <f>Tabela3[Cotação]/Tabela3[VPA]</f>
        <v>0.39300310333468841</v>
      </c>
      <c r="AP404" s="40">
        <f>IF(Tabela3[[#This Row],[Lucro/Ação]]&gt;0,Tabela3[[#This Row],[Cotação]]/(Tabela3[[#This Row],[Lucro/Ação]]/Tabela3[Ref]*4),0)</f>
        <v>0</v>
      </c>
      <c r="AQ404" s="78">
        <f>Tabela3[Lucro Distribuir]/Tabela3[Total Ações]</f>
        <v>0</v>
      </c>
      <c r="AR404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04" s="14" t="str">
        <f>IF(AND(Tabela3[% A.A.]&gt;=6%,SUMPRODUCT(N(Tabela3[Nome]=Tabela3[[#This Row],[Nome]]),Tabela3[PL])&gt;0,Tabela3[Rentabilidade s/ PL]&gt;=Tabela3[Rentabilidade s/ PL Média]),"Sim","Não")</f>
        <v>Não</v>
      </c>
      <c r="AT404" s="42">
        <f>IF(Tabela3[Cotação]&gt;0,Tabela3[[#This Row],[Lucro]]/Tabela3[[#This Row],[Cotação]],0)</f>
        <v>0</v>
      </c>
      <c r="AU404" s="42">
        <f>((1+Tabela3[[#This Row],[% Yield]])^(1/(3*Tabela3[[#This Row],[Ref]])))^(12)-1</f>
        <v>0</v>
      </c>
      <c r="AV404" s="14">
        <f>IF(Tabela3[Cotação]&gt;0,($BD$1/Tabela3[[#This Row],[Cotação]]-MOD($BD$1/Tabela3[[#This Row],[Cotação]],100)),)</f>
        <v>0</v>
      </c>
      <c r="AW404" s="17">
        <f>Tabela3[[#This Row],[Ativos]]*Tabela3[Lucro]</f>
        <v>0</v>
      </c>
      <c r="AX404" s="17">
        <f>SUMPRODUCT(N(Tabela1[Código]=Tabela3[[#This Row],[PAPEL]]),Tabela1[Fechamento])</f>
        <v>0</v>
      </c>
      <c r="AY404" s="17">
        <f>SUMPRODUCT(N(Tabela17[Código]=Tabela3[[#This Row],[PAPEL]]),Tabela17[Fechamento])</f>
        <v>1.85</v>
      </c>
      <c r="AZ404" s="7">
        <f>SUMPRODUCT(N(Tabela176[Código]=Tabela3[[#This Row],[PAPEL]]),Tabela176[Fechamento])</f>
        <v>0</v>
      </c>
      <c r="BA404" s="7">
        <f>SUMPRODUCT(N(Tabela1768[Código]=Tabela3[[#This Row],[PAPEL]]),Tabela1768[Fechamento])</f>
        <v>0</v>
      </c>
      <c r="BB404" s="7">
        <f>SUMPRODUCT(N(Tabela17683[Código]=Tabela3[[#This Row],[PAPEL]]),Tabela17683[Fechamento])</f>
        <v>0</v>
      </c>
    </row>
    <row r="405" spans="1:54" hidden="1" x14ac:dyDescent="0.2">
      <c r="A405" s="4" t="s">
        <v>12</v>
      </c>
      <c r="B405" s="57" t="s">
        <v>85</v>
      </c>
      <c r="C405" s="14" t="str">
        <f>LEFT(Tabela3[PAPEL],LEN(Tabela3[PAPEL])-(LEN(Tabela3[PAPEL])-4))</f>
        <v>ENGI</v>
      </c>
      <c r="D405" s="15">
        <v>3</v>
      </c>
      <c r="E405" s="6"/>
      <c r="F405" s="8"/>
      <c r="G405" s="86">
        <v>0.25</v>
      </c>
      <c r="H405" s="15"/>
      <c r="I405" s="19"/>
      <c r="J405" s="19"/>
      <c r="K405" s="88">
        <v>1</v>
      </c>
      <c r="L405" s="88">
        <v>4</v>
      </c>
      <c r="M405" s="55"/>
      <c r="N405" s="55"/>
      <c r="O405" s="55"/>
      <c r="P405" s="89"/>
      <c r="Q405" s="89"/>
      <c r="R405" s="89">
        <f>IF(Tabela3[[#This Row],[Ativo || Passivo]]&gt;0,Tabela3[[#This Row],[Ativo || Passivo]]-Tabela3[[#This Row],[Patrimônio Líquido]],0)</f>
        <v>0</v>
      </c>
      <c r="S405" s="89">
        <f>Tabela3[[#This Row],[Cotação]]*Tabela3[[#This Row],[Total Ações]]</f>
        <v>14948290668</v>
      </c>
      <c r="T405" s="134">
        <f>IF(Tabela3[[#This Row],[Passivo Circulante]]&gt;0,Tabela3[[#This Row],[Ativo Circulante]]/Tabela3[[#This Row],[Passivo Circulante]],0)</f>
        <v>0</v>
      </c>
      <c r="U405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05" s="19">
        <f>IF(Tabela3[[#This Row],[Lucro Líquido]]&gt;0,Tabela3[[#This Row],[Lucro Líquido]]/Tabela3[[#This Row],[Patrimônio Líquido]],0)</f>
        <v>0</v>
      </c>
      <c r="W405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05" s="19">
        <f>IF(Tabela3[[#This Row],[Dívida]]&gt;0,Tabela3[[#This Row],[Dívida]]/Tabela3[[#This Row],[Patrimônio Líquido]],0)</f>
        <v>0</v>
      </c>
      <c r="Y405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05" s="6"/>
      <c r="AA405" s="6"/>
      <c r="AB405" s="89">
        <f>IF(Tabela3[Lucro Líquido]&lt;0,0,Tabela3[Lucro Líquido]-Tabela3[Reserva Legal])</f>
        <v>0</v>
      </c>
      <c r="AC405" s="89">
        <f>Tabela3[[#This Row],[Lucro Distribuir]]*Tabela3[%Div]</f>
        <v>0</v>
      </c>
      <c r="AD405" s="56">
        <f>SUMPRODUCT(N(Tabela3[Nome]=Tabela3[[#This Row],[Nome]]),Tabela3[Ações])</f>
        <v>1245690889</v>
      </c>
      <c r="AE405" s="6">
        <f>Tabela3[Capital Social]/Tabela3[Total Ações]</f>
        <v>0</v>
      </c>
      <c r="AF405" s="78">
        <f>Tabela3[[#This Row],[Lucro Líquido]]/Tabela3[[#This Row],[Total Ações]]</f>
        <v>0</v>
      </c>
      <c r="AG405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05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05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05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05" s="6">
        <f>Tabela3[Div Base]*Tabela3[Ações]</f>
        <v>0</v>
      </c>
      <c r="AL405" s="6">
        <f>SUMPRODUCT(N(Tabela3[Nome]=Tabela3[[#This Row],[Nome]]),Tabela3[Div Base]*Tabela3[Ações])</f>
        <v>45131175</v>
      </c>
      <c r="AM405" s="6">
        <f>Tabela3[Patrimônio Líquido]/Tabela3[Total Ações]</f>
        <v>0</v>
      </c>
      <c r="AN405" s="48">
        <f>MAX(Tabela3[[#This Row],[Cotação 1]:[Cotação 5]])</f>
        <v>12</v>
      </c>
      <c r="AO405" s="44" t="e">
        <f>Tabela3[Cotação]/Tabela3[VPA]</f>
        <v>#DIV/0!</v>
      </c>
      <c r="AP405" s="40">
        <f>IF(Tabela3[[#This Row],[Lucro/Ação]]&gt;0,Tabela3[[#This Row],[Cotação]]/(Tabela3[[#This Row],[Lucro/Ação]]/Tabela3[Ref]*4),0)</f>
        <v>0</v>
      </c>
      <c r="AQ405" s="78">
        <f>Tabela3[Lucro Distribuir]/Tabela3[Total Ações]</f>
        <v>0</v>
      </c>
      <c r="AR405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0.18114917351699439</v>
      </c>
      <c r="AS405" s="14" t="str">
        <f>IF(AND(Tabela3[% A.A.]&gt;=6%,SUMPRODUCT(N(Tabela3[Nome]=Tabela3[[#This Row],[Nome]]),Tabela3[PL])&gt;0,Tabela3[Rentabilidade s/ PL]&gt;=Tabela3[Rentabilidade s/ PL Média]),"Sim","Não")</f>
        <v>Não</v>
      </c>
      <c r="AT405" s="42">
        <f>IF(Tabela3[Cotação]&gt;0,Tabela3[[#This Row],[Lucro]]/Tabela3[[#This Row],[Cotação]],0)</f>
        <v>1.5095764459749533E-2</v>
      </c>
      <c r="AU405" s="19">
        <f>((1+Tabela3[[#This Row],[% Yield]])^(1/(3*Tabela3[[#This Row],[Ref]])))^(12)-1</f>
        <v>2.0178157594788582E-2</v>
      </c>
      <c r="AV405" s="14">
        <f>IF(Tabela3[Cotação]&gt;0,($BD$1/Tabela3[[#This Row],[Cotação]]-MOD($BD$1/Tabela3[[#This Row],[Cotação]],100)),)</f>
        <v>0</v>
      </c>
      <c r="AW405" s="17">
        <f>Tabela3[[#This Row],[Ativos]]*Tabela3[Lucro]</f>
        <v>0</v>
      </c>
      <c r="AX405" s="5">
        <f>SUMPRODUCT(N(Tabela1[Código]=Tabela3[[#This Row],[PAPEL]]),Tabela1[Fechamento])</f>
        <v>12</v>
      </c>
      <c r="AY405" s="5">
        <f>SUMPRODUCT(N(Tabela17[Código]=Tabela3[[#This Row],[PAPEL]]),Tabela17[Fechamento])</f>
        <v>0</v>
      </c>
      <c r="AZ405" s="7">
        <f>SUMPRODUCT(N(Tabela176[Código]=Tabela3[[#This Row],[PAPEL]]),Tabela176[Fechamento])</f>
        <v>0</v>
      </c>
      <c r="BA405" s="7">
        <f>SUMPRODUCT(N(Tabela1768[Código]=Tabela3[[#This Row],[PAPEL]]),Tabela1768[Fechamento])</f>
        <v>0</v>
      </c>
      <c r="BB405" s="7">
        <f>SUMPRODUCT(N(Tabela17683[Código]=Tabela3[[#This Row],[PAPEL]]),Tabela17683[Fechamento])</f>
        <v>0</v>
      </c>
    </row>
    <row r="406" spans="1:54" hidden="1" x14ac:dyDescent="0.2">
      <c r="A406" s="3" t="s">
        <v>1075</v>
      </c>
      <c r="B406" s="58" t="s">
        <v>1082</v>
      </c>
      <c r="C406" s="16" t="str">
        <f>LEFT(Tabela3[PAPEL],LEN(Tabela3[PAPEL])-(LEN(Tabela3[PAPEL])-4))</f>
        <v>ESTR</v>
      </c>
      <c r="D406" s="16">
        <v>3</v>
      </c>
      <c r="E406" s="5">
        <v>30602186.559999999</v>
      </c>
      <c r="F406" s="56">
        <v>5388995</v>
      </c>
      <c r="G406" s="81">
        <v>0.25</v>
      </c>
      <c r="H406" s="87"/>
      <c r="J406" s="18"/>
      <c r="K406" s="16"/>
      <c r="L406" s="87"/>
      <c r="M406" s="54"/>
      <c r="N406" s="54"/>
      <c r="O406" s="54"/>
      <c r="P406" s="91">
        <v>-246948000</v>
      </c>
      <c r="Q406" s="73">
        <v>-23685000</v>
      </c>
      <c r="R406" s="73">
        <f>IF(Tabela3[[#This Row],[Ativo || Passivo]]&gt;0,Tabela3[[#This Row],[Ativo || Passivo]]-Tabela3[[#This Row],[Patrimônio Líquido]],0)</f>
        <v>0</v>
      </c>
      <c r="S406" s="73">
        <f>Tabela3[[#This Row],[Cotação]]*Tabela3[[#This Row],[Total Ações]]</f>
        <v>80834900</v>
      </c>
      <c r="T406" s="37">
        <f>IF(Tabela3[[#This Row],[Passivo Circulante]]&gt;0,Tabela3[[#This Row],[Ativo Circulante]]/Tabela3[[#This Row],[Passivo Circulante]],0)</f>
        <v>0</v>
      </c>
      <c r="U406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06" s="18">
        <f>IF(Tabela3[[#This Row],[Lucro Líquido]]&gt;0,Tabela3[[#This Row],[Lucro Líquido]]/Tabela3[[#This Row],[Patrimônio Líquido]],0)</f>
        <v>0</v>
      </c>
      <c r="W406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06" s="18">
        <f>IF(Tabela3[[#This Row],[Dívida]]&gt;0,Tabela3[[#This Row],[Dívida]]/Tabela3[[#This Row],[Patrimônio Líquido]],0)</f>
        <v>0</v>
      </c>
      <c r="Y406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06" s="7">
        <f>Tabela3[[#This Row],[Capital Social]]*20%</f>
        <v>6120437.3119999999</v>
      </c>
      <c r="AA406" s="47">
        <f>IF((Tabela3[Lucro Líquido]*5%)&gt;Tabela3[Teto R. Legal],Tabela3[Teto R. Legal],Tabela3[Lucro Líquido]*5%)</f>
        <v>-1184250</v>
      </c>
      <c r="AB406" s="47">
        <f>IF(Tabela3[Lucro Líquido]&lt;0,0,Tabela3[Lucro Líquido]-Tabela3[Reserva Legal])</f>
        <v>0</v>
      </c>
      <c r="AC406" s="47">
        <f>Tabela3[[#This Row],[Lucro Distribuir]]*Tabela3[%Div]</f>
        <v>0</v>
      </c>
      <c r="AD406" s="56">
        <f>SUMPRODUCT(N(Tabela3[Nome]=Tabela3[[#This Row],[Nome]]),Tabela3[Ações])</f>
        <v>16166980</v>
      </c>
      <c r="AE406" s="85">
        <f>Tabela3[Capital Social]/Tabela3[Total Ações]</f>
        <v>1.892882069502158</v>
      </c>
      <c r="AF406" s="85">
        <f>Tabela3[[#This Row],[Lucro Líquido]]/Tabela3[[#This Row],[Total Ações]]</f>
        <v>-1.4650231521285979</v>
      </c>
      <c r="AG406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06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06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06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06" s="7">
        <f>Tabela3[Div Base]*Tabela3[Ações]</f>
        <v>0</v>
      </c>
      <c r="AL406" s="7">
        <f>SUMPRODUCT(N(Tabela3[Nome]=Tabela3[[#This Row],[Nome]]),Tabela3[Div Base]*Tabela3[Ações])</f>
        <v>0</v>
      </c>
      <c r="AM406" s="5">
        <f>Tabela3[Patrimônio Líquido]/Tabela3[Total Ações]</f>
        <v>-15.274837972212497</v>
      </c>
      <c r="AN406" s="52">
        <f>MAX(Tabela3[[#This Row],[Cotação 1]:[Cotação 5]])</f>
        <v>5</v>
      </c>
      <c r="AO406" s="53">
        <f>Tabela3[Cotação]/Tabela3[VPA]</f>
        <v>-0.32733571440141246</v>
      </c>
      <c r="AP406" s="37">
        <f>IF(Tabela3[[#This Row],[Lucro/Ação]]&gt;0,Tabela3[[#This Row],[Cotação]]/(Tabela3[[#This Row],[Lucro/Ação]]/Tabela3[Ref]*4),0)</f>
        <v>0</v>
      </c>
      <c r="AQ406" s="85">
        <f>Tabela3[Lucro Distribuir]/Tabela3[Total Ações]</f>
        <v>0</v>
      </c>
      <c r="AR406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06" s="10" t="str">
        <f>IF(AND(Tabela3[% A.A.]&gt;=6%,SUMPRODUCT(N(Tabela3[Nome]=Tabela3[[#This Row],[Nome]]),Tabela3[PL])&gt;0,Tabela3[Rentabilidade s/ PL]&gt;=Tabela3[Rentabilidade s/ PL Média]),"Sim","Não")</f>
        <v>Não</v>
      </c>
      <c r="AT406" s="22">
        <f>IF(Tabela3[Cotação]&gt;0,Tabela3[[#This Row],[Lucro]]/Tabela3[[#This Row],[Cotação]],0)</f>
        <v>0</v>
      </c>
      <c r="AU406" s="22">
        <f>((1+Tabela3[[#This Row],[% Yield]])^(1/(3*Tabela3[[#This Row],[Ref]])))^(12)-1</f>
        <v>0</v>
      </c>
      <c r="AV406" s="10">
        <f>IF(Tabela3[Cotação]&gt;0,($BD$1/Tabela3[[#This Row],[Cotação]]-MOD($BD$1/Tabela3[[#This Row],[Cotação]],100)),)</f>
        <v>0</v>
      </c>
      <c r="AW406" s="7">
        <f>Tabela3[[#This Row],[Ativos]]*Tabela3[Lucro]</f>
        <v>0</v>
      </c>
      <c r="AX406" s="7">
        <f>SUMPRODUCT(N(Tabela1[Código]=Tabela3[[#This Row],[PAPEL]]),Tabela1[Fechamento])</f>
        <v>0</v>
      </c>
      <c r="AY406" s="7">
        <f>SUMPRODUCT(N(Tabela17[Código]=Tabela3[[#This Row],[PAPEL]]),Tabela17[Fechamento])</f>
        <v>0</v>
      </c>
      <c r="AZ406" s="7">
        <f>SUMPRODUCT(N(Tabela176[Código]=Tabela3[[#This Row],[PAPEL]]),Tabela176[Fechamento])</f>
        <v>0</v>
      </c>
      <c r="BA406" s="7">
        <f>SUMPRODUCT(N(Tabela1768[Código]=Tabela3[[#This Row],[PAPEL]]),Tabela1768[Fechamento])</f>
        <v>5</v>
      </c>
      <c r="BB406" s="7">
        <f>SUMPRODUCT(N(Tabela17683[Código]=Tabela3[[#This Row],[PAPEL]]),Tabela17683[Fechamento])</f>
        <v>0</v>
      </c>
    </row>
    <row r="407" spans="1:54" hidden="1" x14ac:dyDescent="0.2">
      <c r="A407" s="3" t="s">
        <v>1075</v>
      </c>
      <c r="B407" s="58" t="s">
        <v>1083</v>
      </c>
      <c r="C407" s="16" t="str">
        <f>LEFT(Tabela3[PAPEL],LEN(Tabela3[PAPEL])-(LEN(Tabela3[PAPEL])-4))</f>
        <v>ESTR</v>
      </c>
      <c r="D407" s="16">
        <v>3</v>
      </c>
      <c r="E407" s="5">
        <v>30602186.559999999</v>
      </c>
      <c r="F407" s="56">
        <v>10777985</v>
      </c>
      <c r="G407" s="81">
        <v>0.25</v>
      </c>
      <c r="H407" s="87"/>
      <c r="I407" s="18">
        <v>0.06</v>
      </c>
      <c r="J407" s="18"/>
      <c r="K407" s="16"/>
      <c r="L407" s="87"/>
      <c r="M407" s="54"/>
      <c r="N407" s="54"/>
      <c r="O407" s="54"/>
      <c r="P407" s="91">
        <v>-246948000</v>
      </c>
      <c r="Q407" s="73">
        <v>-23685000</v>
      </c>
      <c r="R407" s="73">
        <f>IF(Tabela3[[#This Row],[Ativo || Passivo]]&gt;0,Tabela3[[#This Row],[Ativo || Passivo]]-Tabela3[[#This Row],[Patrimônio Líquido]],0)</f>
        <v>0</v>
      </c>
      <c r="S407" s="73">
        <f>Tabela3[[#This Row],[Cotação]]*Tabela3[[#This Row],[Total Ações]]</f>
        <v>3233396</v>
      </c>
      <c r="T407" s="37">
        <f>IF(Tabela3[[#This Row],[Passivo Circulante]]&gt;0,Tabela3[[#This Row],[Ativo Circulante]]/Tabela3[[#This Row],[Passivo Circulante]],0)</f>
        <v>0</v>
      </c>
      <c r="U407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07" s="18">
        <f>IF(Tabela3[[#This Row],[Lucro Líquido]]&gt;0,Tabela3[[#This Row],[Lucro Líquido]]/Tabela3[[#This Row],[Patrimônio Líquido]],0)</f>
        <v>0</v>
      </c>
      <c r="W407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07" s="18">
        <f>IF(Tabela3[[#This Row],[Dívida]]&gt;0,Tabela3[[#This Row],[Dívida]]/Tabela3[[#This Row],[Patrimônio Líquido]],0)</f>
        <v>0</v>
      </c>
      <c r="Y407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07" s="7">
        <f>Tabela3[[#This Row],[Capital Social]]*20%</f>
        <v>6120437.3119999999</v>
      </c>
      <c r="AA407" s="47">
        <f>IF((Tabela3[Lucro Líquido]*5%)&gt;Tabela3[Teto R. Legal],Tabela3[Teto R. Legal],Tabela3[Lucro Líquido]*5%)</f>
        <v>-1184250</v>
      </c>
      <c r="AB407" s="47">
        <f>IF(Tabela3[Lucro Líquido]&lt;0,0,Tabela3[Lucro Líquido]-Tabela3[Reserva Legal])</f>
        <v>0</v>
      </c>
      <c r="AC407" s="47">
        <f>Tabela3[[#This Row],[Lucro Distribuir]]*Tabela3[%Div]</f>
        <v>0</v>
      </c>
      <c r="AD407" s="56">
        <f>SUMPRODUCT(N(Tabela3[Nome]=Tabela3[[#This Row],[Nome]]),Tabela3[Ações])</f>
        <v>16166980</v>
      </c>
      <c r="AE407" s="85">
        <f>Tabela3[Capital Social]/Tabela3[Total Ações]</f>
        <v>1.892882069502158</v>
      </c>
      <c r="AF407" s="85">
        <f>Tabela3[[#This Row],[Lucro Líquido]]/Tabela3[[#This Row],[Total Ações]]</f>
        <v>-1.4650231521285979</v>
      </c>
      <c r="AG407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07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07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07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07" s="7">
        <f>Tabela3[Div Base]*Tabela3[Ações]</f>
        <v>0</v>
      </c>
      <c r="AL407" s="7">
        <f>SUMPRODUCT(N(Tabela3[Nome]=Tabela3[[#This Row],[Nome]]),Tabela3[Div Base]*Tabela3[Ações])</f>
        <v>0</v>
      </c>
      <c r="AM407" s="5">
        <f>Tabela3[Patrimônio Líquido]/Tabela3[Total Ações]</f>
        <v>-15.274837972212497</v>
      </c>
      <c r="AN407" s="52">
        <f>MAX(Tabela3[[#This Row],[Cotação 1]:[Cotação 5]])</f>
        <v>0.2</v>
      </c>
      <c r="AO407" s="53">
        <f>Tabela3[Cotação]/Tabela3[VPA]</f>
        <v>-1.3093428576056498E-2</v>
      </c>
      <c r="AP407" s="37">
        <f>IF(Tabela3[[#This Row],[Lucro/Ação]]&gt;0,Tabela3[[#This Row],[Cotação]]/(Tabela3[[#This Row],[Lucro/Ação]]/Tabela3[Ref]*4),0)</f>
        <v>0</v>
      </c>
      <c r="AQ407" s="85">
        <f>Tabela3[Lucro Distribuir]/Tabela3[Total Ações]</f>
        <v>0</v>
      </c>
      <c r="AR407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07" s="10" t="str">
        <f>IF(AND(Tabela3[% A.A.]&gt;=6%,SUMPRODUCT(N(Tabela3[Nome]=Tabela3[[#This Row],[Nome]]),Tabela3[PL])&gt;0,Tabela3[Rentabilidade s/ PL]&gt;=Tabela3[Rentabilidade s/ PL Média]),"Sim","Não")</f>
        <v>Não</v>
      </c>
      <c r="AT407" s="22">
        <f>IF(Tabela3[Cotação]&gt;0,Tabela3[[#This Row],[Lucro]]/Tabela3[[#This Row],[Cotação]],0)</f>
        <v>0</v>
      </c>
      <c r="AU407" s="22">
        <f>((1+Tabela3[[#This Row],[% Yield]])^(1/(3*Tabela3[[#This Row],[Ref]])))^(12)-1</f>
        <v>0</v>
      </c>
      <c r="AV407" s="10">
        <f>IF(Tabela3[Cotação]&gt;0,($BD$1/Tabela3[[#This Row],[Cotação]]-MOD($BD$1/Tabela3[[#This Row],[Cotação]],100)),)</f>
        <v>0</v>
      </c>
      <c r="AW407" s="7">
        <f>Tabela3[[#This Row],[Ativos]]*Tabela3[Lucro]</f>
        <v>0</v>
      </c>
      <c r="AX407" s="7">
        <f>SUMPRODUCT(N(Tabela1[Código]=Tabela3[[#This Row],[PAPEL]]),Tabela1[Fechamento])</f>
        <v>0</v>
      </c>
      <c r="AY407" s="7">
        <f>SUMPRODUCT(N(Tabela17[Código]=Tabela3[[#This Row],[PAPEL]]),Tabela17[Fechamento])</f>
        <v>0</v>
      </c>
      <c r="AZ407" s="7">
        <f>SUMPRODUCT(N(Tabela176[Código]=Tabela3[[#This Row],[PAPEL]]),Tabela176[Fechamento])</f>
        <v>0</v>
      </c>
      <c r="BA407" s="7">
        <f>SUMPRODUCT(N(Tabela1768[Código]=Tabela3[[#This Row],[PAPEL]]),Tabela1768[Fechamento])</f>
        <v>0.2</v>
      </c>
      <c r="BB407" s="7">
        <f>SUMPRODUCT(N(Tabela17683[Código]=Tabela3[[#This Row],[PAPEL]]),Tabela17683[Fechamento])</f>
        <v>0</v>
      </c>
    </row>
    <row r="408" spans="1:54" hidden="1" x14ac:dyDescent="0.2">
      <c r="A408" s="4" t="s">
        <v>335</v>
      </c>
      <c r="B408" s="57" t="s">
        <v>625</v>
      </c>
      <c r="C408" s="16" t="str">
        <f>LEFT(Tabela3[PAPEL],LEN(Tabela3[PAPEL])-(LEN(Tabela3[PAPEL])-4))</f>
        <v>FBMC</v>
      </c>
      <c r="D408" s="16">
        <v>3</v>
      </c>
      <c r="E408" s="5">
        <v>23748768.84</v>
      </c>
      <c r="F408" s="56">
        <v>265160</v>
      </c>
      <c r="G408" s="81">
        <v>0.25</v>
      </c>
      <c r="J408" s="18"/>
      <c r="K408" s="87"/>
      <c r="L408" s="87"/>
      <c r="M408" s="54"/>
      <c r="N408" s="54"/>
      <c r="O408" s="54"/>
      <c r="P408" s="91">
        <v>21037000</v>
      </c>
      <c r="Q408" s="73">
        <v>-2365000</v>
      </c>
      <c r="R408" s="73">
        <f>IF(Tabela3[[#This Row],[Ativo || Passivo]]&gt;0,Tabela3[[#This Row],[Ativo || Passivo]]-Tabela3[[#This Row],[Patrimônio Líquido]],0)</f>
        <v>0</v>
      </c>
      <c r="S408" s="73">
        <f>Tabela3[[#This Row],[Cotação]]*Tabela3[[#This Row],[Total Ações]]</f>
        <v>58121120</v>
      </c>
      <c r="T408" s="37">
        <f>IF(Tabela3[[#This Row],[Passivo Circulante]]&gt;0,Tabela3[[#This Row],[Ativo Circulante]]/Tabela3[[#This Row],[Passivo Circulante]],0)</f>
        <v>0</v>
      </c>
      <c r="U408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08" s="18">
        <f>IF(Tabela3[[#This Row],[Lucro Líquido]]&gt;0,Tabela3[[#This Row],[Lucro Líquido]]/Tabela3[[#This Row],[Patrimônio Líquido]],0)</f>
        <v>0</v>
      </c>
      <c r="W408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08" s="18">
        <f>IF(Tabela3[[#This Row],[Dívida]]&gt;0,Tabela3[[#This Row],[Dívida]]/Tabela3[[#This Row],[Patrimônio Líquido]],0)</f>
        <v>0</v>
      </c>
      <c r="Y408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08" s="47">
        <f>Tabela3[[#This Row],[Capital Social]]*20%</f>
        <v>4749753.7680000002</v>
      </c>
      <c r="AA408" s="47">
        <f>IF((Tabela3[Lucro Líquido]*5%)&gt;Tabela3[Teto R. Legal],Tabela3[Teto R. Legal],Tabela3[Lucro Líquido]*5%)</f>
        <v>-118250</v>
      </c>
      <c r="AB408" s="47">
        <f>IF(Tabela3[Lucro Líquido]&lt;0,0,Tabela3[Lucro Líquido]-Tabela3[Reserva Legal])</f>
        <v>0</v>
      </c>
      <c r="AC408" s="47">
        <f>Tabela3[[#This Row],[Lucro Distribuir]]*Tabela3[%Div]</f>
        <v>0</v>
      </c>
      <c r="AD408" s="56">
        <f>SUMPRODUCT(N(Tabela3[Nome]=Tabela3[[#This Row],[Nome]]),Tabela3[Ações])</f>
        <v>726514</v>
      </c>
      <c r="AE408" s="5">
        <f>Tabela3[Capital Social]/Tabela3[Total Ações]</f>
        <v>32.688659599126787</v>
      </c>
      <c r="AF408" s="77">
        <f>Tabela3[[#This Row],[Lucro Líquido]]/Tabela3[[#This Row],[Total Ações]]</f>
        <v>-3.2552710615349465</v>
      </c>
      <c r="AG408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08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08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08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08" s="47">
        <f>Tabela3[Div Base]*Tabela3[Ações]</f>
        <v>0</v>
      </c>
      <c r="AL408" s="47">
        <f>SUMPRODUCT(N(Tabela3[Nome]=Tabela3[[#This Row],[Nome]]),Tabela3[Div Base]*Tabela3[Ações])</f>
        <v>0</v>
      </c>
      <c r="AM408" s="5">
        <f>Tabela3[Patrimônio Líquido]/Tabela3[Total Ações]</f>
        <v>28.956083434042565</v>
      </c>
      <c r="AN408" s="52">
        <f>MAX(Tabela3[[#This Row],[Cotação 1]:[Cotação 5]])</f>
        <v>80</v>
      </c>
      <c r="AO408" s="53">
        <f>Tabela3[Cotação]/Tabela3[VPA]</f>
        <v>2.7628045824024339</v>
      </c>
      <c r="AP408" s="37">
        <f>IF(Tabela3[[#This Row],[Lucro/Ação]]&gt;0,Tabela3[[#This Row],[Cotação]]/(Tabela3[[#This Row],[Lucro/Ação]]/Tabela3[Ref]*4),0)</f>
        <v>0</v>
      </c>
      <c r="AQ408" s="77">
        <f>Tabela3[Lucro Distribuir]/Tabela3[Total Ações]</f>
        <v>0</v>
      </c>
      <c r="AR408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08" s="10" t="str">
        <f>IF(AND(Tabela3[% A.A.]&gt;=6%,SUMPRODUCT(N(Tabela3[Nome]=Tabela3[[#This Row],[Nome]]),Tabela3[PL])&gt;0,Tabela3[Rentabilidade s/ PL]&gt;=Tabela3[Rentabilidade s/ PL Média]),"Sim","Não")</f>
        <v>Não</v>
      </c>
      <c r="AT408" s="22">
        <f>IF(Tabela3[Cotação]&gt;0,Tabela3[[#This Row],[Lucro]]/Tabela3[[#This Row],[Cotação]],0)</f>
        <v>0</v>
      </c>
      <c r="AU408" s="22">
        <f>((1+Tabela3[[#This Row],[% Yield]])^(1/(3*Tabela3[[#This Row],[Ref]])))^(12)-1</f>
        <v>0</v>
      </c>
      <c r="AV408" s="10">
        <f>IF(Tabela3[Cotação]&gt;0,($BD$1/Tabela3[[#This Row],[Cotação]]-MOD($BD$1/Tabela3[[#This Row],[Cotação]],100)),)</f>
        <v>0</v>
      </c>
      <c r="AW408" s="7">
        <f>Tabela3[[#This Row],[Ativos]]*Tabela3[Lucro]</f>
        <v>0</v>
      </c>
      <c r="AX408" s="7">
        <f>SUMPRODUCT(N(Tabela1[Código]=Tabela3[[#This Row],[PAPEL]]),Tabela1[Fechamento])</f>
        <v>0</v>
      </c>
      <c r="AY408" s="7">
        <f>SUMPRODUCT(N(Tabela17[Código]=Tabela3[[#This Row],[PAPEL]]),Tabela17[Fechamento])</f>
        <v>0</v>
      </c>
      <c r="AZ408" s="7">
        <f>SUMPRODUCT(N(Tabela176[Código]=Tabela3[[#This Row],[PAPEL]]),Tabela176[Fechamento])</f>
        <v>80</v>
      </c>
      <c r="BA408" s="7">
        <f>SUMPRODUCT(N(Tabela1768[Código]=Tabela3[[#This Row],[PAPEL]]),Tabela1768[Fechamento])</f>
        <v>0</v>
      </c>
      <c r="BB408" s="7">
        <f>SUMPRODUCT(N(Tabela17683[Código]=Tabela3[[#This Row],[PAPEL]]),Tabela17683[Fechamento])</f>
        <v>0</v>
      </c>
    </row>
    <row r="409" spans="1:54" hidden="1" x14ac:dyDescent="0.2">
      <c r="A409" s="4" t="s">
        <v>335</v>
      </c>
      <c r="B409" s="57" t="s">
        <v>626</v>
      </c>
      <c r="C409" s="15" t="str">
        <f>LEFT(Tabela3[PAPEL],LEN(Tabela3[PAPEL])-(LEN(Tabela3[PAPEL])-4))</f>
        <v>FBMC</v>
      </c>
      <c r="D409" s="15">
        <v>3</v>
      </c>
      <c r="E409" s="5">
        <v>23748768.84</v>
      </c>
      <c r="F409" s="8">
        <v>461354</v>
      </c>
      <c r="G409" s="86">
        <v>0.25</v>
      </c>
      <c r="H409" s="9"/>
      <c r="I409" s="19">
        <v>0.08</v>
      </c>
      <c r="J409" s="19"/>
      <c r="K409" s="88"/>
      <c r="L409" s="88"/>
      <c r="M409" s="55"/>
      <c r="N409" s="55"/>
      <c r="O409" s="55"/>
      <c r="P409" s="91">
        <v>21037000</v>
      </c>
      <c r="Q409" s="73">
        <v>-2365000</v>
      </c>
      <c r="R409" s="73">
        <f>IF(Tabela3[[#This Row],[Ativo || Passivo]]&gt;0,Tabela3[[#This Row],[Ativo || Passivo]]-Tabela3[[#This Row],[Patrimônio Líquido]],0)</f>
        <v>0</v>
      </c>
      <c r="S409" s="73">
        <f>Tabela3[[#This Row],[Cotação]]*Tabela3[[#This Row],[Total Ações]]</f>
        <v>18882098.859999999</v>
      </c>
      <c r="T409" s="37">
        <f>IF(Tabela3[[#This Row],[Passivo Circulante]]&gt;0,Tabela3[[#This Row],[Ativo Circulante]]/Tabela3[[#This Row],[Passivo Circulante]],0)</f>
        <v>0</v>
      </c>
      <c r="U409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09" s="18">
        <f>IF(Tabela3[[#This Row],[Lucro Líquido]]&gt;0,Tabela3[[#This Row],[Lucro Líquido]]/Tabela3[[#This Row],[Patrimônio Líquido]],0)</f>
        <v>0</v>
      </c>
      <c r="W409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09" s="18">
        <f>IF(Tabela3[[#This Row],[Dívida]]&gt;0,Tabela3[[#This Row],[Dívida]]/Tabela3[[#This Row],[Patrimônio Líquido]],0)</f>
        <v>0</v>
      </c>
      <c r="Y409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09" s="13">
        <f>Tabela3[[#This Row],[Capital Social]]*20%</f>
        <v>4749753.7680000002</v>
      </c>
      <c r="AA409" s="13">
        <f>IF((Tabela3[Lucro Líquido]*5%)&gt;Tabela3[Teto R. Legal],Tabela3[Teto R. Legal],Tabela3[Lucro Líquido]*5%)</f>
        <v>-118250</v>
      </c>
      <c r="AB409" s="13">
        <f>IF(Tabela3[Lucro Líquido]&lt;0,0,Tabela3[Lucro Líquido]-Tabela3[Reserva Legal])</f>
        <v>0</v>
      </c>
      <c r="AC409" s="13">
        <f>Tabela3[[#This Row],[Lucro Distribuir]]*Tabela3[%Div]</f>
        <v>0</v>
      </c>
      <c r="AD409" s="56">
        <f>SUMPRODUCT(N(Tabela3[Nome]=Tabela3[[#This Row],[Nome]]),Tabela3[Ações])</f>
        <v>726514</v>
      </c>
      <c r="AE409" s="6">
        <f>Tabela3[Capital Social]/Tabela3[Total Ações]</f>
        <v>32.688659599126787</v>
      </c>
      <c r="AF409" s="78">
        <f>Tabela3[[#This Row],[Lucro Líquido]]/Tabela3[[#This Row],[Total Ações]]</f>
        <v>-3.2552710615349465</v>
      </c>
      <c r="AG409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09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09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09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09" s="13">
        <f>Tabela3[Div Base]*Tabela3[Ações]</f>
        <v>0</v>
      </c>
      <c r="AL409" s="13">
        <f>SUMPRODUCT(N(Tabela3[Nome]=Tabela3[[#This Row],[Nome]]),Tabela3[Div Base]*Tabela3[Ações])</f>
        <v>0</v>
      </c>
      <c r="AM409" s="6">
        <f>Tabela3[Patrimônio Líquido]/Tabela3[Total Ações]</f>
        <v>28.956083434042565</v>
      </c>
      <c r="AN409" s="48">
        <f>MAX(Tabela3[[#This Row],[Cotação 1]:[Cotação 5]])</f>
        <v>25.99</v>
      </c>
      <c r="AO409" s="44">
        <f>Tabela3[Cotação]/Tabela3[VPA]</f>
        <v>0.89756613870799062</v>
      </c>
      <c r="AP409" s="40">
        <f>IF(Tabela3[[#This Row],[Lucro/Ação]]&gt;0,Tabela3[[#This Row],[Cotação]]/(Tabela3[[#This Row],[Lucro/Ação]]/Tabela3[Ref]*4),0)</f>
        <v>0</v>
      </c>
      <c r="AQ409" s="78">
        <f>Tabela3[Lucro Distribuir]/Tabela3[Total Ações]</f>
        <v>0</v>
      </c>
      <c r="AR409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09" s="14" t="str">
        <f>IF(AND(Tabela3[% A.A.]&gt;=6%,SUMPRODUCT(N(Tabela3[Nome]=Tabela3[[#This Row],[Nome]]),Tabela3[PL])&gt;0,Tabela3[Rentabilidade s/ PL]&gt;=Tabela3[Rentabilidade s/ PL Média]),"Sim","Não")</f>
        <v>Não</v>
      </c>
      <c r="AT409" s="42">
        <f>IF(Tabela3[Cotação]&gt;0,Tabela3[[#This Row],[Lucro]]/Tabela3[[#This Row],[Cotação]],0)</f>
        <v>0</v>
      </c>
      <c r="AU409" s="42">
        <f>((1+Tabela3[[#This Row],[% Yield]])^(1/(3*Tabela3[[#This Row],[Ref]])))^(12)-1</f>
        <v>0</v>
      </c>
      <c r="AV409" s="14">
        <f>IF(Tabela3[Cotação]&gt;0,($BD$1/Tabela3[[#This Row],[Cotação]]-MOD($BD$1/Tabela3[[#This Row],[Cotação]],100)),)</f>
        <v>0</v>
      </c>
      <c r="AW409" s="17">
        <f>Tabela3[[#This Row],[Ativos]]*Tabela3[Lucro]</f>
        <v>0</v>
      </c>
      <c r="AX409" s="17">
        <f>SUMPRODUCT(N(Tabela1[Código]=Tabela3[[#This Row],[PAPEL]]),Tabela1[Fechamento])</f>
        <v>0</v>
      </c>
      <c r="AY409" s="17">
        <f>SUMPRODUCT(N(Tabela17[Código]=Tabela3[[#This Row],[PAPEL]]),Tabela17[Fechamento])</f>
        <v>0</v>
      </c>
      <c r="AZ409" s="17">
        <f>SUMPRODUCT(N(Tabela176[Código]=Tabela3[[#This Row],[PAPEL]]),Tabela176[Fechamento])</f>
        <v>25.99</v>
      </c>
      <c r="BA409" s="17">
        <f>SUMPRODUCT(N(Tabela1768[Código]=Tabela3[[#This Row],[PAPEL]]),Tabela1768[Fechamento])</f>
        <v>0</v>
      </c>
      <c r="BB409" s="7">
        <f>SUMPRODUCT(N(Tabela17683[Código]=Tabela3[[#This Row],[PAPEL]]),Tabela17683[Fechamento])</f>
        <v>0</v>
      </c>
    </row>
    <row r="410" spans="1:54" hidden="1" x14ac:dyDescent="0.2">
      <c r="A410" s="4" t="s">
        <v>671</v>
      </c>
      <c r="B410" s="57" t="s">
        <v>672</v>
      </c>
      <c r="C410" s="15" t="str">
        <f>LEFT(Tabela3[PAPEL],LEN(Tabela3[PAPEL])-(LEN(Tabela3[PAPEL])-4))</f>
        <v>FHER</v>
      </c>
      <c r="D410" s="15">
        <v>3</v>
      </c>
      <c r="E410" s="6">
        <v>448746223.56</v>
      </c>
      <c r="F410" s="8">
        <v>48471407</v>
      </c>
      <c r="G410" s="86">
        <v>0.25</v>
      </c>
      <c r="H410" s="15"/>
      <c r="I410" s="19"/>
      <c r="J410" s="19"/>
      <c r="K410" s="88"/>
      <c r="L410" s="88"/>
      <c r="M410" s="55"/>
      <c r="N410" s="55"/>
      <c r="O410" s="55"/>
      <c r="P410" s="92">
        <v>417901000</v>
      </c>
      <c r="Q410" s="93">
        <v>-53244000</v>
      </c>
      <c r="R410" s="93">
        <f>IF(Tabela3[[#This Row],[Ativo || Passivo]]&gt;0,Tabela3[[#This Row],[Ativo || Passivo]]-Tabela3[[#This Row],[Patrimônio Líquido]],0)</f>
        <v>0</v>
      </c>
      <c r="S410" s="93">
        <f>Tabela3[[#This Row],[Cotação]]*Tabela3[[#This Row],[Total Ações]]</f>
        <v>0</v>
      </c>
      <c r="T410" s="40">
        <f>IF(Tabela3[[#This Row],[Passivo Circulante]]&gt;0,Tabela3[[#This Row],[Ativo Circulante]]/Tabela3[[#This Row],[Passivo Circulante]],0)</f>
        <v>0</v>
      </c>
      <c r="U410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10" s="19">
        <f>IF(Tabela3[[#This Row],[Lucro Líquido]]&gt;0,Tabela3[[#This Row],[Lucro Líquido]]/Tabela3[[#This Row],[Patrimônio Líquido]],0)</f>
        <v>0</v>
      </c>
      <c r="W410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10" s="19">
        <f>IF(Tabela3[[#This Row],[Dívida]]&gt;0,Tabela3[[#This Row],[Dívida]]/Tabela3[[#This Row],[Patrimônio Líquido]],0)</f>
        <v>0</v>
      </c>
      <c r="Y410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10" s="13">
        <f>Tabela3[[#This Row],[Capital Social]]*20%</f>
        <v>89749244.712000012</v>
      </c>
      <c r="AA410" s="13">
        <f>IF((Tabela3[Lucro Líquido]*5%)&gt;Tabela3[Teto R. Legal],Tabela3[Teto R. Legal],Tabela3[Lucro Líquido]*5%)</f>
        <v>-2662200</v>
      </c>
      <c r="AB410" s="13">
        <f>IF(Tabela3[Lucro Líquido]&lt;0,0,Tabela3[Lucro Líquido]-Tabela3[Reserva Legal])</f>
        <v>0</v>
      </c>
      <c r="AC410" s="13">
        <f>Tabela3[[#This Row],[Lucro Distribuir]]*Tabela3[%Div]</f>
        <v>0</v>
      </c>
      <c r="AD410" s="56">
        <f>SUMPRODUCT(N(Tabela3[Nome]=Tabela3[[#This Row],[Nome]]),Tabela3[Ações])</f>
        <v>48471407</v>
      </c>
      <c r="AE410" s="6">
        <f>Tabela3[Capital Social]/Tabela3[Total Ações]</f>
        <v>9.2579574502551569</v>
      </c>
      <c r="AF410" s="78">
        <f>Tabela3[[#This Row],[Lucro Líquido]]/Tabela3[[#This Row],[Total Ações]]</f>
        <v>-1.098462027314371</v>
      </c>
      <c r="AG410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10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10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10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10" s="13">
        <f>Tabela3[Div Base]*Tabela3[Ações]</f>
        <v>0</v>
      </c>
      <c r="AL410" s="13">
        <f>SUMPRODUCT(N(Tabela3[Nome]=Tabela3[[#This Row],[Nome]]),Tabela3[Div Base]*Tabela3[Ações])</f>
        <v>0</v>
      </c>
      <c r="AM410" s="6">
        <f>Tabela3[Patrimônio Líquido]/Tabela3[Total Ações]</f>
        <v>8.6215982960841231</v>
      </c>
      <c r="AN410" s="48">
        <f>MAX(Tabela3[[#This Row],[Cotação 1]:[Cotação 5]])</f>
        <v>0</v>
      </c>
      <c r="AO410" s="44">
        <f>Tabela3[Cotação]/Tabela3[VPA]</f>
        <v>0</v>
      </c>
      <c r="AP410" s="40">
        <f>IF(Tabela3[[#This Row],[Lucro/Ação]]&gt;0,Tabela3[[#This Row],[Cotação]]/(Tabela3[[#This Row],[Lucro/Ação]]/Tabela3[Ref]*4),0)</f>
        <v>0</v>
      </c>
      <c r="AQ410" s="78">
        <f>Tabela3[Lucro Distribuir]/Tabela3[Total Ações]</f>
        <v>0</v>
      </c>
      <c r="AR410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10" s="14" t="str">
        <f>IF(AND(Tabela3[% A.A.]&gt;=6%,SUMPRODUCT(N(Tabela3[Nome]=Tabela3[[#This Row],[Nome]]),Tabela3[PL])&gt;0,Tabela3[Rentabilidade s/ PL]&gt;=Tabela3[Rentabilidade s/ PL Média]),"Sim","Não")</f>
        <v>Não</v>
      </c>
      <c r="AT410" s="42">
        <f>IF(Tabela3[Cotação]&gt;0,Tabela3[[#This Row],[Lucro]]/Tabela3[[#This Row],[Cotação]],0)</f>
        <v>0</v>
      </c>
      <c r="AU410" s="42">
        <f>((1+Tabela3[[#This Row],[% Yield]])^(1/(3*Tabela3[[#This Row],[Ref]])))^(12)-1</f>
        <v>0</v>
      </c>
      <c r="AV410" s="14">
        <f>IF(Tabela3[Cotação]&gt;0,($BD$1/Tabela3[[#This Row],[Cotação]]-MOD($BD$1/Tabela3[[#This Row],[Cotação]],100)),)</f>
        <v>0</v>
      </c>
      <c r="AW410" s="17">
        <f>Tabela3[[#This Row],[Ativos]]*Tabela3[Lucro]</f>
        <v>0</v>
      </c>
      <c r="AX410" s="17">
        <f>SUMPRODUCT(N(Tabela1[Código]=Tabela3[[#This Row],[PAPEL]]),Tabela1[Fechamento])</f>
        <v>0</v>
      </c>
      <c r="AY410" s="17">
        <f>SUMPRODUCT(N(Tabela17[Código]=Tabela3[[#This Row],[PAPEL]]),Tabela17[Fechamento])</f>
        <v>0</v>
      </c>
      <c r="AZ410" s="17">
        <f>SUMPRODUCT(N(Tabela176[Código]=Tabela3[[#This Row],[PAPEL]]),Tabela176[Fechamento])</f>
        <v>0</v>
      </c>
      <c r="BA410" s="17">
        <f>SUMPRODUCT(N(Tabela1768[Código]=Tabela3[[#This Row],[PAPEL]]),Tabela1768[Fechamento])</f>
        <v>0</v>
      </c>
      <c r="BB410" s="7">
        <f>SUMPRODUCT(N(Tabela17683[Código]=Tabela3[[#This Row],[PAPEL]]),Tabela17683[Fechamento])</f>
        <v>0</v>
      </c>
    </row>
    <row r="411" spans="1:54" hidden="1" x14ac:dyDescent="0.2">
      <c r="A411" s="4" t="s">
        <v>19</v>
      </c>
      <c r="B411" s="57" t="s">
        <v>694</v>
      </c>
      <c r="C411" s="15" t="str">
        <f>LEFT(Tabela3[PAPEL],LEN(Tabela3[PAPEL])-(LEN(Tabela3[PAPEL])-4))</f>
        <v>FIBR</v>
      </c>
      <c r="D411" s="15">
        <v>4</v>
      </c>
      <c r="E411" s="6">
        <v>9740777179.5900002</v>
      </c>
      <c r="F411" s="8">
        <v>553934646</v>
      </c>
      <c r="G411" s="86">
        <v>0.25</v>
      </c>
      <c r="H411" s="15"/>
      <c r="I411" s="19"/>
      <c r="J411" s="19"/>
      <c r="K411" s="88"/>
      <c r="L411" s="88"/>
      <c r="M411" s="55"/>
      <c r="N411" s="55"/>
      <c r="O411" s="55"/>
      <c r="P411" s="92">
        <v>14444899000</v>
      </c>
      <c r="Q411" s="93">
        <v>-706422000</v>
      </c>
      <c r="R411" s="93">
        <f>IF(Tabela3[[#This Row],[Ativo || Passivo]]&gt;0,Tabela3[[#This Row],[Ativo || Passivo]]-Tabela3[[#This Row],[Patrimônio Líquido]],0)</f>
        <v>0</v>
      </c>
      <c r="S411" s="93">
        <f>Tabela3[[#This Row],[Cotação]]*Tabela3[[#This Row],[Total Ações]]</f>
        <v>14596177922.1</v>
      </c>
      <c r="T411" s="40">
        <f>IF(Tabela3[[#This Row],[Passivo Circulante]]&gt;0,Tabela3[[#This Row],[Ativo Circulante]]/Tabela3[[#This Row],[Passivo Circulante]],0)</f>
        <v>0</v>
      </c>
      <c r="U411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11" s="19">
        <f>IF(Tabela3[[#This Row],[Lucro Líquido]]&gt;0,Tabela3[[#This Row],[Lucro Líquido]]/Tabela3[[#This Row],[Patrimônio Líquido]],0)</f>
        <v>0</v>
      </c>
      <c r="W411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11" s="19">
        <f>IF(Tabela3[[#This Row],[Dívida]]&gt;0,Tabela3[[#This Row],[Dívida]]/Tabela3[[#This Row],[Patrimônio Líquido]],0)</f>
        <v>0</v>
      </c>
      <c r="Y411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11" s="13">
        <f>Tabela3[[#This Row],[Capital Social]]*20%</f>
        <v>1948155435.9180002</v>
      </c>
      <c r="AA411" s="13">
        <f>IF((Tabela3[Lucro Líquido]*5%)&gt;Tabela3[Teto R. Legal],Tabela3[Teto R. Legal],Tabela3[Lucro Líquido]*5%)</f>
        <v>-35321100</v>
      </c>
      <c r="AB411" s="13">
        <f>IF(Tabela3[Lucro Líquido]&lt;0,0,Tabela3[Lucro Líquido]-Tabela3[Reserva Legal])</f>
        <v>0</v>
      </c>
      <c r="AC411" s="13">
        <f>Tabela3[[#This Row],[Lucro Distribuir]]*Tabela3[%Div]</f>
        <v>0</v>
      </c>
      <c r="AD411" s="56">
        <f>SUMPRODUCT(N(Tabela3[Nome]=Tabela3[[#This Row],[Nome]]),Tabela3[Ações])</f>
        <v>553934646</v>
      </c>
      <c r="AE411" s="6">
        <f>Tabela3[Capital Social]/Tabela3[Total Ações]</f>
        <v>17.584704711880399</v>
      </c>
      <c r="AF411" s="78">
        <f>Tabela3[[#This Row],[Lucro Líquido]]/Tabela3[[#This Row],[Total Ações]]</f>
        <v>-1.2752804055516687</v>
      </c>
      <c r="AG411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11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11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11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11" s="13">
        <f>Tabela3[Div Base]*Tabela3[Ações]</f>
        <v>0</v>
      </c>
      <c r="AL411" s="13">
        <f>SUMPRODUCT(N(Tabela3[Nome]=Tabela3[[#This Row],[Nome]]),Tabela3[Div Base]*Tabela3[Ações])</f>
        <v>0</v>
      </c>
      <c r="AM411" s="6">
        <f>Tabela3[Patrimônio Líquido]/Tabela3[Total Ações]</f>
        <v>26.076901136817501</v>
      </c>
      <c r="AN411" s="48">
        <f>MAX(Tabela3[[#This Row],[Cotação 1]:[Cotação 5]])</f>
        <v>26.35</v>
      </c>
      <c r="AO411" s="44">
        <f>Tabela3[Cotação]/Tabela3[VPA]</f>
        <v>1.0104728265735885</v>
      </c>
      <c r="AP411" s="40">
        <f>IF(Tabela3[[#This Row],[Lucro/Ação]]&gt;0,Tabela3[[#This Row],[Cotação]]/(Tabela3[[#This Row],[Lucro/Ação]]/Tabela3[Ref]*4),0)</f>
        <v>0</v>
      </c>
      <c r="AQ411" s="78">
        <f>Tabela3[Lucro Distribuir]/Tabela3[Total Ações]</f>
        <v>0</v>
      </c>
      <c r="AR411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11" s="14" t="str">
        <f>IF(AND(Tabela3[% A.A.]&gt;=6%,SUMPRODUCT(N(Tabela3[Nome]=Tabela3[[#This Row],[Nome]]),Tabela3[PL])&gt;0,Tabela3[Rentabilidade s/ PL]&gt;=Tabela3[Rentabilidade s/ PL Média]),"Sim","Não")</f>
        <v>Não</v>
      </c>
      <c r="AT411" s="42">
        <f>IF(Tabela3[Cotação]&gt;0,Tabela3[[#This Row],[Lucro]]/Tabela3[[#This Row],[Cotação]],0)</f>
        <v>0</v>
      </c>
      <c r="AU411" s="42">
        <f>((1+Tabela3[[#This Row],[% Yield]])^(1/(3*Tabela3[[#This Row],[Ref]])))^(12)-1</f>
        <v>0</v>
      </c>
      <c r="AV411" s="14">
        <f>IF(Tabela3[Cotação]&gt;0,($BD$1/Tabela3[[#This Row],[Cotação]]-MOD($BD$1/Tabela3[[#This Row],[Cotação]],100)),)</f>
        <v>0</v>
      </c>
      <c r="AW411" s="17">
        <f>Tabela3[[#This Row],[Ativos]]*Tabela3[Lucro]</f>
        <v>0</v>
      </c>
      <c r="AX411" s="17">
        <f>SUMPRODUCT(N(Tabela1[Código]=Tabela3[[#This Row],[PAPEL]]),Tabela1[Fechamento])</f>
        <v>0</v>
      </c>
      <c r="AY411" s="17">
        <f>SUMPRODUCT(N(Tabela17[Código]=Tabela3[[#This Row],[PAPEL]]),Tabela17[Fechamento])</f>
        <v>0</v>
      </c>
      <c r="AZ411" s="17">
        <f>SUMPRODUCT(N(Tabela176[Código]=Tabela3[[#This Row],[PAPEL]]),Tabela176[Fechamento])</f>
        <v>26.35</v>
      </c>
      <c r="BA411" s="17">
        <f>SUMPRODUCT(N(Tabela1768[Código]=Tabela3[[#This Row],[PAPEL]]),Tabela1768[Fechamento])</f>
        <v>0</v>
      </c>
      <c r="BB411" s="7">
        <f>SUMPRODUCT(N(Tabela17683[Código]=Tabela3[[#This Row],[PAPEL]]),Tabela17683[Fechamento])</f>
        <v>0</v>
      </c>
    </row>
    <row r="412" spans="1:54" hidden="1" x14ac:dyDescent="0.2">
      <c r="A412" s="3" t="s">
        <v>1529</v>
      </c>
      <c r="B412" s="58" t="s">
        <v>1530</v>
      </c>
      <c r="C412" s="16" t="str">
        <f>LEFT(Tabela3[PAPEL],LEN(Tabela3[PAPEL])-(LEN(Tabela3[PAPEL])-4))</f>
        <v>FJTA</v>
      </c>
      <c r="D412" s="16">
        <v>3</v>
      </c>
      <c r="E412" s="5">
        <v>257797469.78999999</v>
      </c>
      <c r="F412" s="56">
        <v>47137539</v>
      </c>
      <c r="G412" s="81">
        <v>0.35</v>
      </c>
      <c r="H412" s="87"/>
      <c r="J412" s="18"/>
      <c r="K412" s="16"/>
      <c r="L412" s="87"/>
      <c r="M412" s="54"/>
      <c r="N412" s="54"/>
      <c r="O412" s="54"/>
      <c r="P412" s="91">
        <v>291810000</v>
      </c>
      <c r="Q412" s="73">
        <v>-84282000</v>
      </c>
      <c r="R412" s="73">
        <f>IF(Tabela3[[#This Row],[Ativo || Passivo]]&gt;0,Tabela3[[#This Row],[Ativo || Passivo]]-Tabela3[[#This Row],[Patrimônio Líquido]],0)</f>
        <v>0</v>
      </c>
      <c r="S412" s="73">
        <f>Tabela3[[#This Row],[Cotação]]*Tabela3[[#This Row],[Total Ações]]</f>
        <v>282825234</v>
      </c>
      <c r="T412" s="37">
        <f>IF(Tabela3[[#This Row],[Passivo Circulante]]&gt;0,Tabela3[[#This Row],[Ativo Circulante]]/Tabela3[[#This Row],[Passivo Circulante]],0)</f>
        <v>0</v>
      </c>
      <c r="U412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12" s="18">
        <f>IF(Tabela3[[#This Row],[Lucro Líquido]]&gt;0,Tabela3[[#This Row],[Lucro Líquido]]/Tabela3[[#This Row],[Patrimônio Líquido]],0)</f>
        <v>0</v>
      </c>
      <c r="W412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12" s="18">
        <f>IF(Tabela3[[#This Row],[Dívida]]&gt;0,Tabela3[[#This Row],[Dívida]]/Tabela3[[#This Row],[Patrimônio Líquido]],0)</f>
        <v>0</v>
      </c>
      <c r="Y412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12" s="7">
        <f>Tabela3[[#This Row],[Capital Social]]*20%</f>
        <v>51559493.958000004</v>
      </c>
      <c r="AA412" s="47">
        <f>IF((Tabela3[Lucro Líquido]*5%)&gt;Tabela3[Teto R. Legal],Tabela3[Teto R. Legal],Tabela3[Lucro Líquido]*5%)</f>
        <v>-4214100</v>
      </c>
      <c r="AB412" s="47">
        <f>IF(Tabela3[Lucro Líquido]&lt;0,0,Tabela3[Lucro Líquido]-Tabela3[Reserva Legal])</f>
        <v>0</v>
      </c>
      <c r="AC412" s="47">
        <f>Tabela3[[#This Row],[Lucro Distribuir]]*Tabela3[%Div]</f>
        <v>0</v>
      </c>
      <c r="AD412" s="56">
        <f>SUMPRODUCT(N(Tabela3[Nome]=Tabela3[[#This Row],[Nome]]),Tabela3[Ações])</f>
        <v>141412617</v>
      </c>
      <c r="AE412" s="85">
        <f>Tabela3[Capital Social]/Tabela3[Total Ações]</f>
        <v>1.8230160452373214</v>
      </c>
      <c r="AF412" s="85">
        <f>Tabela3[[#This Row],[Lucro Líquido]]/Tabela3[[#This Row],[Total Ações]]</f>
        <v>-0.59600056761554732</v>
      </c>
      <c r="AG412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12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12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12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12" s="7">
        <f>Tabela3[Div Base]*Tabela3[Ações]</f>
        <v>0</v>
      </c>
      <c r="AL412" s="121">
        <f>SUMPRODUCT(N(Tabela3[Nome]=Tabela3[[#This Row],[Nome]]),Tabela3[Div Base]*Tabela3[Ações])</f>
        <v>0</v>
      </c>
      <c r="AM412" s="5">
        <f>Tabela3[Patrimônio Líquido]/Tabela3[Total Ações]</f>
        <v>2.0635358159024806</v>
      </c>
      <c r="AN412" s="52">
        <f>MAX(Tabela3[[#This Row],[Cotação 1]:[Cotação 5]])</f>
        <v>2</v>
      </c>
      <c r="AO412" s="53">
        <f>Tabela3[Cotação]/Tabela3[VPA]</f>
        <v>0.96921021897810222</v>
      </c>
      <c r="AP412" s="37">
        <f>IF(Tabela3[[#This Row],[Lucro/Ação]]&gt;0,Tabela3[[#This Row],[Cotação]]/(Tabela3[[#This Row],[Lucro/Ação]]/Tabela3[Ref]*4),0)</f>
        <v>0</v>
      </c>
      <c r="AQ412" s="85">
        <f>Tabela3[Lucro Distribuir]/Tabela3[Total Ações]</f>
        <v>0</v>
      </c>
      <c r="AR412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12" s="10" t="str">
        <f>IF(AND(Tabela3[% A.A.]&gt;=6%,SUMPRODUCT(N(Tabela3[Nome]=Tabela3[[#This Row],[Nome]]),Tabela3[PL])&gt;0,Tabela3[Rentabilidade s/ PL]&gt;=Tabela3[Rentabilidade s/ PL Média]),"Sim","Não")</f>
        <v>Não</v>
      </c>
      <c r="AT412" s="22">
        <f>IF(Tabela3[Cotação]&gt;0,Tabela3[[#This Row],[Lucro]]/Tabela3[[#This Row],[Cotação]],0)</f>
        <v>0</v>
      </c>
      <c r="AU412" s="22">
        <f>((1+Tabela3[[#This Row],[% Yield]])^(1/(3*Tabela3[[#This Row],[Ref]])))^(12)-1</f>
        <v>0</v>
      </c>
      <c r="AV412" s="10">
        <f>IF(Tabela3[Cotação]&gt;0,($BD$1/Tabela3[[#This Row],[Cotação]]-MOD($BD$1/Tabela3[[#This Row],[Cotação]],100)),)</f>
        <v>0</v>
      </c>
      <c r="AW412" s="7">
        <f>Tabela3[[#This Row],[Ativos]]*Tabela3[Lucro]</f>
        <v>0</v>
      </c>
      <c r="AX412" s="7">
        <f>SUMPRODUCT(N(Tabela1[Código]=Tabela3[[#This Row],[PAPEL]]),Tabela1[Fechamento])</f>
        <v>0</v>
      </c>
      <c r="AY412" s="7">
        <f>SUMPRODUCT(N(Tabela17[Código]=Tabela3[[#This Row],[PAPEL]]),Tabela17[Fechamento])</f>
        <v>0</v>
      </c>
      <c r="AZ412" s="7">
        <f>SUMPRODUCT(N(Tabela176[Código]=Tabela3[[#This Row],[PAPEL]]),Tabela176[Fechamento])</f>
        <v>0</v>
      </c>
      <c r="BA412" s="7">
        <f>SUMPRODUCT(N(Tabela1768[Código]=Tabela3[[#This Row],[PAPEL]]),Tabela1768[Fechamento])</f>
        <v>0</v>
      </c>
      <c r="BB412" s="7">
        <f>SUMPRODUCT(N(Tabela17683[Código]=Tabela3[[#This Row],[PAPEL]]),Tabela17683[Fechamento])</f>
        <v>2</v>
      </c>
    </row>
    <row r="413" spans="1:54" hidden="1" x14ac:dyDescent="0.2">
      <c r="A413" s="3" t="s">
        <v>1529</v>
      </c>
      <c r="B413" s="58" t="s">
        <v>1531</v>
      </c>
      <c r="C413" s="16" t="str">
        <f>LEFT(Tabela3[PAPEL],LEN(Tabela3[PAPEL])-(LEN(Tabela3[PAPEL])-4))</f>
        <v>FJTA</v>
      </c>
      <c r="D413" s="16">
        <v>3</v>
      </c>
      <c r="E413" s="5">
        <v>257797469.78999999</v>
      </c>
      <c r="F413" s="56">
        <v>94275078</v>
      </c>
      <c r="G413" s="81">
        <v>0.35</v>
      </c>
      <c r="H413" s="87"/>
      <c r="J413" s="18"/>
      <c r="K413" s="16"/>
      <c r="L413" s="87"/>
      <c r="M413" s="54"/>
      <c r="N413" s="54"/>
      <c r="O413" s="54"/>
      <c r="P413" s="91">
        <v>291810000</v>
      </c>
      <c r="Q413" s="73">
        <v>-84282000</v>
      </c>
      <c r="R413" s="73">
        <f>IF(Tabela3[[#This Row],[Ativo || Passivo]]&gt;0,Tabela3[[#This Row],[Ativo || Passivo]]-Tabela3[[#This Row],[Patrimônio Líquido]],0)</f>
        <v>0</v>
      </c>
      <c r="S413" s="73">
        <f>Tabela3[[#This Row],[Cotação]]*Tabela3[[#This Row],[Total Ações]]</f>
        <v>248886205.91999999</v>
      </c>
      <c r="T413" s="37">
        <f>IF(Tabela3[[#This Row],[Passivo Circulante]]&gt;0,Tabela3[[#This Row],[Ativo Circulante]]/Tabela3[[#This Row],[Passivo Circulante]],0)</f>
        <v>0</v>
      </c>
      <c r="U413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13" s="18">
        <f>IF(Tabela3[[#This Row],[Lucro Líquido]]&gt;0,Tabela3[[#This Row],[Lucro Líquido]]/Tabela3[[#This Row],[Patrimônio Líquido]],0)</f>
        <v>0</v>
      </c>
      <c r="W413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13" s="18">
        <f>IF(Tabela3[[#This Row],[Dívida]]&gt;0,Tabela3[[#This Row],[Dívida]]/Tabela3[[#This Row],[Patrimônio Líquido]],0)</f>
        <v>0</v>
      </c>
      <c r="Y413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13" s="7">
        <f>Tabela3[[#This Row],[Capital Social]]*20%</f>
        <v>51559493.958000004</v>
      </c>
      <c r="AA413" s="47">
        <f>IF((Tabela3[Lucro Líquido]*5%)&gt;Tabela3[Teto R. Legal],Tabela3[Teto R. Legal],Tabela3[Lucro Líquido]*5%)</f>
        <v>-4214100</v>
      </c>
      <c r="AB413" s="47">
        <f>IF(Tabela3[Lucro Líquido]&lt;0,0,Tabela3[Lucro Líquido]-Tabela3[Reserva Legal])</f>
        <v>0</v>
      </c>
      <c r="AC413" s="47">
        <f>Tabela3[[#This Row],[Lucro Distribuir]]*Tabela3[%Div]</f>
        <v>0</v>
      </c>
      <c r="AD413" s="56">
        <f>SUMPRODUCT(N(Tabela3[Nome]=Tabela3[[#This Row],[Nome]]),Tabela3[Ações])</f>
        <v>141412617</v>
      </c>
      <c r="AE413" s="85">
        <f>Tabela3[Capital Social]/Tabela3[Total Ações]</f>
        <v>1.8230160452373214</v>
      </c>
      <c r="AF413" s="85">
        <f>Tabela3[[#This Row],[Lucro Líquido]]/Tabela3[[#This Row],[Total Ações]]</f>
        <v>-0.59600056761554732</v>
      </c>
      <c r="AG413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13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13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13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13" s="7">
        <f>Tabela3[Div Base]*Tabela3[Ações]</f>
        <v>0</v>
      </c>
      <c r="AL413" s="121">
        <f>SUMPRODUCT(N(Tabela3[Nome]=Tabela3[[#This Row],[Nome]]),Tabela3[Div Base]*Tabela3[Ações])</f>
        <v>0</v>
      </c>
      <c r="AM413" s="5">
        <f>Tabela3[Patrimônio Líquido]/Tabela3[Total Ações]</f>
        <v>2.0635358159024806</v>
      </c>
      <c r="AN413" s="52">
        <f>MAX(Tabela3[[#This Row],[Cotação 1]:[Cotação 5]])</f>
        <v>1.76</v>
      </c>
      <c r="AO413" s="53">
        <f>Tabela3[Cotação]/Tabela3[VPA]</f>
        <v>0.85290499270072995</v>
      </c>
      <c r="AP413" s="37">
        <f>IF(Tabela3[[#This Row],[Lucro/Ação]]&gt;0,Tabela3[[#This Row],[Cotação]]/(Tabela3[[#This Row],[Lucro/Ação]]/Tabela3[Ref]*4),0)</f>
        <v>0</v>
      </c>
      <c r="AQ413" s="85">
        <f>Tabela3[Lucro Distribuir]/Tabela3[Total Ações]</f>
        <v>0</v>
      </c>
      <c r="AR413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13" s="10" t="str">
        <f>IF(AND(Tabela3[% A.A.]&gt;=6%,SUMPRODUCT(N(Tabela3[Nome]=Tabela3[[#This Row],[Nome]]),Tabela3[PL])&gt;0,Tabela3[Rentabilidade s/ PL]&gt;=Tabela3[Rentabilidade s/ PL Média]),"Sim","Não")</f>
        <v>Não</v>
      </c>
      <c r="AT413" s="22">
        <f>IF(Tabela3[Cotação]&gt;0,Tabela3[[#This Row],[Lucro]]/Tabela3[[#This Row],[Cotação]],0)</f>
        <v>0</v>
      </c>
      <c r="AU413" s="22">
        <f>((1+Tabela3[[#This Row],[% Yield]])^(1/(3*Tabela3[[#This Row],[Ref]])))^(12)-1</f>
        <v>0</v>
      </c>
      <c r="AV413" s="10">
        <f>IF(Tabela3[Cotação]&gt;0,($BD$1/Tabela3[[#This Row],[Cotação]]-MOD($BD$1/Tabela3[[#This Row],[Cotação]],100)),)</f>
        <v>0</v>
      </c>
      <c r="AW413" s="7">
        <f>Tabela3[[#This Row],[Ativos]]*Tabela3[Lucro]</f>
        <v>0</v>
      </c>
      <c r="AX413" s="7">
        <f>SUMPRODUCT(N(Tabela1[Código]=Tabela3[[#This Row],[PAPEL]]),Tabela1[Fechamento])</f>
        <v>0</v>
      </c>
      <c r="AY413" s="7">
        <f>SUMPRODUCT(N(Tabela17[Código]=Tabela3[[#This Row],[PAPEL]]),Tabela17[Fechamento])</f>
        <v>0</v>
      </c>
      <c r="AZ413" s="7">
        <f>SUMPRODUCT(N(Tabela176[Código]=Tabela3[[#This Row],[PAPEL]]),Tabela176[Fechamento])</f>
        <v>0</v>
      </c>
      <c r="BA413" s="7">
        <f>SUMPRODUCT(N(Tabela1768[Código]=Tabela3[[#This Row],[PAPEL]]),Tabela1768[Fechamento])</f>
        <v>0</v>
      </c>
      <c r="BB413" s="7">
        <f>SUMPRODUCT(N(Tabela17683[Código]=Tabela3[[#This Row],[PAPEL]]),Tabela17683[Fechamento])</f>
        <v>1.76</v>
      </c>
    </row>
    <row r="414" spans="1:54" hidden="1" x14ac:dyDescent="0.2">
      <c r="A414" s="3" t="s">
        <v>1526</v>
      </c>
      <c r="B414" s="58" t="s">
        <v>1527</v>
      </c>
      <c r="C414" s="16" t="str">
        <f>LEFT(Tabela3[PAPEL],LEN(Tabela3[PAPEL])-(LEN(Tabela3[PAPEL])-4))</f>
        <v>FRIO</v>
      </c>
      <c r="D414" s="16">
        <v>3</v>
      </c>
      <c r="E414" s="5">
        <v>239988057.16999999</v>
      </c>
      <c r="F414" s="56">
        <v>41439330</v>
      </c>
      <c r="G414" s="81">
        <v>0.25</v>
      </c>
      <c r="H414" s="87"/>
      <c r="J414" s="18"/>
      <c r="K414" s="16"/>
      <c r="L414" s="87"/>
      <c r="M414" s="54"/>
      <c r="N414" s="54"/>
      <c r="O414" s="54"/>
      <c r="P414" s="91">
        <v>253972000</v>
      </c>
      <c r="Q414" s="73">
        <v>-9691000</v>
      </c>
      <c r="R414" s="73">
        <f>IF(Tabela3[[#This Row],[Ativo || Passivo]]&gt;0,Tabela3[[#This Row],[Ativo || Passivo]]-Tabela3[[#This Row],[Patrimônio Líquido]],0)</f>
        <v>0</v>
      </c>
      <c r="S414" s="73">
        <f>Tabela3[[#This Row],[Cotação]]*Tabela3[[#This Row],[Total Ações]]</f>
        <v>84950626.5</v>
      </c>
      <c r="T414" s="37">
        <f>IF(Tabela3[[#This Row],[Passivo Circulante]]&gt;0,Tabela3[[#This Row],[Ativo Circulante]]/Tabela3[[#This Row],[Passivo Circulante]],0)</f>
        <v>0</v>
      </c>
      <c r="U414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14" s="18">
        <f>IF(Tabela3[[#This Row],[Lucro Líquido]]&gt;0,Tabela3[[#This Row],[Lucro Líquido]]/Tabela3[[#This Row],[Patrimônio Líquido]],0)</f>
        <v>0</v>
      </c>
      <c r="W414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14" s="18">
        <f>IF(Tabela3[[#This Row],[Dívida]]&gt;0,Tabela3[[#This Row],[Dívida]]/Tabela3[[#This Row],[Patrimônio Líquido]],0)</f>
        <v>0</v>
      </c>
      <c r="Y414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14" s="7">
        <f>Tabela3[[#This Row],[Capital Social]]*20%</f>
        <v>47997611.434</v>
      </c>
      <c r="AA414" s="47">
        <f>IF((Tabela3[Lucro Líquido]*5%)&gt;Tabela3[Teto R. Legal],Tabela3[Teto R. Legal],Tabela3[Lucro Líquido]*5%)</f>
        <v>-484550</v>
      </c>
      <c r="AB414" s="47">
        <f>IF(Tabela3[Lucro Líquido]&lt;0,0,Tabela3[Lucro Líquido]-Tabela3[Reserva Legal])</f>
        <v>0</v>
      </c>
      <c r="AC414" s="47">
        <f>Tabela3[[#This Row],[Lucro Distribuir]]*Tabela3[%Div]</f>
        <v>0</v>
      </c>
      <c r="AD414" s="56">
        <f>SUMPRODUCT(N(Tabela3[Nome]=Tabela3[[#This Row],[Nome]]),Tabela3[Ações])</f>
        <v>41439330</v>
      </c>
      <c r="AE414" s="85">
        <f>Tabela3[Capital Social]/Tabela3[Total Ações]</f>
        <v>5.7913112294527922</v>
      </c>
      <c r="AF414" s="85">
        <f>Tabela3[[#This Row],[Lucro Líquido]]/Tabela3[[#This Row],[Total Ações]]</f>
        <v>-0.23385995864315373</v>
      </c>
      <c r="AG414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14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14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14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14" s="7">
        <f>Tabela3[Div Base]*Tabela3[Ações]</f>
        <v>0</v>
      </c>
      <c r="AL414" s="121">
        <f>SUMPRODUCT(N(Tabela3[Nome]=Tabela3[[#This Row],[Nome]]),Tabela3[Div Base]*Tabela3[Ações])</f>
        <v>0</v>
      </c>
      <c r="AM414" s="5">
        <f>Tabela3[Patrimônio Líquido]/Tabela3[Total Ações]</f>
        <v>6.1287670432895514</v>
      </c>
      <c r="AN414" s="52">
        <f>MAX(Tabela3[[#This Row],[Cotação 1]:[Cotação 5]])</f>
        <v>2.0499999999999998</v>
      </c>
      <c r="AO414" s="53">
        <f>Tabela3[Cotação]/Tabela3[VPA]</f>
        <v>0.33448815814341737</v>
      </c>
      <c r="AP414" s="37">
        <f>IF(Tabela3[[#This Row],[Lucro/Ação]]&gt;0,Tabela3[[#This Row],[Cotação]]/(Tabela3[[#This Row],[Lucro/Ação]]/Tabela3[Ref]*4),0)</f>
        <v>0</v>
      </c>
      <c r="AQ414" s="85">
        <f>Tabela3[Lucro Distribuir]/Tabela3[Total Ações]</f>
        <v>0</v>
      </c>
      <c r="AR414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14" s="10" t="str">
        <f>IF(AND(Tabela3[% A.A.]&gt;=6%,SUMPRODUCT(N(Tabela3[Nome]=Tabela3[[#This Row],[Nome]]),Tabela3[PL])&gt;0,Tabela3[Rentabilidade s/ PL]&gt;=Tabela3[Rentabilidade s/ PL Média]),"Sim","Não")</f>
        <v>Não</v>
      </c>
      <c r="AT414" s="22">
        <f>IF(Tabela3[Cotação]&gt;0,Tabela3[[#This Row],[Lucro]]/Tabela3[[#This Row],[Cotação]],0)</f>
        <v>0</v>
      </c>
      <c r="AU414" s="22">
        <f>((1+Tabela3[[#This Row],[% Yield]])^(1/(3*Tabela3[[#This Row],[Ref]])))^(12)-1</f>
        <v>0</v>
      </c>
      <c r="AV414" s="10">
        <f>IF(Tabela3[Cotação]&gt;0,($BD$1/Tabela3[[#This Row],[Cotação]]-MOD($BD$1/Tabela3[[#This Row],[Cotação]],100)),)</f>
        <v>0</v>
      </c>
      <c r="AW414" s="7">
        <f>Tabela3[[#This Row],[Ativos]]*Tabela3[Lucro]</f>
        <v>0</v>
      </c>
      <c r="AX414" s="7">
        <f>SUMPRODUCT(N(Tabela1[Código]=Tabela3[[#This Row],[PAPEL]]),Tabela1[Fechamento])</f>
        <v>0</v>
      </c>
      <c r="AY414" s="7">
        <f>SUMPRODUCT(N(Tabela17[Código]=Tabela3[[#This Row],[PAPEL]]),Tabela17[Fechamento])</f>
        <v>0</v>
      </c>
      <c r="AZ414" s="7">
        <f>SUMPRODUCT(N(Tabela176[Código]=Tabela3[[#This Row],[PAPEL]]),Tabela176[Fechamento])</f>
        <v>0</v>
      </c>
      <c r="BA414" s="7">
        <f>SUMPRODUCT(N(Tabela1768[Código]=Tabela3[[#This Row],[PAPEL]]),Tabela1768[Fechamento])</f>
        <v>0</v>
      </c>
      <c r="BB414" s="7">
        <f>SUMPRODUCT(N(Tabela17683[Código]=Tabela3[[#This Row],[PAPEL]]),Tabela17683[Fechamento])</f>
        <v>2.0499999999999998</v>
      </c>
    </row>
    <row r="415" spans="1:54" hidden="1" x14ac:dyDescent="0.2">
      <c r="A415" s="3" t="s">
        <v>1330</v>
      </c>
      <c r="B415" s="57" t="s">
        <v>1344</v>
      </c>
      <c r="C415" s="16" t="str">
        <f>LEFT(Tabela3[PAPEL],LEN(Tabela3[PAPEL])-(LEN(Tabela3[PAPEL])-4))</f>
        <v>GFSA</v>
      </c>
      <c r="D415" s="16">
        <v>3</v>
      </c>
      <c r="E415" s="5">
        <v>2734156672.1199999</v>
      </c>
      <c r="F415" s="56">
        <v>435559201</v>
      </c>
      <c r="G415" s="81">
        <v>0.25</v>
      </c>
      <c r="H415" s="87"/>
      <c r="J415" s="18"/>
      <c r="K415" s="16"/>
      <c r="L415" s="87"/>
      <c r="M415" s="54"/>
      <c r="N415" s="54"/>
      <c r="O415" s="54"/>
      <c r="P415" s="91">
        <v>2216828000</v>
      </c>
      <c r="Q415" s="73">
        <v>-53839000</v>
      </c>
      <c r="R415" s="73">
        <f>IF(Tabela3[[#This Row],[Ativo || Passivo]]&gt;0,Tabela3[[#This Row],[Ativo || Passivo]]-Tabela3[[#This Row],[Patrimônio Líquido]],0)</f>
        <v>0</v>
      </c>
      <c r="S415" s="73">
        <f>Tabela3[[#This Row],[Cotação]]*Tabela3[[#This Row],[Total Ações]]</f>
        <v>1358944707.1200001</v>
      </c>
      <c r="T415" s="37">
        <f>IF(Tabela3[[#This Row],[Passivo Circulante]]&gt;0,Tabela3[[#This Row],[Ativo Circulante]]/Tabela3[[#This Row],[Passivo Circulante]],0)</f>
        <v>0</v>
      </c>
      <c r="U415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15" s="18">
        <f>IF(Tabela3[[#This Row],[Lucro Líquido]]&gt;0,Tabela3[[#This Row],[Lucro Líquido]]/Tabela3[[#This Row],[Patrimônio Líquido]],0)</f>
        <v>0</v>
      </c>
      <c r="W415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15" s="18">
        <f>IF(Tabela3[[#This Row],[Dívida]]&gt;0,Tabela3[[#This Row],[Dívida]]/Tabela3[[#This Row],[Patrimônio Líquido]],0)</f>
        <v>0</v>
      </c>
      <c r="Y415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15" s="7">
        <f>Tabela3[[#This Row],[Capital Social]]*20%</f>
        <v>546831334.42400002</v>
      </c>
      <c r="AA415" s="47">
        <f>IF((Tabela3[Lucro Líquido]*5%)&gt;Tabela3[Teto R. Legal],Tabela3[Teto R. Legal],Tabela3[Lucro Líquido]*5%)</f>
        <v>-2691950</v>
      </c>
      <c r="AB415" s="47">
        <f>IF(Tabela3[Lucro Líquido]&lt;0,0,Tabela3[Lucro Líquido]-Tabela3[Reserva Legal])</f>
        <v>0</v>
      </c>
      <c r="AC415" s="47">
        <f>Tabela3[[#This Row],[Lucro Distribuir]]*Tabela3[%Div]</f>
        <v>0</v>
      </c>
      <c r="AD415" s="56">
        <f>SUMPRODUCT(N(Tabela3[Nome]=Tabela3[[#This Row],[Nome]]),Tabela3[Ações])</f>
        <v>435559201</v>
      </c>
      <c r="AE415" s="85">
        <f>Tabela3[Capital Social]/Tabela3[Total Ações]</f>
        <v>6.2773479835637769</v>
      </c>
      <c r="AF415" s="85">
        <f>Tabela3[[#This Row],[Lucro Líquido]]/Tabela3[[#This Row],[Total Ações]]</f>
        <v>-0.12360891441712421</v>
      </c>
      <c r="AG415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15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15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15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15" s="7">
        <f>Tabela3[Div Base]*Tabela3[Ações]</f>
        <v>0</v>
      </c>
      <c r="AL415" s="121">
        <f>SUMPRODUCT(N(Tabela3[Nome]=Tabela3[[#This Row],[Nome]]),Tabela3[Div Base]*Tabela3[Ações])</f>
        <v>0</v>
      </c>
      <c r="AM415" s="5">
        <f>Tabela3[Patrimônio Líquido]/Tabela3[Total Ações]</f>
        <v>5.0896135242015008</v>
      </c>
      <c r="AN415" s="52">
        <f>MAX(Tabela3[[#This Row],[Cotação 1]:[Cotação 5]])</f>
        <v>3.12</v>
      </c>
      <c r="AO415" s="53">
        <f>Tabela3[Cotação]/Tabela3[VPA]</f>
        <v>0.61301314631536596</v>
      </c>
      <c r="AP415" s="37">
        <f>IF(Tabela3[[#This Row],[Lucro/Ação]]&gt;0,Tabela3[[#This Row],[Cotação]]/(Tabela3[[#This Row],[Lucro/Ação]]/Tabela3[Ref]*4),0)</f>
        <v>0</v>
      </c>
      <c r="AQ415" s="85">
        <f>Tabela3[Lucro Distribuir]/Tabela3[Total Ações]</f>
        <v>0</v>
      </c>
      <c r="AR415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15" s="10" t="str">
        <f>IF(AND(Tabela3[% A.A.]&gt;=6%,SUMPRODUCT(N(Tabela3[Nome]=Tabela3[[#This Row],[Nome]]),Tabela3[PL])&gt;0,Tabela3[Rentabilidade s/ PL]&gt;=Tabela3[Rentabilidade s/ PL Média]),"Sim","Não")</f>
        <v>Não</v>
      </c>
      <c r="AT415" s="22">
        <f>IF(Tabela3[Cotação]&gt;0,Tabela3[[#This Row],[Lucro]]/Tabela3[[#This Row],[Cotação]],0)</f>
        <v>0</v>
      </c>
      <c r="AU415" s="22">
        <f>((1+Tabela3[[#This Row],[% Yield]])^(1/(3*Tabela3[[#This Row],[Ref]])))^(12)-1</f>
        <v>0</v>
      </c>
      <c r="AV415" s="10">
        <f>IF(Tabela3[Cotação]&gt;0,($BD$1/Tabela3[[#This Row],[Cotação]]-MOD($BD$1/Tabela3[[#This Row],[Cotação]],100)),)</f>
        <v>0</v>
      </c>
      <c r="AW415" s="7">
        <f>Tabela3[[#This Row],[Ativos]]*Tabela3[Lucro]</f>
        <v>0</v>
      </c>
      <c r="AX415" s="7">
        <f>SUMPRODUCT(N(Tabela1[Código]=Tabela3[[#This Row],[PAPEL]]),Tabela1[Fechamento])</f>
        <v>0</v>
      </c>
      <c r="AY415" s="7">
        <f>SUMPRODUCT(N(Tabela17[Código]=Tabela3[[#This Row],[PAPEL]]),Tabela17[Fechamento])</f>
        <v>0</v>
      </c>
      <c r="AZ415" s="7">
        <f>SUMPRODUCT(N(Tabela176[Código]=Tabela3[[#This Row],[PAPEL]]),Tabela176[Fechamento])</f>
        <v>0</v>
      </c>
      <c r="BA415" s="7">
        <f>SUMPRODUCT(N(Tabela1768[Código]=Tabela3[[#This Row],[PAPEL]]),Tabela1768[Fechamento])</f>
        <v>3.12</v>
      </c>
      <c r="BB415" s="7">
        <f>SUMPRODUCT(N(Tabela17683[Código]=Tabela3[[#This Row],[PAPEL]]),Tabela17683[Fechamento])</f>
        <v>0</v>
      </c>
    </row>
    <row r="416" spans="1:54" hidden="1" x14ac:dyDescent="0.2">
      <c r="A416" s="3" t="s">
        <v>1492</v>
      </c>
      <c r="B416" s="58" t="s">
        <v>1493</v>
      </c>
      <c r="C416" s="16" t="str">
        <f>LEFT(Tabela3[PAPEL],LEN(Tabela3[PAPEL])-(LEN(Tabela3[PAPEL])-4))</f>
        <v>GOLL</v>
      </c>
      <c r="D416" s="16">
        <v>3</v>
      </c>
      <c r="E416" s="5">
        <v>2316461740.23</v>
      </c>
      <c r="F416" s="56">
        <v>143858204</v>
      </c>
      <c r="G416" s="81">
        <v>0.25</v>
      </c>
      <c r="H416" s="87"/>
      <c r="J416" s="18"/>
      <c r="K416" s="16"/>
      <c r="L416" s="87"/>
      <c r="M416" s="54"/>
      <c r="N416" s="54"/>
      <c r="O416" s="54"/>
      <c r="P416" s="91">
        <v>634371000</v>
      </c>
      <c r="Q416" s="73">
        <v>-705285000</v>
      </c>
      <c r="R416" s="73">
        <f>IF(Tabela3[[#This Row],[Ativo || Passivo]]&gt;0,Tabela3[[#This Row],[Ativo || Passivo]]-Tabela3[[#This Row],[Patrimônio Líquido]],0)</f>
        <v>0</v>
      </c>
      <c r="S416" s="73">
        <f>Tabela3[[#This Row],[Cotação]]*Tabela3[[#This Row],[Total Ações]]</f>
        <v>0</v>
      </c>
      <c r="T416" s="37">
        <f>IF(Tabela3[[#This Row],[Passivo Circulante]]&gt;0,Tabela3[[#This Row],[Ativo Circulante]]/Tabela3[[#This Row],[Passivo Circulante]],0)</f>
        <v>0</v>
      </c>
      <c r="U416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16" s="18">
        <f>IF(Tabela3[[#This Row],[Lucro Líquido]]&gt;0,Tabela3[[#This Row],[Lucro Líquido]]/Tabela3[[#This Row],[Patrimônio Líquido]],0)</f>
        <v>0</v>
      </c>
      <c r="W416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16" s="18">
        <f>IF(Tabela3[[#This Row],[Dívida]]&gt;0,Tabela3[[#This Row],[Dívida]]/Tabela3[[#This Row],[Patrimônio Líquido]],0)</f>
        <v>0</v>
      </c>
      <c r="Y416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16" s="7">
        <f>Tabela3[[#This Row],[Capital Social]]*20%</f>
        <v>463292348.046</v>
      </c>
      <c r="AA416" s="47">
        <f>IF((Tabela3[Lucro Líquido]*5%)&gt;Tabela3[Teto R. Legal],Tabela3[Teto R. Legal],Tabela3[Lucro Líquido]*5%)</f>
        <v>-35264250</v>
      </c>
      <c r="AB416" s="47">
        <f>IF(Tabela3[Lucro Líquido]&lt;0,0,Tabela3[Lucro Líquido]-Tabela3[Reserva Legal])</f>
        <v>0</v>
      </c>
      <c r="AC416" s="47">
        <f>Tabela3[[#This Row],[Lucro Distribuir]]*Tabela3[%Div]</f>
        <v>0</v>
      </c>
      <c r="AD416" s="56">
        <f>SUMPRODUCT(N(Tabela3[Nome]=Tabela3[[#This Row],[Nome]]),Tabela3[Ações])</f>
        <v>278861326</v>
      </c>
      <c r="AE416" s="85">
        <f>Tabela3[Capital Social]/Tabela3[Total Ações]</f>
        <v>8.3068590881978377</v>
      </c>
      <c r="AF416" s="85">
        <f>Tabela3[[#This Row],[Lucro Líquido]]/Tabela3[[#This Row],[Total Ações]]</f>
        <v>-2.5291603182005957</v>
      </c>
      <c r="AG416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16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16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16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16" s="7">
        <f>Tabela3[Div Base]*Tabela3[Ações]</f>
        <v>0</v>
      </c>
      <c r="AL416" s="121">
        <f>SUMPRODUCT(N(Tabela3[Nome]=Tabela3[[#This Row],[Nome]]),Tabela3[Div Base]*Tabela3[Ações])</f>
        <v>0</v>
      </c>
      <c r="AM416" s="5">
        <f>Tabela3[Patrimônio Líquido]/Tabela3[Total Ações]</f>
        <v>2.2748618788393768</v>
      </c>
      <c r="AN416" s="52">
        <f>MAX(Tabela3[[#This Row],[Cotação 1]:[Cotação 5]])</f>
        <v>0</v>
      </c>
      <c r="AO416" s="53">
        <f>Tabela3[Cotação]/Tabela3[VPA]</f>
        <v>0</v>
      </c>
      <c r="AP416" s="37">
        <f>IF(Tabela3[[#This Row],[Lucro/Ação]]&gt;0,Tabela3[[#This Row],[Cotação]]/(Tabela3[[#This Row],[Lucro/Ação]]/Tabela3[Ref]*4),0)</f>
        <v>0</v>
      </c>
      <c r="AQ416" s="85">
        <f>Tabela3[Lucro Distribuir]/Tabela3[Total Ações]</f>
        <v>0</v>
      </c>
      <c r="AR416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16" s="10" t="str">
        <f>IF(AND(Tabela3[% A.A.]&gt;=6%,SUMPRODUCT(N(Tabela3[Nome]=Tabela3[[#This Row],[Nome]]),Tabela3[PL])&gt;0,Tabela3[Rentabilidade s/ PL]&gt;=Tabela3[Rentabilidade s/ PL Média]),"Sim","Não")</f>
        <v>Não</v>
      </c>
      <c r="AT416" s="22">
        <f>IF(Tabela3[Cotação]&gt;0,Tabela3[[#This Row],[Lucro]]/Tabela3[[#This Row],[Cotação]],0)</f>
        <v>0</v>
      </c>
      <c r="AU416" s="22">
        <f>((1+Tabela3[[#This Row],[% Yield]])^(1/(3*Tabela3[[#This Row],[Ref]])))^(12)-1</f>
        <v>0</v>
      </c>
      <c r="AV416" s="10">
        <f>IF(Tabela3[Cotação]&gt;0,($BD$1/Tabela3[[#This Row],[Cotação]]-MOD($BD$1/Tabela3[[#This Row],[Cotação]],100)),)</f>
        <v>0</v>
      </c>
      <c r="AW416" s="7">
        <f>Tabela3[[#This Row],[Ativos]]*Tabela3[Lucro]</f>
        <v>0</v>
      </c>
      <c r="AX416" s="7">
        <f>SUMPRODUCT(N(Tabela1[Código]=Tabela3[[#This Row],[PAPEL]]),Tabela1[Fechamento])</f>
        <v>0</v>
      </c>
      <c r="AY416" s="7">
        <f>SUMPRODUCT(N(Tabela17[Código]=Tabela3[[#This Row],[PAPEL]]),Tabela17[Fechamento])</f>
        <v>0</v>
      </c>
      <c r="AZ416" s="7">
        <f>SUMPRODUCT(N(Tabela176[Código]=Tabela3[[#This Row],[PAPEL]]),Tabela176[Fechamento])</f>
        <v>0</v>
      </c>
      <c r="BA416" s="7">
        <f>SUMPRODUCT(N(Tabela1768[Código]=Tabela3[[#This Row],[PAPEL]]),Tabela1768[Fechamento])</f>
        <v>0</v>
      </c>
      <c r="BB416" s="7">
        <f>SUMPRODUCT(N(Tabela17683[Código]=Tabela3[[#This Row],[PAPEL]]),Tabela17683[Fechamento])</f>
        <v>0</v>
      </c>
    </row>
    <row r="417" spans="1:54" hidden="1" x14ac:dyDescent="0.2">
      <c r="A417" s="3" t="s">
        <v>1492</v>
      </c>
      <c r="B417" s="58" t="s">
        <v>1494</v>
      </c>
      <c r="C417" s="16" t="str">
        <f>LEFT(Tabela3[PAPEL],LEN(Tabela3[PAPEL])-(LEN(Tabela3[PAPEL])-4))</f>
        <v>GOLL</v>
      </c>
      <c r="D417" s="16">
        <v>3</v>
      </c>
      <c r="E417" s="5">
        <v>2316461740.23</v>
      </c>
      <c r="F417" s="56">
        <v>135003122</v>
      </c>
      <c r="G417" s="81">
        <v>0.25</v>
      </c>
      <c r="H417" s="87"/>
      <c r="J417" s="18"/>
      <c r="K417" s="16"/>
      <c r="L417" s="87"/>
      <c r="M417" s="54"/>
      <c r="N417" s="54"/>
      <c r="O417" s="54"/>
      <c r="P417" s="91">
        <v>634371000</v>
      </c>
      <c r="Q417" s="73">
        <v>-705285000</v>
      </c>
      <c r="R417" s="73">
        <f>IF(Tabela3[[#This Row],[Ativo || Passivo]]&gt;0,Tabela3[[#This Row],[Ativo || Passivo]]-Tabela3[[#This Row],[Patrimônio Líquido]],0)</f>
        <v>0</v>
      </c>
      <c r="S417" s="73">
        <f>Tabela3[[#This Row],[Cotação]]*Tabela3[[#This Row],[Total Ações]]</f>
        <v>3042377066.6599998</v>
      </c>
      <c r="T417" s="37">
        <f>IF(Tabela3[[#This Row],[Passivo Circulante]]&gt;0,Tabela3[[#This Row],[Ativo Circulante]]/Tabela3[[#This Row],[Passivo Circulante]],0)</f>
        <v>0</v>
      </c>
      <c r="U417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17" s="18">
        <f>IF(Tabela3[[#This Row],[Lucro Líquido]]&gt;0,Tabela3[[#This Row],[Lucro Líquido]]/Tabela3[[#This Row],[Patrimônio Líquido]],0)</f>
        <v>0</v>
      </c>
      <c r="W417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17" s="18">
        <f>IF(Tabela3[[#This Row],[Dívida]]&gt;0,Tabela3[[#This Row],[Dívida]]/Tabela3[[#This Row],[Patrimônio Líquido]],0)</f>
        <v>0</v>
      </c>
      <c r="Y417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17" s="7">
        <f>Tabela3[[#This Row],[Capital Social]]*20%</f>
        <v>463292348.046</v>
      </c>
      <c r="AA417" s="47">
        <f>IF((Tabela3[Lucro Líquido]*5%)&gt;Tabela3[Teto R. Legal],Tabela3[Teto R. Legal],Tabela3[Lucro Líquido]*5%)</f>
        <v>-35264250</v>
      </c>
      <c r="AB417" s="47">
        <f>IF(Tabela3[Lucro Líquido]&lt;0,0,Tabela3[Lucro Líquido]-Tabela3[Reserva Legal])</f>
        <v>0</v>
      </c>
      <c r="AC417" s="47">
        <f>Tabela3[[#This Row],[Lucro Distribuir]]*Tabela3[%Div]</f>
        <v>0</v>
      </c>
      <c r="AD417" s="56">
        <f>SUMPRODUCT(N(Tabela3[Nome]=Tabela3[[#This Row],[Nome]]),Tabela3[Ações])</f>
        <v>278861326</v>
      </c>
      <c r="AE417" s="85">
        <f>Tabela3[Capital Social]/Tabela3[Total Ações]</f>
        <v>8.3068590881978377</v>
      </c>
      <c r="AF417" s="85">
        <f>Tabela3[[#This Row],[Lucro Líquido]]/Tabela3[[#This Row],[Total Ações]]</f>
        <v>-2.5291603182005957</v>
      </c>
      <c r="AG417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17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17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17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17" s="7">
        <f>Tabela3[Div Base]*Tabela3[Ações]</f>
        <v>0</v>
      </c>
      <c r="AL417" s="121">
        <f>SUMPRODUCT(N(Tabela3[Nome]=Tabela3[[#This Row],[Nome]]),Tabela3[Div Base]*Tabela3[Ações])</f>
        <v>0</v>
      </c>
      <c r="AM417" s="5">
        <f>Tabela3[Patrimônio Líquido]/Tabela3[Total Ações]</f>
        <v>2.2748618788393768</v>
      </c>
      <c r="AN417" s="52">
        <f>MAX(Tabela3[[#This Row],[Cotação 1]:[Cotação 5]])</f>
        <v>10.91</v>
      </c>
      <c r="AO417" s="53">
        <f>Tabela3[Cotação]/Tabela3[VPA]</f>
        <v>4.7958955668843632</v>
      </c>
      <c r="AP417" s="37">
        <f>IF(Tabela3[[#This Row],[Lucro/Ação]]&gt;0,Tabela3[[#This Row],[Cotação]]/(Tabela3[[#This Row],[Lucro/Ação]]/Tabela3[Ref]*4),0)</f>
        <v>0</v>
      </c>
      <c r="AQ417" s="85">
        <f>Tabela3[Lucro Distribuir]/Tabela3[Total Ações]</f>
        <v>0</v>
      </c>
      <c r="AR417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17" s="10" t="str">
        <f>IF(AND(Tabela3[% A.A.]&gt;=6%,SUMPRODUCT(N(Tabela3[Nome]=Tabela3[[#This Row],[Nome]]),Tabela3[PL])&gt;0,Tabela3[Rentabilidade s/ PL]&gt;=Tabela3[Rentabilidade s/ PL Média]),"Sim","Não")</f>
        <v>Não</v>
      </c>
      <c r="AT417" s="22">
        <f>IF(Tabela3[Cotação]&gt;0,Tabela3[[#This Row],[Lucro]]/Tabela3[[#This Row],[Cotação]],0)</f>
        <v>0</v>
      </c>
      <c r="AU417" s="22">
        <f>((1+Tabela3[[#This Row],[% Yield]])^(1/(3*Tabela3[[#This Row],[Ref]])))^(12)-1</f>
        <v>0</v>
      </c>
      <c r="AV417" s="10">
        <f>IF(Tabela3[Cotação]&gt;0,($BD$1/Tabela3[[#This Row],[Cotação]]-MOD($BD$1/Tabela3[[#This Row],[Cotação]],100)),)</f>
        <v>0</v>
      </c>
      <c r="AW417" s="7">
        <f>Tabela3[[#This Row],[Ativos]]*Tabela3[Lucro]</f>
        <v>0</v>
      </c>
      <c r="AX417" s="7">
        <f>SUMPRODUCT(N(Tabela1[Código]=Tabela3[[#This Row],[PAPEL]]),Tabela1[Fechamento])</f>
        <v>0</v>
      </c>
      <c r="AY417" s="7">
        <f>SUMPRODUCT(N(Tabela17[Código]=Tabela3[[#This Row],[PAPEL]]),Tabela17[Fechamento])</f>
        <v>0</v>
      </c>
      <c r="AZ417" s="7">
        <f>SUMPRODUCT(N(Tabela176[Código]=Tabela3[[#This Row],[PAPEL]]),Tabela176[Fechamento])</f>
        <v>0</v>
      </c>
      <c r="BA417" s="7">
        <f>SUMPRODUCT(N(Tabela1768[Código]=Tabela3[[#This Row],[PAPEL]]),Tabela1768[Fechamento])</f>
        <v>0</v>
      </c>
      <c r="BB417" s="7">
        <f>SUMPRODUCT(N(Tabela17683[Código]=Tabela3[[#This Row],[PAPEL]]),Tabela17683[Fechamento])</f>
        <v>10.91</v>
      </c>
    </row>
    <row r="418" spans="1:54" hidden="1" x14ac:dyDescent="0.2">
      <c r="A418" s="4" t="s">
        <v>40</v>
      </c>
      <c r="B418" s="128" t="s">
        <v>667</v>
      </c>
      <c r="C418" s="15" t="str">
        <f>LEFT(Tabela3[PAPEL],LEN(Tabela3[PAPEL])-(LEN(Tabela3[PAPEL])-4))</f>
        <v>GPCP</v>
      </c>
      <c r="D418" s="15">
        <v>3</v>
      </c>
      <c r="E418" s="6">
        <v>210200000</v>
      </c>
      <c r="F418" s="8">
        <v>358849702</v>
      </c>
      <c r="G418" s="86">
        <v>0.25</v>
      </c>
      <c r="H418" s="15"/>
      <c r="I418" s="19"/>
      <c r="J418" s="19"/>
      <c r="K418" s="88"/>
      <c r="L418" s="88"/>
      <c r="M418" s="55"/>
      <c r="N418" s="55"/>
      <c r="O418" s="55"/>
      <c r="P418" s="92">
        <v>69900000</v>
      </c>
      <c r="Q418" s="93">
        <v>-65107000</v>
      </c>
      <c r="R418" s="93">
        <f>IF(Tabela3[[#This Row],[Ativo || Passivo]]&gt;0,Tabela3[[#This Row],[Ativo || Passivo]]-Tabela3[[#This Row],[Patrimônio Líquido]],0)</f>
        <v>0</v>
      </c>
      <c r="S418" s="93">
        <f>Tabela3[[#This Row],[Cotação]]*Tabela3[[#This Row],[Total Ações]]</f>
        <v>175836353.97999999</v>
      </c>
      <c r="T418" s="40">
        <f>IF(Tabela3[[#This Row],[Passivo Circulante]]&gt;0,Tabela3[[#This Row],[Ativo Circulante]]/Tabela3[[#This Row],[Passivo Circulante]],0)</f>
        <v>0</v>
      </c>
      <c r="U418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18" s="19">
        <f>IF(Tabela3[[#This Row],[Lucro Líquido]]&gt;0,Tabela3[[#This Row],[Lucro Líquido]]/Tabela3[[#This Row],[Patrimônio Líquido]],0)</f>
        <v>0</v>
      </c>
      <c r="W418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18" s="19">
        <f>IF(Tabela3[[#This Row],[Dívida]]&gt;0,Tabela3[[#This Row],[Dívida]]/Tabela3[[#This Row],[Patrimônio Líquido]],0)</f>
        <v>0</v>
      </c>
      <c r="Y418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18" s="13">
        <f>Tabela3[[#This Row],[Capital Social]]*20%</f>
        <v>42040000</v>
      </c>
      <c r="AA418" s="13">
        <f>IF((Tabela3[Lucro Líquido]*5%)&gt;Tabela3[Teto R. Legal],Tabela3[Teto R. Legal],Tabela3[Lucro Líquido]*5%)</f>
        <v>-3255350</v>
      </c>
      <c r="AB418" s="13">
        <f>IF(Tabela3[Lucro Líquido]&lt;0,0,Tabela3[Lucro Líquido]-Tabela3[Reserva Legal])</f>
        <v>0</v>
      </c>
      <c r="AC418" s="13">
        <f>Tabela3[[#This Row],[Lucro Distribuir]]*Tabela3[%Div]</f>
        <v>0</v>
      </c>
      <c r="AD418" s="56">
        <f>SUMPRODUCT(N(Tabela3[Nome]=Tabela3[[#This Row],[Nome]]),Tabela3[Ações])</f>
        <v>358849702</v>
      </c>
      <c r="AE418" s="6">
        <f>Tabela3[Capital Social]/Tabela3[Total Ações]</f>
        <v>0.58576055331376586</v>
      </c>
      <c r="AF418" s="78">
        <f>Tabela3[[#This Row],[Lucro Líquido]]/Tabela3[[#This Row],[Total Ações]]</f>
        <v>-0.18143250401807495</v>
      </c>
      <c r="AG418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18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18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18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18" s="13">
        <f>Tabela3[Div Base]*Tabela3[Ações]</f>
        <v>0</v>
      </c>
      <c r="AL418" s="13">
        <f>SUMPRODUCT(N(Tabela3[Nome]=Tabela3[[#This Row],[Nome]]),Tabela3[Div Base]*Tabela3[Ações])</f>
        <v>0</v>
      </c>
      <c r="AM418" s="6">
        <f>Tabela3[Patrimônio Líquido]/Tabela3[Total Ações]</f>
        <v>0.19478907077370236</v>
      </c>
      <c r="AN418" s="48">
        <f>MAX(Tabela3[[#This Row],[Cotação 1]:[Cotação 5]])</f>
        <v>0.49</v>
      </c>
      <c r="AO418" s="44">
        <f>Tabela3[Cotação]/Tabela3[VPA]</f>
        <v>2.5155415447782548</v>
      </c>
      <c r="AP418" s="40">
        <f>IF(Tabela3[[#This Row],[Lucro/Ação]]&gt;0,Tabela3[[#This Row],[Cotação]]/(Tabela3[[#This Row],[Lucro/Ação]]/Tabela3[Ref]*4),0)</f>
        <v>0</v>
      </c>
      <c r="AQ418" s="78">
        <f>Tabela3[Lucro Distribuir]/Tabela3[Total Ações]</f>
        <v>0</v>
      </c>
      <c r="AR418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18" s="14" t="str">
        <f>IF(AND(Tabela3[% A.A.]&gt;=6%,SUMPRODUCT(N(Tabela3[Nome]=Tabela3[[#This Row],[Nome]]),Tabela3[PL])&gt;0,Tabela3[Rentabilidade s/ PL]&gt;=Tabela3[Rentabilidade s/ PL Média]),"Sim","Não")</f>
        <v>Não</v>
      </c>
      <c r="AT418" s="42">
        <f>IF(Tabela3[Cotação]&gt;0,Tabela3[[#This Row],[Lucro]]/Tabela3[[#This Row],[Cotação]],0)</f>
        <v>0</v>
      </c>
      <c r="AU418" s="42">
        <f>((1+Tabela3[[#This Row],[% Yield]])^(1/(3*Tabela3[[#This Row],[Ref]])))^(12)-1</f>
        <v>0</v>
      </c>
      <c r="AV418" s="14">
        <f>IF(Tabela3[Cotação]&gt;0,($BD$1/Tabela3[[#This Row],[Cotação]]-MOD($BD$1/Tabela3[[#This Row],[Cotação]],100)),)</f>
        <v>0</v>
      </c>
      <c r="AW418" s="17">
        <f>Tabela3[[#This Row],[Ativos]]*Tabela3[Lucro]</f>
        <v>0</v>
      </c>
      <c r="AX418" s="17">
        <f>SUMPRODUCT(N(Tabela1[Código]=Tabela3[[#This Row],[PAPEL]]),Tabela1[Fechamento])</f>
        <v>0</v>
      </c>
      <c r="AY418" s="17">
        <f>SUMPRODUCT(N(Tabela17[Código]=Tabela3[[#This Row],[PAPEL]]),Tabela17[Fechamento])</f>
        <v>0</v>
      </c>
      <c r="AZ418" s="17">
        <f>SUMPRODUCT(N(Tabela176[Código]=Tabela3[[#This Row],[PAPEL]]),Tabela176[Fechamento])</f>
        <v>0.49</v>
      </c>
      <c r="BA418" s="17">
        <f>SUMPRODUCT(N(Tabela1768[Código]=Tabela3[[#This Row],[PAPEL]]),Tabela1768[Fechamento])</f>
        <v>0</v>
      </c>
      <c r="BB418" s="7">
        <f>SUMPRODUCT(N(Tabela17683[Código]=Tabela3[[#This Row],[PAPEL]]),Tabela17683[Fechamento])</f>
        <v>0</v>
      </c>
    </row>
    <row r="419" spans="1:54" hidden="1" x14ac:dyDescent="0.2">
      <c r="A419" s="3" t="s">
        <v>346</v>
      </c>
      <c r="B419" s="57" t="s">
        <v>752</v>
      </c>
      <c r="C419" s="15" t="str">
        <f>LEFT(Tabela3[PAPEL],LEN(Tabela3[PAPEL])-(LEN(Tabela3[PAPEL])-4))</f>
        <v>GSHP</v>
      </c>
      <c r="D419" s="15">
        <v>3</v>
      </c>
      <c r="E419" s="6">
        <v>317813163</v>
      </c>
      <c r="F419" s="8">
        <v>50480600</v>
      </c>
      <c r="G419" s="81">
        <v>0.25</v>
      </c>
      <c r="H419" s="15"/>
      <c r="I419" s="19"/>
      <c r="J419" s="19"/>
      <c r="K419" s="88"/>
      <c r="L419" s="88"/>
      <c r="M419" s="55"/>
      <c r="N419" s="55"/>
      <c r="O419" s="55"/>
      <c r="P419" s="92">
        <v>172998000</v>
      </c>
      <c r="Q419" s="93">
        <v>-69875000</v>
      </c>
      <c r="R419" s="93">
        <f>IF(Tabela3[[#This Row],[Ativo || Passivo]]&gt;0,Tabela3[[#This Row],[Ativo || Passivo]]-Tabela3[[#This Row],[Patrimônio Líquido]],0)</f>
        <v>0</v>
      </c>
      <c r="S419" s="93">
        <f>Tabela3[[#This Row],[Cotação]]*Tabela3[[#This Row],[Total Ações]]</f>
        <v>353364200</v>
      </c>
      <c r="T419" s="40">
        <f>IF(Tabela3[[#This Row],[Passivo Circulante]]&gt;0,Tabela3[[#This Row],[Ativo Circulante]]/Tabela3[[#This Row],[Passivo Circulante]],0)</f>
        <v>0</v>
      </c>
      <c r="U419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19" s="19">
        <f>IF(Tabela3[[#This Row],[Lucro Líquido]]&gt;0,Tabela3[[#This Row],[Lucro Líquido]]/Tabela3[[#This Row],[Patrimônio Líquido]],0)</f>
        <v>0</v>
      </c>
      <c r="W419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19" s="19">
        <f>IF(Tabela3[[#This Row],[Dívida]]&gt;0,Tabela3[[#This Row],[Dívida]]/Tabela3[[#This Row],[Patrimônio Líquido]],0)</f>
        <v>0</v>
      </c>
      <c r="Y419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19" s="13">
        <f>Tabela3[[#This Row],[Capital Social]]*20%</f>
        <v>63562632.600000001</v>
      </c>
      <c r="AA419" s="13">
        <f>IF((Tabela3[Lucro Líquido]*5%)&gt;Tabela3[Teto R. Legal],Tabela3[Teto R. Legal],Tabela3[Lucro Líquido]*5%)</f>
        <v>-3493750</v>
      </c>
      <c r="AB419" s="13">
        <f>IF(Tabela3[Lucro Líquido]&lt;0,0,Tabela3[Lucro Líquido]-Tabela3[Reserva Legal])</f>
        <v>0</v>
      </c>
      <c r="AC419" s="13">
        <f>Tabela3[[#This Row],[Lucro Distribuir]]*Tabela3[%Div]</f>
        <v>0</v>
      </c>
      <c r="AD419" s="21">
        <f>SUMPRODUCT(N(Tabela3[Nome]=Tabela3[[#This Row],[Nome]]),Tabela3[Ações])</f>
        <v>50480600</v>
      </c>
      <c r="AE419" s="6">
        <f>Tabela3[Capital Social]/Tabela3[Total Ações]</f>
        <v>6.2957485251760081</v>
      </c>
      <c r="AF419" s="78">
        <f>Tabela3[[#This Row],[Lucro Líquido]]/Tabela3[[#This Row],[Total Ações]]</f>
        <v>-1.3841951165398192</v>
      </c>
      <c r="AG419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19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19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19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19" s="13">
        <f>Tabela3[Div Base]*Tabela3[Ações]</f>
        <v>0</v>
      </c>
      <c r="AL419" s="13">
        <f>SUMPRODUCT(N(Tabela3[Nome]=Tabela3[[#This Row],[Nome]]),Tabela3[Div Base]*Tabela3[Ações])</f>
        <v>0</v>
      </c>
      <c r="AM419" s="6">
        <f>Tabela3[Patrimônio Líquido]/Tabela3[Total Ações]</f>
        <v>3.4270194886748571</v>
      </c>
      <c r="AN419" s="48">
        <f>MAX(Tabela3[[#This Row],[Cotação 1]:[Cotação 5]])</f>
        <v>7</v>
      </c>
      <c r="AO419" s="44">
        <f>Tabela3[Cotação]/Tabela3[VPA]</f>
        <v>2.0425912438294085</v>
      </c>
      <c r="AP419" s="40">
        <f>IF(Tabela3[[#This Row],[Lucro/Ação]]&gt;0,Tabela3[[#This Row],[Cotação]]/(Tabela3[[#This Row],[Lucro/Ação]]/Tabela3[Ref]*4),0)</f>
        <v>0</v>
      </c>
      <c r="AQ419" s="78">
        <f>Tabela3[Lucro Distribuir]/Tabela3[Total Ações]</f>
        <v>0</v>
      </c>
      <c r="AR419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19" s="14" t="str">
        <f>IF(AND(Tabela3[% A.A.]&gt;=6%,SUMPRODUCT(N(Tabela3[Nome]=Tabela3[[#This Row],[Nome]]),Tabela3[PL])&gt;0,Tabela3[Rentabilidade s/ PL]&gt;=Tabela3[Rentabilidade s/ PL Média]),"Sim","Não")</f>
        <v>Não</v>
      </c>
      <c r="AT419" s="42">
        <f>IF(Tabela3[Cotação]&gt;0,Tabela3[[#This Row],[Lucro]]/Tabela3[[#This Row],[Cotação]],0)</f>
        <v>0</v>
      </c>
      <c r="AU419" s="42">
        <f>((1+Tabela3[[#This Row],[% Yield]])^(1/(3*Tabela3[[#This Row],[Ref]])))^(12)-1</f>
        <v>0</v>
      </c>
      <c r="AV419" s="14">
        <f>IF(Tabela3[Cotação]&gt;0,($BD$1/Tabela3[[#This Row],[Cotação]]-MOD($BD$1/Tabela3[[#This Row],[Cotação]],100)),)</f>
        <v>0</v>
      </c>
      <c r="AW419" s="17">
        <f>Tabela3[[#This Row],[Ativos]]*Tabela3[Lucro]</f>
        <v>0</v>
      </c>
      <c r="AX419" s="17">
        <f>SUMPRODUCT(N(Tabela1[Código]=Tabela3[[#This Row],[PAPEL]]),Tabela1[Fechamento])</f>
        <v>0</v>
      </c>
      <c r="AY419" s="17">
        <f>SUMPRODUCT(N(Tabela17[Código]=Tabela3[[#This Row],[PAPEL]]),Tabela17[Fechamento])</f>
        <v>0</v>
      </c>
      <c r="AZ419" s="17">
        <f>SUMPRODUCT(N(Tabela176[Código]=Tabela3[[#This Row],[PAPEL]]),Tabela176[Fechamento])</f>
        <v>7</v>
      </c>
      <c r="BA419" s="17">
        <f>SUMPRODUCT(N(Tabela1768[Código]=Tabela3[[#This Row],[PAPEL]]),Tabela1768[Fechamento])</f>
        <v>0</v>
      </c>
      <c r="BB419" s="7">
        <f>SUMPRODUCT(N(Tabela17683[Código]=Tabela3[[#This Row],[PAPEL]]),Tabela17683[Fechamento])</f>
        <v>0</v>
      </c>
    </row>
    <row r="420" spans="1:54" hidden="1" x14ac:dyDescent="0.2">
      <c r="A420" s="104" t="s">
        <v>1090</v>
      </c>
      <c r="B420" s="58" t="s">
        <v>1091</v>
      </c>
      <c r="C420" s="106" t="str">
        <f>LEFT(Tabela3[PAPEL],LEN(Tabela3[PAPEL])-(LEN(Tabela3[PAPEL])-4))</f>
        <v>HETA</v>
      </c>
      <c r="D420" s="16">
        <v>3</v>
      </c>
      <c r="E420" s="107">
        <v>15300000</v>
      </c>
      <c r="F420" s="108">
        <v>5135950</v>
      </c>
      <c r="G420" s="109">
        <v>0.3</v>
      </c>
      <c r="H420" s="110"/>
      <c r="I420" s="111"/>
      <c r="J420" s="111"/>
      <c r="K420" s="106"/>
      <c r="L420" s="110"/>
      <c r="M420" s="139"/>
      <c r="N420" s="139"/>
      <c r="O420" s="139"/>
      <c r="P420" s="112">
        <v>-407885000</v>
      </c>
      <c r="Q420" s="113">
        <v>-27612000</v>
      </c>
      <c r="R420" s="113">
        <f>IF(Tabela3[[#This Row],[Ativo || Passivo]]&gt;0,Tabela3[[#This Row],[Ativo || Passivo]]-Tabela3[[#This Row],[Patrimônio Líquido]],0)</f>
        <v>0</v>
      </c>
      <c r="S420" s="113">
        <f>Tabela3[[#This Row],[Cotação]]*Tabela3[[#This Row],[Total Ações]]</f>
        <v>9333000</v>
      </c>
      <c r="T420" s="136">
        <f>IF(Tabela3[[#This Row],[Passivo Circulante]]&gt;0,Tabela3[[#This Row],[Ativo Circulante]]/Tabela3[[#This Row],[Passivo Circulante]],0)</f>
        <v>0</v>
      </c>
      <c r="U420" s="136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20" s="111">
        <f>IF(Tabela3[[#This Row],[Lucro Líquido]]&gt;0,Tabela3[[#This Row],[Lucro Líquido]]/Tabela3[[#This Row],[Patrimônio Líquido]],0)</f>
        <v>0</v>
      </c>
      <c r="W420" s="111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20" s="111">
        <f>IF(Tabela3[[#This Row],[Dívida]]&gt;0,Tabela3[[#This Row],[Dívida]]/Tabela3[[#This Row],[Patrimônio Líquido]],0)</f>
        <v>0</v>
      </c>
      <c r="Y420" s="111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20" s="114">
        <f>Tabela3[[#This Row],[Capital Social]]*20%</f>
        <v>3060000</v>
      </c>
      <c r="AA420" s="115">
        <f>IF((Tabela3[Lucro Líquido]*5%)&gt;Tabela3[Teto R. Legal],Tabela3[Teto R. Legal],Tabela3[Lucro Líquido]*5%)</f>
        <v>-1380600</v>
      </c>
      <c r="AB420" s="115">
        <f>IF(Tabela3[Lucro Líquido]&lt;0,0,Tabela3[Lucro Líquido]-Tabela3[Reserva Legal])</f>
        <v>0</v>
      </c>
      <c r="AC420" s="115">
        <f>Tabela3[[#This Row],[Lucro Distribuir]]*Tabela3[%Div]</f>
        <v>0</v>
      </c>
      <c r="AD420" s="56">
        <f>SUMPRODUCT(N(Tabela3[Nome]=Tabela3[[#This Row],[Nome]]),Tabela3[Ações])</f>
        <v>15300000</v>
      </c>
      <c r="AE420" s="116">
        <f>Tabela3[Capital Social]/Tabela3[Total Ações]</f>
        <v>1</v>
      </c>
      <c r="AF420" s="116">
        <f>Tabela3[[#This Row],[Lucro Líquido]]/Tabela3[[#This Row],[Total Ações]]</f>
        <v>-1.8047058823529412</v>
      </c>
      <c r="AG420" s="116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20" s="116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20" s="11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20" s="116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20" s="114">
        <f>Tabela3[Div Base]*Tabela3[Ações]</f>
        <v>0</v>
      </c>
      <c r="AL420" s="114">
        <f>SUMPRODUCT(N(Tabela3[Nome]=Tabela3[[#This Row],[Nome]]),Tabela3[Div Base]*Tabela3[Ações])</f>
        <v>0</v>
      </c>
      <c r="AM420" s="107">
        <f>Tabela3[Patrimônio Líquido]/Tabela3[Total Ações]</f>
        <v>-26.659150326797384</v>
      </c>
      <c r="AN420" s="118">
        <f>MAX(Tabela3[[#This Row],[Cotação 1]:[Cotação 5]])</f>
        <v>0.61</v>
      </c>
      <c r="AO420" s="119">
        <f>Tabela3[Cotação]/Tabela3[VPA]</f>
        <v>-2.288144942814764E-2</v>
      </c>
      <c r="AP420" s="37">
        <f>IF(Tabela3[[#This Row],[Lucro/Ação]]&gt;0,Tabela3[[#This Row],[Cotação]]/(Tabela3[[#This Row],[Lucro/Ação]]/Tabela3[Ref]*4),0)</f>
        <v>0</v>
      </c>
      <c r="AQ420" s="116">
        <f>Tabela3[Lucro Distribuir]/Tabela3[Total Ações]</f>
        <v>0</v>
      </c>
      <c r="AR420" s="116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20" s="105" t="str">
        <f>IF(AND(Tabela3[% A.A.]&gt;=6%,SUMPRODUCT(N(Tabela3[Nome]=Tabela3[[#This Row],[Nome]]),Tabela3[PL])&gt;0,Tabela3[Rentabilidade s/ PL]&gt;=Tabela3[Rentabilidade s/ PL Média]),"Sim","Não")</f>
        <v>Não</v>
      </c>
      <c r="AT420" s="120">
        <f>IF(Tabela3[Cotação]&gt;0,Tabela3[[#This Row],[Lucro]]/Tabela3[[#This Row],[Cotação]],0)</f>
        <v>0</v>
      </c>
      <c r="AU420" s="120">
        <f>((1+Tabela3[[#This Row],[% Yield]])^(1/(3*Tabela3[[#This Row],[Ref]])))^(12)-1</f>
        <v>0</v>
      </c>
      <c r="AV420" s="105">
        <f>IF(Tabela3[Cotação]&gt;0,($BD$1/Tabela3[[#This Row],[Cotação]]-MOD($BD$1/Tabela3[[#This Row],[Cotação]],100)),)</f>
        <v>0</v>
      </c>
      <c r="AW420" s="114">
        <f>Tabela3[[#This Row],[Ativos]]*Tabela3[Lucro]</f>
        <v>0</v>
      </c>
      <c r="AX420" s="114">
        <f>SUMPRODUCT(N(Tabela1[Código]=Tabela3[[#This Row],[PAPEL]]),Tabela1[Fechamento])</f>
        <v>0</v>
      </c>
      <c r="AY420" s="114">
        <f>SUMPRODUCT(N(Tabela17[Código]=Tabela3[[#This Row],[PAPEL]]),Tabela17[Fechamento])</f>
        <v>0</v>
      </c>
      <c r="AZ420" s="114">
        <f>SUMPRODUCT(N(Tabela176[Código]=Tabela3[[#This Row],[PAPEL]]),Tabela176[Fechamento])</f>
        <v>0</v>
      </c>
      <c r="BA420" s="114">
        <f>SUMPRODUCT(N(Tabela1768[Código]=Tabela3[[#This Row],[PAPEL]]),Tabela1768[Fechamento])</f>
        <v>0.61</v>
      </c>
      <c r="BB420" s="7">
        <f>SUMPRODUCT(N(Tabela17683[Código]=Tabela3[[#This Row],[PAPEL]]),Tabela17683[Fechamento])</f>
        <v>0</v>
      </c>
    </row>
    <row r="421" spans="1:54" hidden="1" x14ac:dyDescent="0.2">
      <c r="A421" s="3" t="s">
        <v>1090</v>
      </c>
      <c r="B421" s="58" t="s">
        <v>1092</v>
      </c>
      <c r="C421" s="16" t="str">
        <f>LEFT(Tabela3[PAPEL],LEN(Tabela3[PAPEL])-(LEN(Tabela3[PAPEL])-4))</f>
        <v>HETA</v>
      </c>
      <c r="D421" s="16">
        <v>3</v>
      </c>
      <c r="E421" s="107">
        <v>15300000</v>
      </c>
      <c r="F421" s="56">
        <v>10164050</v>
      </c>
      <c r="G421" s="81">
        <v>0.3</v>
      </c>
      <c r="H421" s="87"/>
      <c r="I421" s="18">
        <v>0.06</v>
      </c>
      <c r="J421" s="18"/>
      <c r="K421" s="16"/>
      <c r="L421" s="87"/>
      <c r="M421" s="54"/>
      <c r="N421" s="54"/>
      <c r="O421" s="54"/>
      <c r="P421" s="112">
        <v>-407885000</v>
      </c>
      <c r="Q421" s="113">
        <v>-27612000</v>
      </c>
      <c r="R421" s="113">
        <f>IF(Tabela3[[#This Row],[Ativo || Passivo]]&gt;0,Tabela3[[#This Row],[Ativo || Passivo]]-Tabela3[[#This Row],[Patrimônio Líquido]],0)</f>
        <v>0</v>
      </c>
      <c r="S421" s="113">
        <f>Tabela3[[#This Row],[Cotação]]*Tabela3[[#This Row],[Total Ações]]</f>
        <v>4590000</v>
      </c>
      <c r="T421" s="136">
        <f>IF(Tabela3[[#This Row],[Passivo Circulante]]&gt;0,Tabela3[[#This Row],[Ativo Circulante]]/Tabela3[[#This Row],[Passivo Circulante]],0)</f>
        <v>0</v>
      </c>
      <c r="U421" s="136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21" s="111">
        <f>IF(Tabela3[[#This Row],[Lucro Líquido]]&gt;0,Tabela3[[#This Row],[Lucro Líquido]]/Tabela3[[#This Row],[Patrimônio Líquido]],0)</f>
        <v>0</v>
      </c>
      <c r="W421" s="111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21" s="111">
        <f>IF(Tabela3[[#This Row],[Dívida]]&gt;0,Tabela3[[#This Row],[Dívida]]/Tabela3[[#This Row],[Patrimônio Líquido]],0)</f>
        <v>0</v>
      </c>
      <c r="Y421" s="111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21" s="7">
        <f>Tabela3[[#This Row],[Capital Social]]*20%</f>
        <v>3060000</v>
      </c>
      <c r="AA421" s="47">
        <f>IF((Tabela3[Lucro Líquido]*5%)&gt;Tabela3[Teto R. Legal],Tabela3[Teto R. Legal],Tabela3[Lucro Líquido]*5%)</f>
        <v>-1380600</v>
      </c>
      <c r="AB421" s="47">
        <f>IF(Tabela3[Lucro Líquido]&lt;0,0,Tabela3[Lucro Líquido]-Tabela3[Reserva Legal])</f>
        <v>0</v>
      </c>
      <c r="AC421" s="47">
        <f>Tabela3[[#This Row],[Lucro Distribuir]]*Tabela3[%Div]</f>
        <v>0</v>
      </c>
      <c r="AD421" s="56">
        <f>SUMPRODUCT(N(Tabela3[Nome]=Tabela3[[#This Row],[Nome]]),Tabela3[Ações])</f>
        <v>15300000</v>
      </c>
      <c r="AE421" s="85">
        <f>Tabela3[Capital Social]/Tabela3[Total Ações]</f>
        <v>1</v>
      </c>
      <c r="AF421" s="85">
        <f>Tabela3[[#This Row],[Lucro Líquido]]/Tabela3[[#This Row],[Total Ações]]</f>
        <v>-1.8047058823529412</v>
      </c>
      <c r="AG421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21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21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21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21" s="7">
        <f>Tabela3[Div Base]*Tabela3[Ações]</f>
        <v>0</v>
      </c>
      <c r="AL421" s="7">
        <f>SUMPRODUCT(N(Tabela3[Nome]=Tabela3[[#This Row],[Nome]]),Tabela3[Div Base]*Tabela3[Ações])</f>
        <v>0</v>
      </c>
      <c r="AM421" s="5">
        <f>Tabela3[Patrimônio Líquido]/Tabela3[Total Ações]</f>
        <v>-26.659150326797384</v>
      </c>
      <c r="AN421" s="52">
        <f>MAX(Tabela3[[#This Row],[Cotação 1]:[Cotação 5]])</f>
        <v>0.3</v>
      </c>
      <c r="AO421" s="53">
        <f>Tabela3[Cotação]/Tabela3[VPA]</f>
        <v>-1.1253171849908676E-2</v>
      </c>
      <c r="AP421" s="37">
        <f>IF(Tabela3[[#This Row],[Lucro/Ação]]&gt;0,Tabela3[[#This Row],[Cotação]]/(Tabela3[[#This Row],[Lucro/Ação]]/Tabela3[Ref]*4),0)</f>
        <v>0</v>
      </c>
      <c r="AQ421" s="85">
        <f>Tabela3[Lucro Distribuir]/Tabela3[Total Ações]</f>
        <v>0</v>
      </c>
      <c r="AR421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21" s="10" t="str">
        <f>IF(AND(Tabela3[% A.A.]&gt;=6%,SUMPRODUCT(N(Tabela3[Nome]=Tabela3[[#This Row],[Nome]]),Tabela3[PL])&gt;0,Tabela3[Rentabilidade s/ PL]&gt;=Tabela3[Rentabilidade s/ PL Média]),"Sim","Não")</f>
        <v>Não</v>
      </c>
      <c r="AT421" s="22">
        <f>IF(Tabela3[Cotação]&gt;0,Tabela3[[#This Row],[Lucro]]/Tabela3[[#This Row],[Cotação]],0)</f>
        <v>0</v>
      </c>
      <c r="AU421" s="22">
        <f>((1+Tabela3[[#This Row],[% Yield]])^(1/(3*Tabela3[[#This Row],[Ref]])))^(12)-1</f>
        <v>0</v>
      </c>
      <c r="AV421" s="10">
        <f>IF(Tabela3[Cotação]&gt;0,($BD$1/Tabela3[[#This Row],[Cotação]]-MOD($BD$1/Tabela3[[#This Row],[Cotação]],100)),)</f>
        <v>0</v>
      </c>
      <c r="AW421" s="7">
        <f>Tabela3[[#This Row],[Ativos]]*Tabela3[Lucro]</f>
        <v>0</v>
      </c>
      <c r="AX421" s="7">
        <f>SUMPRODUCT(N(Tabela1[Código]=Tabela3[[#This Row],[PAPEL]]),Tabela1[Fechamento])</f>
        <v>0</v>
      </c>
      <c r="AY421" s="7">
        <f>SUMPRODUCT(N(Tabela17[Código]=Tabela3[[#This Row],[PAPEL]]),Tabela17[Fechamento])</f>
        <v>0</v>
      </c>
      <c r="AZ421" s="7">
        <f>SUMPRODUCT(N(Tabela176[Código]=Tabela3[[#This Row],[PAPEL]]),Tabela176[Fechamento])</f>
        <v>0</v>
      </c>
      <c r="BA421" s="7">
        <f>SUMPRODUCT(N(Tabela1768[Código]=Tabela3[[#This Row],[PAPEL]]),Tabela1768[Fechamento])</f>
        <v>0.3</v>
      </c>
      <c r="BB421" s="7">
        <f>SUMPRODUCT(N(Tabela17683[Código]=Tabela3[[#This Row],[PAPEL]]),Tabela17683[Fechamento])</f>
        <v>0</v>
      </c>
    </row>
    <row r="422" spans="1:54" hidden="1" x14ac:dyDescent="0.2">
      <c r="A422" s="4" t="s">
        <v>14</v>
      </c>
      <c r="B422" s="57" t="s">
        <v>554</v>
      </c>
      <c r="C422" s="15" t="str">
        <f>LEFT(Tabela3[PAPEL],LEN(Tabela3[PAPEL])-(LEN(Tabela3[PAPEL])-4))</f>
        <v>IDVL</v>
      </c>
      <c r="D422" s="15">
        <v>3</v>
      </c>
      <c r="E422" s="6">
        <v>662383583.21000004</v>
      </c>
      <c r="F422" s="8">
        <v>44410897</v>
      </c>
      <c r="G422" s="86">
        <v>0.25</v>
      </c>
      <c r="H422" s="15"/>
      <c r="I422" s="19"/>
      <c r="J422" s="19"/>
      <c r="K422" s="88"/>
      <c r="L422" s="88"/>
      <c r="M422" s="55"/>
      <c r="N422" s="55"/>
      <c r="O422" s="55"/>
      <c r="P422" s="92">
        <v>573642000</v>
      </c>
      <c r="Q422" s="93">
        <v>-109956000</v>
      </c>
      <c r="R422" s="93">
        <f>IF(Tabela3[[#This Row],[Ativo || Passivo]]&gt;0,Tabela3[[#This Row],[Ativo || Passivo]]-Tabela3[[#This Row],[Patrimônio Líquido]],0)</f>
        <v>0</v>
      </c>
      <c r="S422" s="93">
        <f>Tabela3[[#This Row],[Cotação]]*Tabela3[[#This Row],[Total Ações]]</f>
        <v>471455025</v>
      </c>
      <c r="T422" s="40">
        <f>IF(Tabela3[[#This Row],[Passivo Circulante]]&gt;0,Tabela3[[#This Row],[Ativo Circulante]]/Tabela3[[#This Row],[Passivo Circulante]],0)</f>
        <v>0</v>
      </c>
      <c r="U422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22" s="19">
        <f>IF(Tabela3[[#This Row],[Lucro Líquido]]&gt;0,Tabela3[[#This Row],[Lucro Líquido]]/Tabela3[[#This Row],[Patrimônio Líquido]],0)</f>
        <v>0</v>
      </c>
      <c r="W422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22" s="19">
        <f>IF(Tabela3[[#This Row],[Dívida]]&gt;0,Tabela3[[#This Row],[Dívida]]/Tabela3[[#This Row],[Patrimônio Líquido]],0)</f>
        <v>0</v>
      </c>
      <c r="Y422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22" s="13">
        <f>Tabela3[[#This Row],[Capital Social]]*20%</f>
        <v>132476716.64200002</v>
      </c>
      <c r="AA422" s="13">
        <f>IF((Tabela3[Lucro Líquido]*5%)&gt;Tabela3[Teto R. Legal],Tabela3[Teto R. Legal],Tabela3[Lucro Líquido]*5%)</f>
        <v>-5497800</v>
      </c>
      <c r="AB422" s="13">
        <f>IF(Tabela3[Lucro Líquido]&lt;0,0,Tabela3[Lucro Líquido]-Tabela3[Reserva Legal])</f>
        <v>0</v>
      </c>
      <c r="AC422" s="13">
        <f>Tabela3[[#This Row],[Lucro Distribuir]]*Tabela3[%Div]</f>
        <v>0</v>
      </c>
      <c r="AD422" s="56">
        <f>SUMPRODUCT(N(Tabela3[Nome]=Tabela3[[#This Row],[Nome]]),Tabela3[Ações])</f>
        <v>75432804</v>
      </c>
      <c r="AE422" s="6">
        <f>Tabela3[Capital Social]/Tabela3[Total Ações]</f>
        <v>8.7811077950913781</v>
      </c>
      <c r="AF422" s="78">
        <f>Tabela3[[#This Row],[Lucro Líquido]]/Tabela3[[#This Row],[Total Ações]]</f>
        <v>-1.4576682049364094</v>
      </c>
      <c r="AG422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22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22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22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22" s="13">
        <f>Tabela3[Div Base]*Tabela3[Ações]</f>
        <v>0</v>
      </c>
      <c r="AL422" s="13">
        <f>SUMPRODUCT(N(Tabela3[Nome]=Tabela3[[#This Row],[Nome]]),Tabela3[Div Base]*Tabela3[Ações])</f>
        <v>0</v>
      </c>
      <c r="AM422" s="6">
        <f>Tabela3[Patrimônio Líquido]/Tabela3[Total Ações]</f>
        <v>7.6046755467289797</v>
      </c>
      <c r="AN422" s="48">
        <f>MAX(Tabela3[[#This Row],[Cotação 1]:[Cotação 5]])</f>
        <v>6.25</v>
      </c>
      <c r="AO422" s="44">
        <f>Tabela3[Cotação]/Tabela3[VPA]</f>
        <v>0.82186280816258228</v>
      </c>
      <c r="AP422" s="40">
        <f>IF(Tabela3[[#This Row],[Lucro/Ação]]&gt;0,Tabela3[[#This Row],[Cotação]]/(Tabela3[[#This Row],[Lucro/Ação]]/Tabela3[Ref]*4),0)</f>
        <v>0</v>
      </c>
      <c r="AQ422" s="78">
        <f>Tabela3[Lucro Distribuir]/Tabela3[Total Ações]</f>
        <v>0</v>
      </c>
      <c r="AR422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22" s="14" t="str">
        <f>IF(AND(Tabela3[% A.A.]&gt;=6%,SUMPRODUCT(N(Tabela3[Nome]=Tabela3[[#This Row],[Nome]]),Tabela3[PL])&gt;0,Tabela3[Rentabilidade s/ PL]&gt;=Tabela3[Rentabilidade s/ PL Média]),"Sim","Não")</f>
        <v>Não</v>
      </c>
      <c r="AT422" s="42">
        <f>IF(Tabela3[Cotação]&gt;0,Tabela3[[#This Row],[Lucro]]/Tabela3[[#This Row],[Cotação]],0)</f>
        <v>0</v>
      </c>
      <c r="AU422" s="42">
        <f>((1+Tabela3[[#This Row],[% Yield]])^(1/(3*Tabela3[[#This Row],[Ref]])))^(12)-1</f>
        <v>0</v>
      </c>
      <c r="AV422" s="14">
        <f>IF(Tabela3[Cotação]&gt;0,($BD$1/Tabela3[[#This Row],[Cotação]]-MOD($BD$1/Tabela3[[#This Row],[Cotação]],100)),)</f>
        <v>0</v>
      </c>
      <c r="AW422" s="17">
        <f>Tabela3[[#This Row],[Ativos]]*Tabela3[Lucro]</f>
        <v>0</v>
      </c>
      <c r="AX422" s="17">
        <f>SUMPRODUCT(N(Tabela1[Código]=Tabela3[[#This Row],[PAPEL]]),Tabela1[Fechamento])</f>
        <v>0</v>
      </c>
      <c r="AY422" s="17">
        <f>SUMPRODUCT(N(Tabela17[Código]=Tabela3[[#This Row],[PAPEL]]),Tabela17[Fechamento])</f>
        <v>0</v>
      </c>
      <c r="AZ422" s="17">
        <f>SUMPRODUCT(N(Tabela176[Código]=Tabela3[[#This Row],[PAPEL]]),Tabela176[Fechamento])</f>
        <v>6.25</v>
      </c>
      <c r="BA422" s="17">
        <f>SUMPRODUCT(N(Tabela1768[Código]=Tabela3[[#This Row],[PAPEL]]),Tabela1768[Fechamento])</f>
        <v>0</v>
      </c>
      <c r="BB422" s="7">
        <f>SUMPRODUCT(N(Tabela17683[Código]=Tabela3[[#This Row],[PAPEL]]),Tabela17683[Fechamento])</f>
        <v>0</v>
      </c>
    </row>
    <row r="423" spans="1:54" hidden="1" x14ac:dyDescent="0.2">
      <c r="A423" s="4" t="s">
        <v>14</v>
      </c>
      <c r="B423" s="57" t="s">
        <v>555</v>
      </c>
      <c r="C423" s="15" t="str">
        <f>LEFT(Tabela3[PAPEL],LEN(Tabela3[PAPEL])-(LEN(Tabela3[PAPEL])-4))</f>
        <v>IDVL</v>
      </c>
      <c r="D423" s="15">
        <v>3</v>
      </c>
      <c r="E423" s="6">
        <v>662383583.21000004</v>
      </c>
      <c r="F423" s="8">
        <v>31021907</v>
      </c>
      <c r="G423" s="86">
        <v>0.25</v>
      </c>
      <c r="H423" s="15"/>
      <c r="I423" s="19"/>
      <c r="J423" s="19"/>
      <c r="K423" s="88"/>
      <c r="L423" s="88"/>
      <c r="M423" s="55"/>
      <c r="N423" s="55"/>
      <c r="O423" s="55"/>
      <c r="P423" s="92">
        <v>573642000</v>
      </c>
      <c r="Q423" s="93">
        <v>-109956000</v>
      </c>
      <c r="R423" s="93">
        <f>IF(Tabela3[[#This Row],[Ativo || Passivo]]&gt;0,Tabela3[[#This Row],[Ativo || Passivo]]-Tabela3[[#This Row],[Patrimônio Líquido]],0)</f>
        <v>0</v>
      </c>
      <c r="S423" s="93">
        <f>Tabela3[[#This Row],[Cotação]]*Tabela3[[#This Row],[Total Ações]]</f>
        <v>373392379.80000001</v>
      </c>
      <c r="T423" s="40">
        <f>IF(Tabela3[[#This Row],[Passivo Circulante]]&gt;0,Tabela3[[#This Row],[Ativo Circulante]]/Tabela3[[#This Row],[Passivo Circulante]],0)</f>
        <v>0</v>
      </c>
      <c r="U423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23" s="19">
        <f>IF(Tabela3[[#This Row],[Lucro Líquido]]&gt;0,Tabela3[[#This Row],[Lucro Líquido]]/Tabela3[[#This Row],[Patrimônio Líquido]],0)</f>
        <v>0</v>
      </c>
      <c r="W423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23" s="19">
        <f>IF(Tabela3[[#This Row],[Dívida]]&gt;0,Tabela3[[#This Row],[Dívida]]/Tabela3[[#This Row],[Patrimônio Líquido]],0)</f>
        <v>0</v>
      </c>
      <c r="Y423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23" s="13">
        <f>Tabela3[[#This Row],[Capital Social]]*20%</f>
        <v>132476716.64200002</v>
      </c>
      <c r="AA423" s="13">
        <f>IF((Tabela3[Lucro Líquido]*5%)&gt;Tabela3[Teto R. Legal],Tabela3[Teto R. Legal],Tabela3[Lucro Líquido]*5%)</f>
        <v>-5497800</v>
      </c>
      <c r="AB423" s="13">
        <f>IF(Tabela3[Lucro Líquido]&lt;0,0,Tabela3[Lucro Líquido]-Tabela3[Reserva Legal])</f>
        <v>0</v>
      </c>
      <c r="AC423" s="13">
        <f>Tabela3[[#This Row],[Lucro Distribuir]]*Tabela3[%Div]</f>
        <v>0</v>
      </c>
      <c r="AD423" s="56">
        <f>SUMPRODUCT(N(Tabela3[Nome]=Tabela3[[#This Row],[Nome]]),Tabela3[Ações])</f>
        <v>75432804</v>
      </c>
      <c r="AE423" s="6">
        <f>Tabela3[Capital Social]/Tabela3[Total Ações]</f>
        <v>8.7811077950913781</v>
      </c>
      <c r="AF423" s="78">
        <f>Tabela3[[#This Row],[Lucro Líquido]]/Tabela3[[#This Row],[Total Ações]]</f>
        <v>-1.4576682049364094</v>
      </c>
      <c r="AG423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23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23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23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23" s="13">
        <f>Tabela3[Div Base]*Tabela3[Ações]</f>
        <v>0</v>
      </c>
      <c r="AL423" s="13">
        <f>SUMPRODUCT(N(Tabela3[Nome]=Tabela3[[#This Row],[Nome]]),Tabela3[Div Base]*Tabela3[Ações])</f>
        <v>0</v>
      </c>
      <c r="AM423" s="6">
        <f>Tabela3[Patrimônio Líquido]/Tabela3[Total Ações]</f>
        <v>7.6046755467289797</v>
      </c>
      <c r="AN423" s="48">
        <f>MAX(Tabela3[[#This Row],[Cotação 1]:[Cotação 5]])</f>
        <v>4.95</v>
      </c>
      <c r="AO423" s="44">
        <f>Tabela3[Cotação]/Tabela3[VPA]</f>
        <v>0.65091534406476514</v>
      </c>
      <c r="AP423" s="40">
        <f>IF(Tabela3[[#This Row],[Lucro/Ação]]&gt;0,Tabela3[[#This Row],[Cotação]]/(Tabela3[[#This Row],[Lucro/Ação]]/Tabela3[Ref]*4),0)</f>
        <v>0</v>
      </c>
      <c r="AQ423" s="78">
        <f>Tabela3[Lucro Distribuir]/Tabela3[Total Ações]</f>
        <v>0</v>
      </c>
      <c r="AR423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23" s="14" t="str">
        <f>IF(AND(Tabela3[% A.A.]&gt;=6%,SUMPRODUCT(N(Tabela3[Nome]=Tabela3[[#This Row],[Nome]]),Tabela3[PL])&gt;0,Tabela3[Rentabilidade s/ PL]&gt;=Tabela3[Rentabilidade s/ PL Média]),"Sim","Não")</f>
        <v>Não</v>
      </c>
      <c r="AT423" s="42">
        <f>IF(Tabela3[Cotação]&gt;0,Tabela3[[#This Row],[Lucro]]/Tabela3[[#This Row],[Cotação]],0)</f>
        <v>0</v>
      </c>
      <c r="AU423" s="42">
        <f>((1+Tabela3[[#This Row],[% Yield]])^(1/(3*Tabela3[[#This Row],[Ref]])))^(12)-1</f>
        <v>0</v>
      </c>
      <c r="AV423" s="14">
        <f>IF(Tabela3[Cotação]&gt;0,($BD$1/Tabela3[[#This Row],[Cotação]]-MOD($BD$1/Tabela3[[#This Row],[Cotação]],100)),)</f>
        <v>0</v>
      </c>
      <c r="AW423" s="17">
        <f>Tabela3[[#This Row],[Ativos]]*Tabela3[Lucro]</f>
        <v>0</v>
      </c>
      <c r="AX423" s="17">
        <f>SUMPRODUCT(N(Tabela1[Código]=Tabela3[[#This Row],[PAPEL]]),Tabela1[Fechamento])</f>
        <v>0</v>
      </c>
      <c r="AY423" s="17">
        <f>SUMPRODUCT(N(Tabela17[Código]=Tabela3[[#This Row],[PAPEL]]),Tabela17[Fechamento])</f>
        <v>0</v>
      </c>
      <c r="AZ423" s="17">
        <f>SUMPRODUCT(N(Tabela176[Código]=Tabela3[[#This Row],[PAPEL]]),Tabela176[Fechamento])</f>
        <v>4.95</v>
      </c>
      <c r="BA423" s="17">
        <f>SUMPRODUCT(N(Tabela1768[Código]=Tabela3[[#This Row],[PAPEL]]),Tabela1768[Fechamento])</f>
        <v>0</v>
      </c>
      <c r="BB423" s="7">
        <f>SUMPRODUCT(N(Tabela17683[Código]=Tabela3[[#This Row],[PAPEL]]),Tabela17683[Fechamento])</f>
        <v>0</v>
      </c>
    </row>
    <row r="424" spans="1:54" hidden="1" x14ac:dyDescent="0.2">
      <c r="A424" s="3" t="s">
        <v>913</v>
      </c>
      <c r="B424" s="58" t="s">
        <v>931</v>
      </c>
      <c r="C424" s="16" t="str">
        <f>LEFT(Tabela3[PAPEL],LEN(Tabela3[PAPEL])-(LEN(Tabela3[PAPEL])-4))</f>
        <v>IGBR</v>
      </c>
      <c r="D424" s="16">
        <v>3</v>
      </c>
      <c r="E424" s="5">
        <v>41000000</v>
      </c>
      <c r="F424" s="56">
        <v>12504967</v>
      </c>
      <c r="G424" s="81">
        <v>0.25</v>
      </c>
      <c r="H424" s="87"/>
      <c r="J424" s="18"/>
      <c r="K424" s="16"/>
      <c r="L424" s="87"/>
      <c r="M424" s="54"/>
      <c r="N424" s="54"/>
      <c r="O424" s="54"/>
      <c r="P424" s="91">
        <v>-145474000</v>
      </c>
      <c r="Q424" s="73">
        <v>-89770000</v>
      </c>
      <c r="R424" s="73">
        <f>IF(Tabela3[[#This Row],[Ativo || Passivo]]&gt;0,Tabela3[[#This Row],[Ativo || Passivo]]-Tabela3[[#This Row],[Patrimônio Líquido]],0)</f>
        <v>0</v>
      </c>
      <c r="S424" s="73">
        <f>Tabela3[[#This Row],[Cotação]]*Tabela3[[#This Row],[Total Ações]]</f>
        <v>64650679.390000001</v>
      </c>
      <c r="T424" s="37">
        <f>IF(Tabela3[[#This Row],[Passivo Circulante]]&gt;0,Tabela3[[#This Row],[Ativo Circulante]]/Tabela3[[#This Row],[Passivo Circulante]],0)</f>
        <v>0</v>
      </c>
      <c r="U424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24" s="18">
        <f>IF(Tabela3[[#This Row],[Lucro Líquido]]&gt;0,Tabela3[[#This Row],[Lucro Líquido]]/Tabela3[[#This Row],[Patrimônio Líquido]],0)</f>
        <v>0</v>
      </c>
      <c r="W424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24" s="18">
        <f>IF(Tabela3[[#This Row],[Dívida]]&gt;0,Tabela3[[#This Row],[Dívida]]/Tabela3[[#This Row],[Patrimônio Líquido]],0)</f>
        <v>0</v>
      </c>
      <c r="Y424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24" s="7">
        <f>Tabela3[[#This Row],[Capital Social]]*20%</f>
        <v>8200000</v>
      </c>
      <c r="AA424" s="47">
        <f>IF((Tabela3[Lucro Líquido]*5%)&gt;Tabela3[Teto R. Legal],Tabela3[Teto R. Legal],Tabela3[Lucro Líquido]*5%)</f>
        <v>-4488500</v>
      </c>
      <c r="AB424" s="47">
        <f>IF(Tabela3[Lucro Líquido]&lt;0,0,Tabela3[Lucro Líquido]-Tabela3[Reserva Legal])</f>
        <v>0</v>
      </c>
      <c r="AC424" s="47">
        <f>Tabela3[[#This Row],[Lucro Distribuir]]*Tabela3[%Div]</f>
        <v>0</v>
      </c>
      <c r="AD424" s="56">
        <f>SUMPRODUCT(N(Tabela3[Nome]=Tabela3[[#This Row],[Nome]]),Tabela3[Ações])</f>
        <v>12504967</v>
      </c>
      <c r="AE424" s="85">
        <f>Tabela3[Capital Social]/Tabela3[Total Ações]</f>
        <v>3.278697176889791</v>
      </c>
      <c r="AF424" s="85">
        <f>Tabela3[[#This Row],[Lucro Líquido]]/Tabela3[[#This Row],[Total Ações]]</f>
        <v>-7.1787474529121109</v>
      </c>
      <c r="AG424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24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24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24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24" s="7">
        <f>Tabela3[Div Base]*Tabela3[Ações]</f>
        <v>0</v>
      </c>
      <c r="AL424" s="7">
        <f>SUMPRODUCT(N(Tabela3[Nome]=Tabela3[[#This Row],[Nome]]),Tabela3[Div Base]*Tabela3[Ações])</f>
        <v>0</v>
      </c>
      <c r="AM424" s="5">
        <f>Tabela3[Patrimônio Líquido]/Tabela3[Total Ações]</f>
        <v>-11.633297392947938</v>
      </c>
      <c r="AN424" s="52">
        <f>MAX(Tabela3[[#This Row],[Cotação 1]:[Cotação 5]])</f>
        <v>5.17</v>
      </c>
      <c r="AO424" s="53">
        <f>Tabela3[Cotação]/Tabela3[VPA]</f>
        <v>-0.44441398043636665</v>
      </c>
      <c r="AP424" s="37">
        <f>IF(Tabela3[[#This Row],[Lucro/Ação]]&gt;0,Tabela3[[#This Row],[Cotação]]/(Tabela3[[#This Row],[Lucro/Ação]]/Tabela3[Ref]*4),0)</f>
        <v>0</v>
      </c>
      <c r="AQ424" s="85">
        <f>Tabela3[Lucro Distribuir]/Tabela3[Total Ações]</f>
        <v>0</v>
      </c>
      <c r="AR424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24" s="10" t="str">
        <f>IF(AND(Tabela3[% A.A.]&gt;=6%,SUMPRODUCT(N(Tabela3[Nome]=Tabela3[[#This Row],[Nome]]),Tabela3[PL])&gt;0,Tabela3[Rentabilidade s/ PL]&gt;=Tabela3[Rentabilidade s/ PL Média]),"Sim","Não")</f>
        <v>Não</v>
      </c>
      <c r="AT424" s="22">
        <f>IF(Tabela3[Cotação]&gt;0,Tabela3[[#This Row],[Lucro]]/Tabela3[[#This Row],[Cotação]],0)</f>
        <v>0</v>
      </c>
      <c r="AU424" s="22">
        <f>((1+Tabela3[[#This Row],[% Yield]])^(1/(3*Tabela3[[#This Row],[Ref]])))^(12)-1</f>
        <v>0</v>
      </c>
      <c r="AV424" s="10">
        <f>IF(Tabela3[Cotação]&gt;0,($BD$1/Tabela3[[#This Row],[Cotação]]-MOD($BD$1/Tabela3[[#This Row],[Cotação]],100)),)</f>
        <v>0</v>
      </c>
      <c r="AW424" s="7">
        <f>Tabela3[[#This Row],[Ativos]]*Tabela3[Lucro]</f>
        <v>0</v>
      </c>
      <c r="AX424" s="7">
        <f>SUMPRODUCT(N(Tabela1[Código]=Tabela3[[#This Row],[PAPEL]]),Tabela1[Fechamento])</f>
        <v>0</v>
      </c>
      <c r="AY424" s="7">
        <f>SUMPRODUCT(N(Tabela17[Código]=Tabela3[[#This Row],[PAPEL]]),Tabela17[Fechamento])</f>
        <v>0</v>
      </c>
      <c r="AZ424" s="7">
        <f>SUMPRODUCT(N(Tabela176[Código]=Tabela3[[#This Row],[PAPEL]]),Tabela176[Fechamento])</f>
        <v>0</v>
      </c>
      <c r="BA424" s="7">
        <f>SUMPRODUCT(N(Tabela1768[Código]=Tabela3[[#This Row],[PAPEL]]),Tabela1768[Fechamento])</f>
        <v>5.17</v>
      </c>
      <c r="BB424" s="7">
        <f>SUMPRODUCT(N(Tabela17683[Código]=Tabela3[[#This Row],[PAPEL]]),Tabela17683[Fechamento])</f>
        <v>0</v>
      </c>
    </row>
    <row r="425" spans="1:54" hidden="1" x14ac:dyDescent="0.2">
      <c r="A425" s="3" t="s">
        <v>277</v>
      </c>
      <c r="B425" s="58" t="s">
        <v>874</v>
      </c>
      <c r="C425" s="16" t="str">
        <f>LEFT(Tabela3[PAPEL],LEN(Tabela3[PAPEL])-(LEN(Tabela3[PAPEL])-4))</f>
        <v>IGUA</v>
      </c>
      <c r="D425" s="16">
        <v>4</v>
      </c>
      <c r="E425" s="5">
        <v>90064557.299999997</v>
      </c>
      <c r="F425" s="56">
        <v>9684360</v>
      </c>
      <c r="G425" s="81">
        <v>0.25</v>
      </c>
      <c r="H425" s="87"/>
      <c r="J425" s="18"/>
      <c r="K425" s="16"/>
      <c r="L425" s="87"/>
      <c r="M425" s="54"/>
      <c r="N425" s="54"/>
      <c r="O425" s="54"/>
      <c r="P425" s="91">
        <v>-151033000</v>
      </c>
      <c r="Q425" s="73">
        <v>-11320000</v>
      </c>
      <c r="R425" s="73">
        <f>IF(Tabela3[[#This Row],[Ativo || Passivo]]&gt;0,Tabela3[[#This Row],[Ativo || Passivo]]-Tabela3[[#This Row],[Patrimônio Líquido]],0)</f>
        <v>0</v>
      </c>
      <c r="S425" s="73">
        <f>Tabela3[[#This Row],[Cotação]]*Tabela3[[#This Row],[Total Ações]]</f>
        <v>108949061.25</v>
      </c>
      <c r="T425" s="37">
        <f>IF(Tabela3[[#This Row],[Passivo Circulante]]&gt;0,Tabela3[[#This Row],[Ativo Circulante]]/Tabela3[[#This Row],[Passivo Circulante]],0)</f>
        <v>0</v>
      </c>
      <c r="U425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25" s="18">
        <f>IF(Tabela3[[#This Row],[Lucro Líquido]]&gt;0,Tabela3[[#This Row],[Lucro Líquido]]/Tabela3[[#This Row],[Patrimônio Líquido]],0)</f>
        <v>0</v>
      </c>
      <c r="W425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25" s="18">
        <f>IF(Tabela3[[#This Row],[Dívida]]&gt;0,Tabela3[[#This Row],[Dívida]]/Tabela3[[#This Row],[Patrimônio Líquido]],0)</f>
        <v>0</v>
      </c>
      <c r="Y425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25" s="7">
        <f>Tabela3[[#This Row],[Capital Social]]*20%</f>
        <v>18012911.460000001</v>
      </c>
      <c r="AA425" s="47">
        <f>IF((Tabela3[Lucro Líquido]*5%)&gt;Tabela3[Teto R. Legal],Tabela3[Teto R. Legal],Tabela3[Lucro Líquido]*5%)</f>
        <v>-566000</v>
      </c>
      <c r="AB425" s="47">
        <f>IF(Tabela3[Lucro Líquido]&lt;0,0,Tabela3[Lucro Líquido]-Tabela3[Reserva Legal])</f>
        <v>0</v>
      </c>
      <c r="AC425" s="47">
        <f>Tabela3[[#This Row],[Lucro Distribuir]]*Tabela3[%Div]</f>
        <v>0</v>
      </c>
      <c r="AD425" s="56">
        <f>SUMPRODUCT(N(Tabela3[Nome]=Tabela3[[#This Row],[Nome]]),Tabela3[Ações])</f>
        <v>29053083</v>
      </c>
      <c r="AE425" s="85">
        <f>Tabela3[Capital Social]/Tabela3[Total Ações]</f>
        <v>3.1</v>
      </c>
      <c r="AF425" s="85">
        <f>Tabela3[[#This Row],[Lucro Líquido]]/Tabela3[[#This Row],[Total Ações]]</f>
        <v>-0.38963162704625875</v>
      </c>
      <c r="AG425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25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25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25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25" s="7">
        <f>Tabela3[Div Base]*Tabela3[Ações]</f>
        <v>0</v>
      </c>
      <c r="AL425" s="7">
        <f>SUMPRODUCT(N(Tabela3[Nome]=Tabela3[[#This Row],[Nome]]),Tabela3[Div Base]*Tabela3[Ações])</f>
        <v>0</v>
      </c>
      <c r="AM425" s="5">
        <f>Tabela3[Patrimônio Líquido]/Tabela3[Total Ações]</f>
        <v>-5.1985188628690455</v>
      </c>
      <c r="AN425" s="52">
        <f>MAX(Tabela3[[#This Row],[Cotação 1]:[Cotação 5]])</f>
        <v>3.75</v>
      </c>
      <c r="AO425" s="53">
        <f>Tabela3[Cotação]/Tabela3[VPA]</f>
        <v>-0.72135931385856067</v>
      </c>
      <c r="AP425" s="37">
        <f>IF(Tabela3[[#This Row],[Lucro/Ação]]&gt;0,Tabela3[[#This Row],[Cotação]]/(Tabela3[[#This Row],[Lucro/Ação]]/Tabela3[Ref]*4),0)</f>
        <v>0</v>
      </c>
      <c r="AQ425" s="85">
        <f>Tabela3[Lucro Distribuir]/Tabela3[Total Ações]</f>
        <v>0</v>
      </c>
      <c r="AR425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25" s="10" t="str">
        <f>IF(AND(Tabela3[% A.A.]&gt;=6%,SUMPRODUCT(N(Tabela3[Nome]=Tabela3[[#This Row],[Nome]]),Tabela3[PL])&gt;0,Tabela3[Rentabilidade s/ PL]&gt;=Tabela3[Rentabilidade s/ PL Média]),"Sim","Não")</f>
        <v>Não</v>
      </c>
      <c r="AT425" s="22">
        <f>IF(Tabela3[Cotação]&gt;0,Tabela3[[#This Row],[Lucro]]/Tabela3[[#This Row],[Cotação]],0)</f>
        <v>0</v>
      </c>
      <c r="AU425" s="22">
        <f>((1+Tabela3[[#This Row],[% Yield]])^(1/(3*Tabela3[[#This Row],[Ref]])))^(12)-1</f>
        <v>0</v>
      </c>
      <c r="AV425" s="10">
        <f>IF(Tabela3[Cotação]&gt;0,($BD$1/Tabela3[[#This Row],[Cotação]]-MOD($BD$1/Tabela3[[#This Row],[Cotação]],100)),)</f>
        <v>0</v>
      </c>
      <c r="AW425" s="7">
        <f>Tabela3[[#This Row],[Ativos]]*Tabela3[Lucro]</f>
        <v>0</v>
      </c>
      <c r="AX425" s="7">
        <f>SUMPRODUCT(N(Tabela1[Código]=Tabela3[[#This Row],[PAPEL]]),Tabela1[Fechamento])</f>
        <v>0</v>
      </c>
      <c r="AY425" s="7">
        <f>SUMPRODUCT(N(Tabela17[Código]=Tabela3[[#This Row],[PAPEL]]),Tabela17[Fechamento])</f>
        <v>0</v>
      </c>
      <c r="AZ425" s="7">
        <f>SUMPRODUCT(N(Tabela176[Código]=Tabela3[[#This Row],[PAPEL]]),Tabela176[Fechamento])</f>
        <v>0</v>
      </c>
      <c r="BA425" s="7">
        <f>SUMPRODUCT(N(Tabela1768[Código]=Tabela3[[#This Row],[PAPEL]]),Tabela1768[Fechamento])</f>
        <v>3.75</v>
      </c>
      <c r="BB425" s="7">
        <f>SUMPRODUCT(N(Tabela17683[Código]=Tabela3[[#This Row],[PAPEL]]),Tabela17683[Fechamento])</f>
        <v>0</v>
      </c>
    </row>
    <row r="426" spans="1:54" hidden="1" x14ac:dyDescent="0.2">
      <c r="A426" s="3" t="s">
        <v>277</v>
      </c>
      <c r="B426" s="58" t="s">
        <v>875</v>
      </c>
      <c r="C426" s="16" t="str">
        <f>LEFT(Tabela3[PAPEL],LEN(Tabela3[PAPEL])-(LEN(Tabela3[PAPEL])-4))</f>
        <v>IGUA</v>
      </c>
      <c r="D426" s="16">
        <v>4</v>
      </c>
      <c r="E426" s="5">
        <v>90064557.299999997</v>
      </c>
      <c r="F426" s="56">
        <v>7378562</v>
      </c>
      <c r="G426" s="81">
        <v>0.25</v>
      </c>
      <c r="H426" s="87"/>
      <c r="I426" s="18">
        <v>0.12</v>
      </c>
      <c r="J426" s="18"/>
      <c r="K426" s="16"/>
      <c r="L426" s="87"/>
      <c r="M426" s="54"/>
      <c r="N426" s="54"/>
      <c r="O426" s="54"/>
      <c r="P426" s="91">
        <v>-151033000</v>
      </c>
      <c r="Q426" s="73">
        <v>-11320000</v>
      </c>
      <c r="R426" s="73">
        <f>IF(Tabela3[[#This Row],[Ativo || Passivo]]&gt;0,Tabela3[[#This Row],[Ativo || Passivo]]-Tabela3[[#This Row],[Patrimônio Líquido]],0)</f>
        <v>0</v>
      </c>
      <c r="S426" s="73">
        <f>Tabela3[[#This Row],[Cotação]]*Tabela3[[#This Row],[Total Ações]]</f>
        <v>81639163.230000004</v>
      </c>
      <c r="T426" s="37">
        <f>IF(Tabela3[[#This Row],[Passivo Circulante]]&gt;0,Tabela3[[#This Row],[Ativo Circulante]]/Tabela3[[#This Row],[Passivo Circulante]],0)</f>
        <v>0</v>
      </c>
      <c r="U426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26" s="18">
        <f>IF(Tabela3[[#This Row],[Lucro Líquido]]&gt;0,Tabela3[[#This Row],[Lucro Líquido]]/Tabela3[[#This Row],[Patrimônio Líquido]],0)</f>
        <v>0</v>
      </c>
      <c r="W426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26" s="18">
        <f>IF(Tabela3[[#This Row],[Dívida]]&gt;0,Tabela3[[#This Row],[Dívida]]/Tabela3[[#This Row],[Patrimônio Líquido]],0)</f>
        <v>0</v>
      </c>
      <c r="Y426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26" s="7">
        <f>Tabela3[[#This Row],[Capital Social]]*20%</f>
        <v>18012911.460000001</v>
      </c>
      <c r="AA426" s="47">
        <f>IF((Tabela3[Lucro Líquido]*5%)&gt;Tabela3[Teto R. Legal],Tabela3[Teto R. Legal],Tabela3[Lucro Líquido]*5%)</f>
        <v>-566000</v>
      </c>
      <c r="AB426" s="47">
        <f>IF(Tabela3[Lucro Líquido]&lt;0,0,Tabela3[Lucro Líquido]-Tabela3[Reserva Legal])</f>
        <v>0</v>
      </c>
      <c r="AC426" s="47">
        <f>Tabela3[[#This Row],[Lucro Distribuir]]*Tabela3[%Div]</f>
        <v>0</v>
      </c>
      <c r="AD426" s="56">
        <f>SUMPRODUCT(N(Tabela3[Nome]=Tabela3[[#This Row],[Nome]]),Tabela3[Ações])</f>
        <v>29053083</v>
      </c>
      <c r="AE426" s="85">
        <f>Tabela3[Capital Social]/Tabela3[Total Ações]</f>
        <v>3.1</v>
      </c>
      <c r="AF426" s="85">
        <f>Tabela3[[#This Row],[Lucro Líquido]]/Tabela3[[#This Row],[Total Ações]]</f>
        <v>-0.38963162704625875</v>
      </c>
      <c r="AG426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26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26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26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26" s="7">
        <f>Tabela3[Div Base]*Tabela3[Ações]</f>
        <v>0</v>
      </c>
      <c r="AL426" s="7">
        <f>SUMPRODUCT(N(Tabela3[Nome]=Tabela3[[#This Row],[Nome]]),Tabela3[Div Base]*Tabela3[Ações])</f>
        <v>0</v>
      </c>
      <c r="AM426" s="5">
        <f>Tabela3[Patrimônio Líquido]/Tabela3[Total Ações]</f>
        <v>-5.1985188628690455</v>
      </c>
      <c r="AN426" s="52">
        <f>MAX(Tabela3[[#This Row],[Cotação 1]:[Cotação 5]])</f>
        <v>2.81</v>
      </c>
      <c r="AO426" s="53">
        <f>Tabela3[Cotação]/Tabela3[VPA]</f>
        <v>-0.54053857918468151</v>
      </c>
      <c r="AP426" s="37">
        <f>IF(Tabela3[[#This Row],[Lucro/Ação]]&gt;0,Tabela3[[#This Row],[Cotação]]/(Tabela3[[#This Row],[Lucro/Ação]]/Tabela3[Ref]*4),0)</f>
        <v>0</v>
      </c>
      <c r="AQ426" s="85">
        <f>Tabela3[Lucro Distribuir]/Tabela3[Total Ações]</f>
        <v>0</v>
      </c>
      <c r="AR426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26" s="10" t="str">
        <f>IF(AND(Tabela3[% A.A.]&gt;=6%,SUMPRODUCT(N(Tabela3[Nome]=Tabela3[[#This Row],[Nome]]),Tabela3[PL])&gt;0,Tabela3[Rentabilidade s/ PL]&gt;=Tabela3[Rentabilidade s/ PL Média]),"Sim","Não")</f>
        <v>Não</v>
      </c>
      <c r="AT426" s="22">
        <f>IF(Tabela3[Cotação]&gt;0,Tabela3[[#This Row],[Lucro]]/Tabela3[[#This Row],[Cotação]],0)</f>
        <v>0</v>
      </c>
      <c r="AU426" s="22">
        <f>((1+Tabela3[[#This Row],[% Yield]])^(1/(3*Tabela3[[#This Row],[Ref]])))^(12)-1</f>
        <v>0</v>
      </c>
      <c r="AV426" s="10">
        <f>IF(Tabela3[Cotação]&gt;0,($BD$1/Tabela3[[#This Row],[Cotação]]-MOD($BD$1/Tabela3[[#This Row],[Cotação]],100)),)</f>
        <v>0</v>
      </c>
      <c r="AW426" s="7">
        <f>Tabela3[[#This Row],[Ativos]]*Tabela3[Lucro]</f>
        <v>0</v>
      </c>
      <c r="AX426" s="7">
        <f>SUMPRODUCT(N(Tabela1[Código]=Tabela3[[#This Row],[PAPEL]]),Tabela1[Fechamento])</f>
        <v>0</v>
      </c>
      <c r="AY426" s="7">
        <f>SUMPRODUCT(N(Tabela17[Código]=Tabela3[[#This Row],[PAPEL]]),Tabela17[Fechamento])</f>
        <v>0</v>
      </c>
      <c r="AZ426" s="7">
        <f>SUMPRODUCT(N(Tabela176[Código]=Tabela3[[#This Row],[PAPEL]]),Tabela176[Fechamento])</f>
        <v>0</v>
      </c>
      <c r="BA426" s="7">
        <f>SUMPRODUCT(N(Tabela1768[Código]=Tabela3[[#This Row],[PAPEL]]),Tabela1768[Fechamento])</f>
        <v>2.81</v>
      </c>
      <c r="BB426" s="7">
        <f>SUMPRODUCT(N(Tabela17683[Código]=Tabela3[[#This Row],[PAPEL]]),Tabela17683[Fechamento])</f>
        <v>0</v>
      </c>
    </row>
    <row r="427" spans="1:54" hidden="1" x14ac:dyDescent="0.2">
      <c r="A427" s="3" t="s">
        <v>277</v>
      </c>
      <c r="B427" s="58" t="s">
        <v>876</v>
      </c>
      <c r="C427" s="16" t="str">
        <f>LEFT(Tabela3[PAPEL],LEN(Tabela3[PAPEL])-(LEN(Tabela3[PAPEL])-4))</f>
        <v>IGUA</v>
      </c>
      <c r="D427" s="16">
        <v>4</v>
      </c>
      <c r="E427" s="5">
        <v>90064557.299999997</v>
      </c>
      <c r="F427" s="56">
        <v>11990161</v>
      </c>
      <c r="G427" s="81">
        <v>0.25</v>
      </c>
      <c r="H427" s="87"/>
      <c r="I427" s="18">
        <v>0.08</v>
      </c>
      <c r="J427" s="18"/>
      <c r="K427" s="16"/>
      <c r="L427" s="87"/>
      <c r="M427" s="54"/>
      <c r="N427" s="54"/>
      <c r="O427" s="54"/>
      <c r="P427" s="91">
        <v>-151033000</v>
      </c>
      <c r="Q427" s="73">
        <v>-11320000</v>
      </c>
      <c r="R427" s="73">
        <f>IF(Tabela3[[#This Row],[Ativo || Passivo]]&gt;0,Tabela3[[#This Row],[Ativo || Passivo]]-Tabela3[[#This Row],[Patrimônio Líquido]],0)</f>
        <v>0</v>
      </c>
      <c r="S427" s="73">
        <f>Tabela3[[#This Row],[Cotação]]*Tabela3[[#This Row],[Total Ações]]</f>
        <v>95875173.899999991</v>
      </c>
      <c r="T427" s="37">
        <f>IF(Tabela3[[#This Row],[Passivo Circulante]]&gt;0,Tabela3[[#This Row],[Ativo Circulante]]/Tabela3[[#This Row],[Passivo Circulante]],0)</f>
        <v>0</v>
      </c>
      <c r="U427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27" s="18">
        <f>IF(Tabela3[[#This Row],[Lucro Líquido]]&gt;0,Tabela3[[#This Row],[Lucro Líquido]]/Tabela3[[#This Row],[Patrimônio Líquido]],0)</f>
        <v>0</v>
      </c>
      <c r="W427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27" s="18">
        <f>IF(Tabela3[[#This Row],[Dívida]]&gt;0,Tabela3[[#This Row],[Dívida]]/Tabela3[[#This Row],[Patrimônio Líquido]],0)</f>
        <v>0</v>
      </c>
      <c r="Y427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27" s="7">
        <f>Tabela3[[#This Row],[Capital Social]]*20%</f>
        <v>18012911.460000001</v>
      </c>
      <c r="AA427" s="47">
        <f>IF((Tabela3[Lucro Líquido]*5%)&gt;Tabela3[Teto R. Legal],Tabela3[Teto R. Legal],Tabela3[Lucro Líquido]*5%)</f>
        <v>-566000</v>
      </c>
      <c r="AB427" s="47">
        <f>IF(Tabela3[Lucro Líquido]&lt;0,0,Tabela3[Lucro Líquido]-Tabela3[Reserva Legal])</f>
        <v>0</v>
      </c>
      <c r="AC427" s="47">
        <f>Tabela3[[#This Row],[Lucro Distribuir]]*Tabela3[%Div]</f>
        <v>0</v>
      </c>
      <c r="AD427" s="56">
        <f>SUMPRODUCT(N(Tabela3[Nome]=Tabela3[[#This Row],[Nome]]),Tabela3[Ações])</f>
        <v>29053083</v>
      </c>
      <c r="AE427" s="85">
        <f>Tabela3[Capital Social]/Tabela3[Total Ações]</f>
        <v>3.1</v>
      </c>
      <c r="AF427" s="85">
        <f>Tabela3[[#This Row],[Lucro Líquido]]/Tabela3[[#This Row],[Total Ações]]</f>
        <v>-0.38963162704625875</v>
      </c>
      <c r="AG427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27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27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27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27" s="7">
        <f>Tabela3[Div Base]*Tabela3[Ações]</f>
        <v>0</v>
      </c>
      <c r="AL427" s="7">
        <f>SUMPRODUCT(N(Tabela3[Nome]=Tabela3[[#This Row],[Nome]]),Tabela3[Div Base]*Tabela3[Ações])</f>
        <v>0</v>
      </c>
      <c r="AM427" s="5">
        <f>Tabela3[Patrimônio Líquido]/Tabela3[Total Ações]</f>
        <v>-5.1985188628690455</v>
      </c>
      <c r="AN427" s="52">
        <f>MAX(Tabela3[[#This Row],[Cotação 1]:[Cotação 5]])</f>
        <v>3.3</v>
      </c>
      <c r="AO427" s="53">
        <f>Tabela3[Cotação]/Tabela3[VPA]</f>
        <v>-0.6347961961955334</v>
      </c>
      <c r="AP427" s="37">
        <f>IF(Tabela3[[#This Row],[Lucro/Ação]]&gt;0,Tabela3[[#This Row],[Cotação]]/(Tabela3[[#This Row],[Lucro/Ação]]/Tabela3[Ref]*4),0)</f>
        <v>0</v>
      </c>
      <c r="AQ427" s="85">
        <f>Tabela3[Lucro Distribuir]/Tabela3[Total Ações]</f>
        <v>0</v>
      </c>
      <c r="AR427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27" s="10" t="str">
        <f>IF(AND(Tabela3[% A.A.]&gt;=6%,SUMPRODUCT(N(Tabela3[Nome]=Tabela3[[#This Row],[Nome]]),Tabela3[PL])&gt;0,Tabela3[Rentabilidade s/ PL]&gt;=Tabela3[Rentabilidade s/ PL Média]),"Sim","Não")</f>
        <v>Não</v>
      </c>
      <c r="AT427" s="22">
        <f>IF(Tabela3[Cotação]&gt;0,Tabela3[[#This Row],[Lucro]]/Tabela3[[#This Row],[Cotação]],0)</f>
        <v>0</v>
      </c>
      <c r="AU427" s="22">
        <f>((1+Tabela3[[#This Row],[% Yield]])^(1/(3*Tabela3[[#This Row],[Ref]])))^(12)-1</f>
        <v>0</v>
      </c>
      <c r="AV427" s="10">
        <f>IF(Tabela3[Cotação]&gt;0,($BD$1/Tabela3[[#This Row],[Cotação]]-MOD($BD$1/Tabela3[[#This Row],[Cotação]],100)),)</f>
        <v>0</v>
      </c>
      <c r="AW427" s="7">
        <f>Tabela3[[#This Row],[Ativos]]*Tabela3[Lucro]</f>
        <v>0</v>
      </c>
      <c r="AX427" s="7">
        <f>SUMPRODUCT(N(Tabela1[Código]=Tabela3[[#This Row],[PAPEL]]),Tabela1[Fechamento])</f>
        <v>0</v>
      </c>
      <c r="AY427" s="7">
        <f>SUMPRODUCT(N(Tabela17[Código]=Tabela3[[#This Row],[PAPEL]]),Tabela17[Fechamento])</f>
        <v>0</v>
      </c>
      <c r="AZ427" s="7">
        <f>SUMPRODUCT(N(Tabela176[Código]=Tabela3[[#This Row],[PAPEL]]),Tabela176[Fechamento])</f>
        <v>0</v>
      </c>
      <c r="BA427" s="7">
        <f>SUMPRODUCT(N(Tabela1768[Código]=Tabela3[[#This Row],[PAPEL]]),Tabela1768[Fechamento])</f>
        <v>3.3</v>
      </c>
      <c r="BB427" s="7">
        <f>SUMPRODUCT(N(Tabela17683[Código]=Tabela3[[#This Row],[PAPEL]]),Tabela17683[Fechamento])</f>
        <v>0</v>
      </c>
    </row>
    <row r="428" spans="1:54" hidden="1" x14ac:dyDescent="0.2">
      <c r="A428" s="3" t="s">
        <v>1477</v>
      </c>
      <c r="B428" s="57" t="s">
        <v>1478</v>
      </c>
      <c r="C428" s="16" t="str">
        <f>LEFT(Tabela3[PAPEL],LEN(Tabela3[PAPEL])-(LEN(Tabela3[PAPEL])-4))</f>
        <v>IMBI</v>
      </c>
      <c r="D428" s="16">
        <v>3</v>
      </c>
      <c r="E428" s="5">
        <v>11238171.720000001</v>
      </c>
      <c r="F428" s="56">
        <v>145137632</v>
      </c>
      <c r="G428" s="81">
        <v>0.25</v>
      </c>
      <c r="H428" s="87"/>
      <c r="J428" s="18"/>
      <c r="K428" s="16"/>
      <c r="L428" s="87"/>
      <c r="M428" s="54"/>
      <c r="N428" s="54"/>
      <c r="O428" s="54"/>
      <c r="P428" s="91">
        <v>60300000</v>
      </c>
      <c r="Q428" s="73">
        <v>0</v>
      </c>
      <c r="R428" s="73">
        <f>IF(Tabela3[[#This Row],[Ativo || Passivo]]&gt;0,Tabela3[[#This Row],[Ativo || Passivo]]-Tabela3[[#This Row],[Patrimônio Líquido]],0)</f>
        <v>0</v>
      </c>
      <c r="S428" s="73">
        <f>Tabela3[[#This Row],[Cotação]]*Tabela3[[#This Row],[Total Ações]]</f>
        <v>176896019.74000001</v>
      </c>
      <c r="T428" s="37">
        <f>IF(Tabela3[[#This Row],[Passivo Circulante]]&gt;0,Tabela3[[#This Row],[Ativo Circulante]]/Tabela3[[#This Row],[Passivo Circulante]],0)</f>
        <v>0</v>
      </c>
      <c r="U428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28" s="18">
        <f>IF(Tabela3[[#This Row],[Lucro Líquido]]&gt;0,Tabela3[[#This Row],[Lucro Líquido]]/Tabela3[[#This Row],[Patrimônio Líquido]],0)</f>
        <v>0</v>
      </c>
      <c r="W428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28" s="18">
        <f>IF(Tabela3[[#This Row],[Dívida]]&gt;0,Tabela3[[#This Row],[Dívida]]/Tabela3[[#This Row],[Patrimônio Líquido]],0)</f>
        <v>0</v>
      </c>
      <c r="Y428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28" s="7">
        <f>Tabela3[[#This Row],[Capital Social]]*20%</f>
        <v>2247634.344</v>
      </c>
      <c r="AA428" s="47">
        <f>IF((Tabela3[Lucro Líquido]*5%)&gt;Tabela3[Teto R. Legal],Tabela3[Teto R. Legal],Tabela3[Lucro Líquido]*5%)</f>
        <v>0</v>
      </c>
      <c r="AB428" s="47">
        <f>IF(Tabela3[Lucro Líquido]&lt;0,0,Tabela3[Lucro Líquido]-Tabela3[Reserva Legal])</f>
        <v>0</v>
      </c>
      <c r="AC428" s="47">
        <f>Tabela3[[#This Row],[Lucro Distribuir]]*Tabela3[%Div]</f>
        <v>0</v>
      </c>
      <c r="AD428" s="56">
        <f>SUMPRODUCT(N(Tabela3[Nome]=Tabela3[[#This Row],[Nome]]),Tabela3[Ações])</f>
        <v>175144574</v>
      </c>
      <c r="AE428" s="85">
        <f>Tabela3[Capital Social]/Tabela3[Total Ações]</f>
        <v>6.4165114929566711E-2</v>
      </c>
      <c r="AF428" s="85">
        <f>Tabela3[[#This Row],[Lucro Líquido]]/Tabela3[[#This Row],[Total Ações]]</f>
        <v>0</v>
      </c>
      <c r="AG428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28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28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28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28" s="7">
        <f>Tabela3[Div Base]*Tabela3[Ações]</f>
        <v>0</v>
      </c>
      <c r="AL428" s="121">
        <f>SUMPRODUCT(N(Tabela3[Nome]=Tabela3[[#This Row],[Nome]]),Tabela3[Div Base]*Tabela3[Ações])</f>
        <v>0</v>
      </c>
      <c r="AM428" s="5">
        <f>Tabela3[Patrimônio Líquido]/Tabela3[Total Ações]</f>
        <v>0.34428700029268394</v>
      </c>
      <c r="AN428" s="52">
        <f>MAX(Tabela3[[#This Row],[Cotação 1]:[Cotação 5]])</f>
        <v>1.01</v>
      </c>
      <c r="AO428" s="53">
        <f>Tabela3[Cotação]/Tabela3[VPA]</f>
        <v>2.9335990006633499</v>
      </c>
      <c r="AP428" s="37">
        <f>IF(Tabela3[[#This Row],[Lucro/Ação]]&gt;0,Tabela3[[#This Row],[Cotação]]/(Tabela3[[#This Row],[Lucro/Ação]]/Tabela3[Ref]*4),0)</f>
        <v>0</v>
      </c>
      <c r="AQ428" s="85">
        <f>Tabela3[Lucro Distribuir]/Tabela3[Total Ações]</f>
        <v>0</v>
      </c>
      <c r="AR428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28" s="10" t="str">
        <f>IF(AND(Tabela3[% A.A.]&gt;=6%,SUMPRODUCT(N(Tabela3[Nome]=Tabela3[[#This Row],[Nome]]),Tabela3[PL])&gt;0,Tabela3[Rentabilidade s/ PL]&gt;=Tabela3[Rentabilidade s/ PL Média]),"Sim","Não")</f>
        <v>Não</v>
      </c>
      <c r="AT428" s="22">
        <f>IF(Tabela3[Cotação]&gt;0,Tabela3[[#This Row],[Lucro]]/Tabela3[[#This Row],[Cotação]],0)</f>
        <v>0</v>
      </c>
      <c r="AU428" s="22">
        <f>((1+Tabela3[[#This Row],[% Yield]])^(1/(3*Tabela3[[#This Row],[Ref]])))^(12)-1</f>
        <v>0</v>
      </c>
      <c r="AV428" s="10">
        <f>IF(Tabela3[Cotação]&gt;0,($BD$1/Tabela3[[#This Row],[Cotação]]-MOD($BD$1/Tabela3[[#This Row],[Cotação]],100)),)</f>
        <v>0</v>
      </c>
      <c r="AW428" s="7">
        <f>Tabela3[[#This Row],[Ativos]]*Tabela3[Lucro]</f>
        <v>0</v>
      </c>
      <c r="AX428" s="7">
        <f>SUMPRODUCT(N(Tabela1[Código]=Tabela3[[#This Row],[PAPEL]]),Tabela1[Fechamento])</f>
        <v>0</v>
      </c>
      <c r="AY428" s="7">
        <f>SUMPRODUCT(N(Tabela17[Código]=Tabela3[[#This Row],[PAPEL]]),Tabela17[Fechamento])</f>
        <v>0</v>
      </c>
      <c r="AZ428" s="7">
        <f>SUMPRODUCT(N(Tabela176[Código]=Tabela3[[#This Row],[PAPEL]]),Tabela176[Fechamento])</f>
        <v>0</v>
      </c>
      <c r="BA428" s="7">
        <f>SUMPRODUCT(N(Tabela1768[Código]=Tabela3[[#This Row],[PAPEL]]),Tabela1768[Fechamento])</f>
        <v>0</v>
      </c>
      <c r="BB428" s="7">
        <f>SUMPRODUCT(N(Tabela17683[Código]=Tabela3[[#This Row],[PAPEL]]),Tabela17683[Fechamento])</f>
        <v>1.01</v>
      </c>
    </row>
    <row r="429" spans="1:54" hidden="1" x14ac:dyDescent="0.2">
      <c r="A429" s="3" t="s">
        <v>1477</v>
      </c>
      <c r="B429" s="57" t="s">
        <v>1479</v>
      </c>
      <c r="C429" s="16" t="str">
        <f>LEFT(Tabela3[PAPEL],LEN(Tabela3[PAPEL])-(LEN(Tabela3[PAPEL])-4))</f>
        <v>IMBI</v>
      </c>
      <c r="D429" s="16">
        <v>3</v>
      </c>
      <c r="E429" s="5">
        <v>11238171.720000001</v>
      </c>
      <c r="F429" s="56">
        <v>30006942</v>
      </c>
      <c r="G429" s="81">
        <v>0.25</v>
      </c>
      <c r="H429" s="87"/>
      <c r="J429" s="18">
        <v>0.1</v>
      </c>
      <c r="K429" s="16"/>
      <c r="L429" s="87"/>
      <c r="M429" s="54"/>
      <c r="N429" s="54"/>
      <c r="O429" s="54"/>
      <c r="P429" s="91">
        <v>60300000</v>
      </c>
      <c r="Q429" s="73">
        <v>0</v>
      </c>
      <c r="R429" s="73">
        <f>IF(Tabela3[[#This Row],[Ativo || Passivo]]&gt;0,Tabela3[[#This Row],[Ativo || Passivo]]-Tabela3[[#This Row],[Patrimônio Líquido]],0)</f>
        <v>0</v>
      </c>
      <c r="S429" s="73">
        <f>Tabela3[[#This Row],[Cotação]]*Tabela3[[#This Row],[Total Ações]]</f>
        <v>131358430.5</v>
      </c>
      <c r="T429" s="37">
        <f>IF(Tabela3[[#This Row],[Passivo Circulante]]&gt;0,Tabela3[[#This Row],[Ativo Circulante]]/Tabela3[[#This Row],[Passivo Circulante]],0)</f>
        <v>0</v>
      </c>
      <c r="U429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29" s="18">
        <f>IF(Tabela3[[#This Row],[Lucro Líquido]]&gt;0,Tabela3[[#This Row],[Lucro Líquido]]/Tabela3[[#This Row],[Patrimônio Líquido]],0)</f>
        <v>0</v>
      </c>
      <c r="W429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29" s="18">
        <f>IF(Tabela3[[#This Row],[Dívida]]&gt;0,Tabela3[[#This Row],[Dívida]]/Tabela3[[#This Row],[Patrimônio Líquido]],0)</f>
        <v>0</v>
      </c>
      <c r="Y429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29" s="7">
        <f>Tabela3[[#This Row],[Capital Social]]*20%</f>
        <v>2247634.344</v>
      </c>
      <c r="AA429" s="47">
        <f>IF((Tabela3[Lucro Líquido]*5%)&gt;Tabela3[Teto R. Legal],Tabela3[Teto R. Legal],Tabela3[Lucro Líquido]*5%)</f>
        <v>0</v>
      </c>
      <c r="AB429" s="47">
        <f>IF(Tabela3[Lucro Líquido]&lt;0,0,Tabela3[Lucro Líquido]-Tabela3[Reserva Legal])</f>
        <v>0</v>
      </c>
      <c r="AC429" s="47">
        <f>Tabela3[[#This Row],[Lucro Distribuir]]*Tabela3[%Div]</f>
        <v>0</v>
      </c>
      <c r="AD429" s="56">
        <f>SUMPRODUCT(N(Tabela3[Nome]=Tabela3[[#This Row],[Nome]]),Tabela3[Ações])</f>
        <v>175144574</v>
      </c>
      <c r="AE429" s="85">
        <f>Tabela3[Capital Social]/Tabela3[Total Ações]</f>
        <v>6.4165114929566711E-2</v>
      </c>
      <c r="AF429" s="85">
        <f>Tabela3[[#This Row],[Lucro Líquido]]/Tabela3[[#This Row],[Total Ações]]</f>
        <v>0</v>
      </c>
      <c r="AG429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29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29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29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29" s="7">
        <f>Tabela3[Div Base]*Tabela3[Ações]</f>
        <v>0</v>
      </c>
      <c r="AL429" s="121">
        <f>SUMPRODUCT(N(Tabela3[Nome]=Tabela3[[#This Row],[Nome]]),Tabela3[Div Base]*Tabela3[Ações])</f>
        <v>0</v>
      </c>
      <c r="AM429" s="5">
        <f>Tabela3[Patrimônio Líquido]/Tabela3[Total Ações]</f>
        <v>0.34428700029268394</v>
      </c>
      <c r="AN429" s="52">
        <f>MAX(Tabela3[[#This Row],[Cotação 1]:[Cotação 5]])</f>
        <v>0.75</v>
      </c>
      <c r="AO429" s="53">
        <f>Tabela3[Cotação]/Tabela3[VPA]</f>
        <v>2.1784150995024874</v>
      </c>
      <c r="AP429" s="37">
        <f>IF(Tabela3[[#This Row],[Lucro/Ação]]&gt;0,Tabela3[[#This Row],[Cotação]]/(Tabela3[[#This Row],[Lucro/Ação]]/Tabela3[Ref]*4),0)</f>
        <v>0</v>
      </c>
      <c r="AQ429" s="85">
        <f>Tabela3[Lucro Distribuir]/Tabela3[Total Ações]</f>
        <v>0</v>
      </c>
      <c r="AR429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29" s="10" t="str">
        <f>IF(AND(Tabela3[% A.A.]&gt;=6%,SUMPRODUCT(N(Tabela3[Nome]=Tabela3[[#This Row],[Nome]]),Tabela3[PL])&gt;0,Tabela3[Rentabilidade s/ PL]&gt;=Tabela3[Rentabilidade s/ PL Média]),"Sim","Não")</f>
        <v>Não</v>
      </c>
      <c r="AT429" s="22">
        <f>IF(Tabela3[Cotação]&gt;0,Tabela3[[#This Row],[Lucro]]/Tabela3[[#This Row],[Cotação]],0)</f>
        <v>0</v>
      </c>
      <c r="AU429" s="22">
        <f>((1+Tabela3[[#This Row],[% Yield]])^(1/(3*Tabela3[[#This Row],[Ref]])))^(12)-1</f>
        <v>0</v>
      </c>
      <c r="AV429" s="10">
        <f>IF(Tabela3[Cotação]&gt;0,($BD$1/Tabela3[[#This Row],[Cotação]]-MOD($BD$1/Tabela3[[#This Row],[Cotação]],100)),)</f>
        <v>0</v>
      </c>
      <c r="AW429" s="7">
        <f>Tabela3[[#This Row],[Ativos]]*Tabela3[Lucro]</f>
        <v>0</v>
      </c>
      <c r="AX429" s="7">
        <f>SUMPRODUCT(N(Tabela1[Código]=Tabela3[[#This Row],[PAPEL]]),Tabela1[Fechamento])</f>
        <v>0</v>
      </c>
      <c r="AY429" s="7">
        <f>SUMPRODUCT(N(Tabela17[Código]=Tabela3[[#This Row],[PAPEL]]),Tabela17[Fechamento])</f>
        <v>0</v>
      </c>
      <c r="AZ429" s="7">
        <f>SUMPRODUCT(N(Tabela176[Código]=Tabela3[[#This Row],[PAPEL]]),Tabela176[Fechamento])</f>
        <v>0</v>
      </c>
      <c r="BA429" s="7">
        <f>SUMPRODUCT(N(Tabela1768[Código]=Tabela3[[#This Row],[PAPEL]]),Tabela1768[Fechamento])</f>
        <v>0</v>
      </c>
      <c r="BB429" s="7">
        <f>SUMPRODUCT(N(Tabela17683[Código]=Tabela3[[#This Row],[PAPEL]]),Tabela17683[Fechamento])</f>
        <v>0.75</v>
      </c>
    </row>
    <row r="430" spans="1:54" hidden="1" x14ac:dyDescent="0.2">
      <c r="A430" s="3" t="s">
        <v>1282</v>
      </c>
      <c r="B430" s="58" t="s">
        <v>1283</v>
      </c>
      <c r="C430" s="16" t="str">
        <f>LEFT(Tabela3[PAPEL],LEN(Tabela3[PAPEL])-(LEN(Tabela3[PAPEL])-4))</f>
        <v>IMCH</v>
      </c>
      <c r="D430" s="16">
        <v>3</v>
      </c>
      <c r="E430" s="5">
        <v>639606303.27999997</v>
      </c>
      <c r="F430" s="56">
        <v>84482793</v>
      </c>
      <c r="G430" s="81">
        <v>0.25</v>
      </c>
      <c r="H430" s="87"/>
      <c r="J430" s="18"/>
      <c r="K430" s="16"/>
      <c r="L430" s="87"/>
      <c r="M430" s="54"/>
      <c r="N430" s="54"/>
      <c r="O430" s="54"/>
      <c r="P430" s="91">
        <v>894106000</v>
      </c>
      <c r="Q430" s="73">
        <v>-12039000</v>
      </c>
      <c r="R430" s="73">
        <f>IF(Tabela3[[#This Row],[Ativo || Passivo]]&gt;0,Tabela3[[#This Row],[Ativo || Passivo]]-Tabela3[[#This Row],[Patrimônio Líquido]],0)</f>
        <v>0</v>
      </c>
      <c r="S430" s="73">
        <f>Tabela3[[#This Row],[Cotação]]*Tabela3[[#This Row],[Total Ações]]</f>
        <v>1389741944.8499999</v>
      </c>
      <c r="T430" s="37">
        <f>IF(Tabela3[[#This Row],[Passivo Circulante]]&gt;0,Tabela3[[#This Row],[Ativo Circulante]]/Tabela3[[#This Row],[Passivo Circulante]],0)</f>
        <v>0</v>
      </c>
      <c r="U430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30" s="18">
        <f>IF(Tabela3[[#This Row],[Lucro Líquido]]&gt;0,Tabela3[[#This Row],[Lucro Líquido]]/Tabela3[[#This Row],[Patrimônio Líquido]],0)</f>
        <v>0</v>
      </c>
      <c r="W430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30" s="18">
        <f>IF(Tabela3[[#This Row],[Dívida]]&gt;0,Tabela3[[#This Row],[Dívida]]/Tabela3[[#This Row],[Patrimônio Líquido]],0)</f>
        <v>0</v>
      </c>
      <c r="Y430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30" s="7">
        <f>Tabela3[[#This Row],[Capital Social]]*20%</f>
        <v>127921260.656</v>
      </c>
      <c r="AA430" s="47">
        <f>IF((Tabela3[Lucro Líquido]*5%)&gt;Tabela3[Teto R. Legal],Tabela3[Teto R. Legal],Tabela3[Lucro Líquido]*5%)</f>
        <v>-601950</v>
      </c>
      <c r="AB430" s="47">
        <f>IF(Tabela3[Lucro Líquido]&lt;0,0,Tabela3[Lucro Líquido]-Tabela3[Reserva Legal])</f>
        <v>0</v>
      </c>
      <c r="AC430" s="47">
        <f>Tabela3[[#This Row],[Lucro Distribuir]]*Tabela3[%Div]</f>
        <v>0</v>
      </c>
      <c r="AD430" s="56">
        <f>SUMPRODUCT(N(Tabela3[Nome]=Tabela3[[#This Row],[Nome]]),Tabela3[Ações])</f>
        <v>84482793</v>
      </c>
      <c r="AE430" s="85">
        <f>Tabela3[Capital Social]/Tabela3[Total Ações]</f>
        <v>7.5708470395859191</v>
      </c>
      <c r="AF430" s="85">
        <f>Tabela3[[#This Row],[Lucro Líquido]]/Tabela3[[#This Row],[Total Ações]]</f>
        <v>-0.14250239098984335</v>
      </c>
      <c r="AG430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30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30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30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30" s="7">
        <f>Tabela3[Div Base]*Tabela3[Ações]</f>
        <v>0</v>
      </c>
      <c r="AL430" s="121">
        <f>SUMPRODUCT(N(Tabela3[Nome]=Tabela3[[#This Row],[Nome]]),Tabela3[Div Base]*Tabela3[Ações])</f>
        <v>0</v>
      </c>
      <c r="AM430" s="5">
        <f>Tabela3[Patrimônio Líquido]/Tabela3[Total Ações]</f>
        <v>10.583291203452518</v>
      </c>
      <c r="AN430" s="52">
        <f>MAX(Tabela3[[#This Row],[Cotação 1]:[Cotação 5]])</f>
        <v>16.45</v>
      </c>
      <c r="AO430" s="53">
        <f>Tabela3[Cotação]/Tabela3[VPA]</f>
        <v>1.554336896128647</v>
      </c>
      <c r="AP430" s="37">
        <f>IF(Tabela3[[#This Row],[Lucro/Ação]]&gt;0,Tabela3[[#This Row],[Cotação]]/(Tabela3[[#This Row],[Lucro/Ação]]/Tabela3[Ref]*4),0)</f>
        <v>0</v>
      </c>
      <c r="AQ430" s="85">
        <f>Tabela3[Lucro Distribuir]/Tabela3[Total Ações]</f>
        <v>0</v>
      </c>
      <c r="AR430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30" s="10" t="str">
        <f>IF(AND(Tabela3[% A.A.]&gt;=6%,SUMPRODUCT(N(Tabela3[Nome]=Tabela3[[#This Row],[Nome]]),Tabela3[PL])&gt;0,Tabela3[Rentabilidade s/ PL]&gt;=Tabela3[Rentabilidade s/ PL Média]),"Sim","Não")</f>
        <v>Não</v>
      </c>
      <c r="AT430" s="22">
        <f>IF(Tabela3[Cotação]&gt;0,Tabela3[[#This Row],[Lucro]]/Tabela3[[#This Row],[Cotação]],0)</f>
        <v>0</v>
      </c>
      <c r="AU430" s="22">
        <f>((1+Tabela3[[#This Row],[% Yield]])^(1/(3*Tabela3[[#This Row],[Ref]])))^(12)-1</f>
        <v>0</v>
      </c>
      <c r="AV430" s="10">
        <f>IF(Tabela3[Cotação]&gt;0,($BD$1/Tabela3[[#This Row],[Cotação]]-MOD($BD$1/Tabela3[[#This Row],[Cotação]],100)),)</f>
        <v>0</v>
      </c>
      <c r="AW430" s="7">
        <f>Tabela3[[#This Row],[Ativos]]*Tabela3[Lucro]</f>
        <v>0</v>
      </c>
      <c r="AX430" s="7">
        <f>SUMPRODUCT(N(Tabela1[Código]=Tabela3[[#This Row],[PAPEL]]),Tabela1[Fechamento])</f>
        <v>0</v>
      </c>
      <c r="AY430" s="7">
        <f>SUMPRODUCT(N(Tabela17[Código]=Tabela3[[#This Row],[PAPEL]]),Tabela17[Fechamento])</f>
        <v>0</v>
      </c>
      <c r="AZ430" s="7">
        <f>SUMPRODUCT(N(Tabela176[Código]=Tabela3[[#This Row],[PAPEL]]),Tabela176[Fechamento])</f>
        <v>0</v>
      </c>
      <c r="BA430" s="7">
        <f>SUMPRODUCT(N(Tabela1768[Código]=Tabela3[[#This Row],[PAPEL]]),Tabela1768[Fechamento])</f>
        <v>16.45</v>
      </c>
      <c r="BB430" s="7">
        <f>SUMPRODUCT(N(Tabela17683[Código]=Tabela3[[#This Row],[PAPEL]]),Tabela17683[Fechamento])</f>
        <v>0</v>
      </c>
    </row>
    <row r="431" spans="1:54" hidden="1" x14ac:dyDescent="0.2">
      <c r="A431" s="3" t="s">
        <v>1636</v>
      </c>
      <c r="B431" s="57" t="s">
        <v>1601</v>
      </c>
      <c r="C431" s="16" t="str">
        <f>LEFT(Tabela3[PAPEL],LEN(Tabela3[PAPEL])-(LEN(Tabela3[PAPEL])-4))</f>
        <v>INEP</v>
      </c>
      <c r="D431" s="16">
        <v>3</v>
      </c>
      <c r="E431" s="5">
        <v>398977131.06</v>
      </c>
      <c r="F431" s="56">
        <v>39892065</v>
      </c>
      <c r="G431" s="81">
        <v>0.25</v>
      </c>
      <c r="H431" s="87"/>
      <c r="J431" s="18"/>
      <c r="K431" s="16"/>
      <c r="L431" s="87"/>
      <c r="M431" s="54"/>
      <c r="N431" s="54"/>
      <c r="O431" s="54"/>
      <c r="P431" s="91">
        <v>401785000</v>
      </c>
      <c r="Q431" s="73">
        <v>-141541000</v>
      </c>
      <c r="R431" s="73">
        <f>IF(Tabela3[[#This Row],[Ativo || Passivo]]&gt;0,Tabela3[[#This Row],[Ativo || Passivo]]-Tabela3[[#This Row],[Patrimônio Líquido]],0)</f>
        <v>0</v>
      </c>
      <c r="S431" s="73">
        <f>Tabela3[[#This Row],[Cotação]]*Tabela3[[#This Row],[Total Ações]]</f>
        <v>96846530.559999987</v>
      </c>
      <c r="T431" s="37">
        <f>IF(Tabela3[[#This Row],[Passivo Circulante]]&gt;0,Tabela3[[#This Row],[Ativo Circulante]]/Tabela3[[#This Row],[Passivo Circulante]],0)</f>
        <v>0</v>
      </c>
      <c r="U431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31" s="18">
        <f>IF(Tabela3[[#This Row],[Lucro Líquido]]&gt;0,Tabela3[[#This Row],[Lucro Líquido]]/Tabela3[[#This Row],[Patrimônio Líquido]],0)</f>
        <v>0</v>
      </c>
      <c r="W431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31" s="18">
        <f>IF(Tabela3[[#This Row],[Dívida]]&gt;0,Tabela3[[#This Row],[Dívida]]/Tabela3[[#This Row],[Patrimônio Líquido]],0)</f>
        <v>0</v>
      </c>
      <c r="Y431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31" s="7">
        <f>Tabela3[[#This Row],[Capital Social]]*20%</f>
        <v>79795426.211999997</v>
      </c>
      <c r="AA431" s="47">
        <f>IF((Tabela3[Lucro Líquido]*5%)&gt;Tabela3[Teto R. Legal],Tabela3[Teto R. Legal],Tabela3[Lucro Líquido]*5%)</f>
        <v>-7077050</v>
      </c>
      <c r="AB431" s="47">
        <f>IF(Tabela3[Lucro Líquido]&lt;0,0,Tabela3[Lucro Líquido]-Tabela3[Reserva Legal])</f>
        <v>0</v>
      </c>
      <c r="AC431" s="47">
        <f>Tabela3[[#This Row],[Lucro Distribuir]]*Tabela3[%Div]</f>
        <v>0</v>
      </c>
      <c r="AD431" s="56">
        <f>SUMPRODUCT(N(Tabela3[Nome]=Tabela3[[#This Row],[Nome]]),Tabela3[Ações])</f>
        <v>103028224</v>
      </c>
      <c r="AE431" s="85">
        <f>Tabela3[Capital Social]/Tabela3[Total Ações]</f>
        <v>3.8725032381418125</v>
      </c>
      <c r="AF431" s="85">
        <f>Tabela3[[#This Row],[Lucro Líquido]]/Tabela3[[#This Row],[Total Ações]]</f>
        <v>-1.3738080159471642</v>
      </c>
      <c r="AG431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31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31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31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31" s="7">
        <f>Tabela3[Div Base]*Tabela3[Ações]</f>
        <v>0</v>
      </c>
      <c r="AL431" s="121">
        <f>SUMPRODUCT(N(Tabela3[Nome]=Tabela3[[#This Row],[Nome]]),Tabela3[Div Base]*Tabela3[Ações])</f>
        <v>0</v>
      </c>
      <c r="AM431" s="5">
        <f>Tabela3[Patrimônio Líquido]/Tabela3[Total Ações]</f>
        <v>3.8997566336773892</v>
      </c>
      <c r="AN431" s="52">
        <f>MAX(Tabela3[[#This Row],[Cotação 1]:[Cotação 5]])</f>
        <v>0.94</v>
      </c>
      <c r="AO431" s="53">
        <f>Tabela3[Cotação]/Tabela3[VPA]</f>
        <v>0.24104068235499085</v>
      </c>
      <c r="AP431" s="37">
        <f>IF(Tabela3[[#This Row],[Lucro/Ação]]&gt;0,Tabela3[[#This Row],[Cotação]]/(Tabela3[[#This Row],[Lucro/Ação]]/Tabela3[Ref]*4),0)</f>
        <v>0</v>
      </c>
      <c r="AQ431" s="85">
        <f>Tabela3[Lucro Distribuir]/Tabela3[Total Ações]</f>
        <v>0</v>
      </c>
      <c r="AR431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31" s="10" t="str">
        <f>IF(AND(Tabela3[% A.A.]&gt;=6%,SUMPRODUCT(N(Tabela3[Nome]=Tabela3[[#This Row],[Nome]]),Tabela3[PL])&gt;0,Tabela3[Rentabilidade s/ PL]&gt;=Tabela3[Rentabilidade s/ PL Média]),"Sim","Não")</f>
        <v>Não</v>
      </c>
      <c r="AT431" s="22">
        <f>IF(Tabela3[Cotação]&gt;0,Tabela3[[#This Row],[Lucro]]/Tabela3[[#This Row],[Cotação]],0)</f>
        <v>0</v>
      </c>
      <c r="AU431" s="22">
        <f>((1+Tabela3[[#This Row],[% Yield]])^(1/(3*Tabela3[[#This Row],[Ref]])))^(12)-1</f>
        <v>0</v>
      </c>
      <c r="AV431" s="10">
        <f>IF(Tabela3[Cotação]&gt;0,($BD$1/Tabela3[[#This Row],[Cotação]]-MOD($BD$1/Tabela3[[#This Row],[Cotação]],100)),)</f>
        <v>0</v>
      </c>
      <c r="AW431" s="7">
        <f>Tabela3[[#This Row],[Ativos]]*Tabela3[Lucro]</f>
        <v>0</v>
      </c>
      <c r="AX431" s="7">
        <f>SUMPRODUCT(N(Tabela1[Código]=Tabela3[[#This Row],[PAPEL]]),Tabela1[Fechamento])</f>
        <v>0</v>
      </c>
      <c r="AY431" s="7">
        <f>SUMPRODUCT(N(Tabela17[Código]=Tabela3[[#This Row],[PAPEL]]),Tabela17[Fechamento])</f>
        <v>0</v>
      </c>
      <c r="AZ431" s="7">
        <f>SUMPRODUCT(N(Tabela176[Código]=Tabela3[[#This Row],[PAPEL]]),Tabela176[Fechamento])</f>
        <v>0</v>
      </c>
      <c r="BA431" s="7">
        <f>SUMPRODUCT(N(Tabela1768[Código]=Tabela3[[#This Row],[PAPEL]]),Tabela1768[Fechamento])</f>
        <v>0</v>
      </c>
      <c r="BB431" s="7">
        <f>SUMPRODUCT(N(Tabela17683[Código]=Tabela3[[#This Row],[PAPEL]]),Tabela17683[Fechamento])</f>
        <v>0.94</v>
      </c>
    </row>
    <row r="432" spans="1:54" hidden="1" x14ac:dyDescent="0.2">
      <c r="A432" s="3" t="s">
        <v>1636</v>
      </c>
      <c r="B432" s="57" t="s">
        <v>1602</v>
      </c>
      <c r="C432" s="16" t="str">
        <f>LEFT(Tabela3[PAPEL],LEN(Tabela3[PAPEL])-(LEN(Tabela3[PAPEL])-4))</f>
        <v>INEP</v>
      </c>
      <c r="D432" s="16">
        <v>3</v>
      </c>
      <c r="E432" s="5">
        <v>398977131.06</v>
      </c>
      <c r="F432" s="56">
        <v>63136159</v>
      </c>
      <c r="G432" s="81">
        <v>0.25</v>
      </c>
      <c r="H432" s="87"/>
      <c r="J432" s="18">
        <v>0.1</v>
      </c>
      <c r="K432" s="16"/>
      <c r="L432" s="87"/>
      <c r="M432" s="54"/>
      <c r="N432" s="54"/>
      <c r="O432" s="54"/>
      <c r="P432" s="91">
        <v>401785000</v>
      </c>
      <c r="Q432" s="73">
        <v>-141541000</v>
      </c>
      <c r="R432" s="73">
        <f>IF(Tabela3[[#This Row],[Ativo || Passivo]]&gt;0,Tabela3[[#This Row],[Ativo || Passivo]]-Tabela3[[#This Row],[Patrimônio Líquido]],0)</f>
        <v>0</v>
      </c>
      <c r="S432" s="73">
        <f>Tabela3[[#This Row],[Cotação]]*Tabela3[[#This Row],[Total Ações]]</f>
        <v>86543708.159999996</v>
      </c>
      <c r="T432" s="37">
        <f>IF(Tabela3[[#This Row],[Passivo Circulante]]&gt;0,Tabela3[[#This Row],[Ativo Circulante]]/Tabela3[[#This Row],[Passivo Circulante]],0)</f>
        <v>0</v>
      </c>
      <c r="U432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32" s="18">
        <f>IF(Tabela3[[#This Row],[Lucro Líquido]]&gt;0,Tabela3[[#This Row],[Lucro Líquido]]/Tabela3[[#This Row],[Patrimônio Líquido]],0)</f>
        <v>0</v>
      </c>
      <c r="W432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32" s="18">
        <f>IF(Tabela3[[#This Row],[Dívida]]&gt;0,Tabela3[[#This Row],[Dívida]]/Tabela3[[#This Row],[Patrimônio Líquido]],0)</f>
        <v>0</v>
      </c>
      <c r="Y432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32" s="7">
        <f>Tabela3[[#This Row],[Capital Social]]*20%</f>
        <v>79795426.211999997</v>
      </c>
      <c r="AA432" s="47">
        <f>IF((Tabela3[Lucro Líquido]*5%)&gt;Tabela3[Teto R. Legal],Tabela3[Teto R. Legal],Tabela3[Lucro Líquido]*5%)</f>
        <v>-7077050</v>
      </c>
      <c r="AB432" s="47">
        <f>IF(Tabela3[Lucro Líquido]&lt;0,0,Tabela3[Lucro Líquido]-Tabela3[Reserva Legal])</f>
        <v>0</v>
      </c>
      <c r="AC432" s="47">
        <f>Tabela3[[#This Row],[Lucro Distribuir]]*Tabela3[%Div]</f>
        <v>0</v>
      </c>
      <c r="AD432" s="56">
        <f>SUMPRODUCT(N(Tabela3[Nome]=Tabela3[[#This Row],[Nome]]),Tabela3[Ações])</f>
        <v>103028224</v>
      </c>
      <c r="AE432" s="85">
        <f>Tabela3[Capital Social]/Tabela3[Total Ações]</f>
        <v>3.8725032381418125</v>
      </c>
      <c r="AF432" s="85">
        <f>Tabela3[[#This Row],[Lucro Líquido]]/Tabela3[[#This Row],[Total Ações]]</f>
        <v>-1.3738080159471642</v>
      </c>
      <c r="AG432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32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32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32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32" s="7">
        <f>Tabela3[Div Base]*Tabela3[Ações]</f>
        <v>0</v>
      </c>
      <c r="AL432" s="121">
        <f>SUMPRODUCT(N(Tabela3[Nome]=Tabela3[[#This Row],[Nome]]),Tabela3[Div Base]*Tabela3[Ações])</f>
        <v>0</v>
      </c>
      <c r="AM432" s="5">
        <f>Tabela3[Patrimônio Líquido]/Tabela3[Total Ações]</f>
        <v>3.8997566336773892</v>
      </c>
      <c r="AN432" s="52">
        <f>MAX(Tabela3[[#This Row],[Cotação 1]:[Cotação 5]])</f>
        <v>0.84</v>
      </c>
      <c r="AO432" s="53">
        <f>Tabela3[Cotação]/Tabela3[VPA]</f>
        <v>0.21539805657254502</v>
      </c>
      <c r="AP432" s="37">
        <f>IF(Tabela3[[#This Row],[Lucro/Ação]]&gt;0,Tabela3[[#This Row],[Cotação]]/(Tabela3[[#This Row],[Lucro/Ação]]/Tabela3[Ref]*4),0)</f>
        <v>0</v>
      </c>
      <c r="AQ432" s="85">
        <f>Tabela3[Lucro Distribuir]/Tabela3[Total Ações]</f>
        <v>0</v>
      </c>
      <c r="AR432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32" s="10" t="str">
        <f>IF(AND(Tabela3[% A.A.]&gt;=6%,SUMPRODUCT(N(Tabela3[Nome]=Tabela3[[#This Row],[Nome]]),Tabela3[PL])&gt;0,Tabela3[Rentabilidade s/ PL]&gt;=Tabela3[Rentabilidade s/ PL Média]),"Sim","Não")</f>
        <v>Não</v>
      </c>
      <c r="AT432" s="22">
        <f>IF(Tabela3[Cotação]&gt;0,Tabela3[[#This Row],[Lucro]]/Tabela3[[#This Row],[Cotação]],0)</f>
        <v>0</v>
      </c>
      <c r="AU432" s="22">
        <f>((1+Tabela3[[#This Row],[% Yield]])^(1/(3*Tabela3[[#This Row],[Ref]])))^(12)-1</f>
        <v>0</v>
      </c>
      <c r="AV432" s="10">
        <f>IF(Tabela3[Cotação]&gt;0,($BD$1/Tabela3[[#This Row],[Cotação]]-MOD($BD$1/Tabela3[[#This Row],[Cotação]],100)),)</f>
        <v>0</v>
      </c>
      <c r="AW432" s="7">
        <f>Tabela3[[#This Row],[Ativos]]*Tabela3[Lucro]</f>
        <v>0</v>
      </c>
      <c r="AX432" s="7">
        <f>SUMPRODUCT(N(Tabela1[Código]=Tabela3[[#This Row],[PAPEL]]),Tabela1[Fechamento])</f>
        <v>0</v>
      </c>
      <c r="AY432" s="7">
        <f>SUMPRODUCT(N(Tabela17[Código]=Tabela3[[#This Row],[PAPEL]]),Tabela17[Fechamento])</f>
        <v>0</v>
      </c>
      <c r="AZ432" s="7">
        <f>SUMPRODUCT(N(Tabela176[Código]=Tabela3[[#This Row],[PAPEL]]),Tabela176[Fechamento])</f>
        <v>0</v>
      </c>
      <c r="BA432" s="7">
        <f>SUMPRODUCT(N(Tabela1768[Código]=Tabela3[[#This Row],[PAPEL]]),Tabela1768[Fechamento])</f>
        <v>0</v>
      </c>
      <c r="BB432" s="7">
        <f>SUMPRODUCT(N(Tabela17683[Código]=Tabela3[[#This Row],[PAPEL]]),Tabela17683[Fechamento])</f>
        <v>0.84</v>
      </c>
    </row>
    <row r="433" spans="1:54" hidden="1" x14ac:dyDescent="0.2">
      <c r="A433" s="4" t="s">
        <v>287</v>
      </c>
      <c r="B433" s="57" t="s">
        <v>535</v>
      </c>
      <c r="C433" s="15" t="str">
        <f>LEFT(Tabela3[PAPEL],LEN(Tabela3[PAPEL])-(LEN(Tabela3[PAPEL])-4))</f>
        <v>INET</v>
      </c>
      <c r="D433" s="15">
        <v>3</v>
      </c>
      <c r="E433" s="6">
        <v>235691425.78</v>
      </c>
      <c r="F433" s="8">
        <v>313484914</v>
      </c>
      <c r="G433" s="86">
        <v>0.25</v>
      </c>
      <c r="H433" s="19"/>
      <c r="I433" s="19"/>
      <c r="J433" s="19"/>
      <c r="K433" s="88"/>
      <c r="L433" s="88"/>
      <c r="M433" s="55"/>
      <c r="N433" s="55"/>
      <c r="O433" s="55"/>
      <c r="P433" s="92">
        <v>-24474000</v>
      </c>
      <c r="Q433" s="93">
        <v>-1152000</v>
      </c>
      <c r="R433" s="93">
        <f>IF(Tabela3[[#This Row],[Ativo || Passivo]]&gt;0,Tabela3[[#This Row],[Ativo || Passivo]]-Tabela3[[#This Row],[Patrimônio Líquido]],0)</f>
        <v>0</v>
      </c>
      <c r="S433" s="93">
        <f>Tabela3[[#This Row],[Cotação]]*Tabela3[[#This Row],[Total Ações]]</f>
        <v>59562133.660000004</v>
      </c>
      <c r="T433" s="40">
        <f>IF(Tabela3[[#This Row],[Passivo Circulante]]&gt;0,Tabela3[[#This Row],[Ativo Circulante]]/Tabela3[[#This Row],[Passivo Circulante]],0)</f>
        <v>0</v>
      </c>
      <c r="U433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33" s="19">
        <f>IF(Tabela3[[#This Row],[Lucro Líquido]]&gt;0,Tabela3[[#This Row],[Lucro Líquido]]/Tabela3[[#This Row],[Patrimônio Líquido]],0)</f>
        <v>0</v>
      </c>
      <c r="W433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33" s="19">
        <f>IF(Tabela3[[#This Row],[Dívida]]&gt;0,Tabela3[[#This Row],[Dívida]]/Tabela3[[#This Row],[Patrimônio Líquido]],0)</f>
        <v>0</v>
      </c>
      <c r="Y433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33" s="13">
        <f>Tabela3[[#This Row],[Capital Social]]*20%</f>
        <v>47138285.156000003</v>
      </c>
      <c r="AA433" s="13">
        <f>IF((Tabela3[Lucro Líquido]*5%)&gt;Tabela3[Teto R. Legal],Tabela3[Teto R. Legal],Tabela3[Lucro Líquido]*5%)</f>
        <v>-57600</v>
      </c>
      <c r="AB433" s="13">
        <f>IF(Tabela3[Lucro Líquido]&lt;0,0,Tabela3[Lucro Líquido]-Tabela3[Reserva Legal])</f>
        <v>0</v>
      </c>
      <c r="AC433" s="13">
        <f>Tabela3[[#This Row],[Lucro Distribuir]]*Tabela3[%Div]</f>
        <v>0</v>
      </c>
      <c r="AD433" s="56">
        <f>SUMPRODUCT(N(Tabela3[Nome]=Tabela3[[#This Row],[Nome]]),Tabela3[Ações])</f>
        <v>313484914</v>
      </c>
      <c r="AE433" s="6">
        <f>Tabela3[Capital Social]/Tabela3[Total Ações]</f>
        <v>0.75184296039202703</v>
      </c>
      <c r="AF433" s="78">
        <f>Tabela3[[#This Row],[Lucro Líquido]]/Tabela3[[#This Row],[Total Ações]]</f>
        <v>-3.6748179850211228E-3</v>
      </c>
      <c r="AG433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33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33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33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33" s="13">
        <f>Tabela3[Div Base]*Tabela3[Ações]</f>
        <v>0</v>
      </c>
      <c r="AL433" s="13">
        <f>SUMPRODUCT(N(Tabela3[Nome]=Tabela3[[#This Row],[Nome]]),Tabela3[Div Base]*Tabela3[Ações])</f>
        <v>0</v>
      </c>
      <c r="AM433" s="6">
        <f>Tabela3[Patrimônio Líquido]/Tabela3[Total Ações]</f>
        <v>-7.8070742504693549E-2</v>
      </c>
      <c r="AN433" s="48">
        <f>MAX(Tabela3[[#This Row],[Cotação 1]:[Cotação 5]])</f>
        <v>0.19</v>
      </c>
      <c r="AO433" s="44">
        <f>Tabela3[Cotação]/Tabela3[VPA]</f>
        <v>-2.4336901879545638</v>
      </c>
      <c r="AP433" s="40">
        <f>IF(Tabela3[[#This Row],[Lucro/Ação]]&gt;0,Tabela3[[#This Row],[Cotação]]/(Tabela3[[#This Row],[Lucro/Ação]]/Tabela3[Ref]*4),0)</f>
        <v>0</v>
      </c>
      <c r="AQ433" s="78">
        <f>Tabela3[Lucro Distribuir]/Tabela3[Total Ações]</f>
        <v>0</v>
      </c>
      <c r="AR433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33" s="14" t="str">
        <f>IF(AND(Tabela3[% A.A.]&gt;=6%,SUMPRODUCT(N(Tabela3[Nome]=Tabela3[[#This Row],[Nome]]),Tabela3[PL])&gt;0,Tabela3[Rentabilidade s/ PL]&gt;=Tabela3[Rentabilidade s/ PL Média]),"Sim","Não")</f>
        <v>Não</v>
      </c>
      <c r="AT433" s="42">
        <f>IF(Tabela3[Cotação]&gt;0,Tabela3[[#This Row],[Lucro]]/Tabela3[[#This Row],[Cotação]],0)</f>
        <v>0</v>
      </c>
      <c r="AU433" s="42">
        <f>((1+Tabela3[[#This Row],[% Yield]])^(1/(3*Tabela3[[#This Row],[Ref]])))^(12)-1</f>
        <v>0</v>
      </c>
      <c r="AV433" s="14">
        <f>IF(Tabela3[Cotação]&gt;0,($BD$1/Tabela3[[#This Row],[Cotação]]-MOD($BD$1/Tabela3[[#This Row],[Cotação]],100)),)</f>
        <v>0</v>
      </c>
      <c r="AW433" s="17">
        <f>Tabela3[[#This Row],[Ativos]]*Tabela3[Lucro]</f>
        <v>0</v>
      </c>
      <c r="AX433" s="17">
        <f>SUMPRODUCT(N(Tabela1[Código]=Tabela3[[#This Row],[PAPEL]]),Tabela1[Fechamento])</f>
        <v>0</v>
      </c>
      <c r="AY433" s="17">
        <f>SUMPRODUCT(N(Tabela17[Código]=Tabela3[[#This Row],[PAPEL]]),Tabela17[Fechamento])</f>
        <v>0.19</v>
      </c>
      <c r="AZ433" s="7">
        <f>SUMPRODUCT(N(Tabela176[Código]=Tabela3[[#This Row],[PAPEL]]),Tabela176[Fechamento])</f>
        <v>0</v>
      </c>
      <c r="BA433" s="7">
        <f>SUMPRODUCT(N(Tabela1768[Código]=Tabela3[[#This Row],[PAPEL]]),Tabela1768[Fechamento])</f>
        <v>0</v>
      </c>
      <c r="BB433" s="7">
        <f>SUMPRODUCT(N(Tabela17683[Código]=Tabela3[[#This Row],[PAPEL]]),Tabela17683[Fechamento])</f>
        <v>0</v>
      </c>
    </row>
    <row r="434" spans="1:54" hidden="1" x14ac:dyDescent="0.2">
      <c r="A434" s="4" t="s">
        <v>594</v>
      </c>
      <c r="B434" s="57" t="s">
        <v>596</v>
      </c>
      <c r="C434" s="15" t="str">
        <f>LEFT(Tabela3[PAPEL],LEN(Tabela3[PAPEL])-(LEN(Tabela3[PAPEL])-4))</f>
        <v>ITEC</v>
      </c>
      <c r="D434" s="15">
        <v>4</v>
      </c>
      <c r="E434" s="6">
        <v>280000000</v>
      </c>
      <c r="F434" s="8">
        <v>11651126</v>
      </c>
      <c r="G434" s="86">
        <v>0.25</v>
      </c>
      <c r="H434" s="15"/>
      <c r="I434" s="19"/>
      <c r="J434" s="19"/>
      <c r="K434" s="88"/>
      <c r="L434" s="88"/>
      <c r="M434" s="55"/>
      <c r="N434" s="55"/>
      <c r="O434" s="55"/>
      <c r="P434" s="92">
        <v>155949000</v>
      </c>
      <c r="Q434" s="93">
        <v>-388071000</v>
      </c>
      <c r="R434" s="93">
        <f>IF(Tabela3[[#This Row],[Ativo || Passivo]]&gt;0,Tabela3[[#This Row],[Ativo || Passivo]]-Tabela3[[#This Row],[Patrimônio Líquido]],0)</f>
        <v>0</v>
      </c>
      <c r="S434" s="93">
        <f>Tabela3[[#This Row],[Cotação]]*Tabela3[[#This Row],[Total Ações]]</f>
        <v>221604416.51999998</v>
      </c>
      <c r="T434" s="40">
        <f>IF(Tabela3[[#This Row],[Passivo Circulante]]&gt;0,Tabela3[[#This Row],[Ativo Circulante]]/Tabela3[[#This Row],[Passivo Circulante]],0)</f>
        <v>0</v>
      </c>
      <c r="U434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34" s="19">
        <f>IF(Tabela3[[#This Row],[Lucro Líquido]]&gt;0,Tabela3[[#This Row],[Lucro Líquido]]/Tabela3[[#This Row],[Patrimônio Líquido]],0)</f>
        <v>0</v>
      </c>
      <c r="W434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34" s="19">
        <f>IF(Tabela3[[#This Row],[Dívida]]&gt;0,Tabela3[[#This Row],[Dívida]]/Tabela3[[#This Row],[Patrimônio Líquido]],0)</f>
        <v>0</v>
      </c>
      <c r="Y434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34" s="13">
        <f>Tabela3[[#This Row],[Capital Social]]*20%</f>
        <v>56000000</v>
      </c>
      <c r="AA434" s="13">
        <f>IF((Tabela3[Lucro Líquido]*5%)&gt;Tabela3[Teto R. Legal],Tabela3[Teto R. Legal],Tabela3[Lucro Líquido]*5%)</f>
        <v>-19403550</v>
      </c>
      <c r="AB434" s="13">
        <f>IF(Tabela3[Lucro Líquido]&lt;0,0,Tabela3[Lucro Líquido]-Tabela3[Reserva Legal])</f>
        <v>0</v>
      </c>
      <c r="AC434" s="13">
        <f>Tabela3[[#This Row],[Lucro Distribuir]]*Tabela3[%Div]</f>
        <v>0</v>
      </c>
      <c r="AD434" s="56">
        <f>SUMPRODUCT(N(Tabela3[Nome]=Tabela3[[#This Row],[Nome]]),Tabela3[Ações])</f>
        <v>11651126</v>
      </c>
      <c r="AE434" s="6">
        <f>Tabela3[Capital Social]/Tabela3[Total Ações]</f>
        <v>24.032012013259489</v>
      </c>
      <c r="AF434" s="78">
        <f>Tabela3[[#This Row],[Lucro Líquido]]/Tabela3[[#This Row],[Total Ações]]</f>
        <v>-33.307596192848656</v>
      </c>
      <c r="AG434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34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34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34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34" s="13">
        <f>Tabela3[Div Base]*Tabela3[Ações]</f>
        <v>0</v>
      </c>
      <c r="AL434" s="13">
        <f>SUMPRODUCT(N(Tabela3[Nome]=Tabela3[[#This Row],[Nome]]),Tabela3[Div Base]*Tabela3[Ações])</f>
        <v>0</v>
      </c>
      <c r="AM434" s="6">
        <f>Tabela3[Patrimônio Líquido]/Tabela3[Total Ações]</f>
        <v>13.384886576627872</v>
      </c>
      <c r="AN434" s="48">
        <f>MAX(Tabela3[[#This Row],[Cotação 1]:[Cotação 5]])</f>
        <v>19.02</v>
      </c>
      <c r="AO434" s="44">
        <f>Tabela3[Cotação]/Tabela3[VPA]</f>
        <v>1.4210056910913182</v>
      </c>
      <c r="AP434" s="40">
        <f>IF(Tabela3[[#This Row],[Lucro/Ação]]&gt;0,Tabela3[[#This Row],[Cotação]]/(Tabela3[[#This Row],[Lucro/Ação]]/Tabela3[Ref]*4),0)</f>
        <v>0</v>
      </c>
      <c r="AQ434" s="78">
        <f>Tabela3[Lucro Distribuir]/Tabela3[Total Ações]</f>
        <v>0</v>
      </c>
      <c r="AR434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34" s="14" t="str">
        <f>IF(AND(Tabela3[% A.A.]&gt;=6%,SUMPRODUCT(N(Tabela3[Nome]=Tabela3[[#This Row],[Nome]]),Tabela3[PL])&gt;0,Tabela3[Rentabilidade s/ PL]&gt;=Tabela3[Rentabilidade s/ PL Média]),"Sim","Não")</f>
        <v>Não</v>
      </c>
      <c r="AT434" s="42">
        <f>IF(Tabela3[Cotação]&gt;0,Tabela3[[#This Row],[Lucro]]/Tabela3[[#This Row],[Cotação]],0)</f>
        <v>0</v>
      </c>
      <c r="AU434" s="42">
        <f>((1+Tabela3[[#This Row],[% Yield]])^(1/(3*Tabela3[[#This Row],[Ref]])))^(12)-1</f>
        <v>0</v>
      </c>
      <c r="AV434" s="14">
        <f>IF(Tabela3[Cotação]&gt;0,($BD$1/Tabela3[[#This Row],[Cotação]]-MOD($BD$1/Tabela3[[#This Row],[Cotação]],100)),)</f>
        <v>0</v>
      </c>
      <c r="AW434" s="17">
        <f>Tabela3[[#This Row],[Ativos]]*Tabela3[Lucro]</f>
        <v>0</v>
      </c>
      <c r="AX434" s="17">
        <f>SUMPRODUCT(N(Tabela1[Código]=Tabela3[[#This Row],[PAPEL]]),Tabela1[Fechamento])</f>
        <v>0</v>
      </c>
      <c r="AY434" s="17">
        <f>SUMPRODUCT(N(Tabela17[Código]=Tabela3[[#This Row],[PAPEL]]),Tabela17[Fechamento])</f>
        <v>0</v>
      </c>
      <c r="AZ434" s="17">
        <f>SUMPRODUCT(N(Tabela176[Código]=Tabela3[[#This Row],[PAPEL]]),Tabela176[Fechamento])</f>
        <v>19.02</v>
      </c>
      <c r="BA434" s="17">
        <f>SUMPRODUCT(N(Tabela1768[Código]=Tabela3[[#This Row],[PAPEL]]),Tabela1768[Fechamento])</f>
        <v>0</v>
      </c>
      <c r="BB434" s="7">
        <f>SUMPRODUCT(N(Tabela17683[Código]=Tabela3[[#This Row],[PAPEL]]),Tabela17683[Fechamento])</f>
        <v>0</v>
      </c>
    </row>
    <row r="435" spans="1:54" hidden="1" x14ac:dyDescent="0.2">
      <c r="A435" s="4" t="s">
        <v>19</v>
      </c>
      <c r="B435" s="58" t="s">
        <v>696</v>
      </c>
      <c r="C435" s="83" t="str">
        <f>LEFT(Tabela3[PAPEL],LEN(Tabela3[PAPEL])-(LEN(Tabela3[PAPEL])-4))</f>
        <v>KLBN</v>
      </c>
      <c r="D435" s="16">
        <v>4</v>
      </c>
      <c r="E435" s="5"/>
      <c r="F435" s="56"/>
      <c r="G435" s="81"/>
      <c r="H435" s="16"/>
      <c r="J435" s="18"/>
      <c r="K435" s="87">
        <v>1</v>
      </c>
      <c r="L435" s="87">
        <v>4</v>
      </c>
      <c r="M435" s="54"/>
      <c r="N435" s="54"/>
      <c r="O435" s="54"/>
      <c r="P435" s="6"/>
      <c r="Q435" s="6"/>
      <c r="R435" s="6">
        <f>IF(Tabela3[[#This Row],[Ativo || Passivo]]&gt;0,Tabela3[[#This Row],[Ativo || Passivo]]-Tabela3[[#This Row],[Patrimônio Líquido]],0)</f>
        <v>0</v>
      </c>
      <c r="S435" s="6">
        <f>Tabela3[[#This Row],[Cotação]]*Tabela3[[#This Row],[Total Ações]]</f>
        <v>56814231894.420006</v>
      </c>
      <c r="T435" s="134">
        <f>IF(Tabela3[[#This Row],[Passivo Circulante]]&gt;0,Tabela3[[#This Row],[Ativo Circulante]]/Tabela3[[#This Row],[Passivo Circulante]],0)</f>
        <v>0</v>
      </c>
      <c r="U435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35" s="19">
        <f>IF(Tabela3[[#This Row],[Lucro Líquido]]&gt;0,Tabela3[[#This Row],[Lucro Líquido]]/Tabela3[[#This Row],[Patrimônio Líquido]],0)</f>
        <v>0</v>
      </c>
      <c r="W435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35" s="19">
        <f>IF(Tabela3[[#This Row],[Dívida]]&gt;0,Tabela3[[#This Row],[Dívida]]/Tabela3[[#This Row],[Patrimônio Líquido]],0)</f>
        <v>0</v>
      </c>
      <c r="Y435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35" s="5">
        <f>Tabela3[[#This Row],[Capital Social]]*20%</f>
        <v>0</v>
      </c>
      <c r="AA435" s="5">
        <f>IF((Tabela3[Lucro Líquido]*5%)&gt;Tabela3[Teto R. Legal],Tabela3[Teto R. Legal],Tabela3[Lucro Líquido]*5%)</f>
        <v>0</v>
      </c>
      <c r="AB435" s="5">
        <f>IF(Tabela3[Lucro Líquido]&lt;0,0,Tabela3[Lucro Líquido]-Tabela3[Reserva Legal])</f>
        <v>0</v>
      </c>
      <c r="AC435" s="5">
        <f>Tabela3[[#This Row],[Lucro Distribuir]]*Tabela3[%Div]</f>
        <v>0</v>
      </c>
      <c r="AD435" s="56">
        <f>SUMPRODUCT(N(Tabela3[Nome]=Tabela3[[#This Row],[Nome]]),Tabela3[Ações])</f>
        <v>945957907</v>
      </c>
      <c r="AE435" s="5">
        <f>Tabela3[Capital Social]/Tabela3[Total Ações]</f>
        <v>0</v>
      </c>
      <c r="AF435" s="77">
        <f>Tabela3[[#This Row],[Lucro Líquido]]/Tabela3[[#This Row],[Total Ações]]</f>
        <v>0</v>
      </c>
      <c r="AG435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35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35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35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35" s="5">
        <f>Tabela3[Div Base]*Tabela3[Ações]</f>
        <v>0</v>
      </c>
      <c r="AL435" s="5">
        <f>SUMPRODUCT(N(Tabela3[Nome]=Tabela3[[#This Row],[Nome]]),Tabela3[Div Base]*Tabela3[Ações])</f>
        <v>68898037.5</v>
      </c>
      <c r="AM435" s="5">
        <f>Tabela3[Patrimônio Líquido]/Tabela3[Total Ações]</f>
        <v>0</v>
      </c>
      <c r="AN435" s="52">
        <f>MAX(Tabela3[[#This Row],[Cotação 1]:[Cotação 5]])</f>
        <v>60.06</v>
      </c>
      <c r="AO435" s="53" t="e">
        <f>Tabela3[Cotação]/Tabela3[VPA]</f>
        <v>#DIV/0!</v>
      </c>
      <c r="AP435" s="37">
        <f>IF(Tabela3[[#This Row],[Lucro/Ação]]&gt;0,Tabela3[[#This Row],[Cotação]]/(Tabela3[[#This Row],[Lucro/Ação]]/Tabela3[Ref]*4),0)</f>
        <v>0</v>
      </c>
      <c r="AQ435" s="77">
        <f>Tabela3[Lucro Distribuir]/Tabela3[Total Ações]</f>
        <v>0</v>
      </c>
      <c r="AR435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0.36417073629894608</v>
      </c>
      <c r="AS435" s="16" t="str">
        <f>IF(AND(Tabela3[% A.A.]&gt;=6%,SUMPRODUCT(N(Tabela3[Nome]=Tabela3[[#This Row],[Nome]]),Tabela3[PL])&gt;0,Tabela3[Rentabilidade s/ PL]&gt;=Tabela3[Rentabilidade s/ PL Média]),"Sim","Não")</f>
        <v>Não</v>
      </c>
      <c r="AT435" s="22">
        <f>IF(Tabela3[Cotação]&gt;0,Tabela3[[#This Row],[Lucro]]/Tabela3[[#This Row],[Cotação]],0)</f>
        <v>6.0634488228262749E-3</v>
      </c>
      <c r="AU435" s="18">
        <f>((1+Tabela3[[#This Row],[% Yield]])^(1/(3*Tabela3[[#This Row],[Ref]])))^(12)-1</f>
        <v>6.0634488228279437E-3</v>
      </c>
      <c r="AV435" s="10">
        <f>IF(Tabela3[Cotação]&gt;0,($BD$1/Tabela3[[#This Row],[Cotação]]-MOD($BD$1/Tabela3[[#This Row],[Cotação]],100)),)</f>
        <v>0</v>
      </c>
      <c r="AW435" s="7">
        <f>Tabela3[[#This Row],[Ativos]]*Tabela3[Lucro]</f>
        <v>0</v>
      </c>
      <c r="AX435" s="47">
        <f>SUMPRODUCT(N(Tabela1[Código]=Tabela3[[#This Row],[PAPEL]]),Tabela1[Fechamento])</f>
        <v>0</v>
      </c>
      <c r="AY435" s="54">
        <f>SUMPRODUCT(N(Tabela17[Código]=Tabela3[[#This Row],[PAPEL]]),Tabela17[Fechamento])</f>
        <v>0</v>
      </c>
      <c r="AZ435" s="7">
        <f>SUMPRODUCT(N(Tabela176[Código]=Tabela3[[#This Row],[PAPEL]]),Tabela176[Fechamento])</f>
        <v>60.06</v>
      </c>
      <c r="BA435" s="7">
        <f>SUMPRODUCT(N(Tabela1768[Código]=Tabela3[[#This Row],[PAPEL]]),Tabela1768[Fechamento])</f>
        <v>0</v>
      </c>
      <c r="BB435" s="7">
        <f>SUMPRODUCT(N(Tabela17683[Código]=Tabela3[[#This Row],[PAPEL]]),Tabela17683[Fechamento])</f>
        <v>0</v>
      </c>
    </row>
    <row r="436" spans="1:54" hidden="1" x14ac:dyDescent="0.2">
      <c r="A436" s="4" t="s">
        <v>293</v>
      </c>
      <c r="B436" s="57" t="s">
        <v>546</v>
      </c>
      <c r="C436" s="16" t="str">
        <f>LEFT(Tabela3[PAPEL],LEN(Tabela3[PAPEL])-(LEN(Tabela3[PAPEL])-4))</f>
        <v>LFFE</v>
      </c>
      <c r="D436" s="16">
        <v>3</v>
      </c>
      <c r="E436" s="5">
        <v>226047458.49000001</v>
      </c>
      <c r="F436" s="56">
        <v>336676262</v>
      </c>
      <c r="G436" s="81">
        <v>0.25</v>
      </c>
      <c r="H436" s="18"/>
      <c r="J436" s="18"/>
      <c r="K436" s="87"/>
      <c r="L436" s="87"/>
      <c r="M436" s="54"/>
      <c r="N436" s="54"/>
      <c r="O436" s="54"/>
      <c r="P436" s="91">
        <v>708697000</v>
      </c>
      <c r="Q436" s="73">
        <v>-95683000</v>
      </c>
      <c r="R436" s="73">
        <f>IF(Tabela3[[#This Row],[Ativo || Passivo]]&gt;0,Tabela3[[#This Row],[Ativo || Passivo]]-Tabela3[[#This Row],[Patrimônio Líquido]],0)</f>
        <v>0</v>
      </c>
      <c r="S436" s="73">
        <f>Tabela3[[#This Row],[Cotação]]*Tabela3[[#This Row],[Total Ações]]</f>
        <v>924462459.89999998</v>
      </c>
      <c r="T436" s="37">
        <f>IF(Tabela3[[#This Row],[Passivo Circulante]]&gt;0,Tabela3[[#This Row],[Ativo Circulante]]/Tabela3[[#This Row],[Passivo Circulante]],0)</f>
        <v>0</v>
      </c>
      <c r="U436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36" s="18">
        <f>IF(Tabela3[[#This Row],[Lucro Líquido]]&gt;0,Tabela3[[#This Row],[Lucro Líquido]]/Tabela3[[#This Row],[Patrimônio Líquido]],0)</f>
        <v>0</v>
      </c>
      <c r="W436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36" s="18">
        <f>IF(Tabela3[[#This Row],[Dívida]]&gt;0,Tabela3[[#This Row],[Dívida]]/Tabela3[[#This Row],[Patrimônio Líquido]],0)</f>
        <v>0</v>
      </c>
      <c r="Y436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36" s="47">
        <f>Tabela3[[#This Row],[Capital Social]]*20%</f>
        <v>45209491.698000006</v>
      </c>
      <c r="AA436" s="47">
        <f>IF((Tabela3[Lucro Líquido]*5%)&gt;Tabela3[Teto R. Legal],Tabela3[Teto R. Legal],Tabela3[Lucro Líquido]*5%)</f>
        <v>-4784150</v>
      </c>
      <c r="AB436" s="47">
        <f>IF(Tabela3[Lucro Líquido]&lt;0,0,Tabela3[Lucro Líquido]-Tabela3[Reserva Legal])</f>
        <v>0</v>
      </c>
      <c r="AC436" s="47">
        <f>Tabela3[[#This Row],[Lucro Distribuir]]*Tabela3[%Div]</f>
        <v>0</v>
      </c>
      <c r="AD436" s="56">
        <f>SUMPRODUCT(N(Tabela3[Nome]=Tabela3[[#This Row],[Nome]]),Tabela3[Ações])</f>
        <v>543801447</v>
      </c>
      <c r="AE436" s="5">
        <f>Tabela3[Capital Social]/Tabela3[Total Ações]</f>
        <v>0.41568013424208489</v>
      </c>
      <c r="AF436" s="77">
        <f>Tabela3[[#This Row],[Lucro Líquido]]/Tabela3[[#This Row],[Total Ações]]</f>
        <v>-0.17595208789505115</v>
      </c>
      <c r="AG436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36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36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36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36" s="47">
        <f>Tabela3[Div Base]*Tabela3[Ações]</f>
        <v>0</v>
      </c>
      <c r="AL436" s="47">
        <f>SUMPRODUCT(N(Tabela3[Nome]=Tabela3[[#This Row],[Nome]]),Tabela3[Div Base]*Tabela3[Ações])</f>
        <v>0</v>
      </c>
      <c r="AM436" s="5">
        <f>Tabela3[Patrimônio Líquido]/Tabela3[Total Ações]</f>
        <v>1.3032274995031412</v>
      </c>
      <c r="AN436" s="52">
        <f>MAX(Tabela3[[#This Row],[Cotação 1]:[Cotação 5]])</f>
        <v>1.7</v>
      </c>
      <c r="AO436" s="53">
        <f>Tabela3[Cotação]/Tabela3[VPA]</f>
        <v>1.3044537508977745</v>
      </c>
      <c r="AP436" s="37">
        <f>IF(Tabela3[[#This Row],[Lucro/Ação]]&gt;0,Tabela3[[#This Row],[Cotação]]/(Tabela3[[#This Row],[Lucro/Ação]]/Tabela3[Ref]*4),0)</f>
        <v>0</v>
      </c>
      <c r="AQ436" s="77">
        <f>Tabela3[Lucro Distribuir]/Tabela3[Total Ações]</f>
        <v>0</v>
      </c>
      <c r="AR436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36" s="10" t="str">
        <f>IF(AND(Tabela3[% A.A.]&gt;=6%,SUMPRODUCT(N(Tabela3[Nome]=Tabela3[[#This Row],[Nome]]),Tabela3[PL])&gt;0,Tabela3[Rentabilidade s/ PL]&gt;=Tabela3[Rentabilidade s/ PL Média]),"Sim","Não")</f>
        <v>Não</v>
      </c>
      <c r="AT436" s="22">
        <f>IF(Tabela3[Cotação]&gt;0,Tabela3[[#This Row],[Lucro]]/Tabela3[[#This Row],[Cotação]],0)</f>
        <v>0</v>
      </c>
      <c r="AU436" s="22">
        <f>((1+Tabela3[[#This Row],[% Yield]])^(1/(3*Tabela3[[#This Row],[Ref]])))^(12)-1</f>
        <v>0</v>
      </c>
      <c r="AV436" s="10">
        <f>IF(Tabela3[Cotação]&gt;0,($BD$1/Tabela3[[#This Row],[Cotação]]-MOD($BD$1/Tabela3[[#This Row],[Cotação]],100)),)</f>
        <v>0</v>
      </c>
      <c r="AW436" s="7">
        <f>Tabela3[[#This Row],[Ativos]]*Tabela3[Lucro]</f>
        <v>0</v>
      </c>
      <c r="AX436" s="7">
        <f>SUMPRODUCT(N(Tabela1[Código]=Tabela3[[#This Row],[PAPEL]]),Tabela1[Fechamento])</f>
        <v>0</v>
      </c>
      <c r="AY436" s="7">
        <f>SUMPRODUCT(N(Tabela17[Código]=Tabela3[[#This Row],[PAPEL]]),Tabela17[Fechamento])</f>
        <v>1.7</v>
      </c>
      <c r="AZ436" s="7">
        <f>SUMPRODUCT(N(Tabela176[Código]=Tabela3[[#This Row],[PAPEL]]),Tabela176[Fechamento])</f>
        <v>0</v>
      </c>
      <c r="BA436" s="7">
        <f>SUMPRODUCT(N(Tabela1768[Código]=Tabela3[[#This Row],[PAPEL]]),Tabela1768[Fechamento])</f>
        <v>0</v>
      </c>
      <c r="BB436" s="7">
        <f>SUMPRODUCT(N(Tabela17683[Código]=Tabela3[[#This Row],[PAPEL]]),Tabela17683[Fechamento])</f>
        <v>0</v>
      </c>
    </row>
    <row r="437" spans="1:54" hidden="1" x14ac:dyDescent="0.2">
      <c r="A437" s="4" t="s">
        <v>293</v>
      </c>
      <c r="B437" s="57" t="s">
        <v>547</v>
      </c>
      <c r="C437" s="15" t="str">
        <f>LEFT(Tabela3[PAPEL],LEN(Tabela3[PAPEL])-(LEN(Tabela3[PAPEL])-4))</f>
        <v>LFFE</v>
      </c>
      <c r="D437" s="15">
        <v>3</v>
      </c>
      <c r="E437" s="5">
        <v>226047458.49000001</v>
      </c>
      <c r="F437" s="8">
        <v>207125185</v>
      </c>
      <c r="G437" s="86">
        <v>0.25</v>
      </c>
      <c r="H437" s="19"/>
      <c r="I437" s="19"/>
      <c r="J437" s="19">
        <v>0.1</v>
      </c>
      <c r="K437" s="88"/>
      <c r="L437" s="88"/>
      <c r="M437" s="55"/>
      <c r="N437" s="55"/>
      <c r="O437" s="55"/>
      <c r="P437" s="91">
        <v>708697000</v>
      </c>
      <c r="Q437" s="73">
        <v>-95683000</v>
      </c>
      <c r="R437" s="73">
        <f>IF(Tabela3[[#This Row],[Ativo || Passivo]]&gt;0,Tabela3[[#This Row],[Ativo || Passivo]]-Tabela3[[#This Row],[Patrimônio Líquido]],0)</f>
        <v>0</v>
      </c>
      <c r="S437" s="73">
        <f>Tabela3[[#This Row],[Cotação]]*Tabela3[[#This Row],[Total Ações]]</f>
        <v>2006627339.4300001</v>
      </c>
      <c r="T437" s="37">
        <f>IF(Tabela3[[#This Row],[Passivo Circulante]]&gt;0,Tabela3[[#This Row],[Ativo Circulante]]/Tabela3[[#This Row],[Passivo Circulante]],0)</f>
        <v>0</v>
      </c>
      <c r="U437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37" s="18">
        <f>IF(Tabela3[[#This Row],[Lucro Líquido]]&gt;0,Tabela3[[#This Row],[Lucro Líquido]]/Tabela3[[#This Row],[Patrimônio Líquido]],0)</f>
        <v>0</v>
      </c>
      <c r="W437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37" s="18">
        <f>IF(Tabela3[[#This Row],[Dívida]]&gt;0,Tabela3[[#This Row],[Dívida]]/Tabela3[[#This Row],[Patrimônio Líquido]],0)</f>
        <v>0</v>
      </c>
      <c r="Y437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37" s="13">
        <f>Tabela3[[#This Row],[Capital Social]]*20%</f>
        <v>45209491.698000006</v>
      </c>
      <c r="AA437" s="13">
        <f>IF((Tabela3[Lucro Líquido]*5%)&gt;Tabela3[Teto R. Legal],Tabela3[Teto R. Legal],Tabela3[Lucro Líquido]*5%)</f>
        <v>-4784150</v>
      </c>
      <c r="AB437" s="13">
        <f>IF(Tabela3[Lucro Líquido]&lt;0,0,Tabela3[Lucro Líquido]-Tabela3[Reserva Legal])</f>
        <v>0</v>
      </c>
      <c r="AC437" s="13">
        <f>Tabela3[[#This Row],[Lucro Distribuir]]*Tabela3[%Div]</f>
        <v>0</v>
      </c>
      <c r="AD437" s="56">
        <f>SUMPRODUCT(N(Tabela3[Nome]=Tabela3[[#This Row],[Nome]]),Tabela3[Ações])</f>
        <v>543801447</v>
      </c>
      <c r="AE437" s="6">
        <f>Tabela3[Capital Social]/Tabela3[Total Ações]</f>
        <v>0.41568013424208489</v>
      </c>
      <c r="AF437" s="78">
        <f>Tabela3[[#This Row],[Lucro Líquido]]/Tabela3[[#This Row],[Total Ações]]</f>
        <v>-0.17595208789505115</v>
      </c>
      <c r="AG437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37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37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37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37" s="13">
        <f>Tabela3[Div Base]*Tabela3[Ações]</f>
        <v>0</v>
      </c>
      <c r="AL437" s="13">
        <f>SUMPRODUCT(N(Tabela3[Nome]=Tabela3[[#This Row],[Nome]]),Tabela3[Div Base]*Tabela3[Ações])</f>
        <v>0</v>
      </c>
      <c r="AM437" s="6">
        <f>Tabela3[Patrimônio Líquido]/Tabela3[Total Ações]</f>
        <v>1.3032274995031412</v>
      </c>
      <c r="AN437" s="48">
        <f>MAX(Tabela3[[#This Row],[Cotação 1]:[Cotação 5]])</f>
        <v>3.69</v>
      </c>
      <c r="AO437" s="44">
        <f>Tabela3[Cotação]/Tabela3[VPA]</f>
        <v>2.8314319651839925</v>
      </c>
      <c r="AP437" s="40">
        <f>IF(Tabela3[[#This Row],[Lucro/Ação]]&gt;0,Tabela3[[#This Row],[Cotação]]/(Tabela3[[#This Row],[Lucro/Ação]]/Tabela3[Ref]*4),0)</f>
        <v>0</v>
      </c>
      <c r="AQ437" s="78">
        <f>Tabela3[Lucro Distribuir]/Tabela3[Total Ações]</f>
        <v>0</v>
      </c>
      <c r="AR437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37" s="14" t="str">
        <f>IF(AND(Tabela3[% A.A.]&gt;=6%,SUMPRODUCT(N(Tabela3[Nome]=Tabela3[[#This Row],[Nome]]),Tabela3[PL])&gt;0,Tabela3[Rentabilidade s/ PL]&gt;=Tabela3[Rentabilidade s/ PL Média]),"Sim","Não")</f>
        <v>Não</v>
      </c>
      <c r="AT437" s="42">
        <f>IF(Tabela3[Cotação]&gt;0,Tabela3[[#This Row],[Lucro]]/Tabela3[[#This Row],[Cotação]],0)</f>
        <v>0</v>
      </c>
      <c r="AU437" s="42">
        <f>((1+Tabela3[[#This Row],[% Yield]])^(1/(3*Tabela3[[#This Row],[Ref]])))^(12)-1</f>
        <v>0</v>
      </c>
      <c r="AV437" s="14">
        <f>IF(Tabela3[Cotação]&gt;0,($BD$1/Tabela3[[#This Row],[Cotação]]-MOD($BD$1/Tabela3[[#This Row],[Cotação]],100)),)</f>
        <v>0</v>
      </c>
      <c r="AW437" s="17">
        <f>Tabela3[[#This Row],[Ativos]]*Tabela3[Lucro]</f>
        <v>0</v>
      </c>
      <c r="AX437" s="17">
        <f>SUMPRODUCT(N(Tabela1[Código]=Tabela3[[#This Row],[PAPEL]]),Tabela1[Fechamento])</f>
        <v>0</v>
      </c>
      <c r="AY437" s="17">
        <f>SUMPRODUCT(N(Tabela17[Código]=Tabela3[[#This Row],[PAPEL]]),Tabela17[Fechamento])</f>
        <v>3.69</v>
      </c>
      <c r="AZ437" s="7">
        <f>SUMPRODUCT(N(Tabela176[Código]=Tabela3[[#This Row],[PAPEL]]),Tabela176[Fechamento])</f>
        <v>0</v>
      </c>
      <c r="BA437" s="7">
        <f>SUMPRODUCT(N(Tabela1768[Código]=Tabela3[[#This Row],[PAPEL]]),Tabela1768[Fechamento])</f>
        <v>0</v>
      </c>
      <c r="BB437" s="7">
        <f>SUMPRODUCT(N(Tabela17683[Código]=Tabela3[[#This Row],[PAPEL]]),Tabela17683[Fechamento])</f>
        <v>0</v>
      </c>
    </row>
    <row r="438" spans="1:54" hidden="1" x14ac:dyDescent="0.2">
      <c r="A438" s="3" t="s">
        <v>1410</v>
      </c>
      <c r="B438" s="57" t="s">
        <v>1387</v>
      </c>
      <c r="C438" s="16" t="str">
        <f>LEFT(Tabela3[PAPEL],LEN(Tabela3[PAPEL])-(LEN(Tabela3[PAPEL])-4))</f>
        <v>LIXC</v>
      </c>
      <c r="D438" s="16">
        <v>3</v>
      </c>
      <c r="E438" s="5">
        <v>35635045.030000001</v>
      </c>
      <c r="F438" s="56">
        <v>6104107</v>
      </c>
      <c r="G438" s="81">
        <v>0.25</v>
      </c>
      <c r="H438" s="87"/>
      <c r="J438" s="18"/>
      <c r="K438" s="16"/>
      <c r="L438" s="87"/>
      <c r="M438" s="54"/>
      <c r="N438" s="54"/>
      <c r="O438" s="54"/>
      <c r="P438" s="91">
        <v>40919000</v>
      </c>
      <c r="Q438" s="73">
        <v>-4664000</v>
      </c>
      <c r="R438" s="73">
        <f>IF(Tabela3[[#This Row],[Ativo || Passivo]]&gt;0,Tabela3[[#This Row],[Ativo || Passivo]]-Tabela3[[#This Row],[Patrimônio Líquido]],0)</f>
        <v>0</v>
      </c>
      <c r="S438" s="73">
        <f>Tabela3[[#This Row],[Cotação]]*Tabela3[[#This Row],[Total Ações]]</f>
        <v>34780880.299999997</v>
      </c>
      <c r="T438" s="37">
        <f>IF(Tabela3[[#This Row],[Passivo Circulante]]&gt;0,Tabela3[[#This Row],[Ativo Circulante]]/Tabela3[[#This Row],[Passivo Circulante]],0)</f>
        <v>0</v>
      </c>
      <c r="U438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38" s="18">
        <f>IF(Tabela3[[#This Row],[Lucro Líquido]]&gt;0,Tabela3[[#This Row],[Lucro Líquido]]/Tabela3[[#This Row],[Patrimônio Líquido]],0)</f>
        <v>0</v>
      </c>
      <c r="W438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38" s="18">
        <f>IF(Tabela3[[#This Row],[Dívida]]&gt;0,Tabela3[[#This Row],[Dívida]]/Tabela3[[#This Row],[Patrimônio Líquido]],0)</f>
        <v>0</v>
      </c>
      <c r="Y438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38" s="7">
        <f>Tabela3[[#This Row],[Capital Social]]*20%</f>
        <v>7127009.006000001</v>
      </c>
      <c r="AA438" s="47">
        <f>IF((Tabela3[Lucro Líquido]*5%)&gt;Tabela3[Teto R. Legal],Tabela3[Teto R. Legal],Tabela3[Lucro Líquido]*5%)</f>
        <v>-233200</v>
      </c>
      <c r="AB438" s="47">
        <f>IF(Tabela3[Lucro Líquido]&lt;0,0,Tabela3[Lucro Líquido]-Tabela3[Reserva Legal])</f>
        <v>0</v>
      </c>
      <c r="AC438" s="47">
        <f>Tabela3[[#This Row],[Lucro Distribuir]]*Tabela3[%Div]</f>
        <v>0</v>
      </c>
      <c r="AD438" s="56">
        <f>SUMPRODUCT(N(Tabela3[Nome]=Tabela3[[#This Row],[Nome]]),Tabela3[Ações])</f>
        <v>11993407</v>
      </c>
      <c r="AE438" s="85">
        <f>Tabela3[Capital Social]/Tabela3[Total Ações]</f>
        <v>2.9712195233597929</v>
      </c>
      <c r="AF438" s="85">
        <f>Tabela3[[#This Row],[Lucro Líquido]]/Tabela3[[#This Row],[Total Ações]]</f>
        <v>-0.38888032399800992</v>
      </c>
      <c r="AG438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38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38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38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38" s="7">
        <f>Tabela3[Div Base]*Tabela3[Ações]</f>
        <v>0</v>
      </c>
      <c r="AL438" s="121">
        <f>SUMPRODUCT(N(Tabela3[Nome]=Tabela3[[#This Row],[Nome]]),Tabela3[Div Base]*Tabela3[Ações])</f>
        <v>0</v>
      </c>
      <c r="AM438" s="5">
        <f>Tabela3[Patrimônio Líquido]/Tabela3[Total Ações]</f>
        <v>3.4117911615940324</v>
      </c>
      <c r="AN438" s="52">
        <f>MAX(Tabela3[[#This Row],[Cotação 1]:[Cotação 5]])</f>
        <v>2.9</v>
      </c>
      <c r="AO438" s="53">
        <f>Tabela3[Cotação]/Tabela3[VPA]</f>
        <v>0.84999340892983699</v>
      </c>
      <c r="AP438" s="37">
        <f>IF(Tabela3[[#This Row],[Lucro/Ação]]&gt;0,Tabela3[[#This Row],[Cotação]]/(Tabela3[[#This Row],[Lucro/Ação]]/Tabela3[Ref]*4),0)</f>
        <v>0</v>
      </c>
      <c r="AQ438" s="85">
        <f>Tabela3[Lucro Distribuir]/Tabela3[Total Ações]</f>
        <v>0</v>
      </c>
      <c r="AR438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38" s="10" t="str">
        <f>IF(AND(Tabela3[% A.A.]&gt;=6%,SUMPRODUCT(N(Tabela3[Nome]=Tabela3[[#This Row],[Nome]]),Tabela3[PL])&gt;0,Tabela3[Rentabilidade s/ PL]&gt;=Tabela3[Rentabilidade s/ PL Média]),"Sim","Não")</f>
        <v>Não</v>
      </c>
      <c r="AT438" s="22">
        <f>IF(Tabela3[Cotação]&gt;0,Tabela3[[#This Row],[Lucro]]/Tabela3[[#This Row],[Cotação]],0)</f>
        <v>0</v>
      </c>
      <c r="AU438" s="22">
        <f>((1+Tabela3[[#This Row],[% Yield]])^(1/(3*Tabela3[[#This Row],[Ref]])))^(12)-1</f>
        <v>0</v>
      </c>
      <c r="AV438" s="10">
        <f>IF(Tabela3[Cotação]&gt;0,($BD$1/Tabela3[[#This Row],[Cotação]]-MOD($BD$1/Tabela3[[#This Row],[Cotação]],100)),)</f>
        <v>0</v>
      </c>
      <c r="AW438" s="7">
        <f>Tabela3[[#This Row],[Ativos]]*Tabela3[Lucro]</f>
        <v>0</v>
      </c>
      <c r="AX438" s="7">
        <f>SUMPRODUCT(N(Tabela1[Código]=Tabela3[[#This Row],[PAPEL]]),Tabela1[Fechamento])</f>
        <v>0</v>
      </c>
      <c r="AY438" s="7">
        <f>SUMPRODUCT(N(Tabela17[Código]=Tabela3[[#This Row],[PAPEL]]),Tabela17[Fechamento])</f>
        <v>0</v>
      </c>
      <c r="AZ438" s="7">
        <f>SUMPRODUCT(N(Tabela176[Código]=Tabela3[[#This Row],[PAPEL]]),Tabela176[Fechamento])</f>
        <v>0</v>
      </c>
      <c r="BA438" s="7">
        <f>SUMPRODUCT(N(Tabela1768[Código]=Tabela3[[#This Row],[PAPEL]]),Tabela1768[Fechamento])</f>
        <v>0</v>
      </c>
      <c r="BB438" s="7">
        <f>SUMPRODUCT(N(Tabela17683[Código]=Tabela3[[#This Row],[PAPEL]]),Tabela17683[Fechamento])</f>
        <v>2.9</v>
      </c>
    </row>
    <row r="439" spans="1:54" hidden="1" x14ac:dyDescent="0.2">
      <c r="A439" s="3" t="s">
        <v>1410</v>
      </c>
      <c r="B439" s="57" t="s">
        <v>1388</v>
      </c>
      <c r="C439" s="16" t="str">
        <f>LEFT(Tabela3[PAPEL],LEN(Tabela3[PAPEL])-(LEN(Tabela3[PAPEL])-4))</f>
        <v>LIXC</v>
      </c>
      <c r="D439" s="16">
        <v>3</v>
      </c>
      <c r="E439" s="5">
        <v>35635045.030000001</v>
      </c>
      <c r="F439" s="56">
        <v>5889300</v>
      </c>
      <c r="G439" s="81">
        <v>0.25</v>
      </c>
      <c r="H439" s="87"/>
      <c r="I439" s="18">
        <v>0.06</v>
      </c>
      <c r="J439" s="18"/>
      <c r="K439" s="16"/>
      <c r="L439" s="87"/>
      <c r="M439" s="54"/>
      <c r="N439" s="54"/>
      <c r="O439" s="54"/>
      <c r="P439" s="91">
        <v>40919000</v>
      </c>
      <c r="Q439" s="73">
        <v>-4664000</v>
      </c>
      <c r="R439" s="73">
        <f>IF(Tabela3[[#This Row],[Ativo || Passivo]]&gt;0,Tabela3[[#This Row],[Ativo || Passivo]]-Tabela3[[#This Row],[Patrimônio Líquido]],0)</f>
        <v>0</v>
      </c>
      <c r="S439" s="73">
        <f>Tabela3[[#This Row],[Cotação]]*Tabela3[[#This Row],[Total Ações]]</f>
        <v>35980221</v>
      </c>
      <c r="T439" s="37">
        <f>IF(Tabela3[[#This Row],[Passivo Circulante]]&gt;0,Tabela3[[#This Row],[Ativo Circulante]]/Tabela3[[#This Row],[Passivo Circulante]],0)</f>
        <v>0</v>
      </c>
      <c r="U439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39" s="18">
        <f>IF(Tabela3[[#This Row],[Lucro Líquido]]&gt;0,Tabela3[[#This Row],[Lucro Líquido]]/Tabela3[[#This Row],[Patrimônio Líquido]],0)</f>
        <v>0</v>
      </c>
      <c r="W439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39" s="18">
        <f>IF(Tabela3[[#This Row],[Dívida]]&gt;0,Tabela3[[#This Row],[Dívida]]/Tabela3[[#This Row],[Patrimônio Líquido]],0)</f>
        <v>0</v>
      </c>
      <c r="Y439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39" s="7">
        <f>Tabela3[[#This Row],[Capital Social]]*20%</f>
        <v>7127009.006000001</v>
      </c>
      <c r="AA439" s="47">
        <f>IF((Tabela3[Lucro Líquido]*5%)&gt;Tabela3[Teto R. Legal],Tabela3[Teto R. Legal],Tabela3[Lucro Líquido]*5%)</f>
        <v>-233200</v>
      </c>
      <c r="AB439" s="47">
        <f>IF(Tabela3[Lucro Líquido]&lt;0,0,Tabela3[Lucro Líquido]-Tabela3[Reserva Legal])</f>
        <v>0</v>
      </c>
      <c r="AC439" s="47">
        <f>Tabela3[[#This Row],[Lucro Distribuir]]*Tabela3[%Div]</f>
        <v>0</v>
      </c>
      <c r="AD439" s="56">
        <f>SUMPRODUCT(N(Tabela3[Nome]=Tabela3[[#This Row],[Nome]]),Tabela3[Ações])</f>
        <v>11993407</v>
      </c>
      <c r="AE439" s="85">
        <f>Tabela3[Capital Social]/Tabela3[Total Ações]</f>
        <v>2.9712195233597929</v>
      </c>
      <c r="AF439" s="85">
        <f>Tabela3[[#This Row],[Lucro Líquido]]/Tabela3[[#This Row],[Total Ações]]</f>
        <v>-0.38888032399800992</v>
      </c>
      <c r="AG439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39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39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39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39" s="7">
        <f>Tabela3[Div Base]*Tabela3[Ações]</f>
        <v>0</v>
      </c>
      <c r="AL439" s="121">
        <f>SUMPRODUCT(N(Tabela3[Nome]=Tabela3[[#This Row],[Nome]]),Tabela3[Div Base]*Tabela3[Ações])</f>
        <v>0</v>
      </c>
      <c r="AM439" s="5">
        <f>Tabela3[Patrimônio Líquido]/Tabela3[Total Ações]</f>
        <v>3.4117911615940324</v>
      </c>
      <c r="AN439" s="52">
        <f>MAX(Tabela3[[#This Row],[Cotação 1]:[Cotação 5]])</f>
        <v>3</v>
      </c>
      <c r="AO439" s="53">
        <f>Tabela3[Cotação]/Tabela3[VPA]</f>
        <v>0.87930352647914178</v>
      </c>
      <c r="AP439" s="37">
        <f>IF(Tabela3[[#This Row],[Lucro/Ação]]&gt;0,Tabela3[[#This Row],[Cotação]]/(Tabela3[[#This Row],[Lucro/Ação]]/Tabela3[Ref]*4),0)</f>
        <v>0</v>
      </c>
      <c r="AQ439" s="85">
        <f>Tabela3[Lucro Distribuir]/Tabela3[Total Ações]</f>
        <v>0</v>
      </c>
      <c r="AR439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39" s="10" t="str">
        <f>IF(AND(Tabela3[% A.A.]&gt;=6%,SUMPRODUCT(N(Tabela3[Nome]=Tabela3[[#This Row],[Nome]]),Tabela3[PL])&gt;0,Tabela3[Rentabilidade s/ PL]&gt;=Tabela3[Rentabilidade s/ PL Média]),"Sim","Não")</f>
        <v>Não</v>
      </c>
      <c r="AT439" s="22">
        <f>IF(Tabela3[Cotação]&gt;0,Tabela3[[#This Row],[Lucro]]/Tabela3[[#This Row],[Cotação]],0)</f>
        <v>0</v>
      </c>
      <c r="AU439" s="22">
        <f>((1+Tabela3[[#This Row],[% Yield]])^(1/(3*Tabela3[[#This Row],[Ref]])))^(12)-1</f>
        <v>0</v>
      </c>
      <c r="AV439" s="10">
        <f>IF(Tabela3[Cotação]&gt;0,($BD$1/Tabela3[[#This Row],[Cotação]]-MOD($BD$1/Tabela3[[#This Row],[Cotação]],100)),)</f>
        <v>0</v>
      </c>
      <c r="AW439" s="7">
        <f>Tabela3[[#This Row],[Ativos]]*Tabela3[Lucro]</f>
        <v>0</v>
      </c>
      <c r="AX439" s="7">
        <f>SUMPRODUCT(N(Tabela1[Código]=Tabela3[[#This Row],[PAPEL]]),Tabela1[Fechamento])</f>
        <v>0</v>
      </c>
      <c r="AY439" s="7">
        <f>SUMPRODUCT(N(Tabela17[Código]=Tabela3[[#This Row],[PAPEL]]),Tabela17[Fechamento])</f>
        <v>0</v>
      </c>
      <c r="AZ439" s="7">
        <f>SUMPRODUCT(N(Tabela176[Código]=Tabela3[[#This Row],[PAPEL]]),Tabela176[Fechamento])</f>
        <v>0</v>
      </c>
      <c r="BA439" s="7">
        <f>SUMPRODUCT(N(Tabela1768[Código]=Tabela3[[#This Row],[PAPEL]]),Tabela1768[Fechamento])</f>
        <v>0</v>
      </c>
      <c r="BB439" s="7">
        <f>SUMPRODUCT(N(Tabela17683[Código]=Tabela3[[#This Row],[PAPEL]]),Tabela17683[Fechamento])</f>
        <v>3</v>
      </c>
    </row>
    <row r="440" spans="1:54" hidden="1" x14ac:dyDescent="0.2">
      <c r="A440" s="3" t="s">
        <v>1297</v>
      </c>
      <c r="B440" s="58" t="s">
        <v>1294</v>
      </c>
      <c r="C440" s="16" t="str">
        <f>LEFT(Tabela3[PAPEL],LEN(Tabela3[PAPEL])-(LEN(Tabela3[PAPEL])-4))</f>
        <v>LLIS</v>
      </c>
      <c r="D440" s="16">
        <v>3</v>
      </c>
      <c r="E440" s="5">
        <v>131150000</v>
      </c>
      <c r="F440" s="56">
        <v>171171254</v>
      </c>
      <c r="G440" s="81">
        <v>0.25</v>
      </c>
      <c r="H440" s="87"/>
      <c r="J440" s="18"/>
      <c r="K440" s="16"/>
      <c r="L440" s="87"/>
      <c r="M440" s="54"/>
      <c r="N440" s="54"/>
      <c r="O440" s="54"/>
      <c r="P440" s="91">
        <v>165992000</v>
      </c>
      <c r="Q440" s="73">
        <v>-14361000</v>
      </c>
      <c r="R440" s="73">
        <f>IF(Tabela3[[#This Row],[Ativo || Passivo]]&gt;0,Tabela3[[#This Row],[Ativo || Passivo]]-Tabela3[[#This Row],[Patrimônio Líquido]],0)</f>
        <v>0</v>
      </c>
      <c r="S440" s="73">
        <f>Tabela3[[#This Row],[Cotação]]*Tabela3[[#This Row],[Total Ações]]</f>
        <v>1008198686.0599999</v>
      </c>
      <c r="T440" s="37">
        <f>IF(Tabela3[[#This Row],[Passivo Circulante]]&gt;0,Tabela3[[#This Row],[Ativo Circulante]]/Tabela3[[#This Row],[Passivo Circulante]],0)</f>
        <v>0</v>
      </c>
      <c r="U440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40" s="18">
        <f>IF(Tabela3[[#This Row],[Lucro Líquido]]&gt;0,Tabela3[[#This Row],[Lucro Líquido]]/Tabela3[[#This Row],[Patrimônio Líquido]],0)</f>
        <v>0</v>
      </c>
      <c r="W440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40" s="18">
        <f>IF(Tabela3[[#This Row],[Dívida]]&gt;0,Tabela3[[#This Row],[Dívida]]/Tabela3[[#This Row],[Patrimônio Líquido]],0)</f>
        <v>0</v>
      </c>
      <c r="Y440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40" s="7">
        <f>Tabela3[[#This Row],[Capital Social]]*20%</f>
        <v>26230000</v>
      </c>
      <c r="AA440" s="47">
        <f>IF((Tabela3[Lucro Líquido]*5%)&gt;Tabela3[Teto R. Legal],Tabela3[Teto R. Legal],Tabela3[Lucro Líquido]*5%)</f>
        <v>-718050</v>
      </c>
      <c r="AB440" s="47">
        <f>IF(Tabela3[Lucro Líquido]&lt;0,0,Tabela3[Lucro Líquido]-Tabela3[Reserva Legal])</f>
        <v>0</v>
      </c>
      <c r="AC440" s="47">
        <f>Tabela3[[#This Row],[Lucro Distribuir]]*Tabela3[%Div]</f>
        <v>0</v>
      </c>
      <c r="AD440" s="56">
        <f>SUMPRODUCT(N(Tabela3[Nome]=Tabela3[[#This Row],[Nome]]),Tabela3[Ações])</f>
        <v>171171254</v>
      </c>
      <c r="AE440" s="85">
        <f>Tabela3[Capital Social]/Tabela3[Total Ações]</f>
        <v>0.76619173450701017</v>
      </c>
      <c r="AF440" s="85">
        <f>Tabela3[[#This Row],[Lucro Líquido]]/Tabela3[[#This Row],[Total Ações]]</f>
        <v>-8.3898433086200333E-2</v>
      </c>
      <c r="AG440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40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40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40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40" s="7">
        <f>Tabela3[Div Base]*Tabela3[Ações]</f>
        <v>0</v>
      </c>
      <c r="AL440" s="121">
        <f>SUMPRODUCT(N(Tabela3[Nome]=Tabela3[[#This Row],[Nome]]),Tabela3[Div Base]*Tabela3[Ações])</f>
        <v>0</v>
      </c>
      <c r="AM440" s="5">
        <f>Tabela3[Patrimônio Líquido]/Tabela3[Total Ações]</f>
        <v>0.9697422675889259</v>
      </c>
      <c r="AN440" s="52">
        <f>MAX(Tabela3[[#This Row],[Cotação 1]:[Cotação 5]])</f>
        <v>5.89</v>
      </c>
      <c r="AO440" s="53">
        <f>Tabela3[Cotação]/Tabela3[VPA]</f>
        <v>6.0737787728324255</v>
      </c>
      <c r="AP440" s="37">
        <f>IF(Tabela3[[#This Row],[Lucro/Ação]]&gt;0,Tabela3[[#This Row],[Cotação]]/(Tabela3[[#This Row],[Lucro/Ação]]/Tabela3[Ref]*4),0)</f>
        <v>0</v>
      </c>
      <c r="AQ440" s="85">
        <f>Tabela3[Lucro Distribuir]/Tabela3[Total Ações]</f>
        <v>0</v>
      </c>
      <c r="AR440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40" s="10" t="str">
        <f>IF(AND(Tabela3[% A.A.]&gt;=6%,SUMPRODUCT(N(Tabela3[Nome]=Tabela3[[#This Row],[Nome]]),Tabela3[PL])&gt;0,Tabela3[Rentabilidade s/ PL]&gt;=Tabela3[Rentabilidade s/ PL Média]),"Sim","Não")</f>
        <v>Não</v>
      </c>
      <c r="AT440" s="22">
        <f>IF(Tabela3[Cotação]&gt;0,Tabela3[[#This Row],[Lucro]]/Tabela3[[#This Row],[Cotação]],0)</f>
        <v>0</v>
      </c>
      <c r="AU440" s="22">
        <f>((1+Tabela3[[#This Row],[% Yield]])^(1/(3*Tabela3[[#This Row],[Ref]])))^(12)-1</f>
        <v>0</v>
      </c>
      <c r="AV440" s="10">
        <f>IF(Tabela3[Cotação]&gt;0,($BD$1/Tabela3[[#This Row],[Cotação]]-MOD($BD$1/Tabela3[[#This Row],[Cotação]],100)),)</f>
        <v>0</v>
      </c>
      <c r="AW440" s="7">
        <f>Tabela3[[#This Row],[Ativos]]*Tabela3[Lucro]</f>
        <v>0</v>
      </c>
      <c r="AX440" s="7">
        <f>SUMPRODUCT(N(Tabela1[Código]=Tabela3[[#This Row],[PAPEL]]),Tabela1[Fechamento])</f>
        <v>0</v>
      </c>
      <c r="AY440" s="7">
        <f>SUMPRODUCT(N(Tabela17[Código]=Tabela3[[#This Row],[PAPEL]]),Tabela17[Fechamento])</f>
        <v>0</v>
      </c>
      <c r="AZ440" s="7">
        <f>SUMPRODUCT(N(Tabela176[Código]=Tabela3[[#This Row],[PAPEL]]),Tabela176[Fechamento])</f>
        <v>0</v>
      </c>
      <c r="BA440" s="7">
        <f>SUMPRODUCT(N(Tabela1768[Código]=Tabela3[[#This Row],[PAPEL]]),Tabela1768[Fechamento])</f>
        <v>5.89</v>
      </c>
      <c r="BB440" s="7">
        <f>SUMPRODUCT(N(Tabela17683[Código]=Tabela3[[#This Row],[PAPEL]]),Tabela17683[Fechamento])</f>
        <v>0</v>
      </c>
    </row>
    <row r="441" spans="1:54" hidden="1" x14ac:dyDescent="0.2">
      <c r="A441" s="3" t="s">
        <v>1477</v>
      </c>
      <c r="B441" s="57" t="s">
        <v>1480</v>
      </c>
      <c r="C441" s="16" t="str">
        <f>LEFT(Tabela3[PAPEL],LEN(Tabela3[PAPEL])-(LEN(Tabela3[PAPEL])-4))</f>
        <v>LLXL</v>
      </c>
      <c r="D441" s="16">
        <v>3</v>
      </c>
      <c r="E441" s="5">
        <v>624239307.03999996</v>
      </c>
      <c r="F441" s="56">
        <v>1777474711</v>
      </c>
      <c r="G441" s="81">
        <v>0.25</v>
      </c>
      <c r="H441" s="87"/>
      <c r="J441" s="18"/>
      <c r="K441" s="16"/>
      <c r="L441" s="87"/>
      <c r="M441" s="54"/>
      <c r="N441" s="54"/>
      <c r="O441" s="54"/>
      <c r="P441" s="91">
        <v>773839000</v>
      </c>
      <c r="Q441" s="73">
        <v>-103906000</v>
      </c>
      <c r="R441" s="73">
        <f>IF(Tabela3[[#This Row],[Ativo || Passivo]]&gt;0,Tabela3[[#This Row],[Ativo || Passivo]]-Tabela3[[#This Row],[Patrimônio Líquido]],0)</f>
        <v>0</v>
      </c>
      <c r="S441" s="73">
        <f>Tabela3[[#This Row],[Cotação]]*Tabela3[[#This Row],[Total Ações]]</f>
        <v>1653051481.23</v>
      </c>
      <c r="T441" s="37">
        <f>IF(Tabela3[[#This Row],[Passivo Circulante]]&gt;0,Tabela3[[#This Row],[Ativo Circulante]]/Tabela3[[#This Row],[Passivo Circulante]],0)</f>
        <v>0</v>
      </c>
      <c r="U441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41" s="18">
        <f>IF(Tabela3[[#This Row],[Lucro Líquido]]&gt;0,Tabela3[[#This Row],[Lucro Líquido]]/Tabela3[[#This Row],[Patrimônio Líquido]],0)</f>
        <v>0</v>
      </c>
      <c r="W441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41" s="18">
        <f>IF(Tabela3[[#This Row],[Dívida]]&gt;0,Tabela3[[#This Row],[Dívida]]/Tabela3[[#This Row],[Patrimônio Líquido]],0)</f>
        <v>0</v>
      </c>
      <c r="Y441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41" s="7">
        <f>Tabela3[[#This Row],[Capital Social]]*20%</f>
        <v>124847861.40799999</v>
      </c>
      <c r="AA441" s="47">
        <f>IF((Tabela3[Lucro Líquido]*5%)&gt;Tabela3[Teto R. Legal],Tabela3[Teto R. Legal],Tabela3[Lucro Líquido]*5%)</f>
        <v>-5195300</v>
      </c>
      <c r="AB441" s="47">
        <f>IF(Tabela3[Lucro Líquido]&lt;0,0,Tabela3[Lucro Líquido]-Tabela3[Reserva Legal])</f>
        <v>0</v>
      </c>
      <c r="AC441" s="47">
        <f>Tabela3[[#This Row],[Lucro Distribuir]]*Tabela3[%Div]</f>
        <v>0</v>
      </c>
      <c r="AD441" s="56">
        <f>SUMPRODUCT(N(Tabela3[Nome]=Tabela3[[#This Row],[Nome]]),Tabela3[Ações])</f>
        <v>1777474711</v>
      </c>
      <c r="AE441" s="85">
        <f>Tabela3[Capital Social]/Tabela3[Total Ações]</f>
        <v>0.35119448011094656</v>
      </c>
      <c r="AF441" s="85">
        <f>Tabela3[[#This Row],[Lucro Líquido]]/Tabela3[[#This Row],[Total Ações]]</f>
        <v>-5.8457090476152489E-2</v>
      </c>
      <c r="AG441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41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41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41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41" s="7">
        <f>Tabela3[Div Base]*Tabela3[Ações]</f>
        <v>0</v>
      </c>
      <c r="AL441" s="121">
        <f>SUMPRODUCT(N(Tabela3[Nome]=Tabela3[[#This Row],[Nome]]),Tabela3[Div Base]*Tabela3[Ações])</f>
        <v>0</v>
      </c>
      <c r="AM441" s="5">
        <f>Tabela3[Patrimônio Líquido]/Tabela3[Total Ações]</f>
        <v>0.43535865529397116</v>
      </c>
      <c r="AN441" s="52">
        <f>MAX(Tabela3[[#This Row],[Cotação 1]:[Cotação 5]])</f>
        <v>0.93</v>
      </c>
      <c r="AO441" s="53">
        <f>Tabela3[Cotação]/Tabela3[VPA]</f>
        <v>2.1361697733378651</v>
      </c>
      <c r="AP441" s="37">
        <f>IF(Tabela3[[#This Row],[Lucro/Ação]]&gt;0,Tabela3[[#This Row],[Cotação]]/(Tabela3[[#This Row],[Lucro/Ação]]/Tabela3[Ref]*4),0)</f>
        <v>0</v>
      </c>
      <c r="AQ441" s="85">
        <f>Tabela3[Lucro Distribuir]/Tabela3[Total Ações]</f>
        <v>0</v>
      </c>
      <c r="AR441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41" s="10" t="str">
        <f>IF(AND(Tabela3[% A.A.]&gt;=6%,SUMPRODUCT(N(Tabela3[Nome]=Tabela3[[#This Row],[Nome]]),Tabela3[PL])&gt;0,Tabela3[Rentabilidade s/ PL]&gt;=Tabela3[Rentabilidade s/ PL Média]),"Sim","Não")</f>
        <v>Não</v>
      </c>
      <c r="AT441" s="22">
        <f>IF(Tabela3[Cotação]&gt;0,Tabela3[[#This Row],[Lucro]]/Tabela3[[#This Row],[Cotação]],0)</f>
        <v>0</v>
      </c>
      <c r="AU441" s="22">
        <f>((1+Tabela3[[#This Row],[% Yield]])^(1/(3*Tabela3[[#This Row],[Ref]])))^(12)-1</f>
        <v>0</v>
      </c>
      <c r="AV441" s="10">
        <f>IF(Tabela3[Cotação]&gt;0,($BD$1/Tabela3[[#This Row],[Cotação]]-MOD($BD$1/Tabela3[[#This Row],[Cotação]],100)),)</f>
        <v>0</v>
      </c>
      <c r="AW441" s="7">
        <f>Tabela3[[#This Row],[Ativos]]*Tabela3[Lucro]</f>
        <v>0</v>
      </c>
      <c r="AX441" s="7">
        <f>SUMPRODUCT(N(Tabela1[Código]=Tabela3[[#This Row],[PAPEL]]),Tabela1[Fechamento])</f>
        <v>0</v>
      </c>
      <c r="AY441" s="7">
        <f>SUMPRODUCT(N(Tabela17[Código]=Tabela3[[#This Row],[PAPEL]]),Tabela17[Fechamento])</f>
        <v>0</v>
      </c>
      <c r="AZ441" s="7">
        <f>SUMPRODUCT(N(Tabela176[Código]=Tabela3[[#This Row],[PAPEL]]),Tabela176[Fechamento])</f>
        <v>0</v>
      </c>
      <c r="BA441" s="7">
        <f>SUMPRODUCT(N(Tabela1768[Código]=Tabela3[[#This Row],[PAPEL]]),Tabela1768[Fechamento])</f>
        <v>0</v>
      </c>
      <c r="BB441" s="7">
        <f>SUMPRODUCT(N(Tabela17683[Código]=Tabela3[[#This Row],[PAPEL]]),Tabela17683[Fechamento])</f>
        <v>0.93</v>
      </c>
    </row>
    <row r="442" spans="1:54" hidden="1" x14ac:dyDescent="0.2">
      <c r="A442" s="3" t="s">
        <v>1410</v>
      </c>
      <c r="B442" s="57" t="s">
        <v>1391</v>
      </c>
      <c r="C442" s="16" t="str">
        <f>LEFT(Tabela3[PAPEL],LEN(Tabela3[PAPEL])-(LEN(Tabela3[PAPEL])-4))</f>
        <v>MEND</v>
      </c>
      <c r="D442" s="16">
        <v>3</v>
      </c>
      <c r="E442" s="5">
        <v>1521400000</v>
      </c>
      <c r="F442" s="56">
        <v>6976765</v>
      </c>
      <c r="G442" s="81">
        <v>0.25</v>
      </c>
      <c r="H442" s="87"/>
      <c r="J442" s="18"/>
      <c r="K442" s="16"/>
      <c r="L442" s="87"/>
      <c r="M442" s="54"/>
      <c r="N442" s="54"/>
      <c r="O442" s="54"/>
      <c r="P442" s="91">
        <v>3544023000</v>
      </c>
      <c r="Q442" s="73">
        <v>-229886000</v>
      </c>
      <c r="R442" s="73">
        <f>IF(Tabela3[[#This Row],[Ativo || Passivo]]&gt;0,Tabela3[[#This Row],[Ativo || Passivo]]-Tabela3[[#This Row],[Patrimônio Líquido]],0)</f>
        <v>0</v>
      </c>
      <c r="S442" s="73">
        <f>Tabela3[[#This Row],[Cotação]]*Tabela3[[#This Row],[Total Ações]]</f>
        <v>0</v>
      </c>
      <c r="T442" s="37">
        <f>IF(Tabela3[[#This Row],[Passivo Circulante]]&gt;0,Tabela3[[#This Row],[Ativo Circulante]]/Tabela3[[#This Row],[Passivo Circulante]],0)</f>
        <v>0</v>
      </c>
      <c r="U442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42" s="18">
        <f>IF(Tabela3[[#This Row],[Lucro Líquido]]&gt;0,Tabela3[[#This Row],[Lucro Líquido]]/Tabela3[[#This Row],[Patrimônio Líquido]],0)</f>
        <v>0</v>
      </c>
      <c r="W442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42" s="18">
        <f>IF(Tabela3[[#This Row],[Dívida]]&gt;0,Tabela3[[#This Row],[Dívida]]/Tabela3[[#This Row],[Patrimônio Líquido]],0)</f>
        <v>0</v>
      </c>
      <c r="Y442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42" s="7">
        <f>Tabela3[[#This Row],[Capital Social]]*20%</f>
        <v>304280000</v>
      </c>
      <c r="AA442" s="47">
        <f>IF((Tabela3[Lucro Líquido]*5%)&gt;Tabela3[Teto R. Legal],Tabela3[Teto R. Legal],Tabela3[Lucro Líquido]*5%)</f>
        <v>-11494300</v>
      </c>
      <c r="AB442" s="47">
        <f>IF(Tabela3[Lucro Líquido]&lt;0,0,Tabela3[Lucro Líquido]-Tabela3[Reserva Legal])</f>
        <v>0</v>
      </c>
      <c r="AC442" s="47">
        <f>Tabela3[[#This Row],[Lucro Distribuir]]*Tabela3[%Div]</f>
        <v>0</v>
      </c>
      <c r="AD442" s="56">
        <f>SUMPRODUCT(N(Tabela3[Nome]=Tabela3[[#This Row],[Nome]]),Tabela3[Ações])</f>
        <v>10309388</v>
      </c>
      <c r="AE442" s="85">
        <f>Tabela3[Capital Social]/Tabela3[Total Ações]</f>
        <v>147.57423040048545</v>
      </c>
      <c r="AF442" s="85">
        <f>Tabela3[[#This Row],[Lucro Líquido]]/Tabela3[[#This Row],[Total Ações]]</f>
        <v>-22.298704830975417</v>
      </c>
      <c r="AG442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42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42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42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42" s="7">
        <f>Tabela3[Div Base]*Tabela3[Ações]</f>
        <v>0</v>
      </c>
      <c r="AL442" s="121">
        <f>SUMPRODUCT(N(Tabela3[Nome]=Tabela3[[#This Row],[Nome]]),Tabela3[Div Base]*Tabela3[Ações])</f>
        <v>0</v>
      </c>
      <c r="AM442" s="5">
        <f>Tabela3[Patrimônio Líquido]/Tabela3[Total Ações]</f>
        <v>343.76657469871151</v>
      </c>
      <c r="AN442" s="52">
        <f>MAX(Tabela3[[#This Row],[Cotação 1]:[Cotação 5]])</f>
        <v>0</v>
      </c>
      <c r="AO442" s="53">
        <f>Tabela3[Cotação]/Tabela3[VPA]</f>
        <v>0</v>
      </c>
      <c r="AP442" s="37">
        <f>IF(Tabela3[[#This Row],[Lucro/Ação]]&gt;0,Tabela3[[#This Row],[Cotação]]/(Tabela3[[#This Row],[Lucro/Ação]]/Tabela3[Ref]*4),0)</f>
        <v>0</v>
      </c>
      <c r="AQ442" s="85">
        <f>Tabela3[Lucro Distribuir]/Tabela3[Total Ações]</f>
        <v>0</v>
      </c>
      <c r="AR442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42" s="10" t="str">
        <f>IF(AND(Tabela3[% A.A.]&gt;=6%,SUMPRODUCT(N(Tabela3[Nome]=Tabela3[[#This Row],[Nome]]),Tabela3[PL])&gt;0,Tabela3[Rentabilidade s/ PL]&gt;=Tabela3[Rentabilidade s/ PL Média]),"Sim","Não")</f>
        <v>Não</v>
      </c>
      <c r="AT442" s="22">
        <f>IF(Tabela3[Cotação]&gt;0,Tabela3[[#This Row],[Lucro]]/Tabela3[[#This Row],[Cotação]],0)</f>
        <v>0</v>
      </c>
      <c r="AU442" s="22">
        <f>((1+Tabela3[[#This Row],[% Yield]])^(1/(3*Tabela3[[#This Row],[Ref]])))^(12)-1</f>
        <v>0</v>
      </c>
      <c r="AV442" s="10">
        <f>IF(Tabela3[Cotação]&gt;0,($BD$1/Tabela3[[#This Row],[Cotação]]-MOD($BD$1/Tabela3[[#This Row],[Cotação]],100)),)</f>
        <v>0</v>
      </c>
      <c r="AW442" s="7">
        <f>Tabela3[[#This Row],[Ativos]]*Tabela3[Lucro]</f>
        <v>0</v>
      </c>
      <c r="AX442" s="7">
        <f>SUMPRODUCT(N(Tabela1[Código]=Tabela3[[#This Row],[PAPEL]]),Tabela1[Fechamento])</f>
        <v>0</v>
      </c>
      <c r="AY442" s="7">
        <f>SUMPRODUCT(N(Tabela17[Código]=Tabela3[[#This Row],[PAPEL]]),Tabela17[Fechamento])</f>
        <v>0</v>
      </c>
      <c r="AZ442" s="7">
        <f>SUMPRODUCT(N(Tabela176[Código]=Tabela3[[#This Row],[PAPEL]]),Tabela176[Fechamento])</f>
        <v>0</v>
      </c>
      <c r="BA442" s="7">
        <f>SUMPRODUCT(N(Tabela1768[Código]=Tabela3[[#This Row],[PAPEL]]),Tabela1768[Fechamento])</f>
        <v>0</v>
      </c>
      <c r="BB442" s="7">
        <f>SUMPRODUCT(N(Tabela17683[Código]=Tabela3[[#This Row],[PAPEL]]),Tabela17683[Fechamento])</f>
        <v>0</v>
      </c>
    </row>
    <row r="443" spans="1:54" hidden="1" x14ac:dyDescent="0.2">
      <c r="A443" s="3" t="s">
        <v>1410</v>
      </c>
      <c r="B443" s="57" t="s">
        <v>1392</v>
      </c>
      <c r="C443" s="16" t="str">
        <f>LEFT(Tabela3[PAPEL],LEN(Tabela3[PAPEL])-(LEN(Tabela3[PAPEL])-4))</f>
        <v>MEND</v>
      </c>
      <c r="D443" s="16">
        <v>3</v>
      </c>
      <c r="E443" s="5">
        <v>1521400000</v>
      </c>
      <c r="F443" s="56">
        <v>1534888</v>
      </c>
      <c r="G443" s="81">
        <v>0.25</v>
      </c>
      <c r="H443" s="87"/>
      <c r="I443" s="18">
        <v>0.06</v>
      </c>
      <c r="J443" s="18"/>
      <c r="K443" s="16"/>
      <c r="L443" s="87"/>
      <c r="M443" s="54"/>
      <c r="N443" s="54"/>
      <c r="O443" s="54"/>
      <c r="P443" s="91">
        <v>3544023000</v>
      </c>
      <c r="Q443" s="73">
        <v>-229886000</v>
      </c>
      <c r="R443" s="73">
        <f>IF(Tabela3[[#This Row],[Ativo || Passivo]]&gt;0,Tabela3[[#This Row],[Ativo || Passivo]]-Tabela3[[#This Row],[Patrimônio Líquido]],0)</f>
        <v>0</v>
      </c>
      <c r="S443" s="73">
        <f>Tabela3[[#This Row],[Cotação]]*Tabela3[[#This Row],[Total Ações]]</f>
        <v>115671333.36</v>
      </c>
      <c r="T443" s="37">
        <f>IF(Tabela3[[#This Row],[Passivo Circulante]]&gt;0,Tabela3[[#This Row],[Ativo Circulante]]/Tabela3[[#This Row],[Passivo Circulante]],0)</f>
        <v>0</v>
      </c>
      <c r="U443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43" s="18">
        <f>IF(Tabela3[[#This Row],[Lucro Líquido]]&gt;0,Tabela3[[#This Row],[Lucro Líquido]]/Tabela3[[#This Row],[Patrimônio Líquido]],0)</f>
        <v>0</v>
      </c>
      <c r="W443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43" s="18">
        <f>IF(Tabela3[[#This Row],[Dívida]]&gt;0,Tabela3[[#This Row],[Dívida]]/Tabela3[[#This Row],[Patrimônio Líquido]],0)</f>
        <v>0</v>
      </c>
      <c r="Y443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43" s="7">
        <f>Tabela3[[#This Row],[Capital Social]]*20%</f>
        <v>304280000</v>
      </c>
      <c r="AA443" s="47">
        <f>IF((Tabela3[Lucro Líquido]*5%)&gt;Tabela3[Teto R. Legal],Tabela3[Teto R. Legal],Tabela3[Lucro Líquido]*5%)</f>
        <v>-11494300</v>
      </c>
      <c r="AB443" s="47">
        <f>IF(Tabela3[Lucro Líquido]&lt;0,0,Tabela3[Lucro Líquido]-Tabela3[Reserva Legal])</f>
        <v>0</v>
      </c>
      <c r="AC443" s="47">
        <f>Tabela3[[#This Row],[Lucro Distribuir]]*Tabela3[%Div]</f>
        <v>0</v>
      </c>
      <c r="AD443" s="56">
        <f>SUMPRODUCT(N(Tabela3[Nome]=Tabela3[[#This Row],[Nome]]),Tabela3[Ações])</f>
        <v>10309388</v>
      </c>
      <c r="AE443" s="85">
        <f>Tabela3[Capital Social]/Tabela3[Total Ações]</f>
        <v>147.57423040048545</v>
      </c>
      <c r="AF443" s="85">
        <f>Tabela3[[#This Row],[Lucro Líquido]]/Tabela3[[#This Row],[Total Ações]]</f>
        <v>-22.298704830975417</v>
      </c>
      <c r="AG443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43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43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43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43" s="7">
        <f>Tabela3[Div Base]*Tabela3[Ações]</f>
        <v>0</v>
      </c>
      <c r="AL443" s="121">
        <f>SUMPRODUCT(N(Tabela3[Nome]=Tabela3[[#This Row],[Nome]]),Tabela3[Div Base]*Tabela3[Ações])</f>
        <v>0</v>
      </c>
      <c r="AM443" s="5">
        <f>Tabela3[Patrimônio Líquido]/Tabela3[Total Ações]</f>
        <v>343.76657469871151</v>
      </c>
      <c r="AN443" s="52">
        <f>MAX(Tabela3[[#This Row],[Cotação 1]:[Cotação 5]])</f>
        <v>11.22</v>
      </c>
      <c r="AO443" s="53">
        <f>Tabela3[Cotação]/Tabela3[VPA]</f>
        <v>3.2638426263034974E-2</v>
      </c>
      <c r="AP443" s="37">
        <f>IF(Tabela3[[#This Row],[Lucro/Ação]]&gt;0,Tabela3[[#This Row],[Cotação]]/(Tabela3[[#This Row],[Lucro/Ação]]/Tabela3[Ref]*4),0)</f>
        <v>0</v>
      </c>
      <c r="AQ443" s="85">
        <f>Tabela3[Lucro Distribuir]/Tabela3[Total Ações]</f>
        <v>0</v>
      </c>
      <c r="AR443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43" s="10" t="str">
        <f>IF(AND(Tabela3[% A.A.]&gt;=6%,SUMPRODUCT(N(Tabela3[Nome]=Tabela3[[#This Row],[Nome]]),Tabela3[PL])&gt;0,Tabela3[Rentabilidade s/ PL]&gt;=Tabela3[Rentabilidade s/ PL Média]),"Sim","Não")</f>
        <v>Não</v>
      </c>
      <c r="AT443" s="22">
        <f>IF(Tabela3[Cotação]&gt;0,Tabela3[[#This Row],[Lucro]]/Tabela3[[#This Row],[Cotação]],0)</f>
        <v>0</v>
      </c>
      <c r="AU443" s="22">
        <f>((1+Tabela3[[#This Row],[% Yield]])^(1/(3*Tabela3[[#This Row],[Ref]])))^(12)-1</f>
        <v>0</v>
      </c>
      <c r="AV443" s="10">
        <f>IF(Tabela3[Cotação]&gt;0,($BD$1/Tabela3[[#This Row],[Cotação]]-MOD($BD$1/Tabela3[[#This Row],[Cotação]],100)),)</f>
        <v>0</v>
      </c>
      <c r="AW443" s="7">
        <f>Tabela3[[#This Row],[Ativos]]*Tabela3[Lucro]</f>
        <v>0</v>
      </c>
      <c r="AX443" s="7">
        <f>SUMPRODUCT(N(Tabela1[Código]=Tabela3[[#This Row],[PAPEL]]),Tabela1[Fechamento])</f>
        <v>0</v>
      </c>
      <c r="AY443" s="7">
        <f>SUMPRODUCT(N(Tabela17[Código]=Tabela3[[#This Row],[PAPEL]]),Tabela17[Fechamento])</f>
        <v>0</v>
      </c>
      <c r="AZ443" s="7">
        <f>SUMPRODUCT(N(Tabela176[Código]=Tabela3[[#This Row],[PAPEL]]),Tabela176[Fechamento])</f>
        <v>0</v>
      </c>
      <c r="BA443" s="7">
        <f>SUMPRODUCT(N(Tabela1768[Código]=Tabela3[[#This Row],[PAPEL]]),Tabela1768[Fechamento])</f>
        <v>0</v>
      </c>
      <c r="BB443" s="7">
        <f>SUMPRODUCT(N(Tabela17683[Código]=Tabela3[[#This Row],[PAPEL]]),Tabela17683[Fechamento])</f>
        <v>11.22</v>
      </c>
    </row>
    <row r="444" spans="1:54" hidden="1" x14ac:dyDescent="0.2">
      <c r="A444" s="3" t="s">
        <v>1410</v>
      </c>
      <c r="B444" s="57" t="s">
        <v>1393</v>
      </c>
      <c r="C444" s="16" t="str">
        <f>LEFT(Tabela3[PAPEL],LEN(Tabela3[PAPEL])-(LEN(Tabela3[PAPEL])-4))</f>
        <v>MEND</v>
      </c>
      <c r="D444" s="16">
        <v>3</v>
      </c>
      <c r="E444" s="5">
        <v>1521400000</v>
      </c>
      <c r="F444" s="56">
        <v>1797735</v>
      </c>
      <c r="G444" s="81">
        <v>0.25</v>
      </c>
      <c r="H444" s="87"/>
      <c r="I444" s="18">
        <v>0.05</v>
      </c>
      <c r="J444" s="18"/>
      <c r="K444" s="16"/>
      <c r="L444" s="87"/>
      <c r="M444" s="54"/>
      <c r="N444" s="54"/>
      <c r="O444" s="54"/>
      <c r="P444" s="91">
        <v>3544023000</v>
      </c>
      <c r="Q444" s="73">
        <v>-229886000</v>
      </c>
      <c r="R444" s="73">
        <f>IF(Tabela3[[#This Row],[Ativo || Passivo]]&gt;0,Tabela3[[#This Row],[Ativo || Passivo]]-Tabela3[[#This Row],[Patrimônio Líquido]],0)</f>
        <v>0</v>
      </c>
      <c r="S444" s="73">
        <f>Tabela3[[#This Row],[Cotação]]*Tabela3[[#This Row],[Total Ações]]</f>
        <v>119588900.8</v>
      </c>
      <c r="T444" s="37">
        <f>IF(Tabela3[[#This Row],[Passivo Circulante]]&gt;0,Tabela3[[#This Row],[Ativo Circulante]]/Tabela3[[#This Row],[Passivo Circulante]],0)</f>
        <v>0</v>
      </c>
      <c r="U444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44" s="18">
        <f>IF(Tabela3[[#This Row],[Lucro Líquido]]&gt;0,Tabela3[[#This Row],[Lucro Líquido]]/Tabela3[[#This Row],[Patrimônio Líquido]],0)</f>
        <v>0</v>
      </c>
      <c r="W444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44" s="18">
        <f>IF(Tabela3[[#This Row],[Dívida]]&gt;0,Tabela3[[#This Row],[Dívida]]/Tabela3[[#This Row],[Patrimônio Líquido]],0)</f>
        <v>0</v>
      </c>
      <c r="Y444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44" s="7">
        <f>Tabela3[[#This Row],[Capital Social]]*20%</f>
        <v>304280000</v>
      </c>
      <c r="AA444" s="47">
        <f>IF((Tabela3[Lucro Líquido]*5%)&gt;Tabela3[Teto R. Legal],Tabela3[Teto R. Legal],Tabela3[Lucro Líquido]*5%)</f>
        <v>-11494300</v>
      </c>
      <c r="AB444" s="47">
        <f>IF(Tabela3[Lucro Líquido]&lt;0,0,Tabela3[Lucro Líquido]-Tabela3[Reserva Legal])</f>
        <v>0</v>
      </c>
      <c r="AC444" s="47">
        <f>Tabela3[[#This Row],[Lucro Distribuir]]*Tabela3[%Div]</f>
        <v>0</v>
      </c>
      <c r="AD444" s="56">
        <f>SUMPRODUCT(N(Tabela3[Nome]=Tabela3[[#This Row],[Nome]]),Tabela3[Ações])</f>
        <v>10309388</v>
      </c>
      <c r="AE444" s="85">
        <f>Tabela3[Capital Social]/Tabela3[Total Ações]</f>
        <v>147.57423040048545</v>
      </c>
      <c r="AF444" s="85">
        <f>Tabela3[[#This Row],[Lucro Líquido]]/Tabela3[[#This Row],[Total Ações]]</f>
        <v>-22.298704830975417</v>
      </c>
      <c r="AG444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44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44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44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44" s="7">
        <f>Tabela3[Div Base]*Tabela3[Ações]</f>
        <v>0</v>
      </c>
      <c r="AL444" s="121">
        <f>SUMPRODUCT(N(Tabela3[Nome]=Tabela3[[#This Row],[Nome]]),Tabela3[Div Base]*Tabela3[Ações])</f>
        <v>0</v>
      </c>
      <c r="AM444" s="5">
        <f>Tabela3[Patrimônio Líquido]/Tabela3[Total Ações]</f>
        <v>343.76657469871151</v>
      </c>
      <c r="AN444" s="52">
        <f>MAX(Tabela3[[#This Row],[Cotação 1]:[Cotação 5]])</f>
        <v>11.6</v>
      </c>
      <c r="AO444" s="53">
        <f>Tabela3[Cotação]/Tabela3[VPA]</f>
        <v>3.3743827509020115E-2</v>
      </c>
      <c r="AP444" s="37">
        <f>IF(Tabela3[[#This Row],[Lucro/Ação]]&gt;0,Tabela3[[#This Row],[Cotação]]/(Tabela3[[#This Row],[Lucro/Ação]]/Tabela3[Ref]*4),0)</f>
        <v>0</v>
      </c>
      <c r="AQ444" s="85">
        <f>Tabela3[Lucro Distribuir]/Tabela3[Total Ações]</f>
        <v>0</v>
      </c>
      <c r="AR444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44" s="10" t="str">
        <f>IF(AND(Tabela3[% A.A.]&gt;=6%,SUMPRODUCT(N(Tabela3[Nome]=Tabela3[[#This Row],[Nome]]),Tabela3[PL])&gt;0,Tabela3[Rentabilidade s/ PL]&gt;=Tabela3[Rentabilidade s/ PL Média]),"Sim","Não")</f>
        <v>Não</v>
      </c>
      <c r="AT444" s="22">
        <f>IF(Tabela3[Cotação]&gt;0,Tabela3[[#This Row],[Lucro]]/Tabela3[[#This Row],[Cotação]],0)</f>
        <v>0</v>
      </c>
      <c r="AU444" s="22">
        <f>((1+Tabela3[[#This Row],[% Yield]])^(1/(3*Tabela3[[#This Row],[Ref]])))^(12)-1</f>
        <v>0</v>
      </c>
      <c r="AV444" s="10">
        <f>IF(Tabela3[Cotação]&gt;0,($BD$1/Tabela3[[#This Row],[Cotação]]-MOD($BD$1/Tabela3[[#This Row],[Cotação]],100)),)</f>
        <v>0</v>
      </c>
      <c r="AW444" s="7">
        <f>Tabela3[[#This Row],[Ativos]]*Tabela3[Lucro]</f>
        <v>0</v>
      </c>
      <c r="AX444" s="7">
        <f>SUMPRODUCT(N(Tabela1[Código]=Tabela3[[#This Row],[PAPEL]]),Tabela1[Fechamento])</f>
        <v>0</v>
      </c>
      <c r="AY444" s="7">
        <f>SUMPRODUCT(N(Tabela17[Código]=Tabela3[[#This Row],[PAPEL]]),Tabela17[Fechamento])</f>
        <v>0</v>
      </c>
      <c r="AZ444" s="7">
        <f>SUMPRODUCT(N(Tabela176[Código]=Tabela3[[#This Row],[PAPEL]]),Tabela176[Fechamento])</f>
        <v>0</v>
      </c>
      <c r="BA444" s="7">
        <f>SUMPRODUCT(N(Tabela1768[Código]=Tabela3[[#This Row],[PAPEL]]),Tabela1768[Fechamento])</f>
        <v>0</v>
      </c>
      <c r="BB444" s="7">
        <f>SUMPRODUCT(N(Tabela17683[Código]=Tabela3[[#This Row],[PAPEL]]),Tabela17683[Fechamento])</f>
        <v>11.6</v>
      </c>
    </row>
    <row r="445" spans="1:54" hidden="1" x14ac:dyDescent="0.2">
      <c r="A445" s="4" t="s">
        <v>335</v>
      </c>
      <c r="B445" s="128" t="s">
        <v>630</v>
      </c>
      <c r="C445" s="15" t="str">
        <f>LEFT(Tabela3[PAPEL],LEN(Tabela3[PAPEL])-(LEN(Tabela3[PAPEL])-4))</f>
        <v>MGEL</v>
      </c>
      <c r="D445" s="15">
        <v>3</v>
      </c>
      <c r="E445" s="6">
        <v>171272996.66999999</v>
      </c>
      <c r="F445" s="8">
        <v>6201730</v>
      </c>
      <c r="G445" s="86">
        <v>0.25</v>
      </c>
      <c r="H445" s="9"/>
      <c r="I445" s="19"/>
      <c r="J445" s="19"/>
      <c r="K445" s="88"/>
      <c r="L445" s="88"/>
      <c r="M445" s="55"/>
      <c r="N445" s="55"/>
      <c r="O445" s="55"/>
      <c r="P445" s="92">
        <v>-64885000</v>
      </c>
      <c r="Q445" s="93">
        <v>-32917000</v>
      </c>
      <c r="R445" s="93">
        <f>IF(Tabela3[[#This Row],[Ativo || Passivo]]&gt;0,Tabela3[[#This Row],[Ativo || Passivo]]-Tabela3[[#This Row],[Patrimônio Líquido]],0)</f>
        <v>0</v>
      </c>
      <c r="S445" s="93">
        <f>Tabela3[[#This Row],[Cotação]]*Tabela3[[#This Row],[Total Ações]]</f>
        <v>433740950</v>
      </c>
      <c r="T445" s="40">
        <f>IF(Tabela3[[#This Row],[Passivo Circulante]]&gt;0,Tabela3[[#This Row],[Ativo Circulante]]/Tabela3[[#This Row],[Passivo Circulante]],0)</f>
        <v>0</v>
      </c>
      <c r="U445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45" s="19">
        <f>IF(Tabela3[[#This Row],[Lucro Líquido]]&gt;0,Tabela3[[#This Row],[Lucro Líquido]]/Tabela3[[#This Row],[Patrimônio Líquido]],0)</f>
        <v>0</v>
      </c>
      <c r="W445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45" s="19">
        <f>IF(Tabela3[[#This Row],[Dívida]]&gt;0,Tabela3[[#This Row],[Dívida]]/Tabela3[[#This Row],[Patrimônio Líquido]],0)</f>
        <v>0</v>
      </c>
      <c r="Y445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45" s="13">
        <f>Tabela3[[#This Row],[Capital Social]]*20%</f>
        <v>34254599.333999999</v>
      </c>
      <c r="AA445" s="13">
        <f>IF((Tabela3[Lucro Líquido]*5%)&gt;Tabela3[Teto R. Legal],Tabela3[Teto R. Legal],Tabela3[Lucro Líquido]*5%)</f>
        <v>-1645850</v>
      </c>
      <c r="AB445" s="13">
        <f>IF(Tabela3[Lucro Líquido]&lt;0,0,Tabela3[Lucro Líquido]-Tabela3[Reserva Legal])</f>
        <v>0</v>
      </c>
      <c r="AC445" s="13">
        <f>Tabela3[[#This Row],[Lucro Distribuir]]*Tabela3[%Div]</f>
        <v>0</v>
      </c>
      <c r="AD445" s="56">
        <f>SUMPRODUCT(N(Tabela3[Nome]=Tabela3[[#This Row],[Nome]]),Tabela3[Ações])</f>
        <v>17349638</v>
      </c>
      <c r="AE445" s="6">
        <f>Tabela3[Capital Social]/Tabela3[Total Ações]</f>
        <v>9.871848431073893</v>
      </c>
      <c r="AF445" s="78">
        <f>Tabela3[[#This Row],[Lucro Líquido]]/Tabela3[[#This Row],[Total Ações]]</f>
        <v>-1.8972730151487887</v>
      </c>
      <c r="AG445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45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45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45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45" s="13">
        <f>Tabela3[Div Base]*Tabela3[Ações]</f>
        <v>0</v>
      </c>
      <c r="AL445" s="13">
        <f>SUMPRODUCT(N(Tabela3[Nome]=Tabela3[[#This Row],[Nome]]),Tabela3[Div Base]*Tabela3[Ações])</f>
        <v>0</v>
      </c>
      <c r="AM445" s="6">
        <f>Tabela3[Patrimônio Líquido]/Tabela3[Total Ações]</f>
        <v>-3.7398474826967569</v>
      </c>
      <c r="AN445" s="48">
        <f>MAX(Tabela3[[#This Row],[Cotação 1]:[Cotação 5]])</f>
        <v>25</v>
      </c>
      <c r="AO445" s="44">
        <f>Tabela3[Cotação]/Tabela3[VPA]</f>
        <v>-6.684764583493874</v>
      </c>
      <c r="AP445" s="40">
        <f>IF(Tabela3[[#This Row],[Lucro/Ação]]&gt;0,Tabela3[[#This Row],[Cotação]]/(Tabela3[[#This Row],[Lucro/Ação]]/Tabela3[Ref]*4),0)</f>
        <v>0</v>
      </c>
      <c r="AQ445" s="78">
        <f>Tabela3[Lucro Distribuir]/Tabela3[Total Ações]</f>
        <v>0</v>
      </c>
      <c r="AR445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45" s="14" t="str">
        <f>IF(AND(Tabela3[% A.A.]&gt;=6%,SUMPRODUCT(N(Tabela3[Nome]=Tabela3[[#This Row],[Nome]]),Tabela3[PL])&gt;0,Tabela3[Rentabilidade s/ PL]&gt;=Tabela3[Rentabilidade s/ PL Média]),"Sim","Não")</f>
        <v>Não</v>
      </c>
      <c r="AT445" s="42">
        <f>IF(Tabela3[Cotação]&gt;0,Tabela3[[#This Row],[Lucro]]/Tabela3[[#This Row],[Cotação]],0)</f>
        <v>0</v>
      </c>
      <c r="AU445" s="42">
        <f>((1+Tabela3[[#This Row],[% Yield]])^(1/(3*Tabela3[[#This Row],[Ref]])))^(12)-1</f>
        <v>0</v>
      </c>
      <c r="AV445" s="14">
        <f>IF(Tabela3[Cotação]&gt;0,($BD$1/Tabela3[[#This Row],[Cotação]]-MOD($BD$1/Tabela3[[#This Row],[Cotação]],100)),)</f>
        <v>0</v>
      </c>
      <c r="AW445" s="17">
        <f>Tabela3[[#This Row],[Ativos]]*Tabela3[Lucro]</f>
        <v>0</v>
      </c>
      <c r="AX445" s="17">
        <f>SUMPRODUCT(N(Tabela1[Código]=Tabela3[[#This Row],[PAPEL]]),Tabela1[Fechamento])</f>
        <v>0</v>
      </c>
      <c r="AY445" s="17">
        <f>SUMPRODUCT(N(Tabela17[Código]=Tabela3[[#This Row],[PAPEL]]),Tabela17[Fechamento])</f>
        <v>0</v>
      </c>
      <c r="AZ445" s="17">
        <f>SUMPRODUCT(N(Tabela176[Código]=Tabela3[[#This Row],[PAPEL]]),Tabela176[Fechamento])</f>
        <v>25</v>
      </c>
      <c r="BA445" s="17">
        <f>SUMPRODUCT(N(Tabela1768[Código]=Tabela3[[#This Row],[PAPEL]]),Tabela1768[Fechamento])</f>
        <v>0</v>
      </c>
      <c r="BB445" s="7">
        <f>SUMPRODUCT(N(Tabela17683[Código]=Tabela3[[#This Row],[PAPEL]]),Tabela17683[Fechamento])</f>
        <v>0</v>
      </c>
    </row>
    <row r="446" spans="1:54" hidden="1" x14ac:dyDescent="0.2">
      <c r="A446" s="4" t="s">
        <v>335</v>
      </c>
      <c r="B446" s="128" t="s">
        <v>631</v>
      </c>
      <c r="C446" s="15" t="str">
        <f>LEFT(Tabela3[PAPEL],LEN(Tabela3[PAPEL])-(LEN(Tabela3[PAPEL])-4))</f>
        <v>MGEL</v>
      </c>
      <c r="D446" s="15">
        <v>3</v>
      </c>
      <c r="E446" s="6">
        <v>171272996.66999999</v>
      </c>
      <c r="F446" s="8">
        <v>11147908</v>
      </c>
      <c r="G446" s="86">
        <v>0.25</v>
      </c>
      <c r="H446" s="9"/>
      <c r="I446" s="19"/>
      <c r="J446" s="19">
        <v>0.1</v>
      </c>
      <c r="K446" s="88"/>
      <c r="L446" s="88"/>
      <c r="M446" s="55"/>
      <c r="N446" s="55"/>
      <c r="O446" s="55"/>
      <c r="P446" s="92">
        <v>-64885000</v>
      </c>
      <c r="Q446" s="93">
        <v>-32917000</v>
      </c>
      <c r="R446" s="93">
        <f>IF(Tabela3[[#This Row],[Ativo || Passivo]]&gt;0,Tabela3[[#This Row],[Ativo || Passivo]]-Tabela3[[#This Row],[Patrimônio Líquido]],0)</f>
        <v>0</v>
      </c>
      <c r="S446" s="93">
        <f>Tabela3[[#This Row],[Cotação]]*Tabela3[[#This Row],[Total Ações]]</f>
        <v>9021811.7599999998</v>
      </c>
      <c r="T446" s="40">
        <f>IF(Tabela3[[#This Row],[Passivo Circulante]]&gt;0,Tabela3[[#This Row],[Ativo Circulante]]/Tabela3[[#This Row],[Passivo Circulante]],0)</f>
        <v>0</v>
      </c>
      <c r="U446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46" s="19">
        <f>IF(Tabela3[[#This Row],[Lucro Líquido]]&gt;0,Tabela3[[#This Row],[Lucro Líquido]]/Tabela3[[#This Row],[Patrimônio Líquido]],0)</f>
        <v>0</v>
      </c>
      <c r="W446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46" s="19">
        <f>IF(Tabela3[[#This Row],[Dívida]]&gt;0,Tabela3[[#This Row],[Dívida]]/Tabela3[[#This Row],[Patrimônio Líquido]],0)</f>
        <v>0</v>
      </c>
      <c r="Y446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46" s="13">
        <f>Tabela3[[#This Row],[Capital Social]]*20%</f>
        <v>34254599.333999999</v>
      </c>
      <c r="AA446" s="13">
        <f>IF((Tabela3[Lucro Líquido]*5%)&gt;Tabela3[Teto R. Legal],Tabela3[Teto R. Legal],Tabela3[Lucro Líquido]*5%)</f>
        <v>-1645850</v>
      </c>
      <c r="AB446" s="13">
        <f>IF(Tabela3[Lucro Líquido]&lt;0,0,Tabela3[Lucro Líquido]-Tabela3[Reserva Legal])</f>
        <v>0</v>
      </c>
      <c r="AC446" s="13">
        <f>Tabela3[[#This Row],[Lucro Distribuir]]*Tabela3[%Div]</f>
        <v>0</v>
      </c>
      <c r="AD446" s="56">
        <f>SUMPRODUCT(N(Tabela3[Nome]=Tabela3[[#This Row],[Nome]]),Tabela3[Ações])</f>
        <v>17349638</v>
      </c>
      <c r="AE446" s="6">
        <f>Tabela3[Capital Social]/Tabela3[Total Ações]</f>
        <v>9.871848431073893</v>
      </c>
      <c r="AF446" s="78">
        <f>Tabela3[[#This Row],[Lucro Líquido]]/Tabela3[[#This Row],[Total Ações]]</f>
        <v>-1.8972730151487887</v>
      </c>
      <c r="AG446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46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46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46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46" s="13">
        <f>Tabela3[Div Base]*Tabela3[Ações]</f>
        <v>0</v>
      </c>
      <c r="AL446" s="13">
        <f>SUMPRODUCT(N(Tabela3[Nome]=Tabela3[[#This Row],[Nome]]),Tabela3[Div Base]*Tabela3[Ações])</f>
        <v>0</v>
      </c>
      <c r="AM446" s="6">
        <f>Tabela3[Patrimônio Líquido]/Tabela3[Total Ações]</f>
        <v>-3.7398474826967569</v>
      </c>
      <c r="AN446" s="48">
        <f>MAX(Tabela3[[#This Row],[Cotação 1]:[Cotação 5]])</f>
        <v>0.52</v>
      </c>
      <c r="AO446" s="44">
        <f>Tabela3[Cotação]/Tabela3[VPA]</f>
        <v>-0.13904310333667258</v>
      </c>
      <c r="AP446" s="40">
        <f>IF(Tabela3[[#This Row],[Lucro/Ação]]&gt;0,Tabela3[[#This Row],[Cotação]]/(Tabela3[[#This Row],[Lucro/Ação]]/Tabela3[Ref]*4),0)</f>
        <v>0</v>
      </c>
      <c r="AQ446" s="78">
        <f>Tabela3[Lucro Distribuir]/Tabela3[Total Ações]</f>
        <v>0</v>
      </c>
      <c r="AR446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46" s="14" t="str">
        <f>IF(AND(Tabela3[% A.A.]&gt;=6%,SUMPRODUCT(N(Tabela3[Nome]=Tabela3[[#This Row],[Nome]]),Tabela3[PL])&gt;0,Tabela3[Rentabilidade s/ PL]&gt;=Tabela3[Rentabilidade s/ PL Média]),"Sim","Não")</f>
        <v>Não</v>
      </c>
      <c r="AT446" s="42">
        <f>IF(Tabela3[Cotação]&gt;0,Tabela3[[#This Row],[Lucro]]/Tabela3[[#This Row],[Cotação]],0)</f>
        <v>0</v>
      </c>
      <c r="AU446" s="42">
        <f>((1+Tabela3[[#This Row],[% Yield]])^(1/(3*Tabela3[[#This Row],[Ref]])))^(12)-1</f>
        <v>0</v>
      </c>
      <c r="AV446" s="14">
        <f>IF(Tabela3[Cotação]&gt;0,($BD$1/Tabela3[[#This Row],[Cotação]]-MOD($BD$1/Tabela3[[#This Row],[Cotação]],100)),)</f>
        <v>0</v>
      </c>
      <c r="AW446" s="17">
        <f>Tabela3[[#This Row],[Ativos]]*Tabela3[Lucro]</f>
        <v>0</v>
      </c>
      <c r="AX446" s="17">
        <f>SUMPRODUCT(N(Tabela1[Código]=Tabela3[[#This Row],[PAPEL]]),Tabela1[Fechamento])</f>
        <v>0</v>
      </c>
      <c r="AY446" s="17">
        <f>SUMPRODUCT(N(Tabela17[Código]=Tabela3[[#This Row],[PAPEL]]),Tabela17[Fechamento])</f>
        <v>0</v>
      </c>
      <c r="AZ446" s="17">
        <f>SUMPRODUCT(N(Tabela176[Código]=Tabela3[[#This Row],[PAPEL]]),Tabela176[Fechamento])</f>
        <v>0.52</v>
      </c>
      <c r="BA446" s="17">
        <f>SUMPRODUCT(N(Tabela1768[Código]=Tabela3[[#This Row],[PAPEL]]),Tabela1768[Fechamento])</f>
        <v>0</v>
      </c>
      <c r="BB446" s="7">
        <f>SUMPRODUCT(N(Tabela17683[Código]=Tabela3[[#This Row],[PAPEL]]),Tabela17683[Fechamento])</f>
        <v>0</v>
      </c>
    </row>
    <row r="447" spans="1:54" hidden="1" x14ac:dyDescent="0.2">
      <c r="A447" s="4" t="s">
        <v>293</v>
      </c>
      <c r="B447" s="57" t="s">
        <v>540</v>
      </c>
      <c r="C447" s="15" t="str">
        <f>LEFT(Tabela3[PAPEL],LEN(Tabela3[PAPEL])-(LEN(Tabela3[PAPEL])-4))</f>
        <v>MLFT</v>
      </c>
      <c r="D447" s="15">
        <v>3</v>
      </c>
      <c r="E447" s="6">
        <v>784003710.15999997</v>
      </c>
      <c r="F447" s="8">
        <v>385822906</v>
      </c>
      <c r="G447" s="86">
        <v>0.25</v>
      </c>
      <c r="H447" s="19"/>
      <c r="I447" s="19"/>
      <c r="J447" s="19"/>
      <c r="K447" s="88"/>
      <c r="L447" s="88"/>
      <c r="M447" s="55"/>
      <c r="N447" s="55"/>
      <c r="O447" s="55"/>
      <c r="P447" s="92">
        <v>1718473000</v>
      </c>
      <c r="Q447" s="93">
        <v>-19305000</v>
      </c>
      <c r="R447" s="93">
        <f>IF(Tabela3[[#This Row],[Ativo || Passivo]]&gt;0,Tabela3[[#This Row],[Ativo || Passivo]]-Tabela3[[#This Row],[Patrimônio Líquido]],0)</f>
        <v>0</v>
      </c>
      <c r="S447" s="93">
        <f>Tabela3[[#This Row],[Cotação]]*Tabela3[[#This Row],[Total Ações]]</f>
        <v>1802565464.3700001</v>
      </c>
      <c r="T447" s="40">
        <f>IF(Tabela3[[#This Row],[Passivo Circulante]]&gt;0,Tabela3[[#This Row],[Ativo Circulante]]/Tabela3[[#This Row],[Passivo Circulante]],0)</f>
        <v>0</v>
      </c>
      <c r="U447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47" s="19">
        <f>IF(Tabela3[[#This Row],[Lucro Líquido]]&gt;0,Tabela3[[#This Row],[Lucro Líquido]]/Tabela3[[#This Row],[Patrimônio Líquido]],0)</f>
        <v>0</v>
      </c>
      <c r="W447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47" s="19">
        <f>IF(Tabela3[[#This Row],[Dívida]]&gt;0,Tabela3[[#This Row],[Dívida]]/Tabela3[[#This Row],[Patrimônio Líquido]],0)</f>
        <v>0</v>
      </c>
      <c r="Y447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47" s="13">
        <f>Tabela3[[#This Row],[Capital Social]]*20%</f>
        <v>156800742.03200001</v>
      </c>
      <c r="AA447" s="13">
        <f>IF((Tabela3[Lucro Líquido]*5%)&gt;Tabela3[Teto R. Legal],Tabela3[Teto R. Legal],Tabela3[Lucro Líquido]*5%)</f>
        <v>-965250</v>
      </c>
      <c r="AB447" s="13">
        <f>IF(Tabela3[Lucro Líquido]&lt;0,0,Tabela3[Lucro Líquido]-Tabela3[Reserva Legal])</f>
        <v>0</v>
      </c>
      <c r="AC447" s="13">
        <f>Tabela3[[#This Row],[Lucro Distribuir]]*Tabela3[%Div]</f>
        <v>0</v>
      </c>
      <c r="AD447" s="56">
        <f>SUMPRODUCT(N(Tabela3[Nome]=Tabela3[[#This Row],[Nome]]),Tabela3[Ações])</f>
        <v>963938751</v>
      </c>
      <c r="AE447" s="6">
        <f>Tabela3[Capital Social]/Tabela3[Total Ações]</f>
        <v>0.81333353322155211</v>
      </c>
      <c r="AF447" s="78">
        <f>Tabela3[[#This Row],[Lucro Líquido]]/Tabela3[[#This Row],[Total Ações]]</f>
        <v>-2.0027206064672464E-2</v>
      </c>
      <c r="AG447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47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47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47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47" s="13">
        <f>Tabela3[Div Base]*Tabela3[Ações]</f>
        <v>0</v>
      </c>
      <c r="AL447" s="13">
        <f>SUMPRODUCT(N(Tabela3[Nome]=Tabela3[[#This Row],[Nome]]),Tabela3[Div Base]*Tabela3[Ações])</f>
        <v>0</v>
      </c>
      <c r="AM447" s="6">
        <f>Tabela3[Patrimônio Líquido]/Tabela3[Total Ações]</f>
        <v>1.782761610338041</v>
      </c>
      <c r="AN447" s="48">
        <f>MAX(Tabela3[[#This Row],[Cotação 1]:[Cotação 5]])</f>
        <v>1.87</v>
      </c>
      <c r="AO447" s="44">
        <f>Tabela3[Cotação]/Tabela3[VPA]</f>
        <v>1.0489344111720116</v>
      </c>
      <c r="AP447" s="40">
        <f>IF(Tabela3[[#This Row],[Lucro/Ação]]&gt;0,Tabela3[[#This Row],[Cotação]]/(Tabela3[[#This Row],[Lucro/Ação]]/Tabela3[Ref]*4),0)</f>
        <v>0</v>
      </c>
      <c r="AQ447" s="78">
        <f>Tabela3[Lucro Distribuir]/Tabela3[Total Ações]</f>
        <v>0</v>
      </c>
      <c r="AR447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47" s="14" t="str">
        <f>IF(AND(Tabela3[% A.A.]&gt;=6%,SUMPRODUCT(N(Tabela3[Nome]=Tabela3[[#This Row],[Nome]]),Tabela3[PL])&gt;0,Tabela3[Rentabilidade s/ PL]&gt;=Tabela3[Rentabilidade s/ PL Média]),"Sim","Não")</f>
        <v>Não</v>
      </c>
      <c r="AT447" s="42">
        <f>IF(Tabela3[Cotação]&gt;0,Tabela3[[#This Row],[Lucro]]/Tabela3[[#This Row],[Cotação]],0)</f>
        <v>0</v>
      </c>
      <c r="AU447" s="42">
        <f>((1+Tabela3[[#This Row],[% Yield]])^(1/(3*Tabela3[[#This Row],[Ref]])))^(12)-1</f>
        <v>0</v>
      </c>
      <c r="AV447" s="14">
        <f>IF(Tabela3[Cotação]&gt;0,($BD$1/Tabela3[[#This Row],[Cotação]]-MOD($BD$1/Tabela3[[#This Row],[Cotação]],100)),)</f>
        <v>0</v>
      </c>
      <c r="AW447" s="17">
        <f>Tabela3[[#This Row],[Ativos]]*Tabela3[Lucro]</f>
        <v>0</v>
      </c>
      <c r="AX447" s="17">
        <f>SUMPRODUCT(N(Tabela1[Código]=Tabela3[[#This Row],[PAPEL]]),Tabela1[Fechamento])</f>
        <v>0</v>
      </c>
      <c r="AY447" s="17">
        <f>SUMPRODUCT(N(Tabela17[Código]=Tabela3[[#This Row],[PAPEL]]),Tabela17[Fechamento])</f>
        <v>1.87</v>
      </c>
      <c r="AZ447" s="7">
        <f>SUMPRODUCT(N(Tabela176[Código]=Tabela3[[#This Row],[PAPEL]]),Tabela176[Fechamento])</f>
        <v>0</v>
      </c>
      <c r="BA447" s="7">
        <f>SUMPRODUCT(N(Tabela1768[Código]=Tabela3[[#This Row],[PAPEL]]),Tabela1768[Fechamento])</f>
        <v>0</v>
      </c>
      <c r="BB447" s="7">
        <f>SUMPRODUCT(N(Tabela17683[Código]=Tabela3[[#This Row],[PAPEL]]),Tabela17683[Fechamento])</f>
        <v>0</v>
      </c>
    </row>
    <row r="448" spans="1:54" hidden="1" x14ac:dyDescent="0.2">
      <c r="A448" s="4" t="s">
        <v>293</v>
      </c>
      <c r="B448" s="57" t="s">
        <v>541</v>
      </c>
      <c r="C448" s="15" t="str">
        <f>LEFT(Tabela3[PAPEL],LEN(Tabela3[PAPEL])-(LEN(Tabela3[PAPEL])-4))</f>
        <v>MLFT</v>
      </c>
      <c r="D448" s="15">
        <v>3</v>
      </c>
      <c r="E448" s="6">
        <v>784003710.15999997</v>
      </c>
      <c r="F448" s="8">
        <v>578115845</v>
      </c>
      <c r="G448" s="86">
        <v>0.25</v>
      </c>
      <c r="H448" s="19"/>
      <c r="I448" s="19"/>
      <c r="J448" s="19"/>
      <c r="K448" s="88"/>
      <c r="L448" s="88"/>
      <c r="M448" s="55"/>
      <c r="N448" s="55"/>
      <c r="O448" s="55"/>
      <c r="P448" s="92">
        <v>1718473000</v>
      </c>
      <c r="Q448" s="93">
        <v>-19305000</v>
      </c>
      <c r="R448" s="93">
        <f>IF(Tabela3[[#This Row],[Ativo || Passivo]]&gt;0,Tabela3[[#This Row],[Ativo || Passivo]]-Tabela3[[#This Row],[Patrimônio Líquido]],0)</f>
        <v>0</v>
      </c>
      <c r="S448" s="93">
        <f>Tabela3[[#This Row],[Cotação]]*Tabela3[[#This Row],[Total Ações]]</f>
        <v>1513383839.0700002</v>
      </c>
      <c r="T448" s="40">
        <f>IF(Tabela3[[#This Row],[Passivo Circulante]]&gt;0,Tabela3[[#This Row],[Ativo Circulante]]/Tabela3[[#This Row],[Passivo Circulante]],0)</f>
        <v>0</v>
      </c>
      <c r="U448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48" s="19">
        <f>IF(Tabela3[[#This Row],[Lucro Líquido]]&gt;0,Tabela3[[#This Row],[Lucro Líquido]]/Tabela3[[#This Row],[Patrimônio Líquido]],0)</f>
        <v>0</v>
      </c>
      <c r="W448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48" s="19">
        <f>IF(Tabela3[[#This Row],[Dívida]]&gt;0,Tabela3[[#This Row],[Dívida]]/Tabela3[[#This Row],[Patrimônio Líquido]],0)</f>
        <v>0</v>
      </c>
      <c r="Y448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48" s="13">
        <f>Tabela3[[#This Row],[Capital Social]]*20%</f>
        <v>156800742.03200001</v>
      </c>
      <c r="AA448" s="13">
        <f>IF((Tabela3[Lucro Líquido]*5%)&gt;Tabela3[Teto R. Legal],Tabela3[Teto R. Legal],Tabela3[Lucro Líquido]*5%)</f>
        <v>-965250</v>
      </c>
      <c r="AB448" s="13">
        <f>IF(Tabela3[Lucro Líquido]&lt;0,0,Tabela3[Lucro Líquido]-Tabela3[Reserva Legal])</f>
        <v>0</v>
      </c>
      <c r="AC448" s="13">
        <f>Tabela3[[#This Row],[Lucro Distribuir]]*Tabela3[%Div]</f>
        <v>0</v>
      </c>
      <c r="AD448" s="56">
        <f>SUMPRODUCT(N(Tabela3[Nome]=Tabela3[[#This Row],[Nome]]),Tabela3[Ações])</f>
        <v>963938751</v>
      </c>
      <c r="AE448" s="6">
        <f>Tabela3[Capital Social]/Tabela3[Total Ações]</f>
        <v>0.81333353322155211</v>
      </c>
      <c r="AF448" s="78">
        <f>Tabela3[[#This Row],[Lucro Líquido]]/Tabela3[[#This Row],[Total Ações]]</f>
        <v>-2.0027206064672464E-2</v>
      </c>
      <c r="AG448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48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48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48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48" s="13">
        <f>Tabela3[Div Base]*Tabela3[Ações]</f>
        <v>0</v>
      </c>
      <c r="AL448" s="13">
        <f>SUMPRODUCT(N(Tabela3[Nome]=Tabela3[[#This Row],[Nome]]),Tabela3[Div Base]*Tabela3[Ações])</f>
        <v>0</v>
      </c>
      <c r="AM448" s="6">
        <f>Tabela3[Patrimônio Líquido]/Tabela3[Total Ações]</f>
        <v>1.782761610338041</v>
      </c>
      <c r="AN448" s="48">
        <f>MAX(Tabela3[[#This Row],[Cotação 1]:[Cotação 5]])</f>
        <v>1.57</v>
      </c>
      <c r="AO448" s="44">
        <f>Tabela3[Cotação]/Tabela3[VPA]</f>
        <v>0.88065616339040542</v>
      </c>
      <c r="AP448" s="40">
        <f>IF(Tabela3[[#This Row],[Lucro/Ação]]&gt;0,Tabela3[[#This Row],[Cotação]]/(Tabela3[[#This Row],[Lucro/Ação]]/Tabela3[Ref]*4),0)</f>
        <v>0</v>
      </c>
      <c r="AQ448" s="78">
        <f>Tabela3[Lucro Distribuir]/Tabela3[Total Ações]</f>
        <v>0</v>
      </c>
      <c r="AR448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48" s="14" t="str">
        <f>IF(AND(Tabela3[% A.A.]&gt;=6%,SUMPRODUCT(N(Tabela3[Nome]=Tabela3[[#This Row],[Nome]]),Tabela3[PL])&gt;0,Tabela3[Rentabilidade s/ PL]&gt;=Tabela3[Rentabilidade s/ PL Média]),"Sim","Não")</f>
        <v>Não</v>
      </c>
      <c r="AT448" s="42">
        <f>IF(Tabela3[Cotação]&gt;0,Tabela3[[#This Row],[Lucro]]/Tabela3[[#This Row],[Cotação]],0)</f>
        <v>0</v>
      </c>
      <c r="AU448" s="42">
        <f>((1+Tabela3[[#This Row],[% Yield]])^(1/(3*Tabela3[[#This Row],[Ref]])))^(12)-1</f>
        <v>0</v>
      </c>
      <c r="AV448" s="14">
        <f>IF(Tabela3[Cotação]&gt;0,($BD$1/Tabela3[[#This Row],[Cotação]]-MOD($BD$1/Tabela3[[#This Row],[Cotação]],100)),)</f>
        <v>0</v>
      </c>
      <c r="AW448" s="17">
        <f>Tabela3[[#This Row],[Ativos]]*Tabela3[Lucro]</f>
        <v>0</v>
      </c>
      <c r="AX448" s="17">
        <f>SUMPRODUCT(N(Tabela1[Código]=Tabela3[[#This Row],[PAPEL]]),Tabela1[Fechamento])</f>
        <v>0</v>
      </c>
      <c r="AY448" s="17">
        <f>SUMPRODUCT(N(Tabela17[Código]=Tabela3[[#This Row],[PAPEL]]),Tabela17[Fechamento])</f>
        <v>1.57</v>
      </c>
      <c r="AZ448" s="7">
        <f>SUMPRODUCT(N(Tabela176[Código]=Tabela3[[#This Row],[PAPEL]]),Tabela176[Fechamento])</f>
        <v>0</v>
      </c>
      <c r="BA448" s="7">
        <f>SUMPRODUCT(N(Tabela1768[Código]=Tabela3[[#This Row],[PAPEL]]),Tabela1768[Fechamento])</f>
        <v>0</v>
      </c>
      <c r="BB448" s="7">
        <f>SUMPRODUCT(N(Tabela17683[Código]=Tabela3[[#This Row],[PAPEL]]),Tabela17683[Fechamento])</f>
        <v>0</v>
      </c>
    </row>
    <row r="449" spans="1:54" hidden="1" x14ac:dyDescent="0.2">
      <c r="A449" s="4" t="s">
        <v>329</v>
      </c>
      <c r="B449" s="57" t="s">
        <v>677</v>
      </c>
      <c r="C449" s="15" t="str">
        <f>LEFT(Tabela3[PAPEL],LEN(Tabela3[PAPEL])-(LEN(Tabela3[PAPEL])-4))</f>
        <v>MMXM</v>
      </c>
      <c r="D449" s="15">
        <v>3</v>
      </c>
      <c r="E449" s="6">
        <v>5404850055.3100004</v>
      </c>
      <c r="F449" s="8">
        <v>973227439</v>
      </c>
      <c r="G449" s="86">
        <v>0.25</v>
      </c>
      <c r="H449" s="15"/>
      <c r="I449" s="19"/>
      <c r="J449" s="19"/>
      <c r="K449" s="88"/>
      <c r="L449" s="88"/>
      <c r="M449" s="55"/>
      <c r="N449" s="55"/>
      <c r="O449" s="55"/>
      <c r="P449" s="92">
        <v>1751287000</v>
      </c>
      <c r="Q449" s="93">
        <v>-1703865000</v>
      </c>
      <c r="R449" s="93">
        <f>IF(Tabela3[[#This Row],[Ativo || Passivo]]&gt;0,Tabela3[[#This Row],[Ativo || Passivo]]-Tabela3[[#This Row],[Patrimônio Líquido]],0)</f>
        <v>0</v>
      </c>
      <c r="S449" s="93">
        <f>Tabela3[[#This Row],[Cotação]]*Tabela3[[#This Row],[Total Ações]]</f>
        <v>2880753219.4400001</v>
      </c>
      <c r="T449" s="40">
        <f>IF(Tabela3[[#This Row],[Passivo Circulante]]&gt;0,Tabela3[[#This Row],[Ativo Circulante]]/Tabela3[[#This Row],[Passivo Circulante]],0)</f>
        <v>0</v>
      </c>
      <c r="U449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49" s="19">
        <f>IF(Tabela3[[#This Row],[Lucro Líquido]]&gt;0,Tabela3[[#This Row],[Lucro Líquido]]/Tabela3[[#This Row],[Patrimônio Líquido]],0)</f>
        <v>0</v>
      </c>
      <c r="W449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49" s="19">
        <f>IF(Tabela3[[#This Row],[Dívida]]&gt;0,Tabela3[[#This Row],[Dívida]]/Tabela3[[#This Row],[Patrimônio Líquido]],0)</f>
        <v>0</v>
      </c>
      <c r="Y449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49" s="13">
        <f>Tabela3[[#This Row],[Capital Social]]*20%</f>
        <v>1080970011.062</v>
      </c>
      <c r="AA449" s="13">
        <f>IF((Tabela3[Lucro Líquido]*5%)&gt;Tabela3[Teto R. Legal],Tabela3[Teto R. Legal],Tabela3[Lucro Líquido]*5%)</f>
        <v>-85193250</v>
      </c>
      <c r="AB449" s="13">
        <f>IF(Tabela3[Lucro Líquido]&lt;0,0,Tabela3[Lucro Líquido]-Tabela3[Reserva Legal])</f>
        <v>0</v>
      </c>
      <c r="AC449" s="13">
        <f>Tabela3[[#This Row],[Lucro Distribuir]]*Tabela3[%Div]</f>
        <v>0</v>
      </c>
      <c r="AD449" s="56">
        <f>SUMPRODUCT(N(Tabela3[Nome]=Tabela3[[#This Row],[Nome]]),Tabela3[Ações])</f>
        <v>973227439</v>
      </c>
      <c r="AE449" s="6">
        <f>Tabela3[Capital Social]/Tabela3[Total Ações]</f>
        <v>5.5535323386109345</v>
      </c>
      <c r="AF449" s="78">
        <f>Tabela3[[#This Row],[Lucro Líquido]]/Tabela3[[#This Row],[Total Ações]]</f>
        <v>-1.7507367052358662</v>
      </c>
      <c r="AG449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49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49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49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49" s="13">
        <f>Tabela3[Div Base]*Tabela3[Ações]</f>
        <v>0</v>
      </c>
      <c r="AL449" s="13">
        <f>SUMPRODUCT(N(Tabela3[Nome]=Tabela3[[#This Row],[Nome]]),Tabela3[Div Base]*Tabela3[Ações])</f>
        <v>0</v>
      </c>
      <c r="AM449" s="6">
        <f>Tabela3[Patrimônio Líquido]/Tabela3[Total Ações]</f>
        <v>1.7994632393425563</v>
      </c>
      <c r="AN449" s="48">
        <f>MAX(Tabela3[[#This Row],[Cotação 1]:[Cotação 5]])</f>
        <v>2.96</v>
      </c>
      <c r="AO449" s="44">
        <f>Tabela3[Cotação]/Tabela3[VPA]</f>
        <v>1.6449349646517104</v>
      </c>
      <c r="AP449" s="40">
        <f>IF(Tabela3[[#This Row],[Lucro/Ação]]&gt;0,Tabela3[[#This Row],[Cotação]]/(Tabela3[[#This Row],[Lucro/Ação]]/Tabela3[Ref]*4),0)</f>
        <v>0</v>
      </c>
      <c r="AQ449" s="78">
        <f>Tabela3[Lucro Distribuir]/Tabela3[Total Ações]</f>
        <v>0</v>
      </c>
      <c r="AR449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49" s="14" t="str">
        <f>IF(AND(Tabela3[% A.A.]&gt;=6%,SUMPRODUCT(N(Tabela3[Nome]=Tabela3[[#This Row],[Nome]]),Tabela3[PL])&gt;0,Tabela3[Rentabilidade s/ PL]&gt;=Tabela3[Rentabilidade s/ PL Média]),"Sim","Não")</f>
        <v>Não</v>
      </c>
      <c r="AT449" s="42">
        <f>IF(Tabela3[Cotação]&gt;0,Tabela3[[#This Row],[Lucro]]/Tabela3[[#This Row],[Cotação]],0)</f>
        <v>0</v>
      </c>
      <c r="AU449" s="42">
        <f>((1+Tabela3[[#This Row],[% Yield]])^(1/(3*Tabela3[[#This Row],[Ref]])))^(12)-1</f>
        <v>0</v>
      </c>
      <c r="AV449" s="14">
        <f>IF(Tabela3[Cotação]&gt;0,($BD$1/Tabela3[[#This Row],[Cotação]]-MOD($BD$1/Tabela3[[#This Row],[Cotação]],100)),)</f>
        <v>0</v>
      </c>
      <c r="AW449" s="17">
        <f>Tabela3[[#This Row],[Ativos]]*Tabela3[Lucro]</f>
        <v>0</v>
      </c>
      <c r="AX449" s="17">
        <f>SUMPRODUCT(N(Tabela1[Código]=Tabela3[[#This Row],[PAPEL]]),Tabela1[Fechamento])</f>
        <v>0</v>
      </c>
      <c r="AY449" s="17">
        <f>SUMPRODUCT(N(Tabela17[Código]=Tabela3[[#This Row],[PAPEL]]),Tabela17[Fechamento])</f>
        <v>0</v>
      </c>
      <c r="AZ449" s="17">
        <f>SUMPRODUCT(N(Tabela176[Código]=Tabela3[[#This Row],[PAPEL]]),Tabela176[Fechamento])</f>
        <v>2.96</v>
      </c>
      <c r="BA449" s="17">
        <f>SUMPRODUCT(N(Tabela1768[Código]=Tabela3[[#This Row],[PAPEL]]),Tabela1768[Fechamento])</f>
        <v>0</v>
      </c>
      <c r="BB449" s="7">
        <f>SUMPRODUCT(N(Tabela17683[Código]=Tabela3[[#This Row],[PAPEL]]),Tabela17683[Fechamento])</f>
        <v>0</v>
      </c>
    </row>
    <row r="450" spans="1:54" hidden="1" x14ac:dyDescent="0.2">
      <c r="A450" s="3" t="s">
        <v>279</v>
      </c>
      <c r="B450" s="58" t="s">
        <v>859</v>
      </c>
      <c r="C450" s="16" t="str">
        <f>LEFT(Tabela3[PAPEL],LEN(Tabela3[PAPEL])-(LEN(Tabela3[PAPEL])-4))</f>
        <v>MNPR</v>
      </c>
      <c r="D450" s="16">
        <v>3</v>
      </c>
      <c r="E450" s="5">
        <v>120107800</v>
      </c>
      <c r="F450" s="56">
        <v>710010000</v>
      </c>
      <c r="G450" s="81">
        <v>0.25</v>
      </c>
      <c r="H450" s="87"/>
      <c r="J450" s="18"/>
      <c r="K450" s="16"/>
      <c r="L450" s="87"/>
      <c r="M450" s="54"/>
      <c r="N450" s="54"/>
      <c r="O450" s="54"/>
      <c r="P450" s="91">
        <v>-208546000</v>
      </c>
      <c r="Q450" s="73">
        <v>-16565000</v>
      </c>
      <c r="R450" s="73">
        <f>IF(Tabela3[[#This Row],[Ativo || Passivo]]&gt;0,Tabela3[[#This Row],[Ativo || Passivo]]-Tabela3[[#This Row],[Patrimônio Líquido]],0)</f>
        <v>0</v>
      </c>
      <c r="S450" s="73">
        <f>Tabela3[[#This Row],[Cotação]]*Tabela3[[#This Row],[Total Ações]]</f>
        <v>49700700.000000007</v>
      </c>
      <c r="T450" s="37">
        <f>IF(Tabela3[[#This Row],[Passivo Circulante]]&gt;0,Tabela3[[#This Row],[Ativo Circulante]]/Tabela3[[#This Row],[Passivo Circulante]],0)</f>
        <v>0</v>
      </c>
      <c r="U450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50" s="18">
        <f>IF(Tabela3[[#This Row],[Lucro Líquido]]&gt;0,Tabela3[[#This Row],[Lucro Líquido]]/Tabela3[[#This Row],[Patrimônio Líquido]],0)</f>
        <v>0</v>
      </c>
      <c r="W450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50" s="18">
        <f>IF(Tabela3[[#This Row],[Dívida]]&gt;0,Tabela3[[#This Row],[Dívida]]/Tabela3[[#This Row],[Patrimônio Líquido]],0)</f>
        <v>0</v>
      </c>
      <c r="Y450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50" s="7">
        <f>Tabela3[[#This Row],[Capital Social]]*20%</f>
        <v>24021560</v>
      </c>
      <c r="AA450" s="47">
        <f>IF((Tabela3[Lucro Líquido]*5%)&gt;Tabela3[Teto R. Legal],Tabela3[Teto R. Legal],Tabela3[Lucro Líquido]*5%)</f>
        <v>-828250</v>
      </c>
      <c r="AB450" s="47">
        <f>IF(Tabela3[Lucro Líquido]&lt;0,0,Tabela3[Lucro Líquido]-Tabela3[Reserva Legal])</f>
        <v>0</v>
      </c>
      <c r="AC450" s="47">
        <f>Tabela3[[#This Row],[Lucro Distribuir]]*Tabela3[%Div]</f>
        <v>0</v>
      </c>
      <c r="AD450" s="56">
        <f>SUMPRODUCT(N(Tabela3[Nome]=Tabela3[[#This Row],[Nome]]),Tabela3[Ações])</f>
        <v>710010000</v>
      </c>
      <c r="AE450" s="85">
        <f>Tabela3[Capital Social]/Tabela3[Total Ações]</f>
        <v>0.16916353290798722</v>
      </c>
      <c r="AF450" s="85">
        <f>Tabela3[[#This Row],[Lucro Líquido]]/Tabela3[[#This Row],[Total Ações]]</f>
        <v>-2.3330657314685709E-2</v>
      </c>
      <c r="AG450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50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50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50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50" s="7">
        <f>Tabela3[Div Base]*Tabela3[Ações]</f>
        <v>0</v>
      </c>
      <c r="AL450" s="7">
        <f>SUMPRODUCT(N(Tabela3[Nome]=Tabela3[[#This Row],[Nome]]),Tabela3[Div Base]*Tabela3[Ações])</f>
        <v>0</v>
      </c>
      <c r="AM450" s="5">
        <f>Tabela3[Patrimônio Líquido]/Tabela3[Total Ações]</f>
        <v>-0.29372262362501939</v>
      </c>
      <c r="AN450" s="52">
        <f>MAX(Tabela3[[#This Row],[Cotação 1]:[Cotação 5]])</f>
        <v>7.0000000000000007E-2</v>
      </c>
      <c r="AO450" s="53">
        <f>Tabela3[Cotação]/Tabela3[VPA]</f>
        <v>-0.23832008285941711</v>
      </c>
      <c r="AP450" s="37">
        <f>IF(Tabela3[[#This Row],[Lucro/Ação]]&gt;0,Tabela3[[#This Row],[Cotação]]/(Tabela3[[#This Row],[Lucro/Ação]]/Tabela3[Ref]*4),0)</f>
        <v>0</v>
      </c>
      <c r="AQ450" s="85">
        <f>Tabela3[Lucro Distribuir]/Tabela3[Total Ações]</f>
        <v>0</v>
      </c>
      <c r="AR450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50" s="10" t="str">
        <f>IF(AND(Tabela3[% A.A.]&gt;=6%,SUMPRODUCT(N(Tabela3[Nome]=Tabela3[[#This Row],[Nome]]),Tabela3[PL])&gt;0,Tabela3[Rentabilidade s/ PL]&gt;=Tabela3[Rentabilidade s/ PL Média]),"Sim","Não")</f>
        <v>Não</v>
      </c>
      <c r="AT450" s="22">
        <f>IF(Tabela3[Cotação]&gt;0,Tabela3[[#This Row],[Lucro]]/Tabela3[[#This Row],[Cotação]],0)</f>
        <v>0</v>
      </c>
      <c r="AU450" s="22">
        <f>((1+Tabela3[[#This Row],[% Yield]])^(1/(3*Tabela3[[#This Row],[Ref]])))^(12)-1</f>
        <v>0</v>
      </c>
      <c r="AV450" s="10">
        <f>IF(Tabela3[Cotação]&gt;0,($BD$1/Tabela3[[#This Row],[Cotação]]-MOD($BD$1/Tabela3[[#This Row],[Cotação]],100)),)</f>
        <v>0</v>
      </c>
      <c r="AW450" s="7">
        <f>Tabela3[[#This Row],[Ativos]]*Tabela3[Lucro]</f>
        <v>0</v>
      </c>
      <c r="AX450" s="7">
        <f>SUMPRODUCT(N(Tabela1[Código]=Tabela3[[#This Row],[PAPEL]]),Tabela1[Fechamento])</f>
        <v>0</v>
      </c>
      <c r="AY450" s="7">
        <f>SUMPRODUCT(N(Tabela17[Código]=Tabela3[[#This Row],[PAPEL]]),Tabela17[Fechamento])</f>
        <v>0</v>
      </c>
      <c r="AZ450" s="7">
        <f>SUMPRODUCT(N(Tabela176[Código]=Tabela3[[#This Row],[PAPEL]]),Tabela176[Fechamento])</f>
        <v>7.0000000000000007E-2</v>
      </c>
      <c r="BA450" s="7">
        <f>SUMPRODUCT(N(Tabela1768[Código]=Tabela3[[#This Row],[PAPEL]]),Tabela1768[Fechamento])</f>
        <v>0</v>
      </c>
      <c r="BB450" s="7">
        <f>SUMPRODUCT(N(Tabela17683[Código]=Tabela3[[#This Row],[PAPEL]]),Tabela17683[Fechamento])</f>
        <v>0</v>
      </c>
    </row>
    <row r="451" spans="1:54" hidden="1" x14ac:dyDescent="0.2">
      <c r="A451" s="3" t="s">
        <v>279</v>
      </c>
      <c r="B451" s="58" t="s">
        <v>865</v>
      </c>
      <c r="C451" s="16" t="str">
        <f>LEFT(Tabela3[PAPEL],LEN(Tabela3[PAPEL])-(LEN(Tabela3[PAPEL])-4))</f>
        <v>MRFG</v>
      </c>
      <c r="D451" s="16">
        <v>3</v>
      </c>
      <c r="E451" s="5">
        <v>5276678051</v>
      </c>
      <c r="F451" s="56">
        <v>520747405</v>
      </c>
      <c r="G451" s="81">
        <v>0.25</v>
      </c>
      <c r="H451" s="87"/>
      <c r="J451" s="18"/>
      <c r="K451" s="16"/>
      <c r="L451" s="87"/>
      <c r="M451" s="54"/>
      <c r="N451" s="54"/>
      <c r="O451" s="54"/>
      <c r="P451" s="91">
        <v>3143650000</v>
      </c>
      <c r="Q451" s="73">
        <v>-830207000</v>
      </c>
      <c r="R451" s="73">
        <f>IF(Tabela3[[#This Row],[Ativo || Passivo]]&gt;0,Tabela3[[#This Row],[Ativo || Passivo]]-Tabela3[[#This Row],[Patrimônio Líquido]],0)</f>
        <v>0</v>
      </c>
      <c r="S451" s="73">
        <f>Tabela3[[#This Row],[Cotação]]*Tabela3[[#This Row],[Total Ações]]</f>
        <v>1947595294.7</v>
      </c>
      <c r="T451" s="37">
        <f>IF(Tabela3[[#This Row],[Passivo Circulante]]&gt;0,Tabela3[[#This Row],[Ativo Circulante]]/Tabela3[[#This Row],[Passivo Circulante]],0)</f>
        <v>0</v>
      </c>
      <c r="U451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51" s="18">
        <f>IF(Tabela3[[#This Row],[Lucro Líquido]]&gt;0,Tabela3[[#This Row],[Lucro Líquido]]/Tabela3[[#This Row],[Patrimônio Líquido]],0)</f>
        <v>0</v>
      </c>
      <c r="W451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51" s="18">
        <f>IF(Tabela3[[#This Row],[Dívida]]&gt;0,Tabela3[[#This Row],[Dívida]]/Tabela3[[#This Row],[Patrimônio Líquido]],0)</f>
        <v>0</v>
      </c>
      <c r="Y451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51" s="7">
        <f>Tabela3[[#This Row],[Capital Social]]*20%</f>
        <v>1055335610.2</v>
      </c>
      <c r="AA451" s="47">
        <f>IF((Tabela3[Lucro Líquido]*5%)&gt;Tabela3[Teto R. Legal],Tabela3[Teto R. Legal],Tabela3[Lucro Líquido]*5%)</f>
        <v>-41510350</v>
      </c>
      <c r="AB451" s="47">
        <f>IF(Tabela3[Lucro Líquido]&lt;0,0,Tabela3[Lucro Líquido]-Tabela3[Reserva Legal])</f>
        <v>0</v>
      </c>
      <c r="AC451" s="47">
        <f>Tabela3[[#This Row],[Lucro Distribuir]]*Tabela3[%Div]</f>
        <v>0</v>
      </c>
      <c r="AD451" s="56">
        <f>SUMPRODUCT(N(Tabela3[Nome]=Tabela3[[#This Row],[Nome]]),Tabela3[Ações])</f>
        <v>520747405</v>
      </c>
      <c r="AE451" s="85">
        <f>Tabela3[Capital Social]/Tabela3[Total Ações]</f>
        <v>10.132893607026231</v>
      </c>
      <c r="AF451" s="85">
        <f>Tabela3[[#This Row],[Lucro Líquido]]/Tabela3[[#This Row],[Total Ações]]</f>
        <v>-1.5942604649177272</v>
      </c>
      <c r="AG451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51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51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51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51" s="7">
        <f>Tabela3[Div Base]*Tabela3[Ações]</f>
        <v>0</v>
      </c>
      <c r="AL451" s="7">
        <f>SUMPRODUCT(N(Tabela3[Nome]=Tabela3[[#This Row],[Nome]]),Tabela3[Div Base]*Tabela3[Ações])</f>
        <v>0</v>
      </c>
      <c r="AM451" s="5">
        <f>Tabela3[Patrimônio Líquido]/Tabela3[Total Ações]</f>
        <v>6.0368039664067075</v>
      </c>
      <c r="AN451" s="52">
        <f>MAX(Tabela3[[#This Row],[Cotação 1]:[Cotação 5]])</f>
        <v>3.74</v>
      </c>
      <c r="AO451" s="53">
        <f>Tabela3[Cotação]/Tabela3[VPA]</f>
        <v>0.61953312064002042</v>
      </c>
      <c r="AP451" s="37">
        <f>IF(Tabela3[[#This Row],[Lucro/Ação]]&gt;0,Tabela3[[#This Row],[Cotação]]/(Tabela3[[#This Row],[Lucro/Ação]]/Tabela3[Ref]*4),0)</f>
        <v>0</v>
      </c>
      <c r="AQ451" s="85">
        <f>Tabela3[Lucro Distribuir]/Tabela3[Total Ações]</f>
        <v>0</v>
      </c>
      <c r="AR451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51" s="10" t="str">
        <f>IF(AND(Tabela3[% A.A.]&gt;=6%,SUMPRODUCT(N(Tabela3[Nome]=Tabela3[[#This Row],[Nome]]),Tabela3[PL])&gt;0,Tabela3[Rentabilidade s/ PL]&gt;=Tabela3[Rentabilidade s/ PL Média]),"Sim","Não")</f>
        <v>Não</v>
      </c>
      <c r="AT451" s="22">
        <f>IF(Tabela3[Cotação]&gt;0,Tabela3[[#This Row],[Lucro]]/Tabela3[[#This Row],[Cotação]],0)</f>
        <v>0</v>
      </c>
      <c r="AU451" s="22">
        <f>((1+Tabela3[[#This Row],[% Yield]])^(1/(3*Tabela3[[#This Row],[Ref]])))^(12)-1</f>
        <v>0</v>
      </c>
      <c r="AV451" s="10">
        <f>IF(Tabela3[Cotação]&gt;0,($BD$1/Tabela3[[#This Row],[Cotação]]-MOD($BD$1/Tabela3[[#This Row],[Cotação]],100)),)</f>
        <v>0</v>
      </c>
      <c r="AW451" s="7">
        <f>Tabela3[[#This Row],[Ativos]]*Tabela3[Lucro]</f>
        <v>0</v>
      </c>
      <c r="AX451" s="7">
        <f>SUMPRODUCT(N(Tabela1[Código]=Tabela3[[#This Row],[PAPEL]]),Tabela1[Fechamento])</f>
        <v>0</v>
      </c>
      <c r="AY451" s="7">
        <f>SUMPRODUCT(N(Tabela17[Código]=Tabela3[[#This Row],[PAPEL]]),Tabela17[Fechamento])</f>
        <v>0</v>
      </c>
      <c r="AZ451" s="7">
        <f>SUMPRODUCT(N(Tabela176[Código]=Tabela3[[#This Row],[PAPEL]]),Tabela176[Fechamento])</f>
        <v>3.74</v>
      </c>
      <c r="BA451" s="7">
        <f>SUMPRODUCT(N(Tabela1768[Código]=Tabela3[[#This Row],[PAPEL]]),Tabela1768[Fechamento])</f>
        <v>0</v>
      </c>
      <c r="BB451" s="7">
        <f>SUMPRODUCT(N(Tabela17683[Código]=Tabela3[[#This Row],[PAPEL]]),Tabela17683[Fechamento])</f>
        <v>0</v>
      </c>
    </row>
    <row r="452" spans="1:54" hidden="1" x14ac:dyDescent="0.2">
      <c r="A452" s="4" t="s">
        <v>19</v>
      </c>
      <c r="B452" s="57" t="s">
        <v>690</v>
      </c>
      <c r="C452" s="15" t="str">
        <f>LEFT(Tabela3[PAPEL],LEN(Tabela3[PAPEL])-(LEN(Tabela3[PAPEL])-4))</f>
        <v>MSPA</v>
      </c>
      <c r="D452" s="15">
        <v>3</v>
      </c>
      <c r="E452" s="6">
        <v>36152545</v>
      </c>
      <c r="F452" s="8">
        <v>5631445</v>
      </c>
      <c r="G452" s="86">
        <v>0.25</v>
      </c>
      <c r="H452" s="15"/>
      <c r="I452" s="19"/>
      <c r="J452" s="19"/>
      <c r="K452" s="88"/>
      <c r="L452" s="88"/>
      <c r="M452" s="55"/>
      <c r="N452" s="55"/>
      <c r="O452" s="55"/>
      <c r="P452" s="92">
        <v>808776000</v>
      </c>
      <c r="Q452" s="93">
        <v>-24517000</v>
      </c>
      <c r="R452" s="93">
        <f>IF(Tabela3[[#This Row],[Ativo || Passivo]]&gt;0,Tabela3[[#This Row],[Ativo || Passivo]]-Tabela3[[#This Row],[Patrimônio Líquido]],0)</f>
        <v>0</v>
      </c>
      <c r="S452" s="93">
        <f>Tabela3[[#This Row],[Cotação]]*Tabela3[[#This Row],[Total Ações]]</f>
        <v>174855107.70000002</v>
      </c>
      <c r="T452" s="40">
        <f>IF(Tabela3[[#This Row],[Passivo Circulante]]&gt;0,Tabela3[[#This Row],[Ativo Circulante]]/Tabela3[[#This Row],[Passivo Circulante]],0)</f>
        <v>0</v>
      </c>
      <c r="U452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52" s="19">
        <f>IF(Tabela3[[#This Row],[Lucro Líquido]]&gt;0,Tabela3[[#This Row],[Lucro Líquido]]/Tabela3[[#This Row],[Patrimônio Líquido]],0)</f>
        <v>0</v>
      </c>
      <c r="W452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52" s="19">
        <f>IF(Tabela3[[#This Row],[Dívida]]&gt;0,Tabela3[[#This Row],[Dívida]]/Tabela3[[#This Row],[Patrimônio Líquido]],0)</f>
        <v>0</v>
      </c>
      <c r="Y452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52" s="13">
        <f>Tabela3[[#This Row],[Capital Social]]*20%</f>
        <v>7230509</v>
      </c>
      <c r="AA452" s="13">
        <f>IF((Tabela3[Lucro Líquido]*5%)&gt;Tabela3[Teto R. Legal],Tabela3[Teto R. Legal],Tabela3[Lucro Líquido]*5%)</f>
        <v>-1225850</v>
      </c>
      <c r="AB452" s="13">
        <f>IF(Tabela3[Lucro Líquido]&lt;0,0,Tabela3[Lucro Líquido]-Tabela3[Reserva Legal])</f>
        <v>0</v>
      </c>
      <c r="AC452" s="13">
        <f>Tabela3[[#This Row],[Lucro Distribuir]]*Tabela3[%Div]</f>
        <v>0</v>
      </c>
      <c r="AD452" s="56">
        <f>SUMPRODUCT(N(Tabela3[Nome]=Tabela3[[#This Row],[Nome]]),Tabela3[Ações])</f>
        <v>6404949</v>
      </c>
      <c r="AE452" s="6">
        <f>Tabela3[Capital Social]/Tabela3[Total Ações]</f>
        <v>5.6444703931288132</v>
      </c>
      <c r="AF452" s="78">
        <f>Tabela3[[#This Row],[Lucro Líquido]]/Tabela3[[#This Row],[Total Ações]]</f>
        <v>-3.8278212675854251</v>
      </c>
      <c r="AG452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52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52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52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52" s="13">
        <f>Tabela3[Div Base]*Tabela3[Ações]</f>
        <v>0</v>
      </c>
      <c r="AL452" s="13">
        <f>SUMPRODUCT(N(Tabela3[Nome]=Tabela3[[#This Row],[Nome]]),Tabela3[Div Base]*Tabela3[Ações])</f>
        <v>0</v>
      </c>
      <c r="AM452" s="6">
        <f>Tabela3[Patrimônio Líquido]/Tabela3[Total Ações]</f>
        <v>126.27360498889219</v>
      </c>
      <c r="AN452" s="48">
        <f>MAX(Tabela3[[#This Row],[Cotação 1]:[Cotação 5]])</f>
        <v>27.3</v>
      </c>
      <c r="AO452" s="44">
        <f>Tabela3[Cotação]/Tabela3[VPA]</f>
        <v>0.21619720132644885</v>
      </c>
      <c r="AP452" s="40">
        <f>IF(Tabela3[[#This Row],[Lucro/Ação]]&gt;0,Tabela3[[#This Row],[Cotação]]/(Tabela3[[#This Row],[Lucro/Ação]]/Tabela3[Ref]*4),0)</f>
        <v>0</v>
      </c>
      <c r="AQ452" s="78">
        <f>Tabela3[Lucro Distribuir]/Tabela3[Total Ações]</f>
        <v>0</v>
      </c>
      <c r="AR452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52" s="14" t="str">
        <f>IF(AND(Tabela3[% A.A.]&gt;=6%,SUMPRODUCT(N(Tabela3[Nome]=Tabela3[[#This Row],[Nome]]),Tabela3[PL])&gt;0,Tabela3[Rentabilidade s/ PL]&gt;=Tabela3[Rentabilidade s/ PL Média]),"Sim","Não")</f>
        <v>Não</v>
      </c>
      <c r="AT452" s="42">
        <f>IF(Tabela3[Cotação]&gt;0,Tabela3[[#This Row],[Lucro]]/Tabela3[[#This Row],[Cotação]],0)</f>
        <v>0</v>
      </c>
      <c r="AU452" s="42">
        <f>((1+Tabela3[[#This Row],[% Yield]])^(1/(3*Tabela3[[#This Row],[Ref]])))^(12)-1</f>
        <v>0</v>
      </c>
      <c r="AV452" s="14">
        <f>IF(Tabela3[Cotação]&gt;0,($BD$1/Tabela3[[#This Row],[Cotação]]-MOD($BD$1/Tabela3[[#This Row],[Cotação]],100)),)</f>
        <v>0</v>
      </c>
      <c r="AW452" s="17">
        <f>Tabela3[[#This Row],[Ativos]]*Tabela3[Lucro]</f>
        <v>0</v>
      </c>
      <c r="AX452" s="17">
        <f>SUMPRODUCT(N(Tabela1[Código]=Tabela3[[#This Row],[PAPEL]]),Tabela1[Fechamento])</f>
        <v>0</v>
      </c>
      <c r="AY452" s="17">
        <f>SUMPRODUCT(N(Tabela17[Código]=Tabela3[[#This Row],[PAPEL]]),Tabela17[Fechamento])</f>
        <v>0</v>
      </c>
      <c r="AZ452" s="17">
        <f>SUMPRODUCT(N(Tabela176[Código]=Tabela3[[#This Row],[PAPEL]]),Tabela176[Fechamento])</f>
        <v>27.3</v>
      </c>
      <c r="BA452" s="17">
        <f>SUMPRODUCT(N(Tabela1768[Código]=Tabela3[[#This Row],[PAPEL]]),Tabela1768[Fechamento])</f>
        <v>0</v>
      </c>
      <c r="BB452" s="7">
        <f>SUMPRODUCT(N(Tabela17683[Código]=Tabela3[[#This Row],[PAPEL]]),Tabela17683[Fechamento])</f>
        <v>0</v>
      </c>
    </row>
    <row r="453" spans="1:54" hidden="1" x14ac:dyDescent="0.2">
      <c r="A453" s="4" t="s">
        <v>19</v>
      </c>
      <c r="B453" s="57" t="s">
        <v>691</v>
      </c>
      <c r="C453" s="15" t="str">
        <f>LEFT(Tabela3[PAPEL],LEN(Tabela3[PAPEL])-(LEN(Tabela3[PAPEL])-4))</f>
        <v>MSPA</v>
      </c>
      <c r="D453" s="15">
        <v>3</v>
      </c>
      <c r="E453" s="6">
        <v>36152545</v>
      </c>
      <c r="F453" s="8">
        <v>773504</v>
      </c>
      <c r="G453" s="86">
        <v>0.25</v>
      </c>
      <c r="H453" s="15"/>
      <c r="I453" s="19"/>
      <c r="J453" s="19">
        <v>0.1</v>
      </c>
      <c r="K453" s="88"/>
      <c r="L453" s="88"/>
      <c r="M453" s="55"/>
      <c r="N453" s="55"/>
      <c r="O453" s="55"/>
      <c r="P453" s="92">
        <v>808776000</v>
      </c>
      <c r="Q453" s="93">
        <v>-24517000</v>
      </c>
      <c r="R453" s="93">
        <f>IF(Tabela3[[#This Row],[Ativo || Passivo]]&gt;0,Tabela3[[#This Row],[Ativo || Passivo]]-Tabela3[[#This Row],[Patrimônio Líquido]],0)</f>
        <v>0</v>
      </c>
      <c r="S453" s="93">
        <f>Tabela3[[#This Row],[Cotação]]*Tabela3[[#This Row],[Total Ações]]</f>
        <v>172933623</v>
      </c>
      <c r="T453" s="40">
        <f>IF(Tabela3[[#This Row],[Passivo Circulante]]&gt;0,Tabela3[[#This Row],[Ativo Circulante]]/Tabela3[[#This Row],[Passivo Circulante]],0)</f>
        <v>0</v>
      </c>
      <c r="U453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53" s="19">
        <f>IF(Tabela3[[#This Row],[Lucro Líquido]]&gt;0,Tabela3[[#This Row],[Lucro Líquido]]/Tabela3[[#This Row],[Patrimônio Líquido]],0)</f>
        <v>0</v>
      </c>
      <c r="W453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53" s="19">
        <f>IF(Tabela3[[#This Row],[Dívida]]&gt;0,Tabela3[[#This Row],[Dívida]]/Tabela3[[#This Row],[Patrimônio Líquido]],0)</f>
        <v>0</v>
      </c>
      <c r="Y453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53" s="13">
        <f>Tabela3[[#This Row],[Capital Social]]*20%</f>
        <v>7230509</v>
      </c>
      <c r="AA453" s="13">
        <f>IF((Tabela3[Lucro Líquido]*5%)&gt;Tabela3[Teto R. Legal],Tabela3[Teto R. Legal],Tabela3[Lucro Líquido]*5%)</f>
        <v>-1225850</v>
      </c>
      <c r="AB453" s="13">
        <f>IF(Tabela3[Lucro Líquido]&lt;0,0,Tabela3[Lucro Líquido]-Tabela3[Reserva Legal])</f>
        <v>0</v>
      </c>
      <c r="AC453" s="13">
        <f>Tabela3[[#This Row],[Lucro Distribuir]]*Tabela3[%Div]</f>
        <v>0</v>
      </c>
      <c r="AD453" s="56">
        <f>SUMPRODUCT(N(Tabela3[Nome]=Tabela3[[#This Row],[Nome]]),Tabela3[Ações])</f>
        <v>6404949</v>
      </c>
      <c r="AE453" s="6">
        <f>Tabela3[Capital Social]/Tabela3[Total Ações]</f>
        <v>5.6444703931288132</v>
      </c>
      <c r="AF453" s="78">
        <f>Tabela3[[#This Row],[Lucro Líquido]]/Tabela3[[#This Row],[Total Ações]]</f>
        <v>-3.8278212675854251</v>
      </c>
      <c r="AG453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53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53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53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53" s="13">
        <f>Tabela3[Div Base]*Tabela3[Ações]</f>
        <v>0</v>
      </c>
      <c r="AL453" s="13">
        <f>SUMPRODUCT(N(Tabela3[Nome]=Tabela3[[#This Row],[Nome]]),Tabela3[Div Base]*Tabela3[Ações])</f>
        <v>0</v>
      </c>
      <c r="AM453" s="6">
        <f>Tabela3[Patrimônio Líquido]/Tabela3[Total Ações]</f>
        <v>126.27360498889219</v>
      </c>
      <c r="AN453" s="48">
        <f>MAX(Tabela3[[#This Row],[Cotação 1]:[Cotação 5]])</f>
        <v>27</v>
      </c>
      <c r="AO453" s="44">
        <f>Tabela3[Cotação]/Tabela3[VPA]</f>
        <v>0.21382140790527909</v>
      </c>
      <c r="AP453" s="40">
        <f>IF(Tabela3[[#This Row],[Lucro/Ação]]&gt;0,Tabela3[[#This Row],[Cotação]]/(Tabela3[[#This Row],[Lucro/Ação]]/Tabela3[Ref]*4),0)</f>
        <v>0</v>
      </c>
      <c r="AQ453" s="78">
        <f>Tabela3[Lucro Distribuir]/Tabela3[Total Ações]</f>
        <v>0</v>
      </c>
      <c r="AR453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53" s="14" t="str">
        <f>IF(AND(Tabela3[% A.A.]&gt;=6%,SUMPRODUCT(N(Tabela3[Nome]=Tabela3[[#This Row],[Nome]]),Tabela3[PL])&gt;0,Tabela3[Rentabilidade s/ PL]&gt;=Tabela3[Rentabilidade s/ PL Média]),"Sim","Não")</f>
        <v>Não</v>
      </c>
      <c r="AT453" s="42">
        <f>IF(Tabela3[Cotação]&gt;0,Tabela3[[#This Row],[Lucro]]/Tabela3[[#This Row],[Cotação]],0)</f>
        <v>0</v>
      </c>
      <c r="AU453" s="42">
        <f>((1+Tabela3[[#This Row],[% Yield]])^(1/(3*Tabela3[[#This Row],[Ref]])))^(12)-1</f>
        <v>0</v>
      </c>
      <c r="AV453" s="14">
        <f>IF(Tabela3[Cotação]&gt;0,($BD$1/Tabela3[[#This Row],[Cotação]]-MOD($BD$1/Tabela3[[#This Row],[Cotação]],100)),)</f>
        <v>0</v>
      </c>
      <c r="AW453" s="17">
        <f>Tabela3[[#This Row],[Ativos]]*Tabela3[Lucro]</f>
        <v>0</v>
      </c>
      <c r="AX453" s="17">
        <f>SUMPRODUCT(N(Tabela1[Código]=Tabela3[[#This Row],[PAPEL]]),Tabela1[Fechamento])</f>
        <v>0</v>
      </c>
      <c r="AY453" s="17">
        <f>SUMPRODUCT(N(Tabela17[Código]=Tabela3[[#This Row],[PAPEL]]),Tabela17[Fechamento])</f>
        <v>0</v>
      </c>
      <c r="AZ453" s="17">
        <f>SUMPRODUCT(N(Tabela176[Código]=Tabela3[[#This Row],[PAPEL]]),Tabela176[Fechamento])</f>
        <v>27</v>
      </c>
      <c r="BA453" s="17">
        <f>SUMPRODUCT(N(Tabela1768[Código]=Tabela3[[#This Row],[PAPEL]]),Tabela1768[Fechamento])</f>
        <v>0</v>
      </c>
      <c r="BB453" s="7">
        <f>SUMPRODUCT(N(Tabela17683[Código]=Tabela3[[#This Row],[PAPEL]]),Tabela17683[Fechamento])</f>
        <v>0</v>
      </c>
    </row>
    <row r="454" spans="1:54" hidden="1" x14ac:dyDescent="0.2">
      <c r="A454" s="4" t="s">
        <v>318</v>
      </c>
      <c r="B454" s="57" t="s">
        <v>704</v>
      </c>
      <c r="C454" s="15" t="str">
        <f>LEFT(Tabela3[PAPEL],LEN(Tabela3[PAPEL])-(LEN(Tabela3[PAPEL])-4))</f>
        <v>MTIG</v>
      </c>
      <c r="D454" s="16">
        <v>3</v>
      </c>
      <c r="E454" s="6">
        <v>48319313.140000001</v>
      </c>
      <c r="F454" s="8">
        <v>104172000</v>
      </c>
      <c r="G454" s="86">
        <v>0.25</v>
      </c>
      <c r="H454" s="15"/>
      <c r="I454" s="19"/>
      <c r="J454" s="19"/>
      <c r="K454" s="88"/>
      <c r="L454" s="88"/>
      <c r="M454" s="55"/>
      <c r="N454" s="55"/>
      <c r="O454" s="55"/>
      <c r="P454" s="92">
        <v>26342000</v>
      </c>
      <c r="Q454" s="93">
        <v>-19296000</v>
      </c>
      <c r="R454" s="93">
        <f>IF(Tabela3[[#This Row],[Ativo || Passivo]]&gt;0,Tabela3[[#This Row],[Ativo || Passivo]]-Tabela3[[#This Row],[Patrimônio Líquido]],0)</f>
        <v>0</v>
      </c>
      <c r="S454" s="93">
        <f>Tabela3[[#This Row],[Cotação]]*Tabela3[[#This Row],[Total Ações]]</f>
        <v>190634760</v>
      </c>
      <c r="T454" s="40">
        <f>IF(Tabela3[[#This Row],[Passivo Circulante]]&gt;0,Tabela3[[#This Row],[Ativo Circulante]]/Tabela3[[#This Row],[Passivo Circulante]],0)</f>
        <v>0</v>
      </c>
      <c r="U454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54" s="19">
        <f>IF(Tabela3[[#This Row],[Lucro Líquido]]&gt;0,Tabela3[[#This Row],[Lucro Líquido]]/Tabela3[[#This Row],[Patrimônio Líquido]],0)</f>
        <v>0</v>
      </c>
      <c r="W454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54" s="19">
        <f>IF(Tabela3[[#This Row],[Dívida]]&gt;0,Tabela3[[#This Row],[Dívida]]/Tabela3[[#This Row],[Patrimônio Líquido]],0)</f>
        <v>0</v>
      </c>
      <c r="Y454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54" s="13">
        <f>Tabela3[[#This Row],[Capital Social]]*20%</f>
        <v>9663862.6280000005</v>
      </c>
      <c r="AA454" s="13">
        <f>IF((Tabela3[Lucro Líquido]*5%)&gt;Tabela3[Teto R. Legal],Tabela3[Teto R. Legal],Tabela3[Lucro Líquido]*5%)</f>
        <v>-964800</v>
      </c>
      <c r="AB454" s="13">
        <f>IF(Tabela3[Lucro Líquido]&lt;0,0,Tabela3[Lucro Líquido]-Tabela3[Reserva Legal])</f>
        <v>0</v>
      </c>
      <c r="AC454" s="13">
        <f>Tabela3[[#This Row],[Lucro Distribuir]]*Tabela3[%Div]</f>
        <v>0</v>
      </c>
      <c r="AD454" s="56">
        <f>SUMPRODUCT(N(Tabela3[Nome]=Tabela3[[#This Row],[Nome]]),Tabela3[Ações])</f>
        <v>312516000</v>
      </c>
      <c r="AE454" s="6">
        <f>Tabela3[Capital Social]/Tabela3[Total Ações]</f>
        <v>0.15461388581704616</v>
      </c>
      <c r="AF454" s="78">
        <f>Tabela3[[#This Row],[Lucro Líquido]]/Tabela3[[#This Row],[Total Ações]]</f>
        <v>-6.1744038705218295E-2</v>
      </c>
      <c r="AG454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54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54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54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54" s="13">
        <f>Tabela3[Div Base]*Tabela3[Ações]</f>
        <v>0</v>
      </c>
      <c r="AL454" s="13">
        <f>SUMPRODUCT(N(Tabela3[Nome]=Tabela3[[#This Row],[Nome]]),Tabela3[Div Base]*Tabela3[Ações])</f>
        <v>0</v>
      </c>
      <c r="AM454" s="6">
        <f>Tabela3[Patrimônio Líquido]/Tabela3[Total Ações]</f>
        <v>8.4290084347681399E-2</v>
      </c>
      <c r="AN454" s="48">
        <f>MAX(Tabela3[[#This Row],[Cotação 1]:[Cotação 5]])</f>
        <v>0.61</v>
      </c>
      <c r="AO454" s="44">
        <f>Tabela3[Cotação]/Tabela3[VPA]</f>
        <v>7.236912914736922</v>
      </c>
      <c r="AP454" s="40">
        <f>IF(Tabela3[[#This Row],[Lucro/Ação]]&gt;0,Tabela3[[#This Row],[Cotação]]/(Tabela3[[#This Row],[Lucro/Ação]]/Tabela3[Ref]*4),0)</f>
        <v>0</v>
      </c>
      <c r="AQ454" s="78">
        <f>Tabela3[Lucro Distribuir]/Tabela3[Total Ações]</f>
        <v>0</v>
      </c>
      <c r="AR454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54" s="14" t="str">
        <f>IF(AND(Tabela3[% A.A.]&gt;=6%,SUMPRODUCT(N(Tabela3[Nome]=Tabela3[[#This Row],[Nome]]),Tabela3[PL])&gt;0,Tabela3[Rentabilidade s/ PL]&gt;=Tabela3[Rentabilidade s/ PL Média]),"Sim","Não")</f>
        <v>Não</v>
      </c>
      <c r="AT454" s="42">
        <f>IF(Tabela3[Cotação]&gt;0,Tabela3[[#This Row],[Lucro]]/Tabela3[[#This Row],[Cotação]],0)</f>
        <v>0</v>
      </c>
      <c r="AU454" s="42">
        <f>((1+Tabela3[[#This Row],[% Yield]])^(1/(3*Tabela3[[#This Row],[Ref]])))^(12)-1</f>
        <v>0</v>
      </c>
      <c r="AV454" s="14">
        <f>IF(Tabela3[Cotação]&gt;0,($BD$1/Tabela3[[#This Row],[Cotação]]-MOD($BD$1/Tabela3[[#This Row],[Cotação]],100)),)</f>
        <v>0</v>
      </c>
      <c r="AW454" s="17">
        <f>Tabela3[[#This Row],[Ativos]]*Tabela3[Lucro]</f>
        <v>0</v>
      </c>
      <c r="AX454" s="17">
        <f>SUMPRODUCT(N(Tabela1[Código]=Tabela3[[#This Row],[PAPEL]]),Tabela1[Fechamento])</f>
        <v>0</v>
      </c>
      <c r="AY454" s="17">
        <f>SUMPRODUCT(N(Tabela17[Código]=Tabela3[[#This Row],[PAPEL]]),Tabela17[Fechamento])</f>
        <v>0</v>
      </c>
      <c r="AZ454" s="17">
        <f>SUMPRODUCT(N(Tabela176[Código]=Tabela3[[#This Row],[PAPEL]]),Tabela176[Fechamento])</f>
        <v>0.61</v>
      </c>
      <c r="BA454" s="17">
        <f>SUMPRODUCT(N(Tabela1768[Código]=Tabela3[[#This Row],[PAPEL]]),Tabela1768[Fechamento])</f>
        <v>0</v>
      </c>
      <c r="BB454" s="7">
        <f>SUMPRODUCT(N(Tabela17683[Código]=Tabela3[[#This Row],[PAPEL]]),Tabela17683[Fechamento])</f>
        <v>0</v>
      </c>
    </row>
    <row r="455" spans="1:54" hidden="1" x14ac:dyDescent="0.2">
      <c r="A455" s="4" t="s">
        <v>318</v>
      </c>
      <c r="B455" s="57" t="s">
        <v>705</v>
      </c>
      <c r="C455" s="15" t="str">
        <f>LEFT(Tabela3[PAPEL],LEN(Tabela3[PAPEL])-(LEN(Tabela3[PAPEL])-4))</f>
        <v>MTIG</v>
      </c>
      <c r="D455" s="16">
        <v>3</v>
      </c>
      <c r="E455" s="6">
        <v>48319313.140000001</v>
      </c>
      <c r="F455" s="8">
        <v>208344000</v>
      </c>
      <c r="G455" s="86">
        <v>0.25</v>
      </c>
      <c r="H455" s="15"/>
      <c r="I455" s="19"/>
      <c r="J455" s="19"/>
      <c r="K455" s="88"/>
      <c r="L455" s="88"/>
      <c r="M455" s="55"/>
      <c r="N455" s="55"/>
      <c r="O455" s="55"/>
      <c r="P455" s="92">
        <v>26342000</v>
      </c>
      <c r="Q455" s="93">
        <v>-19296000</v>
      </c>
      <c r="R455" s="93">
        <f>IF(Tabela3[[#This Row],[Ativo || Passivo]]&gt;0,Tabela3[[#This Row],[Ativo || Passivo]]-Tabela3[[#This Row],[Patrimônio Líquido]],0)</f>
        <v>0</v>
      </c>
      <c r="S455" s="93">
        <f>Tabela3[[#This Row],[Cotação]]*Tabela3[[#This Row],[Total Ações]]</f>
        <v>34376760</v>
      </c>
      <c r="T455" s="40">
        <f>IF(Tabela3[[#This Row],[Passivo Circulante]]&gt;0,Tabela3[[#This Row],[Ativo Circulante]]/Tabela3[[#This Row],[Passivo Circulante]],0)</f>
        <v>0</v>
      </c>
      <c r="U455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55" s="19">
        <f>IF(Tabela3[[#This Row],[Lucro Líquido]]&gt;0,Tabela3[[#This Row],[Lucro Líquido]]/Tabela3[[#This Row],[Patrimônio Líquido]],0)</f>
        <v>0</v>
      </c>
      <c r="W455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55" s="19">
        <f>IF(Tabela3[[#This Row],[Dívida]]&gt;0,Tabela3[[#This Row],[Dívida]]/Tabela3[[#This Row],[Patrimônio Líquido]],0)</f>
        <v>0</v>
      </c>
      <c r="Y455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55" s="13">
        <f>Tabela3[[#This Row],[Capital Social]]*20%</f>
        <v>9663862.6280000005</v>
      </c>
      <c r="AA455" s="13">
        <f>IF((Tabela3[Lucro Líquido]*5%)&gt;Tabela3[Teto R. Legal],Tabela3[Teto R. Legal],Tabela3[Lucro Líquido]*5%)</f>
        <v>-964800</v>
      </c>
      <c r="AB455" s="13">
        <f>IF(Tabela3[Lucro Líquido]&lt;0,0,Tabela3[Lucro Líquido]-Tabela3[Reserva Legal])</f>
        <v>0</v>
      </c>
      <c r="AC455" s="13">
        <f>Tabela3[[#This Row],[Lucro Distribuir]]*Tabela3[%Div]</f>
        <v>0</v>
      </c>
      <c r="AD455" s="56">
        <f>SUMPRODUCT(N(Tabela3[Nome]=Tabela3[[#This Row],[Nome]]),Tabela3[Ações])</f>
        <v>312516000</v>
      </c>
      <c r="AE455" s="6">
        <f>Tabela3[Capital Social]/Tabela3[Total Ações]</f>
        <v>0.15461388581704616</v>
      </c>
      <c r="AF455" s="78">
        <f>Tabela3[[#This Row],[Lucro Líquido]]/Tabela3[[#This Row],[Total Ações]]</f>
        <v>-6.1744038705218295E-2</v>
      </c>
      <c r="AG455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55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55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55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55" s="13">
        <f>Tabela3[Div Base]*Tabela3[Ações]</f>
        <v>0</v>
      </c>
      <c r="AL455" s="13">
        <f>SUMPRODUCT(N(Tabela3[Nome]=Tabela3[[#This Row],[Nome]]),Tabela3[Div Base]*Tabela3[Ações])</f>
        <v>0</v>
      </c>
      <c r="AM455" s="6">
        <f>Tabela3[Patrimônio Líquido]/Tabela3[Total Ações]</f>
        <v>8.4290084347681399E-2</v>
      </c>
      <c r="AN455" s="48">
        <f>MAX(Tabela3[[#This Row],[Cotação 1]:[Cotação 5]])</f>
        <v>0.11</v>
      </c>
      <c r="AO455" s="44">
        <f>Tabela3[Cotação]/Tabela3[VPA]</f>
        <v>1.3050170829853467</v>
      </c>
      <c r="AP455" s="40">
        <f>IF(Tabela3[[#This Row],[Lucro/Ação]]&gt;0,Tabela3[[#This Row],[Cotação]]/(Tabela3[[#This Row],[Lucro/Ação]]/Tabela3[Ref]*4),0)</f>
        <v>0</v>
      </c>
      <c r="AQ455" s="78">
        <f>Tabela3[Lucro Distribuir]/Tabela3[Total Ações]</f>
        <v>0</v>
      </c>
      <c r="AR455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55" s="14" t="str">
        <f>IF(AND(Tabela3[% A.A.]&gt;=6%,SUMPRODUCT(N(Tabela3[Nome]=Tabela3[[#This Row],[Nome]]),Tabela3[PL])&gt;0,Tabela3[Rentabilidade s/ PL]&gt;=Tabela3[Rentabilidade s/ PL Média]),"Sim","Não")</f>
        <v>Não</v>
      </c>
      <c r="AT455" s="42">
        <f>IF(Tabela3[Cotação]&gt;0,Tabela3[[#This Row],[Lucro]]/Tabela3[[#This Row],[Cotação]],0)</f>
        <v>0</v>
      </c>
      <c r="AU455" s="42">
        <f>((1+Tabela3[[#This Row],[% Yield]])^(1/(3*Tabela3[[#This Row],[Ref]])))^(12)-1</f>
        <v>0</v>
      </c>
      <c r="AV455" s="14">
        <f>IF(Tabela3[Cotação]&gt;0,($BD$1/Tabela3[[#This Row],[Cotação]]-MOD($BD$1/Tabela3[[#This Row],[Cotação]],100)),)</f>
        <v>0</v>
      </c>
      <c r="AW455" s="17">
        <f>Tabela3[[#This Row],[Ativos]]*Tabela3[Lucro]</f>
        <v>0</v>
      </c>
      <c r="AX455" s="17">
        <f>SUMPRODUCT(N(Tabela1[Código]=Tabela3[[#This Row],[PAPEL]]),Tabela1[Fechamento])</f>
        <v>0</v>
      </c>
      <c r="AY455" s="17">
        <f>SUMPRODUCT(N(Tabela17[Código]=Tabela3[[#This Row],[PAPEL]]),Tabela17[Fechamento])</f>
        <v>0</v>
      </c>
      <c r="AZ455" s="17">
        <f>SUMPRODUCT(N(Tabela176[Código]=Tabela3[[#This Row],[PAPEL]]),Tabela176[Fechamento])</f>
        <v>0.11</v>
      </c>
      <c r="BA455" s="17">
        <f>SUMPRODUCT(N(Tabela1768[Código]=Tabela3[[#This Row],[PAPEL]]),Tabela1768[Fechamento])</f>
        <v>0</v>
      </c>
      <c r="BB455" s="7">
        <f>SUMPRODUCT(N(Tabela17683[Código]=Tabela3[[#This Row],[PAPEL]]),Tabela17683[Fechamento])</f>
        <v>0</v>
      </c>
    </row>
    <row r="456" spans="1:54" hidden="1" x14ac:dyDescent="0.2">
      <c r="A456" s="3" t="s">
        <v>1090</v>
      </c>
      <c r="B456" s="58" t="s">
        <v>1086</v>
      </c>
      <c r="C456" s="16" t="str">
        <f>LEFT(Tabela3[PAPEL],LEN(Tabela3[PAPEL])-(LEN(Tabela3[PAPEL])-4))</f>
        <v>NAFG</v>
      </c>
      <c r="D456" s="16">
        <v>3</v>
      </c>
      <c r="E456" s="5">
        <v>90000000</v>
      </c>
      <c r="F456" s="56">
        <v>5513608</v>
      </c>
      <c r="G456" s="81">
        <v>0.25</v>
      </c>
      <c r="H456" s="87"/>
      <c r="J456" s="18"/>
      <c r="K456" s="16"/>
      <c r="L456" s="87"/>
      <c r="M456" s="54"/>
      <c r="N456" s="54"/>
      <c r="O456" s="54"/>
      <c r="P456" s="91">
        <v>289903000</v>
      </c>
      <c r="Q456" s="73">
        <v>-10989000</v>
      </c>
      <c r="R456" s="73">
        <f>IF(Tabela3[[#This Row],[Ativo || Passivo]]&gt;0,Tabela3[[#This Row],[Ativo || Passivo]]-Tabela3[[#This Row],[Patrimônio Líquido]],0)</f>
        <v>0</v>
      </c>
      <c r="S456" s="73">
        <f>Tabela3[[#This Row],[Cotação]]*Tabela3[[#This Row],[Total Ações]]</f>
        <v>0</v>
      </c>
      <c r="T456" s="37">
        <f>IF(Tabela3[[#This Row],[Passivo Circulante]]&gt;0,Tabela3[[#This Row],[Ativo Circulante]]/Tabela3[[#This Row],[Passivo Circulante]],0)</f>
        <v>0</v>
      </c>
      <c r="U456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56" s="18">
        <f>IF(Tabela3[[#This Row],[Lucro Líquido]]&gt;0,Tabela3[[#This Row],[Lucro Líquido]]/Tabela3[[#This Row],[Patrimônio Líquido]],0)</f>
        <v>0</v>
      </c>
      <c r="W456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56" s="18">
        <f>IF(Tabela3[[#This Row],[Dívida]]&gt;0,Tabela3[[#This Row],[Dívida]]/Tabela3[[#This Row],[Patrimônio Líquido]],0)</f>
        <v>0</v>
      </c>
      <c r="Y456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56" s="7">
        <f>Tabela3[[#This Row],[Capital Social]]*20%</f>
        <v>18000000</v>
      </c>
      <c r="AA456" s="47">
        <f>IF((Tabela3[Lucro Líquido]*5%)&gt;Tabela3[Teto R. Legal],Tabela3[Teto R. Legal],Tabela3[Lucro Líquido]*5%)</f>
        <v>-549450</v>
      </c>
      <c r="AB456" s="47">
        <f>IF(Tabela3[Lucro Líquido]&lt;0,0,Tabela3[Lucro Líquido]-Tabela3[Reserva Legal])</f>
        <v>0</v>
      </c>
      <c r="AC456" s="47">
        <f>Tabela3[[#This Row],[Lucro Distribuir]]*Tabela3[%Div]</f>
        <v>0</v>
      </c>
      <c r="AD456" s="56">
        <f>SUMPRODUCT(N(Tabela3[Nome]=Tabela3[[#This Row],[Nome]]),Tabela3[Ações])</f>
        <v>13579031</v>
      </c>
      <c r="AE456" s="85">
        <f>Tabela3[Capital Social]/Tabela3[Total Ações]</f>
        <v>6.6278661562816961</v>
      </c>
      <c r="AF456" s="85">
        <f>Tabela3[[#This Row],[Lucro Líquido]]/Tabela3[[#This Row],[Total Ações]]</f>
        <v>-0.80926245768199512</v>
      </c>
      <c r="AG456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56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56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56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56" s="7">
        <f>Tabela3[Div Base]*Tabela3[Ações]</f>
        <v>0</v>
      </c>
      <c r="AL456" s="7">
        <f>SUMPRODUCT(N(Tabela3[Nome]=Tabela3[[#This Row],[Nome]]),Tabela3[Div Base]*Tabela3[Ações])</f>
        <v>0</v>
      </c>
      <c r="AM456" s="5">
        <f>Tabela3[Patrimônio Líquido]/Tabela3[Total Ações]</f>
        <v>21.34931424782814</v>
      </c>
      <c r="AN456" s="52">
        <f>MAX(Tabela3[[#This Row],[Cotação 1]:[Cotação 5]])</f>
        <v>0</v>
      </c>
      <c r="AO456" s="53">
        <f>Tabela3[Cotação]/Tabela3[VPA]</f>
        <v>0</v>
      </c>
      <c r="AP456" s="37">
        <f>IF(Tabela3[[#This Row],[Lucro/Ação]]&gt;0,Tabela3[[#This Row],[Cotação]]/(Tabela3[[#This Row],[Lucro/Ação]]/Tabela3[Ref]*4),0)</f>
        <v>0</v>
      </c>
      <c r="AQ456" s="85">
        <f>Tabela3[Lucro Distribuir]/Tabela3[Total Ações]</f>
        <v>0</v>
      </c>
      <c r="AR456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56" s="10" t="str">
        <f>IF(AND(Tabela3[% A.A.]&gt;=6%,SUMPRODUCT(N(Tabela3[Nome]=Tabela3[[#This Row],[Nome]]),Tabela3[PL])&gt;0,Tabela3[Rentabilidade s/ PL]&gt;=Tabela3[Rentabilidade s/ PL Média]),"Sim","Não")</f>
        <v>Não</v>
      </c>
      <c r="AT456" s="22">
        <f>IF(Tabela3[Cotação]&gt;0,Tabela3[[#This Row],[Lucro]]/Tabela3[[#This Row],[Cotação]],0)</f>
        <v>0</v>
      </c>
      <c r="AU456" s="22">
        <f>((1+Tabela3[[#This Row],[% Yield]])^(1/(3*Tabela3[[#This Row],[Ref]])))^(12)-1</f>
        <v>0</v>
      </c>
      <c r="AV456" s="10">
        <f>IF(Tabela3[Cotação]&gt;0,($BD$1/Tabela3[[#This Row],[Cotação]]-MOD($BD$1/Tabela3[[#This Row],[Cotação]],100)),)</f>
        <v>0</v>
      </c>
      <c r="AW456" s="7">
        <f>Tabela3[[#This Row],[Ativos]]*Tabela3[Lucro]</f>
        <v>0</v>
      </c>
      <c r="AX456" s="7">
        <f>SUMPRODUCT(N(Tabela1[Código]=Tabela3[[#This Row],[PAPEL]]),Tabela1[Fechamento])</f>
        <v>0</v>
      </c>
      <c r="AY456" s="7">
        <f>SUMPRODUCT(N(Tabela17[Código]=Tabela3[[#This Row],[PAPEL]]),Tabela17[Fechamento])</f>
        <v>0</v>
      </c>
      <c r="AZ456" s="7">
        <f>SUMPRODUCT(N(Tabela176[Código]=Tabela3[[#This Row],[PAPEL]]),Tabela176[Fechamento])</f>
        <v>0</v>
      </c>
      <c r="BA456" s="7">
        <f>SUMPRODUCT(N(Tabela1768[Código]=Tabela3[[#This Row],[PAPEL]]),Tabela1768[Fechamento])</f>
        <v>0</v>
      </c>
      <c r="BB456" s="7">
        <f>SUMPRODUCT(N(Tabela17683[Código]=Tabela3[[#This Row],[PAPEL]]),Tabela17683[Fechamento])</f>
        <v>0</v>
      </c>
    </row>
    <row r="457" spans="1:54" hidden="1" x14ac:dyDescent="0.2">
      <c r="A457" s="3" t="s">
        <v>1090</v>
      </c>
      <c r="B457" s="58" t="s">
        <v>1087</v>
      </c>
      <c r="C457" s="16" t="str">
        <f>LEFT(Tabela3[PAPEL],LEN(Tabela3[PAPEL])-(LEN(Tabela3[PAPEL])-4))</f>
        <v>NAFG</v>
      </c>
      <c r="D457" s="16">
        <v>3</v>
      </c>
      <c r="E457" s="5">
        <v>90000000</v>
      </c>
      <c r="F457" s="56">
        <v>8065423</v>
      </c>
      <c r="G457" s="81">
        <v>0.25</v>
      </c>
      <c r="H457" s="87"/>
      <c r="I457" s="18">
        <v>0.06</v>
      </c>
      <c r="J457" s="18"/>
      <c r="K457" s="16"/>
      <c r="L457" s="87"/>
      <c r="M457" s="54"/>
      <c r="N457" s="54"/>
      <c r="O457" s="54"/>
      <c r="P457" s="91">
        <v>289903000</v>
      </c>
      <c r="Q457" s="73">
        <v>-10989000</v>
      </c>
      <c r="R457" s="73">
        <f>IF(Tabela3[[#This Row],[Ativo || Passivo]]&gt;0,Tabela3[[#This Row],[Ativo || Passivo]]-Tabela3[[#This Row],[Patrimônio Líquido]],0)</f>
        <v>0</v>
      </c>
      <c r="S457" s="73">
        <f>Tabela3[[#This Row],[Cotação]]*Tabela3[[#This Row],[Total Ações]]</f>
        <v>203685465</v>
      </c>
      <c r="T457" s="37">
        <f>IF(Tabela3[[#This Row],[Passivo Circulante]]&gt;0,Tabela3[[#This Row],[Ativo Circulante]]/Tabela3[[#This Row],[Passivo Circulante]],0)</f>
        <v>0</v>
      </c>
      <c r="U457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57" s="18">
        <f>IF(Tabela3[[#This Row],[Lucro Líquido]]&gt;0,Tabela3[[#This Row],[Lucro Líquido]]/Tabela3[[#This Row],[Patrimônio Líquido]],0)</f>
        <v>0</v>
      </c>
      <c r="W457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57" s="18">
        <f>IF(Tabela3[[#This Row],[Dívida]]&gt;0,Tabela3[[#This Row],[Dívida]]/Tabela3[[#This Row],[Patrimônio Líquido]],0)</f>
        <v>0</v>
      </c>
      <c r="Y457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57" s="7">
        <f>Tabela3[[#This Row],[Capital Social]]*20%</f>
        <v>18000000</v>
      </c>
      <c r="AA457" s="47">
        <f>IF((Tabela3[Lucro Líquido]*5%)&gt;Tabela3[Teto R. Legal],Tabela3[Teto R. Legal],Tabela3[Lucro Líquido]*5%)</f>
        <v>-549450</v>
      </c>
      <c r="AB457" s="47">
        <f>IF(Tabela3[Lucro Líquido]&lt;0,0,Tabela3[Lucro Líquido]-Tabela3[Reserva Legal])</f>
        <v>0</v>
      </c>
      <c r="AC457" s="47">
        <f>Tabela3[[#This Row],[Lucro Distribuir]]*Tabela3[%Div]</f>
        <v>0</v>
      </c>
      <c r="AD457" s="56">
        <f>SUMPRODUCT(N(Tabela3[Nome]=Tabela3[[#This Row],[Nome]]),Tabela3[Ações])</f>
        <v>13579031</v>
      </c>
      <c r="AE457" s="85">
        <f>Tabela3[Capital Social]/Tabela3[Total Ações]</f>
        <v>6.6278661562816961</v>
      </c>
      <c r="AF457" s="85">
        <f>Tabela3[[#This Row],[Lucro Líquido]]/Tabela3[[#This Row],[Total Ações]]</f>
        <v>-0.80926245768199512</v>
      </c>
      <c r="AG457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57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57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57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57" s="7">
        <f>Tabela3[Div Base]*Tabela3[Ações]</f>
        <v>0</v>
      </c>
      <c r="AL457" s="7">
        <f>SUMPRODUCT(N(Tabela3[Nome]=Tabela3[[#This Row],[Nome]]),Tabela3[Div Base]*Tabela3[Ações])</f>
        <v>0</v>
      </c>
      <c r="AM457" s="5">
        <f>Tabela3[Patrimônio Líquido]/Tabela3[Total Ações]</f>
        <v>21.34931424782814</v>
      </c>
      <c r="AN457" s="52">
        <f>MAX(Tabela3[[#This Row],[Cotação 1]:[Cotação 5]])</f>
        <v>15</v>
      </c>
      <c r="AO457" s="53">
        <f>Tabela3[Cotação]/Tabela3[VPA]</f>
        <v>0.70259867955833499</v>
      </c>
      <c r="AP457" s="37">
        <f>IF(Tabela3[[#This Row],[Lucro/Ação]]&gt;0,Tabela3[[#This Row],[Cotação]]/(Tabela3[[#This Row],[Lucro/Ação]]/Tabela3[Ref]*4),0)</f>
        <v>0</v>
      </c>
      <c r="AQ457" s="85">
        <f>Tabela3[Lucro Distribuir]/Tabela3[Total Ações]</f>
        <v>0</v>
      </c>
      <c r="AR457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57" s="10" t="str">
        <f>IF(AND(Tabela3[% A.A.]&gt;=6%,SUMPRODUCT(N(Tabela3[Nome]=Tabela3[[#This Row],[Nome]]),Tabela3[PL])&gt;0,Tabela3[Rentabilidade s/ PL]&gt;=Tabela3[Rentabilidade s/ PL Média]),"Sim","Não")</f>
        <v>Não</v>
      </c>
      <c r="AT457" s="22">
        <f>IF(Tabela3[Cotação]&gt;0,Tabela3[[#This Row],[Lucro]]/Tabela3[[#This Row],[Cotação]],0)</f>
        <v>0</v>
      </c>
      <c r="AU457" s="22">
        <f>((1+Tabela3[[#This Row],[% Yield]])^(1/(3*Tabela3[[#This Row],[Ref]])))^(12)-1</f>
        <v>0</v>
      </c>
      <c r="AV457" s="10">
        <f>IF(Tabela3[Cotação]&gt;0,($BD$1/Tabela3[[#This Row],[Cotação]]-MOD($BD$1/Tabela3[[#This Row],[Cotação]],100)),)</f>
        <v>0</v>
      </c>
      <c r="AW457" s="7">
        <f>Tabela3[[#This Row],[Ativos]]*Tabela3[Lucro]</f>
        <v>0</v>
      </c>
      <c r="AX457" s="7">
        <f>SUMPRODUCT(N(Tabela1[Código]=Tabela3[[#This Row],[PAPEL]]),Tabela1[Fechamento])</f>
        <v>0</v>
      </c>
      <c r="AY457" s="7">
        <f>SUMPRODUCT(N(Tabela17[Código]=Tabela3[[#This Row],[PAPEL]]),Tabela17[Fechamento])</f>
        <v>0</v>
      </c>
      <c r="AZ457" s="7">
        <f>SUMPRODUCT(N(Tabela176[Código]=Tabela3[[#This Row],[PAPEL]]),Tabela176[Fechamento])</f>
        <v>0</v>
      </c>
      <c r="BA457" s="7">
        <f>SUMPRODUCT(N(Tabela1768[Código]=Tabela3[[#This Row],[PAPEL]]),Tabela1768[Fechamento])</f>
        <v>15</v>
      </c>
      <c r="BB457" s="7">
        <f>SUMPRODUCT(N(Tabela17683[Código]=Tabela3[[#This Row],[PAPEL]]),Tabela17683[Fechamento])</f>
        <v>0</v>
      </c>
    </row>
    <row r="458" spans="1:54" hidden="1" x14ac:dyDescent="0.2">
      <c r="A458" s="4" t="s">
        <v>671</v>
      </c>
      <c r="B458" s="57" t="s">
        <v>332</v>
      </c>
      <c r="C458" s="15" t="str">
        <f>LEFT(Tabela3[PAPEL],LEN(Tabela3[PAPEL])-(LEN(Tabela3[PAPEL])-4))</f>
        <v>NUTR</v>
      </c>
      <c r="D458" s="15">
        <v>3</v>
      </c>
      <c r="E458" s="6">
        <v>22877961</v>
      </c>
      <c r="F458" s="8">
        <v>12414678</v>
      </c>
      <c r="G458" s="86">
        <v>0.25</v>
      </c>
      <c r="H458" s="15"/>
      <c r="I458" s="19"/>
      <c r="J458" s="19"/>
      <c r="K458" s="88"/>
      <c r="L458" s="88"/>
      <c r="M458" s="55"/>
      <c r="N458" s="55"/>
      <c r="O458" s="55"/>
      <c r="P458" s="92">
        <v>30416000</v>
      </c>
      <c r="Q458" s="93">
        <v>-2203000</v>
      </c>
      <c r="R458" s="93">
        <f>IF(Tabela3[[#This Row],[Ativo || Passivo]]&gt;0,Tabela3[[#This Row],[Ativo || Passivo]]-Tabela3[[#This Row],[Patrimônio Líquido]],0)</f>
        <v>0</v>
      </c>
      <c r="S458" s="93">
        <f>Tabela3[[#This Row],[Cotação]]*Tabela3[[#This Row],[Total Ações]]</f>
        <v>18746163.780000001</v>
      </c>
      <c r="T458" s="40">
        <f>IF(Tabela3[[#This Row],[Passivo Circulante]]&gt;0,Tabela3[[#This Row],[Ativo Circulante]]/Tabela3[[#This Row],[Passivo Circulante]],0)</f>
        <v>0</v>
      </c>
      <c r="U458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58" s="19">
        <f>IF(Tabela3[[#This Row],[Lucro Líquido]]&gt;0,Tabela3[[#This Row],[Lucro Líquido]]/Tabela3[[#This Row],[Patrimônio Líquido]],0)</f>
        <v>0</v>
      </c>
      <c r="W458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58" s="19">
        <f>IF(Tabela3[[#This Row],[Dívida]]&gt;0,Tabela3[[#This Row],[Dívida]]/Tabela3[[#This Row],[Patrimônio Líquido]],0)</f>
        <v>0</v>
      </c>
      <c r="Y458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58" s="13">
        <f>Tabela3[[#This Row],[Capital Social]]*20%</f>
        <v>4575592.2</v>
      </c>
      <c r="AA458" s="13">
        <f>IF((Tabela3[Lucro Líquido]*5%)&gt;Tabela3[Teto R. Legal],Tabela3[Teto R. Legal],Tabela3[Lucro Líquido]*5%)</f>
        <v>-110150</v>
      </c>
      <c r="AB458" s="13">
        <f>IF(Tabela3[Lucro Líquido]&lt;0,0,Tabela3[Lucro Líquido]-Tabela3[Reserva Legal])</f>
        <v>0</v>
      </c>
      <c r="AC458" s="13">
        <f>Tabela3[[#This Row],[Lucro Distribuir]]*Tabela3[%Div]</f>
        <v>0</v>
      </c>
      <c r="AD458" s="56">
        <f>SUMPRODUCT(N(Tabela3[Nome]=Tabela3[[#This Row],[Nome]]),Tabela3[Ações])</f>
        <v>12414678</v>
      </c>
      <c r="AE458" s="6">
        <f>Tabela3[Capital Social]/Tabela3[Total Ações]</f>
        <v>1.8428154963020387</v>
      </c>
      <c r="AF458" s="78">
        <f>Tabela3[[#This Row],[Lucro Líquido]]/Tabela3[[#This Row],[Total Ações]]</f>
        <v>-0.177451239573028</v>
      </c>
      <c r="AG458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58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58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58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58" s="13">
        <f>Tabela3[Div Base]*Tabela3[Ações]</f>
        <v>0</v>
      </c>
      <c r="AL458" s="13">
        <f>SUMPRODUCT(N(Tabela3[Nome]=Tabela3[[#This Row],[Nome]]),Tabela3[Div Base]*Tabela3[Ações])</f>
        <v>0</v>
      </c>
      <c r="AM458" s="6">
        <f>Tabela3[Patrimônio Líquido]/Tabela3[Total Ações]</f>
        <v>2.450003133387753</v>
      </c>
      <c r="AN458" s="48">
        <f>MAX(Tabela3[[#This Row],[Cotação 1]:[Cotação 5]])</f>
        <v>1.51</v>
      </c>
      <c r="AO458" s="44">
        <f>Tabela3[Cotação]/Tabela3[VPA]</f>
        <v>0.61632574237243554</v>
      </c>
      <c r="AP458" s="40">
        <f>IF(Tabela3[[#This Row],[Lucro/Ação]]&gt;0,Tabela3[[#This Row],[Cotação]]/(Tabela3[[#This Row],[Lucro/Ação]]/Tabela3[Ref]*4),0)</f>
        <v>0</v>
      </c>
      <c r="AQ458" s="78">
        <f>Tabela3[Lucro Distribuir]/Tabela3[Total Ações]</f>
        <v>0</v>
      </c>
      <c r="AR458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58" s="14" t="str">
        <f>IF(AND(Tabela3[% A.A.]&gt;=6%,SUMPRODUCT(N(Tabela3[Nome]=Tabela3[[#This Row],[Nome]]),Tabela3[PL])&gt;0,Tabela3[Rentabilidade s/ PL]&gt;=Tabela3[Rentabilidade s/ PL Média]),"Sim","Não")</f>
        <v>Não</v>
      </c>
      <c r="AT458" s="42">
        <f>IF(Tabela3[Cotação]&gt;0,Tabela3[[#This Row],[Lucro]]/Tabela3[[#This Row],[Cotação]],0)</f>
        <v>0</v>
      </c>
      <c r="AU458" s="42">
        <f>((1+Tabela3[[#This Row],[% Yield]])^(1/(3*Tabela3[[#This Row],[Ref]])))^(12)-1</f>
        <v>0</v>
      </c>
      <c r="AV458" s="14">
        <f>IF(Tabela3[Cotação]&gt;0,($BD$1/Tabela3[[#This Row],[Cotação]]-MOD($BD$1/Tabela3[[#This Row],[Cotação]],100)),)</f>
        <v>0</v>
      </c>
      <c r="AW458" s="17">
        <f>Tabela3[[#This Row],[Ativos]]*Tabela3[Lucro]</f>
        <v>0</v>
      </c>
      <c r="AX458" s="17">
        <f>SUMPRODUCT(N(Tabela1[Código]=Tabela3[[#This Row],[PAPEL]]),Tabela1[Fechamento])</f>
        <v>0</v>
      </c>
      <c r="AY458" s="17">
        <f>SUMPRODUCT(N(Tabela17[Código]=Tabela3[[#This Row],[PAPEL]]),Tabela17[Fechamento])</f>
        <v>1.51</v>
      </c>
      <c r="AZ458" s="17">
        <f>SUMPRODUCT(N(Tabela176[Código]=Tabela3[[#This Row],[PAPEL]]),Tabela176[Fechamento])</f>
        <v>1.51</v>
      </c>
      <c r="BA458" s="17">
        <f>SUMPRODUCT(N(Tabela1768[Código]=Tabela3[[#This Row],[PAPEL]]),Tabela1768[Fechamento])</f>
        <v>0</v>
      </c>
      <c r="BB458" s="7">
        <f>SUMPRODUCT(N(Tabela17683[Código]=Tabela3[[#This Row],[PAPEL]]),Tabela17683[Fechamento])</f>
        <v>0</v>
      </c>
    </row>
    <row r="459" spans="1:54" hidden="1" x14ac:dyDescent="0.2">
      <c r="A459" s="4" t="s">
        <v>244</v>
      </c>
      <c r="B459" s="129" t="s">
        <v>601</v>
      </c>
      <c r="C459" s="15" t="str">
        <f>LEFT(Tabela3[PAPEL],LEN(Tabela3[PAPEL])-(LEN(Tabela3[PAPEL])-4))</f>
        <v>OGXP</v>
      </c>
      <c r="D459" s="15">
        <v>3</v>
      </c>
      <c r="E459" s="6">
        <v>9058105645.2999992</v>
      </c>
      <c r="F459" s="8">
        <v>3236016790</v>
      </c>
      <c r="G459" s="86">
        <v>1.0000000000000001E-5</v>
      </c>
      <c r="H459" s="9"/>
      <c r="I459" s="9"/>
      <c r="J459" s="19"/>
      <c r="K459" s="88"/>
      <c r="L459" s="88"/>
      <c r="M459" s="55"/>
      <c r="N459" s="55"/>
      <c r="O459" s="55"/>
      <c r="P459" s="6">
        <v>61509000</v>
      </c>
      <c r="Q459" s="93">
        <v>-7648799000</v>
      </c>
      <c r="R459" s="93">
        <f>IF(Tabela3[[#This Row],[Ativo || Passivo]]&gt;0,Tabela3[[#This Row],[Ativo || Passivo]]-Tabela3[[#This Row],[Patrimônio Líquido]],0)</f>
        <v>0</v>
      </c>
      <c r="S459" s="93">
        <f>Tabela3[[#This Row],[Cotação]]*Tabela3[[#This Row],[Total Ações]]</f>
        <v>0</v>
      </c>
      <c r="T459" s="40">
        <f>IF(Tabela3[[#This Row],[Passivo Circulante]]&gt;0,Tabela3[[#This Row],[Ativo Circulante]]/Tabela3[[#This Row],[Passivo Circulante]],0)</f>
        <v>0</v>
      </c>
      <c r="U459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59" s="19">
        <f>IF(Tabela3[[#This Row],[Lucro Líquido]]&gt;0,Tabela3[[#This Row],[Lucro Líquido]]/Tabela3[[#This Row],[Patrimônio Líquido]],0)</f>
        <v>0</v>
      </c>
      <c r="W459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59" s="19">
        <f>IF(Tabela3[[#This Row],[Dívida]]&gt;0,Tabela3[[#This Row],[Dívida]]/Tabela3[[#This Row],[Patrimônio Líquido]],0)</f>
        <v>0</v>
      </c>
      <c r="Y459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59" s="13">
        <f>Tabela3[[#This Row],[Capital Social]]*20%</f>
        <v>1811621129.0599999</v>
      </c>
      <c r="AA459" s="13">
        <f>IF((Tabela3[Lucro Líquido]*5%)&gt;Tabela3[Teto R. Legal],Tabela3[Teto R. Legal],Tabela3[Lucro Líquido]*5%)</f>
        <v>-382439950</v>
      </c>
      <c r="AB459" s="13">
        <f>IF(Tabela3[Lucro Líquido]&lt;0,0,Tabela3[Lucro Líquido]-Tabela3[Reserva Legal])</f>
        <v>0</v>
      </c>
      <c r="AC459" s="13">
        <f>Tabela3[[#This Row],[Lucro Distribuir]]*Tabela3[%Div]</f>
        <v>0</v>
      </c>
      <c r="AD459" s="56">
        <f>SUMPRODUCT(N(Tabela3[Nome]=Tabela3[[#This Row],[Nome]]),Tabela3[Ações])</f>
        <v>3236016790</v>
      </c>
      <c r="AE459" s="6">
        <f>Tabela3[Capital Social]/Tabela3[Total Ações]</f>
        <v>2.7991528577019524</v>
      </c>
      <c r="AF459" s="78">
        <f>Tabela3[[#This Row],[Lucro Líquido]]/Tabela3[[#This Row],[Total Ações]]</f>
        <v>-2.3636462652593346</v>
      </c>
      <c r="AG459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59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59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59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59" s="13">
        <f>Tabela3[Div Base]*Tabela3[Ações]</f>
        <v>0</v>
      </c>
      <c r="AL459" s="13">
        <f>SUMPRODUCT(N(Tabela3[Nome]=Tabela3[[#This Row],[Nome]]),Tabela3[Div Base]*Tabela3[Ações])</f>
        <v>0</v>
      </c>
      <c r="AM459" s="6">
        <f>Tabela3[Patrimônio Líquido]/Tabela3[Total Ações]</f>
        <v>1.9007626965989878E-2</v>
      </c>
      <c r="AN459" s="48">
        <f>MAX(Tabela3[[#This Row],[Cotação 1]:[Cotação 5]])</f>
        <v>0</v>
      </c>
      <c r="AO459" s="44">
        <f>Tabela3[Cotação]/Tabela3[VPA]</f>
        <v>0</v>
      </c>
      <c r="AP459" s="40">
        <f>IF(Tabela3[[#This Row],[Lucro/Ação]]&gt;0,Tabela3[[#This Row],[Cotação]]/(Tabela3[[#This Row],[Lucro/Ação]]/Tabela3[Ref]*4),0)</f>
        <v>0</v>
      </c>
      <c r="AQ459" s="78">
        <f>Tabela3[Lucro Distribuir]/Tabela3[Total Ações]</f>
        <v>0</v>
      </c>
      <c r="AR459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59" s="14" t="str">
        <f>IF(AND(Tabela3[% A.A.]&gt;=6%,SUMPRODUCT(N(Tabela3[Nome]=Tabela3[[#This Row],[Nome]]),Tabela3[PL])&gt;0,Tabela3[Rentabilidade s/ PL]&gt;=Tabela3[Rentabilidade s/ PL Média]),"Sim","Não")</f>
        <v>Não</v>
      </c>
      <c r="AT459" s="42">
        <f>IF(Tabela3[Cotação]&gt;0,Tabela3[[#This Row],[Lucro]]/Tabela3[[#This Row],[Cotação]],0)</f>
        <v>0</v>
      </c>
      <c r="AU459" s="42">
        <f>((1+Tabela3[[#This Row],[% Yield]])^(1/(3*Tabela3[[#This Row],[Ref]])))^(12)-1</f>
        <v>0</v>
      </c>
      <c r="AV459" s="14">
        <f>IF(Tabela3[Cotação]&gt;0,($BD$1/Tabela3[[#This Row],[Cotação]]-MOD($BD$1/Tabela3[[#This Row],[Cotação]],100)),)</f>
        <v>0</v>
      </c>
      <c r="AW459" s="17">
        <f>Tabela3[[#This Row],[Ativos]]*Tabela3[Lucro]</f>
        <v>0</v>
      </c>
      <c r="AX459" s="17">
        <f>SUMPRODUCT(N(Tabela1[Código]=Tabela3[[#This Row],[PAPEL]]),Tabela1[Fechamento])</f>
        <v>0</v>
      </c>
      <c r="AY459" s="17">
        <f>SUMPRODUCT(N(Tabela17[Código]=Tabela3[[#This Row],[PAPEL]]),Tabela17[Fechamento])</f>
        <v>0</v>
      </c>
      <c r="AZ459" s="17">
        <f>SUMPRODUCT(N(Tabela176[Código]=Tabela3[[#This Row],[PAPEL]]),Tabela176[Fechamento])</f>
        <v>0</v>
      </c>
      <c r="BA459" s="17">
        <f>SUMPRODUCT(N(Tabela1768[Código]=Tabela3[[#This Row],[PAPEL]]),Tabela1768[Fechamento])</f>
        <v>0</v>
      </c>
      <c r="BB459" s="7">
        <f>SUMPRODUCT(N(Tabela17683[Código]=Tabela3[[#This Row],[PAPEL]]),Tabela17683[Fechamento])</f>
        <v>0</v>
      </c>
    </row>
    <row r="460" spans="1:54" hidden="1" x14ac:dyDescent="0.2">
      <c r="A460" s="4" t="s">
        <v>606</v>
      </c>
      <c r="B460" s="128" t="s">
        <v>607</v>
      </c>
      <c r="C460" s="15" t="str">
        <f>LEFT(Tabela3[PAPEL],LEN(Tabela3[PAPEL])-(LEN(Tabela3[PAPEL])-4))</f>
        <v>OSXB</v>
      </c>
      <c r="D460" s="15">
        <v>3</v>
      </c>
      <c r="E460" s="6">
        <v>3775591929.5300002</v>
      </c>
      <c r="F460" s="8">
        <v>312563568</v>
      </c>
      <c r="G460" s="86">
        <v>1.0000000000000001E-5</v>
      </c>
      <c r="H460" s="9"/>
      <c r="I460" s="19"/>
      <c r="J460" s="19"/>
      <c r="K460" s="88"/>
      <c r="L460" s="88"/>
      <c r="M460" s="55"/>
      <c r="N460" s="55"/>
      <c r="O460" s="55"/>
      <c r="P460" s="92">
        <v>2385412000</v>
      </c>
      <c r="Q460" s="93">
        <v>-1939413000</v>
      </c>
      <c r="R460" s="93">
        <f>IF(Tabela3[[#This Row],[Ativo || Passivo]]&gt;0,Tabela3[[#This Row],[Ativo || Passivo]]-Tabela3[[#This Row],[Patrimônio Líquido]],0)</f>
        <v>0</v>
      </c>
      <c r="S460" s="93">
        <f>Tabela3[[#This Row],[Cotação]]*Tabela3[[#This Row],[Total Ações]]</f>
        <v>0</v>
      </c>
      <c r="T460" s="40">
        <f>IF(Tabela3[[#This Row],[Passivo Circulante]]&gt;0,Tabela3[[#This Row],[Ativo Circulante]]/Tabela3[[#This Row],[Passivo Circulante]],0)</f>
        <v>0</v>
      </c>
      <c r="U460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60" s="19">
        <f>IF(Tabela3[[#This Row],[Lucro Líquido]]&gt;0,Tabela3[[#This Row],[Lucro Líquido]]/Tabela3[[#This Row],[Patrimônio Líquido]],0)</f>
        <v>0</v>
      </c>
      <c r="W460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60" s="19">
        <f>IF(Tabela3[[#This Row],[Dívida]]&gt;0,Tabela3[[#This Row],[Dívida]]/Tabela3[[#This Row],[Patrimônio Líquido]],0)</f>
        <v>0</v>
      </c>
      <c r="Y460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60" s="13">
        <f>Tabela3[[#This Row],[Capital Social]]*20%</f>
        <v>755118385.90600014</v>
      </c>
      <c r="AA460" s="13">
        <f>IF((Tabela3[Lucro Líquido]*5%)&gt;Tabela3[Teto R. Legal],Tabela3[Teto R. Legal],Tabela3[Lucro Líquido]*5%)</f>
        <v>-96970650</v>
      </c>
      <c r="AB460" s="13">
        <f>IF(Tabela3[Lucro Líquido]&lt;0,0,Tabela3[Lucro Líquido]-Tabela3[Reserva Legal])</f>
        <v>0</v>
      </c>
      <c r="AC460" s="13">
        <f>Tabela3[[#This Row],[Lucro Distribuir]]*Tabela3[%Div]</f>
        <v>0</v>
      </c>
      <c r="AD460" s="56">
        <f>SUMPRODUCT(N(Tabela3[Nome]=Tabela3[[#This Row],[Nome]]),Tabela3[Ações])</f>
        <v>312563568</v>
      </c>
      <c r="AE460" s="6">
        <f>Tabela3[Capital Social]/Tabela3[Total Ações]</f>
        <v>12.079437004411211</v>
      </c>
      <c r="AF460" s="78">
        <f>Tabela3[[#This Row],[Lucro Líquido]]/Tabela3[[#This Row],[Total Ações]]</f>
        <v>-6.2048594223879601</v>
      </c>
      <c r="AG460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60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60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60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60" s="13">
        <f>Tabela3[Div Base]*Tabela3[Ações]</f>
        <v>0</v>
      </c>
      <c r="AL460" s="13">
        <f>SUMPRODUCT(N(Tabela3[Nome]=Tabela3[[#This Row],[Nome]]),Tabela3[Div Base]*Tabela3[Ações])</f>
        <v>0</v>
      </c>
      <c r="AM460" s="6">
        <f>Tabela3[Patrimônio Líquido]/Tabela3[Total Ações]</f>
        <v>7.6317659644837432</v>
      </c>
      <c r="AN460" s="48">
        <f>MAX(Tabela3[[#This Row],[Cotação 1]:[Cotação 5]])</f>
        <v>0</v>
      </c>
      <c r="AO460" s="44">
        <f>Tabela3[Cotação]/Tabela3[VPA]</f>
        <v>0</v>
      </c>
      <c r="AP460" s="40">
        <f>IF(Tabela3[[#This Row],[Lucro/Ação]]&gt;0,Tabela3[[#This Row],[Cotação]]/(Tabela3[[#This Row],[Lucro/Ação]]/Tabela3[Ref]*4),0)</f>
        <v>0</v>
      </c>
      <c r="AQ460" s="78">
        <f>Tabela3[Lucro Distribuir]/Tabela3[Total Ações]</f>
        <v>0</v>
      </c>
      <c r="AR460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60" s="14" t="str">
        <f>IF(AND(Tabela3[% A.A.]&gt;=6%,SUMPRODUCT(N(Tabela3[Nome]=Tabela3[[#This Row],[Nome]]),Tabela3[PL])&gt;0,Tabela3[Rentabilidade s/ PL]&gt;=Tabela3[Rentabilidade s/ PL Média]),"Sim","Não")</f>
        <v>Não</v>
      </c>
      <c r="AT460" s="42">
        <f>IF(Tabela3[Cotação]&gt;0,Tabela3[[#This Row],[Lucro]]/Tabela3[[#This Row],[Cotação]],0)</f>
        <v>0</v>
      </c>
      <c r="AU460" s="42">
        <f>((1+Tabela3[[#This Row],[% Yield]])^(1/(3*Tabela3[[#This Row],[Ref]])))^(12)-1</f>
        <v>0</v>
      </c>
      <c r="AV460" s="14">
        <f>IF(Tabela3[Cotação]&gt;0,($BD$1/Tabela3[[#This Row],[Cotação]]-MOD($BD$1/Tabela3[[#This Row],[Cotação]],100)),)</f>
        <v>0</v>
      </c>
      <c r="AW460" s="17">
        <f>Tabela3[[#This Row],[Ativos]]*Tabela3[Lucro]</f>
        <v>0</v>
      </c>
      <c r="AX460" s="17">
        <f>SUMPRODUCT(N(Tabela1[Código]=Tabela3[[#This Row],[PAPEL]]),Tabela1[Fechamento])</f>
        <v>0</v>
      </c>
      <c r="AY460" s="17">
        <f>SUMPRODUCT(N(Tabela17[Código]=Tabela3[[#This Row],[PAPEL]]),Tabela17[Fechamento])</f>
        <v>0</v>
      </c>
      <c r="AZ460" s="17">
        <f>SUMPRODUCT(N(Tabela176[Código]=Tabela3[[#This Row],[PAPEL]]),Tabela176[Fechamento])</f>
        <v>0</v>
      </c>
      <c r="BA460" s="17">
        <f>SUMPRODUCT(N(Tabela1768[Código]=Tabela3[[#This Row],[PAPEL]]),Tabela1768[Fechamento])</f>
        <v>0</v>
      </c>
      <c r="BB460" s="7">
        <f>SUMPRODUCT(N(Tabela17683[Código]=Tabela3[[#This Row],[PAPEL]]),Tabela17683[Fechamento])</f>
        <v>0</v>
      </c>
    </row>
    <row r="461" spans="1:54" hidden="1" x14ac:dyDescent="0.2">
      <c r="A461" s="3" t="s">
        <v>1330</v>
      </c>
      <c r="B461" s="57" t="s">
        <v>1362</v>
      </c>
      <c r="C461" s="16" t="str">
        <f>LEFT(Tabela3[PAPEL],LEN(Tabela3[PAPEL])-(LEN(Tabela3[PAPEL])-4))</f>
        <v>PDGR</v>
      </c>
      <c r="D461" s="16">
        <v>4</v>
      </c>
      <c r="E461" s="5">
        <v>4960079848.04</v>
      </c>
      <c r="F461" s="56">
        <v>1339547923</v>
      </c>
      <c r="G461" s="81">
        <v>0.25</v>
      </c>
      <c r="H461" s="87"/>
      <c r="J461" s="18"/>
      <c r="K461" s="16"/>
      <c r="L461" s="87"/>
      <c r="M461" s="54"/>
      <c r="N461" s="54"/>
      <c r="O461" s="54"/>
      <c r="P461" s="91">
        <v>4703629000</v>
      </c>
      <c r="Q461" s="73">
        <v>-270987000</v>
      </c>
      <c r="R461" s="73">
        <f>IF(Tabela3[[#This Row],[Ativo || Passivo]]&gt;0,Tabela3[[#This Row],[Ativo || Passivo]]-Tabela3[[#This Row],[Patrimônio Líquido]],0)</f>
        <v>0</v>
      </c>
      <c r="S461" s="73">
        <f>Tabela3[[#This Row],[Cotação]]*Tabela3[[#This Row],[Total Ações]]</f>
        <v>2129881197.5700002</v>
      </c>
      <c r="T461" s="37">
        <f>IF(Tabela3[[#This Row],[Passivo Circulante]]&gt;0,Tabela3[[#This Row],[Ativo Circulante]]/Tabela3[[#This Row],[Passivo Circulante]],0)</f>
        <v>0</v>
      </c>
      <c r="U461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61" s="18">
        <f>IF(Tabela3[[#This Row],[Lucro Líquido]]&gt;0,Tabela3[[#This Row],[Lucro Líquido]]/Tabela3[[#This Row],[Patrimônio Líquido]],0)</f>
        <v>0</v>
      </c>
      <c r="W461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61" s="18">
        <f>IF(Tabela3[[#This Row],[Dívida]]&gt;0,Tabela3[[#This Row],[Dívida]]/Tabela3[[#This Row],[Patrimônio Líquido]],0)</f>
        <v>0</v>
      </c>
      <c r="Y461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61" s="7">
        <f>Tabela3[[#This Row],[Capital Social]]*20%</f>
        <v>992015969.60800004</v>
      </c>
      <c r="AA461" s="47">
        <f>IF((Tabela3[Lucro Líquido]*5%)&gt;Tabela3[Teto R. Legal],Tabela3[Teto R. Legal],Tabela3[Lucro Líquido]*5%)</f>
        <v>-13549350</v>
      </c>
      <c r="AB461" s="47">
        <f>IF(Tabela3[Lucro Líquido]&lt;0,0,Tabela3[Lucro Líquido]-Tabela3[Reserva Legal])</f>
        <v>0</v>
      </c>
      <c r="AC461" s="47">
        <f>Tabela3[[#This Row],[Lucro Distribuir]]*Tabela3[%Div]</f>
        <v>0</v>
      </c>
      <c r="AD461" s="56">
        <f>SUMPRODUCT(N(Tabela3[Nome]=Tabela3[[#This Row],[Nome]]),Tabela3[Ações])</f>
        <v>1339547923</v>
      </c>
      <c r="AE461" s="85">
        <f>Tabela3[Capital Social]/Tabela3[Total Ações]</f>
        <v>3.7028013428079496</v>
      </c>
      <c r="AF461" s="85">
        <f>Tabela3[[#This Row],[Lucro Líquido]]/Tabela3[[#This Row],[Total Ações]]</f>
        <v>-0.20229735371699725</v>
      </c>
      <c r="AG461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61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61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61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61" s="7">
        <f>Tabela3[Div Base]*Tabela3[Ações]</f>
        <v>0</v>
      </c>
      <c r="AL461" s="121">
        <f>SUMPRODUCT(N(Tabela3[Nome]=Tabela3[[#This Row],[Nome]]),Tabela3[Div Base]*Tabela3[Ações])</f>
        <v>0</v>
      </c>
      <c r="AM461" s="5">
        <f>Tabela3[Patrimônio Líquido]/Tabela3[Total Ações]</f>
        <v>3.5113555246802468</v>
      </c>
      <c r="AN461" s="52">
        <f>MAX(Tabela3[[#This Row],[Cotação 1]:[Cotação 5]])</f>
        <v>1.59</v>
      </c>
      <c r="AO461" s="53">
        <f>Tabela3[Cotação]/Tabela3[VPA]</f>
        <v>0.45281658004277126</v>
      </c>
      <c r="AP461" s="37">
        <f>IF(Tabela3[[#This Row],[Lucro/Ação]]&gt;0,Tabela3[[#This Row],[Cotação]]/(Tabela3[[#This Row],[Lucro/Ação]]/Tabela3[Ref]*4),0)</f>
        <v>0</v>
      </c>
      <c r="AQ461" s="85">
        <f>Tabela3[Lucro Distribuir]/Tabela3[Total Ações]</f>
        <v>0</v>
      </c>
      <c r="AR461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61" s="10" t="str">
        <f>IF(AND(Tabela3[% A.A.]&gt;=6%,SUMPRODUCT(N(Tabela3[Nome]=Tabela3[[#This Row],[Nome]]),Tabela3[PL])&gt;0,Tabela3[Rentabilidade s/ PL]&gt;=Tabela3[Rentabilidade s/ PL Média]),"Sim","Não")</f>
        <v>Não</v>
      </c>
      <c r="AT461" s="22">
        <f>IF(Tabela3[Cotação]&gt;0,Tabela3[[#This Row],[Lucro]]/Tabela3[[#This Row],[Cotação]],0)</f>
        <v>0</v>
      </c>
      <c r="AU461" s="22">
        <f>((1+Tabela3[[#This Row],[% Yield]])^(1/(3*Tabela3[[#This Row],[Ref]])))^(12)-1</f>
        <v>0</v>
      </c>
      <c r="AV461" s="10">
        <f>IF(Tabela3[Cotação]&gt;0,($BD$1/Tabela3[[#This Row],[Cotação]]-MOD($BD$1/Tabela3[[#This Row],[Cotação]],100)),)</f>
        <v>0</v>
      </c>
      <c r="AW461" s="7">
        <f>Tabela3[[#This Row],[Ativos]]*Tabela3[Lucro]</f>
        <v>0</v>
      </c>
      <c r="AX461" s="7">
        <f>SUMPRODUCT(N(Tabela1[Código]=Tabela3[[#This Row],[PAPEL]]),Tabela1[Fechamento])</f>
        <v>0</v>
      </c>
      <c r="AY461" s="7">
        <f>SUMPRODUCT(N(Tabela17[Código]=Tabela3[[#This Row],[PAPEL]]),Tabela17[Fechamento])</f>
        <v>0</v>
      </c>
      <c r="AZ461" s="7">
        <f>SUMPRODUCT(N(Tabela176[Código]=Tabela3[[#This Row],[PAPEL]]),Tabela176[Fechamento])</f>
        <v>0</v>
      </c>
      <c r="BA461" s="7">
        <f>SUMPRODUCT(N(Tabela1768[Código]=Tabela3[[#This Row],[PAPEL]]),Tabela1768[Fechamento])</f>
        <v>1.59</v>
      </c>
      <c r="BB461" s="7">
        <f>SUMPRODUCT(N(Tabela17683[Código]=Tabela3[[#This Row],[PAPEL]]),Tabela17683[Fechamento])</f>
        <v>0</v>
      </c>
    </row>
    <row r="462" spans="1:54" hidden="1" x14ac:dyDescent="0.2">
      <c r="A462" s="3" t="s">
        <v>1709</v>
      </c>
      <c r="B462" s="57" t="s">
        <v>1669</v>
      </c>
      <c r="C462" s="16" t="str">
        <f>LEFT(Tabela3[PAPEL],LEN(Tabela3[PAPEL])-(LEN(Tabela3[PAPEL])-4))</f>
        <v>PLAS</v>
      </c>
      <c r="D462" s="16">
        <v>3</v>
      </c>
      <c r="E462" s="5">
        <v>289080000</v>
      </c>
      <c r="F462" s="56">
        <v>242017574</v>
      </c>
      <c r="G462" s="81">
        <v>0.25</v>
      </c>
      <c r="H462" s="87"/>
      <c r="J462" s="18"/>
      <c r="K462" s="16"/>
      <c r="L462" s="87"/>
      <c r="M462" s="54"/>
      <c r="N462" s="54"/>
      <c r="O462" s="54"/>
      <c r="P462" s="91">
        <v>368006000</v>
      </c>
      <c r="Q462" s="73">
        <v>-54443000</v>
      </c>
      <c r="R462" s="73">
        <f>IF(Tabela3[[#This Row],[Ativo || Passivo]]&gt;0,Tabela3[[#This Row],[Ativo || Passivo]]-Tabela3[[#This Row],[Patrimônio Líquido]],0)</f>
        <v>0</v>
      </c>
      <c r="S462" s="73">
        <f>Tabela3[[#This Row],[Cotação]]*Tabela3[[#This Row],[Total Ações]]</f>
        <v>99227205.339999989</v>
      </c>
      <c r="T462" s="37">
        <f>IF(Tabela3[[#This Row],[Passivo Circulante]]&gt;0,Tabela3[[#This Row],[Ativo Circulante]]/Tabela3[[#This Row],[Passivo Circulante]],0)</f>
        <v>0</v>
      </c>
      <c r="U462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62" s="18">
        <f>IF(Tabela3[[#This Row],[Lucro Líquido]]&gt;0,Tabela3[[#This Row],[Lucro Líquido]]/Tabela3[[#This Row],[Patrimônio Líquido]],0)</f>
        <v>0</v>
      </c>
      <c r="W462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62" s="18">
        <f>IF(Tabela3[[#This Row],[Dívida]]&gt;0,Tabela3[[#This Row],[Dívida]]/Tabela3[[#This Row],[Patrimônio Líquido]],0)</f>
        <v>0</v>
      </c>
      <c r="Y462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62" s="7">
        <f>Tabela3[[#This Row],[Capital Social]]*20%</f>
        <v>57816000</v>
      </c>
      <c r="AA462" s="47">
        <f>IF((Tabela3[Lucro Líquido]*5%)&gt;Tabela3[Teto R. Legal],Tabela3[Teto R. Legal],Tabela3[Lucro Líquido]*5%)</f>
        <v>-2722150</v>
      </c>
      <c r="AB462" s="47">
        <f>IF(Tabela3[Lucro Líquido]&lt;0,0,Tabela3[Lucro Líquido]-Tabela3[Reserva Legal])</f>
        <v>0</v>
      </c>
      <c r="AC462" s="47">
        <f>Tabela3[[#This Row],[Lucro Distribuir]]*Tabela3[%Div]</f>
        <v>0</v>
      </c>
      <c r="AD462" s="56">
        <f>SUMPRODUCT(N(Tabela3[Nome]=Tabela3[[#This Row],[Nome]]),Tabela3[Ações])</f>
        <v>242017574</v>
      </c>
      <c r="AE462" s="85">
        <f>Tabela3[Capital Social]/Tabela3[Total Ações]</f>
        <v>1.1944587131511366</v>
      </c>
      <c r="AF462" s="85">
        <f>Tabela3[[#This Row],[Lucro Líquido]]/Tabela3[[#This Row],[Total Ações]]</f>
        <v>-0.22495473820425949</v>
      </c>
      <c r="AG462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62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62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62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62" s="7">
        <f>Tabela3[Div Base]*Tabela3[Ações]</f>
        <v>0</v>
      </c>
      <c r="AL462" s="121">
        <f>SUMPRODUCT(N(Tabela3[Nome]=Tabela3[[#This Row],[Nome]]),Tabela3[Div Base]*Tabela3[Ações])</f>
        <v>0</v>
      </c>
      <c r="AM462" s="5">
        <f>Tabela3[Patrimônio Líquido]/Tabela3[Total Ações]</f>
        <v>1.5205755264698257</v>
      </c>
      <c r="AN462" s="52">
        <f>MAX(Tabela3[[#This Row],[Cotação 1]:[Cotação 5]])</f>
        <v>0.41</v>
      </c>
      <c r="AO462" s="53">
        <f>Tabela3[Cotação]/Tabela3[VPA]</f>
        <v>0.26963474872692289</v>
      </c>
      <c r="AP462" s="37">
        <f>IF(Tabela3[[#This Row],[Lucro/Ação]]&gt;0,Tabela3[[#This Row],[Cotação]]/(Tabela3[[#This Row],[Lucro/Ação]]/Tabela3[Ref]*4),0)</f>
        <v>0</v>
      </c>
      <c r="AQ462" s="85">
        <f>Tabela3[Lucro Distribuir]/Tabela3[Total Ações]</f>
        <v>0</v>
      </c>
      <c r="AR462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62" s="10" t="str">
        <f>IF(AND(Tabela3[% A.A.]&gt;=6%,SUMPRODUCT(N(Tabela3[Nome]=Tabela3[[#This Row],[Nome]]),Tabela3[PL])&gt;0,Tabela3[Rentabilidade s/ PL]&gt;=Tabela3[Rentabilidade s/ PL Média]),"Sim","Não")</f>
        <v>Não</v>
      </c>
      <c r="AT462" s="22">
        <f>IF(Tabela3[Cotação]&gt;0,Tabela3[[#This Row],[Lucro]]/Tabela3[[#This Row],[Cotação]],0)</f>
        <v>0</v>
      </c>
      <c r="AU462" s="22">
        <f>((1+Tabela3[[#This Row],[% Yield]])^(1/(3*Tabela3[[#This Row],[Ref]])))^(12)-1</f>
        <v>0</v>
      </c>
      <c r="AV462" s="10">
        <f>IF(Tabela3[Cotação]&gt;0,($BD$1/Tabela3[[#This Row],[Cotação]]-MOD($BD$1/Tabela3[[#This Row],[Cotação]],100)),)</f>
        <v>0</v>
      </c>
      <c r="AW462" s="7">
        <f>Tabela3[[#This Row],[Ativos]]*Tabela3[Lucro]</f>
        <v>0</v>
      </c>
      <c r="AX462" s="7">
        <f>SUMPRODUCT(N(Tabela1[Código]=Tabela3[[#This Row],[PAPEL]]),Tabela1[Fechamento])</f>
        <v>0</v>
      </c>
      <c r="AY462" s="7">
        <f>SUMPRODUCT(N(Tabela17[Código]=Tabela3[[#This Row],[PAPEL]]),Tabela17[Fechamento])</f>
        <v>0</v>
      </c>
      <c r="AZ462" s="7">
        <f>SUMPRODUCT(N(Tabela176[Código]=Tabela3[[#This Row],[PAPEL]]),Tabela176[Fechamento])</f>
        <v>0</v>
      </c>
      <c r="BA462" s="7">
        <f>SUMPRODUCT(N(Tabela1768[Código]=Tabela3[[#This Row],[PAPEL]]),Tabela1768[Fechamento])</f>
        <v>0</v>
      </c>
      <c r="BB462" s="7">
        <f>SUMPRODUCT(N(Tabela17683[Código]=Tabela3[[#This Row],[PAPEL]]),Tabela17683[Fechamento])</f>
        <v>0.41</v>
      </c>
    </row>
    <row r="463" spans="1:54" hidden="1" x14ac:dyDescent="0.2">
      <c r="A463" s="4" t="s">
        <v>594</v>
      </c>
      <c r="B463" s="57" t="s">
        <v>597</v>
      </c>
      <c r="C463" s="15" t="str">
        <f>LEFT(Tabela3[PAPEL],LEN(Tabela3[PAPEL])-(LEN(Tabela3[PAPEL])-4))</f>
        <v>POSI</v>
      </c>
      <c r="D463" s="15">
        <v>3</v>
      </c>
      <c r="E463" s="6">
        <v>389000000</v>
      </c>
      <c r="F463" s="8">
        <v>87800000</v>
      </c>
      <c r="G463" s="86">
        <v>0.25</v>
      </c>
      <c r="H463" s="15"/>
      <c r="I463" s="19"/>
      <c r="J463" s="19"/>
      <c r="K463" s="88"/>
      <c r="L463" s="88"/>
      <c r="M463" s="55"/>
      <c r="N463" s="55"/>
      <c r="O463" s="55"/>
      <c r="P463" s="92">
        <v>621764000</v>
      </c>
      <c r="Q463" s="93">
        <v>-15359000</v>
      </c>
      <c r="R463" s="93">
        <f>IF(Tabela3[[#This Row],[Ativo || Passivo]]&gt;0,Tabela3[[#This Row],[Ativo || Passivo]]-Tabela3[[#This Row],[Patrimônio Líquido]],0)</f>
        <v>0</v>
      </c>
      <c r="S463" s="93">
        <f>Tabela3[[#This Row],[Cotação]]*Tabela3[[#This Row],[Total Ações]]</f>
        <v>230036000</v>
      </c>
      <c r="T463" s="40">
        <f>IF(Tabela3[[#This Row],[Passivo Circulante]]&gt;0,Tabela3[[#This Row],[Ativo Circulante]]/Tabela3[[#This Row],[Passivo Circulante]],0)</f>
        <v>0</v>
      </c>
      <c r="U463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63" s="19">
        <f>IF(Tabela3[[#This Row],[Lucro Líquido]]&gt;0,Tabela3[[#This Row],[Lucro Líquido]]/Tabela3[[#This Row],[Patrimônio Líquido]],0)</f>
        <v>0</v>
      </c>
      <c r="W463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63" s="19">
        <f>IF(Tabela3[[#This Row],[Dívida]]&gt;0,Tabela3[[#This Row],[Dívida]]/Tabela3[[#This Row],[Patrimônio Líquido]],0)</f>
        <v>0</v>
      </c>
      <c r="Y463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63" s="13">
        <f>Tabela3[[#This Row],[Capital Social]]*20%</f>
        <v>77800000</v>
      </c>
      <c r="AA463" s="13">
        <f>IF((Tabela3[Lucro Líquido]*5%)&gt;Tabela3[Teto R. Legal],Tabela3[Teto R. Legal],Tabela3[Lucro Líquido]*5%)</f>
        <v>-767950</v>
      </c>
      <c r="AB463" s="13">
        <f>IF(Tabela3[Lucro Líquido]&lt;0,0,Tabela3[Lucro Líquido]-Tabela3[Reserva Legal])</f>
        <v>0</v>
      </c>
      <c r="AC463" s="13">
        <f>Tabela3[[#This Row],[Lucro Distribuir]]*Tabela3[%Div]</f>
        <v>0</v>
      </c>
      <c r="AD463" s="56">
        <f>SUMPRODUCT(N(Tabela3[Nome]=Tabela3[[#This Row],[Nome]]),Tabela3[Ações])</f>
        <v>87800000</v>
      </c>
      <c r="AE463" s="6">
        <f>Tabela3[Capital Social]/Tabela3[Total Ações]</f>
        <v>4.4305239179954441</v>
      </c>
      <c r="AF463" s="78">
        <f>Tabela3[[#This Row],[Lucro Líquido]]/Tabela3[[#This Row],[Total Ações]]</f>
        <v>-0.17493166287015946</v>
      </c>
      <c r="AG463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63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63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63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63" s="13">
        <f>Tabela3[Div Base]*Tabela3[Ações]</f>
        <v>0</v>
      </c>
      <c r="AL463" s="13">
        <f>SUMPRODUCT(N(Tabela3[Nome]=Tabela3[[#This Row],[Nome]]),Tabela3[Div Base]*Tabela3[Ações])</f>
        <v>0</v>
      </c>
      <c r="AM463" s="6">
        <f>Tabela3[Patrimônio Líquido]/Tabela3[Total Ações]</f>
        <v>7.0815945330296124</v>
      </c>
      <c r="AN463" s="48">
        <f>MAX(Tabela3[[#This Row],[Cotação 1]:[Cotação 5]])</f>
        <v>2.62</v>
      </c>
      <c r="AO463" s="44">
        <f>Tabela3[Cotação]/Tabela3[VPA]</f>
        <v>0.36997317310104805</v>
      </c>
      <c r="AP463" s="40">
        <f>IF(Tabela3[[#This Row],[Lucro/Ação]]&gt;0,Tabela3[[#This Row],[Cotação]]/(Tabela3[[#This Row],[Lucro/Ação]]/Tabela3[Ref]*4),0)</f>
        <v>0</v>
      </c>
      <c r="AQ463" s="78">
        <f>Tabela3[Lucro Distribuir]/Tabela3[Total Ações]</f>
        <v>0</v>
      </c>
      <c r="AR463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63" s="14" t="str">
        <f>IF(AND(Tabela3[% A.A.]&gt;=6%,SUMPRODUCT(N(Tabela3[Nome]=Tabela3[[#This Row],[Nome]]),Tabela3[PL])&gt;0,Tabela3[Rentabilidade s/ PL]&gt;=Tabela3[Rentabilidade s/ PL Média]),"Sim","Não")</f>
        <v>Não</v>
      </c>
      <c r="AT463" s="42">
        <f>IF(Tabela3[Cotação]&gt;0,Tabela3[[#This Row],[Lucro]]/Tabela3[[#This Row],[Cotação]],0)</f>
        <v>0</v>
      </c>
      <c r="AU463" s="42">
        <f>((1+Tabela3[[#This Row],[% Yield]])^(1/(3*Tabela3[[#This Row],[Ref]])))^(12)-1</f>
        <v>0</v>
      </c>
      <c r="AV463" s="14">
        <f>IF(Tabela3[Cotação]&gt;0,($BD$1/Tabela3[[#This Row],[Cotação]]-MOD($BD$1/Tabela3[[#This Row],[Cotação]],100)),)</f>
        <v>0</v>
      </c>
      <c r="AW463" s="17">
        <f>Tabela3[[#This Row],[Ativos]]*Tabela3[Lucro]</f>
        <v>0</v>
      </c>
      <c r="AX463" s="17">
        <f>SUMPRODUCT(N(Tabela1[Código]=Tabela3[[#This Row],[PAPEL]]),Tabela1[Fechamento])</f>
        <v>0</v>
      </c>
      <c r="AY463" s="17">
        <f>SUMPRODUCT(N(Tabela17[Código]=Tabela3[[#This Row],[PAPEL]]),Tabela17[Fechamento])</f>
        <v>0</v>
      </c>
      <c r="AZ463" s="17">
        <f>SUMPRODUCT(N(Tabela176[Código]=Tabela3[[#This Row],[PAPEL]]),Tabela176[Fechamento])</f>
        <v>2.62</v>
      </c>
      <c r="BA463" s="17">
        <f>SUMPRODUCT(N(Tabela1768[Código]=Tabela3[[#This Row],[PAPEL]]),Tabela1768[Fechamento])</f>
        <v>0</v>
      </c>
      <c r="BB463" s="7">
        <f>SUMPRODUCT(N(Tabela17683[Código]=Tabela3[[#This Row],[PAPEL]]),Tabela17683[Fechamento])</f>
        <v>0</v>
      </c>
    </row>
    <row r="464" spans="1:54" hidden="1" x14ac:dyDescent="0.2">
      <c r="A464" s="3" t="s">
        <v>1709</v>
      </c>
      <c r="B464" s="58" t="s">
        <v>1672</v>
      </c>
      <c r="C464" s="16" t="str">
        <f>LEFT(Tabela3[PAPEL],LEN(Tabela3[PAPEL])-(LEN(Tabela3[PAPEL])-4))</f>
        <v>RCSL</v>
      </c>
      <c r="D464" s="16">
        <v>3</v>
      </c>
      <c r="E464" s="5">
        <v>59999999.920000002</v>
      </c>
      <c r="F464" s="56">
        <v>78179225</v>
      </c>
      <c r="G464" s="81">
        <v>0.33</v>
      </c>
      <c r="H464" s="87"/>
      <c r="J464" s="18"/>
      <c r="K464" s="16"/>
      <c r="L464" s="87"/>
      <c r="M464" s="54"/>
      <c r="N464" s="54"/>
      <c r="O464" s="54"/>
      <c r="P464" s="91">
        <v>-42030000</v>
      </c>
      <c r="Q464" s="73">
        <v>-6593000</v>
      </c>
      <c r="R464" s="73">
        <f>IF(Tabela3[[#This Row],[Ativo || Passivo]]&gt;0,Tabela3[[#This Row],[Ativo || Passivo]]-Tabela3[[#This Row],[Patrimônio Líquido]],0)</f>
        <v>0</v>
      </c>
      <c r="S464" s="73">
        <f>Tabela3[[#This Row],[Cotação]]*Tabela3[[#This Row],[Total Ações]]</f>
        <v>16331266.700000001</v>
      </c>
      <c r="T464" s="37">
        <f>IF(Tabela3[[#This Row],[Passivo Circulante]]&gt;0,Tabela3[[#This Row],[Ativo Circulante]]/Tabela3[[#This Row],[Passivo Circulante]],0)</f>
        <v>0</v>
      </c>
      <c r="U464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64" s="18">
        <f>IF(Tabela3[[#This Row],[Lucro Líquido]]&gt;0,Tabela3[[#This Row],[Lucro Líquido]]/Tabela3[[#This Row],[Patrimônio Líquido]],0)</f>
        <v>0</v>
      </c>
      <c r="W464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64" s="18">
        <f>IF(Tabela3[[#This Row],[Dívida]]&gt;0,Tabela3[[#This Row],[Dívida]]/Tabela3[[#This Row],[Patrimônio Líquido]],0)</f>
        <v>0</v>
      </c>
      <c r="Y464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64" s="7">
        <f>Tabela3[[#This Row],[Capital Social]]*20%</f>
        <v>11999999.984000001</v>
      </c>
      <c r="AA464" s="47">
        <f>IF((Tabela3[Lucro Líquido]*5%)&gt;Tabela3[Teto R. Legal],Tabela3[Teto R. Legal],Tabela3[Lucro Líquido]*5%)</f>
        <v>-329650</v>
      </c>
      <c r="AB464" s="47">
        <f>IF(Tabela3[Lucro Líquido]&lt;0,0,Tabela3[Lucro Líquido]-Tabela3[Reserva Legal])</f>
        <v>0</v>
      </c>
      <c r="AC464" s="47">
        <f>Tabela3[[#This Row],[Lucro Distribuir]]*Tabela3[%Div]</f>
        <v>0</v>
      </c>
      <c r="AD464" s="56">
        <f>SUMPRODUCT(N(Tabela3[Nome]=Tabela3[[#This Row],[Nome]]),Tabela3[Ações])</f>
        <v>233303810</v>
      </c>
      <c r="AE464" s="85">
        <f>Tabela3[Capital Social]/Tabela3[Total Ações]</f>
        <v>0.25717539683556817</v>
      </c>
      <c r="AF464" s="85">
        <f>Tabela3[[#This Row],[Lucro Líquido]]/Tabela3[[#This Row],[Total Ações]]</f>
        <v>-2.8259289893294071E-2</v>
      </c>
      <c r="AG464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64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64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64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64" s="7">
        <f>Tabela3[Div Base]*Tabela3[Ações]</f>
        <v>0</v>
      </c>
      <c r="AL464" s="121">
        <f>SUMPRODUCT(N(Tabela3[Nome]=Tabela3[[#This Row],[Nome]]),Tabela3[Div Base]*Tabela3[Ações])</f>
        <v>0</v>
      </c>
      <c r="AM464" s="5">
        <f>Tabela3[Patrimônio Líquido]/Tabela3[Total Ações]</f>
        <v>-0.18015136572351734</v>
      </c>
      <c r="AN464" s="52">
        <f>MAX(Tabela3[[#This Row],[Cotação 1]:[Cotação 5]])</f>
        <v>7.0000000000000007E-2</v>
      </c>
      <c r="AO464" s="53">
        <f>Tabela3[Cotação]/Tabela3[VPA]</f>
        <v>-0.38856213894837022</v>
      </c>
      <c r="AP464" s="37">
        <f>IF(Tabela3[[#This Row],[Lucro/Ação]]&gt;0,Tabela3[[#This Row],[Cotação]]/(Tabela3[[#This Row],[Lucro/Ação]]/Tabela3[Ref]*4),0)</f>
        <v>0</v>
      </c>
      <c r="AQ464" s="85">
        <f>Tabela3[Lucro Distribuir]/Tabela3[Total Ações]</f>
        <v>0</v>
      </c>
      <c r="AR464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64" s="10" t="str">
        <f>IF(AND(Tabela3[% A.A.]&gt;=6%,SUMPRODUCT(N(Tabela3[Nome]=Tabela3[[#This Row],[Nome]]),Tabela3[PL])&gt;0,Tabela3[Rentabilidade s/ PL]&gt;=Tabela3[Rentabilidade s/ PL Média]),"Sim","Não")</f>
        <v>Não</v>
      </c>
      <c r="AT464" s="22">
        <f>IF(Tabela3[Cotação]&gt;0,Tabela3[[#This Row],[Lucro]]/Tabela3[[#This Row],[Cotação]],0)</f>
        <v>0</v>
      </c>
      <c r="AU464" s="22">
        <f>((1+Tabela3[[#This Row],[% Yield]])^(1/(3*Tabela3[[#This Row],[Ref]])))^(12)-1</f>
        <v>0</v>
      </c>
      <c r="AV464" s="10">
        <f>IF(Tabela3[Cotação]&gt;0,($BD$1/Tabela3[[#This Row],[Cotação]]-MOD($BD$1/Tabela3[[#This Row],[Cotação]],100)),)</f>
        <v>0</v>
      </c>
      <c r="AW464" s="7">
        <f>Tabela3[[#This Row],[Ativos]]*Tabela3[Lucro]</f>
        <v>0</v>
      </c>
      <c r="AX464" s="7">
        <f>SUMPRODUCT(N(Tabela1[Código]=Tabela3[[#This Row],[PAPEL]]),Tabela1[Fechamento])</f>
        <v>0</v>
      </c>
      <c r="AY464" s="7">
        <f>SUMPRODUCT(N(Tabela17[Código]=Tabela3[[#This Row],[PAPEL]]),Tabela17[Fechamento])</f>
        <v>0</v>
      </c>
      <c r="AZ464" s="7">
        <f>SUMPRODUCT(N(Tabela176[Código]=Tabela3[[#This Row],[PAPEL]]),Tabela176[Fechamento])</f>
        <v>0</v>
      </c>
      <c r="BA464" s="7">
        <f>SUMPRODUCT(N(Tabela1768[Código]=Tabela3[[#This Row],[PAPEL]]),Tabela1768[Fechamento])</f>
        <v>0</v>
      </c>
      <c r="BB464" s="7">
        <f>SUMPRODUCT(N(Tabela17683[Código]=Tabela3[[#This Row],[PAPEL]]),Tabela17683[Fechamento])</f>
        <v>7.0000000000000007E-2</v>
      </c>
    </row>
    <row r="465" spans="1:54" hidden="1" x14ac:dyDescent="0.2">
      <c r="A465" s="3" t="s">
        <v>1709</v>
      </c>
      <c r="B465" s="58" t="s">
        <v>1673</v>
      </c>
      <c r="C465" s="16" t="str">
        <f>LEFT(Tabela3[PAPEL],LEN(Tabela3[PAPEL])-(LEN(Tabela3[PAPEL])-4))</f>
        <v>RCSL</v>
      </c>
      <c r="D465" s="16">
        <v>3</v>
      </c>
      <c r="E465" s="5">
        <v>59999999.920000002</v>
      </c>
      <c r="F465" s="56">
        <v>155124585</v>
      </c>
      <c r="G465" s="81">
        <v>0.33</v>
      </c>
      <c r="H465" s="87"/>
      <c r="J465" s="18">
        <v>0.1</v>
      </c>
      <c r="K465" s="16"/>
      <c r="L465" s="87"/>
      <c r="M465" s="54"/>
      <c r="N465" s="54"/>
      <c r="O465" s="54"/>
      <c r="P465" s="91">
        <v>-42030000</v>
      </c>
      <c r="Q465" s="73">
        <v>-6593000</v>
      </c>
      <c r="R465" s="73">
        <f>IF(Tabela3[[#This Row],[Ativo || Passivo]]&gt;0,Tabela3[[#This Row],[Ativo || Passivo]]-Tabela3[[#This Row],[Patrimônio Líquido]],0)</f>
        <v>0</v>
      </c>
      <c r="S465" s="73">
        <f>Tabela3[[#This Row],[Cotação]]*Tabela3[[#This Row],[Total Ações]]</f>
        <v>18664304.800000001</v>
      </c>
      <c r="T465" s="37">
        <f>IF(Tabela3[[#This Row],[Passivo Circulante]]&gt;0,Tabela3[[#This Row],[Ativo Circulante]]/Tabela3[[#This Row],[Passivo Circulante]],0)</f>
        <v>0</v>
      </c>
      <c r="U465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65" s="18">
        <f>IF(Tabela3[[#This Row],[Lucro Líquido]]&gt;0,Tabela3[[#This Row],[Lucro Líquido]]/Tabela3[[#This Row],[Patrimônio Líquido]],0)</f>
        <v>0</v>
      </c>
      <c r="W465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65" s="18">
        <f>IF(Tabela3[[#This Row],[Dívida]]&gt;0,Tabela3[[#This Row],[Dívida]]/Tabela3[[#This Row],[Patrimônio Líquido]],0)</f>
        <v>0</v>
      </c>
      <c r="Y465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65" s="7">
        <f>Tabela3[[#This Row],[Capital Social]]*20%</f>
        <v>11999999.984000001</v>
      </c>
      <c r="AA465" s="47">
        <f>IF((Tabela3[Lucro Líquido]*5%)&gt;Tabela3[Teto R. Legal],Tabela3[Teto R. Legal],Tabela3[Lucro Líquido]*5%)</f>
        <v>-329650</v>
      </c>
      <c r="AB465" s="47">
        <f>IF(Tabela3[Lucro Líquido]&lt;0,0,Tabela3[Lucro Líquido]-Tabela3[Reserva Legal])</f>
        <v>0</v>
      </c>
      <c r="AC465" s="47">
        <f>Tabela3[[#This Row],[Lucro Distribuir]]*Tabela3[%Div]</f>
        <v>0</v>
      </c>
      <c r="AD465" s="56">
        <f>SUMPRODUCT(N(Tabela3[Nome]=Tabela3[[#This Row],[Nome]]),Tabela3[Ações])</f>
        <v>233303810</v>
      </c>
      <c r="AE465" s="85">
        <f>Tabela3[Capital Social]/Tabela3[Total Ações]</f>
        <v>0.25717539683556817</v>
      </c>
      <c r="AF465" s="85">
        <f>Tabela3[[#This Row],[Lucro Líquido]]/Tabela3[[#This Row],[Total Ações]]</f>
        <v>-2.8259289893294071E-2</v>
      </c>
      <c r="AG465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65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65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65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65" s="7">
        <f>Tabela3[Div Base]*Tabela3[Ações]</f>
        <v>0</v>
      </c>
      <c r="AL465" s="121">
        <f>SUMPRODUCT(N(Tabela3[Nome]=Tabela3[[#This Row],[Nome]]),Tabela3[Div Base]*Tabela3[Ações])</f>
        <v>0</v>
      </c>
      <c r="AM465" s="5">
        <f>Tabela3[Patrimônio Líquido]/Tabela3[Total Ações]</f>
        <v>-0.18015136572351734</v>
      </c>
      <c r="AN465" s="52">
        <f>MAX(Tabela3[[#This Row],[Cotação 1]:[Cotação 5]])</f>
        <v>0.08</v>
      </c>
      <c r="AO465" s="53">
        <f>Tabela3[Cotação]/Tabela3[VPA]</f>
        <v>-0.44407101594099452</v>
      </c>
      <c r="AP465" s="37">
        <f>IF(Tabela3[[#This Row],[Lucro/Ação]]&gt;0,Tabela3[[#This Row],[Cotação]]/(Tabela3[[#This Row],[Lucro/Ação]]/Tabela3[Ref]*4),0)</f>
        <v>0</v>
      </c>
      <c r="AQ465" s="85">
        <f>Tabela3[Lucro Distribuir]/Tabela3[Total Ações]</f>
        <v>0</v>
      </c>
      <c r="AR465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65" s="10" t="str">
        <f>IF(AND(Tabela3[% A.A.]&gt;=6%,SUMPRODUCT(N(Tabela3[Nome]=Tabela3[[#This Row],[Nome]]),Tabela3[PL])&gt;0,Tabela3[Rentabilidade s/ PL]&gt;=Tabela3[Rentabilidade s/ PL Média]),"Sim","Não")</f>
        <v>Não</v>
      </c>
      <c r="AT465" s="22">
        <f>IF(Tabela3[Cotação]&gt;0,Tabela3[[#This Row],[Lucro]]/Tabela3[[#This Row],[Cotação]],0)</f>
        <v>0</v>
      </c>
      <c r="AU465" s="22">
        <f>((1+Tabela3[[#This Row],[% Yield]])^(1/(3*Tabela3[[#This Row],[Ref]])))^(12)-1</f>
        <v>0</v>
      </c>
      <c r="AV465" s="10">
        <f>IF(Tabela3[Cotação]&gt;0,($BD$1/Tabela3[[#This Row],[Cotação]]-MOD($BD$1/Tabela3[[#This Row],[Cotação]],100)),)</f>
        <v>0</v>
      </c>
      <c r="AW465" s="7">
        <f>Tabela3[[#This Row],[Ativos]]*Tabela3[Lucro]</f>
        <v>0</v>
      </c>
      <c r="AX465" s="7">
        <f>SUMPRODUCT(N(Tabela1[Código]=Tabela3[[#This Row],[PAPEL]]),Tabela1[Fechamento])</f>
        <v>0</v>
      </c>
      <c r="AY465" s="7">
        <f>SUMPRODUCT(N(Tabela17[Código]=Tabela3[[#This Row],[PAPEL]]),Tabela17[Fechamento])</f>
        <v>0</v>
      </c>
      <c r="AZ465" s="7">
        <f>SUMPRODUCT(N(Tabela176[Código]=Tabela3[[#This Row],[PAPEL]]),Tabela176[Fechamento])</f>
        <v>0</v>
      </c>
      <c r="BA465" s="7">
        <f>SUMPRODUCT(N(Tabela1768[Código]=Tabela3[[#This Row],[PAPEL]]),Tabela1768[Fechamento])</f>
        <v>0</v>
      </c>
      <c r="BB465" s="7">
        <f>SUMPRODUCT(N(Tabela17683[Código]=Tabela3[[#This Row],[PAPEL]]),Tabela17683[Fechamento])</f>
        <v>0.08</v>
      </c>
    </row>
    <row r="466" spans="1:54" hidden="1" x14ac:dyDescent="0.2">
      <c r="A466" s="4" t="s">
        <v>12</v>
      </c>
      <c r="B466" s="128" t="s">
        <v>511</v>
      </c>
      <c r="C466" s="15" t="str">
        <f>LEFT(Tabela3[PAPEL],LEN(Tabela3[PAPEL])-(LEN(Tabela3[PAPEL])-4))</f>
        <v>REDE</v>
      </c>
      <c r="D466" s="15">
        <v>3</v>
      </c>
      <c r="E466" s="6">
        <v>1343973941.3399999</v>
      </c>
      <c r="F466" s="8">
        <v>294109630</v>
      </c>
      <c r="G466" s="86">
        <v>0.25</v>
      </c>
      <c r="H466" s="15"/>
      <c r="I466" s="19"/>
      <c r="J466" s="19"/>
      <c r="K466" s="88"/>
      <c r="L466" s="88"/>
      <c r="M466" s="55"/>
      <c r="N466" s="55"/>
      <c r="O466" s="55"/>
      <c r="P466" s="92">
        <v>-169584000</v>
      </c>
      <c r="Q466" s="93">
        <v>-121954000</v>
      </c>
      <c r="R466" s="93">
        <f>IF(Tabela3[[#This Row],[Ativo || Passivo]]&gt;0,Tabela3[[#This Row],[Ativo || Passivo]]-Tabela3[[#This Row],[Patrimônio Líquido]],0)</f>
        <v>0</v>
      </c>
      <c r="S466" s="93">
        <f>Tabela3[[#This Row],[Cotação]]*Tabela3[[#This Row],[Total Ações]]</f>
        <v>426591684</v>
      </c>
      <c r="T466" s="40">
        <f>IF(Tabela3[[#This Row],[Passivo Circulante]]&gt;0,Tabela3[[#This Row],[Ativo Circulante]]/Tabela3[[#This Row],[Passivo Circulante]],0)</f>
        <v>0</v>
      </c>
      <c r="U466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66" s="19">
        <f>IF(Tabela3[[#This Row],[Lucro Líquido]]&gt;0,Tabela3[[#This Row],[Lucro Líquido]]/Tabela3[[#This Row],[Patrimônio Líquido]],0)</f>
        <v>0</v>
      </c>
      <c r="W466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66" s="19">
        <f>IF(Tabela3[[#This Row],[Dívida]]&gt;0,Tabela3[[#This Row],[Dívida]]/Tabela3[[#This Row],[Patrimônio Líquido]],0)</f>
        <v>0</v>
      </c>
      <c r="Y466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66" s="13">
        <f>Tabela3[[#This Row],[Capital Social]]*20%</f>
        <v>268794788.26800001</v>
      </c>
      <c r="AA466" s="13">
        <f>IF((Tabela3[Lucro Líquido]*5%)&gt;Tabela3[Teto R. Legal],Tabela3[Teto R. Legal],Tabela3[Lucro Líquido]*5%)</f>
        <v>-6097700</v>
      </c>
      <c r="AB466" s="13">
        <f>IF(Tabela3[Lucro Líquido]&lt;0,0,Tabela3[Lucro Líquido]-Tabela3[Reserva Legal])</f>
        <v>0</v>
      </c>
      <c r="AC466" s="13">
        <f>Tabela3[[#This Row],[Lucro Distribuir]]*Tabela3[%Div]</f>
        <v>0</v>
      </c>
      <c r="AD466" s="56">
        <f>SUMPRODUCT(N(Tabela3[Nome]=Tabela3[[#This Row],[Nome]]),Tabela3[Ações])</f>
        <v>426591684</v>
      </c>
      <c r="AE466" s="6">
        <f>Tabela3[Capital Social]/Tabela3[Total Ações]</f>
        <v>3.1504925945532496</v>
      </c>
      <c r="AF466" s="78">
        <f>Tabela3[[#This Row],[Lucro Líquido]]/Tabela3[[#This Row],[Total Ações]]</f>
        <v>-0.28587992821725988</v>
      </c>
      <c r="AG466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66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66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66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66" s="13">
        <f>Tabela3[Div Base]*Tabela3[Ações]</f>
        <v>0</v>
      </c>
      <c r="AL466" s="13">
        <f>SUMPRODUCT(N(Tabela3[Nome]=Tabela3[[#This Row],[Nome]]),Tabela3[Div Base]*Tabela3[Ações])</f>
        <v>0</v>
      </c>
      <c r="AM466" s="6">
        <f>Tabela3[Patrimônio Líquido]/Tabela3[Total Ações]</f>
        <v>-0.39753236258585856</v>
      </c>
      <c r="AN466" s="48">
        <f>MAX(Tabela3[[#This Row],[Cotação 1]:[Cotação 5]])</f>
        <v>1</v>
      </c>
      <c r="AO466" s="44">
        <f>Tabela3[Cotação]/Tabela3[VPA]</f>
        <v>-2.5155184687234646</v>
      </c>
      <c r="AP466" s="40">
        <f>IF(Tabela3[[#This Row],[Lucro/Ação]]&gt;0,Tabela3[[#This Row],[Cotação]]/(Tabela3[[#This Row],[Lucro/Ação]]/Tabela3[Ref]*4),0)</f>
        <v>0</v>
      </c>
      <c r="AQ466" s="78">
        <f>Tabela3[Lucro Distribuir]/Tabela3[Total Ações]</f>
        <v>0</v>
      </c>
      <c r="AR466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66" s="14" t="str">
        <f>IF(AND(Tabela3[% A.A.]&gt;=6%,SUMPRODUCT(N(Tabela3[Nome]=Tabela3[[#This Row],[Nome]]),Tabela3[PL])&gt;0,Tabela3[Rentabilidade s/ PL]&gt;=Tabela3[Rentabilidade s/ PL Média]),"Sim","Não")</f>
        <v>Não</v>
      </c>
      <c r="AT466" s="42">
        <f>IF(Tabela3[Cotação]&gt;0,Tabela3[[#This Row],[Lucro]]/Tabela3[[#This Row],[Cotação]],0)</f>
        <v>0</v>
      </c>
      <c r="AU466" s="42">
        <f>((1+Tabela3[[#This Row],[% Yield]])^(1/(3*Tabela3[[#This Row],[Ref]])))^(12)-1</f>
        <v>0</v>
      </c>
      <c r="AV466" s="14">
        <f>IF(Tabela3[Cotação]&gt;0,($BD$1/Tabela3[[#This Row],[Cotação]]-MOD($BD$1/Tabela3[[#This Row],[Cotação]],100)),)</f>
        <v>0</v>
      </c>
      <c r="AW466" s="17">
        <f>Tabela3[[#This Row],[Ativos]]*Tabela3[Lucro]</f>
        <v>0</v>
      </c>
      <c r="AX466" s="17">
        <f>SUMPRODUCT(N(Tabela1[Código]=Tabela3[[#This Row],[PAPEL]]),Tabela1[Fechamento])</f>
        <v>0</v>
      </c>
      <c r="AY466" s="17">
        <f>SUMPRODUCT(N(Tabela17[Código]=Tabela3[[#This Row],[PAPEL]]),Tabela17[Fechamento])</f>
        <v>1</v>
      </c>
      <c r="AZ466" s="7">
        <f>SUMPRODUCT(N(Tabela176[Código]=Tabela3[[#This Row],[PAPEL]]),Tabela176[Fechamento])</f>
        <v>0</v>
      </c>
      <c r="BA466" s="7">
        <f>SUMPRODUCT(N(Tabela1768[Código]=Tabela3[[#This Row],[PAPEL]]),Tabela1768[Fechamento])</f>
        <v>0</v>
      </c>
      <c r="BB466" s="7">
        <f>SUMPRODUCT(N(Tabela17683[Código]=Tabela3[[#This Row],[PAPEL]]),Tabela17683[Fechamento])</f>
        <v>0</v>
      </c>
    </row>
    <row r="467" spans="1:54" hidden="1" x14ac:dyDescent="0.2">
      <c r="A467" s="4" t="s">
        <v>12</v>
      </c>
      <c r="B467" s="128" t="s">
        <v>512</v>
      </c>
      <c r="C467" s="15" t="str">
        <f>LEFT(Tabela3[PAPEL],LEN(Tabela3[PAPEL])-(LEN(Tabela3[PAPEL])-4))</f>
        <v>REDE</v>
      </c>
      <c r="D467" s="15">
        <v>3</v>
      </c>
      <c r="E467" s="6">
        <v>1343973941.3399999</v>
      </c>
      <c r="F467" s="8">
        <v>132482054</v>
      </c>
      <c r="G467" s="86">
        <v>0.25</v>
      </c>
      <c r="H467" s="15"/>
      <c r="I467" s="19"/>
      <c r="J467" s="19">
        <v>0.1</v>
      </c>
      <c r="K467" s="88"/>
      <c r="L467" s="88"/>
      <c r="M467" s="55"/>
      <c r="N467" s="55"/>
      <c r="O467" s="55"/>
      <c r="P467" s="92">
        <v>-169584000</v>
      </c>
      <c r="Q467" s="93">
        <v>-121954000</v>
      </c>
      <c r="R467" s="93">
        <f>IF(Tabela3[[#This Row],[Ativo || Passivo]]&gt;0,Tabela3[[#This Row],[Ativo || Passivo]]-Tabela3[[#This Row],[Patrimônio Líquido]],0)</f>
        <v>0</v>
      </c>
      <c r="S467" s="93">
        <f>Tabela3[[#This Row],[Cotação]]*Tabela3[[#This Row],[Total Ações]]</f>
        <v>341273347.20000005</v>
      </c>
      <c r="T467" s="40">
        <f>IF(Tabela3[[#This Row],[Passivo Circulante]]&gt;0,Tabela3[[#This Row],[Ativo Circulante]]/Tabela3[[#This Row],[Passivo Circulante]],0)</f>
        <v>0</v>
      </c>
      <c r="U467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67" s="19">
        <f>IF(Tabela3[[#This Row],[Lucro Líquido]]&gt;0,Tabela3[[#This Row],[Lucro Líquido]]/Tabela3[[#This Row],[Patrimônio Líquido]],0)</f>
        <v>0</v>
      </c>
      <c r="W467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67" s="19">
        <f>IF(Tabela3[[#This Row],[Dívida]]&gt;0,Tabela3[[#This Row],[Dívida]]/Tabela3[[#This Row],[Patrimônio Líquido]],0)</f>
        <v>0</v>
      </c>
      <c r="Y467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67" s="13">
        <f>Tabela3[[#This Row],[Capital Social]]*20%</f>
        <v>268794788.26800001</v>
      </c>
      <c r="AA467" s="13">
        <f>IF((Tabela3[Lucro Líquido]*5%)&gt;Tabela3[Teto R. Legal],Tabela3[Teto R. Legal],Tabela3[Lucro Líquido]*5%)</f>
        <v>-6097700</v>
      </c>
      <c r="AB467" s="13">
        <f>IF(Tabela3[Lucro Líquido]&lt;0,0,Tabela3[Lucro Líquido]-Tabela3[Reserva Legal])</f>
        <v>0</v>
      </c>
      <c r="AC467" s="13">
        <f>Tabela3[[#This Row],[Lucro Distribuir]]*Tabela3[%Div]</f>
        <v>0</v>
      </c>
      <c r="AD467" s="56">
        <f>SUMPRODUCT(N(Tabela3[Nome]=Tabela3[[#This Row],[Nome]]),Tabela3[Ações])</f>
        <v>426591684</v>
      </c>
      <c r="AE467" s="6">
        <f>Tabela3[Capital Social]/Tabela3[Total Ações]</f>
        <v>3.1504925945532496</v>
      </c>
      <c r="AF467" s="78">
        <f>Tabela3[[#This Row],[Lucro Líquido]]/Tabela3[[#This Row],[Total Ações]]</f>
        <v>-0.28587992821725988</v>
      </c>
      <c r="AG467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67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67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67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67" s="13">
        <f>Tabela3[Div Base]*Tabela3[Ações]</f>
        <v>0</v>
      </c>
      <c r="AL467" s="13">
        <f>SUMPRODUCT(N(Tabela3[Nome]=Tabela3[[#This Row],[Nome]]),Tabela3[Div Base]*Tabela3[Ações])</f>
        <v>0</v>
      </c>
      <c r="AM467" s="6">
        <f>Tabela3[Patrimônio Líquido]/Tabela3[Total Ações]</f>
        <v>-0.39753236258585856</v>
      </c>
      <c r="AN467" s="48">
        <f>MAX(Tabela3[[#This Row],[Cotação 1]:[Cotação 5]])</f>
        <v>0.8</v>
      </c>
      <c r="AO467" s="44">
        <f>Tabela3[Cotação]/Tabela3[VPA]</f>
        <v>-2.0124147749787715</v>
      </c>
      <c r="AP467" s="40">
        <f>IF(Tabela3[[#This Row],[Lucro/Ação]]&gt;0,Tabela3[[#This Row],[Cotação]]/(Tabela3[[#This Row],[Lucro/Ação]]/Tabela3[Ref]*4),0)</f>
        <v>0</v>
      </c>
      <c r="AQ467" s="78">
        <f>Tabela3[Lucro Distribuir]/Tabela3[Total Ações]</f>
        <v>0</v>
      </c>
      <c r="AR467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67" s="14" t="str">
        <f>IF(AND(Tabela3[% A.A.]&gt;=6%,SUMPRODUCT(N(Tabela3[Nome]=Tabela3[[#This Row],[Nome]]),Tabela3[PL])&gt;0,Tabela3[Rentabilidade s/ PL]&gt;=Tabela3[Rentabilidade s/ PL Média]),"Sim","Não")</f>
        <v>Não</v>
      </c>
      <c r="AT467" s="42">
        <f>IF(Tabela3[Cotação]&gt;0,Tabela3[[#This Row],[Lucro]]/Tabela3[[#This Row],[Cotação]],0)</f>
        <v>0</v>
      </c>
      <c r="AU467" s="42">
        <f>((1+Tabela3[[#This Row],[% Yield]])^(1/(3*Tabela3[[#This Row],[Ref]])))^(12)-1</f>
        <v>0</v>
      </c>
      <c r="AV467" s="14">
        <f>IF(Tabela3[Cotação]&gt;0,($BD$1/Tabela3[[#This Row],[Cotação]]-MOD($BD$1/Tabela3[[#This Row],[Cotação]],100)),)</f>
        <v>0</v>
      </c>
      <c r="AW467" s="17">
        <f>Tabela3[[#This Row],[Ativos]]*Tabela3[Lucro]</f>
        <v>0</v>
      </c>
      <c r="AX467" s="17">
        <f>SUMPRODUCT(N(Tabela1[Código]=Tabela3[[#This Row],[PAPEL]]),Tabela1[Fechamento])</f>
        <v>0</v>
      </c>
      <c r="AY467" s="17">
        <f>SUMPRODUCT(N(Tabela17[Código]=Tabela3[[#This Row],[PAPEL]]),Tabela17[Fechamento])</f>
        <v>0.8</v>
      </c>
      <c r="AZ467" s="7">
        <f>SUMPRODUCT(N(Tabela176[Código]=Tabela3[[#This Row],[PAPEL]]),Tabela176[Fechamento])</f>
        <v>0</v>
      </c>
      <c r="BA467" s="7">
        <f>SUMPRODUCT(N(Tabela1768[Código]=Tabela3[[#This Row],[PAPEL]]),Tabela1768[Fechamento])</f>
        <v>0</v>
      </c>
      <c r="BB467" s="7">
        <f>SUMPRODUCT(N(Tabela17683[Código]=Tabela3[[#This Row],[PAPEL]]),Tabela17683[Fechamento])</f>
        <v>0</v>
      </c>
    </row>
    <row r="468" spans="1:54" hidden="1" x14ac:dyDescent="0.2">
      <c r="A468" s="4" t="s">
        <v>40</v>
      </c>
      <c r="B468" s="57" t="s">
        <v>669</v>
      </c>
      <c r="C468" s="15" t="str">
        <f>LEFT(Tabela3[PAPEL],LEN(Tabela3[PAPEL])-(LEN(Tabela3[PAPEL])-4))</f>
        <v>RHDS</v>
      </c>
      <c r="D468" s="15">
        <v>3</v>
      </c>
      <c r="E468" s="6">
        <v>523208741.57999998</v>
      </c>
      <c r="F468" s="8">
        <v>8024960477</v>
      </c>
      <c r="G468" s="86">
        <v>0.25</v>
      </c>
      <c r="H468" s="15"/>
      <c r="I468" s="19"/>
      <c r="J468" s="19"/>
      <c r="K468" s="88"/>
      <c r="L468" s="88"/>
      <c r="M468" s="55"/>
      <c r="N468" s="55"/>
      <c r="O468" s="55"/>
      <c r="P468" s="92">
        <v>266825000</v>
      </c>
      <c r="Q468" s="93">
        <v>-3092000</v>
      </c>
      <c r="R468" s="93">
        <f>IF(Tabela3[[#This Row],[Ativo || Passivo]]&gt;0,Tabela3[[#This Row],[Ativo || Passivo]]-Tabela3[[#This Row],[Patrimônio Líquido]],0)</f>
        <v>0</v>
      </c>
      <c r="S468" s="93">
        <f>Tabela3[[#This Row],[Cotação]]*Tabela3[[#This Row],[Total Ações]]</f>
        <v>561747233.3900001</v>
      </c>
      <c r="T468" s="40">
        <f>IF(Tabela3[[#This Row],[Passivo Circulante]]&gt;0,Tabela3[[#This Row],[Ativo Circulante]]/Tabela3[[#This Row],[Passivo Circulante]],0)</f>
        <v>0</v>
      </c>
      <c r="U468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68" s="19">
        <f>IF(Tabela3[[#This Row],[Lucro Líquido]]&gt;0,Tabela3[[#This Row],[Lucro Líquido]]/Tabela3[[#This Row],[Patrimônio Líquido]],0)</f>
        <v>0</v>
      </c>
      <c r="W468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68" s="19">
        <f>IF(Tabela3[[#This Row],[Dívida]]&gt;0,Tabela3[[#This Row],[Dívida]]/Tabela3[[#This Row],[Patrimônio Líquido]],0)</f>
        <v>0</v>
      </c>
      <c r="Y468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68" s="13">
        <f>Tabela3[[#This Row],[Capital Social]]*20%</f>
        <v>104641748.316</v>
      </c>
      <c r="AA468" s="13">
        <f>IF((Tabela3[Lucro Líquido]*5%)&gt;Tabela3[Teto R. Legal],Tabela3[Teto R. Legal],Tabela3[Lucro Líquido]*5%)</f>
        <v>-154600</v>
      </c>
      <c r="AB468" s="13">
        <f>IF(Tabela3[Lucro Líquido]&lt;0,0,Tabela3[Lucro Líquido]-Tabela3[Reserva Legal])</f>
        <v>0</v>
      </c>
      <c r="AC468" s="13">
        <f>Tabela3[[#This Row],[Lucro Distribuir]]*Tabela3[%Div]</f>
        <v>0</v>
      </c>
      <c r="AD468" s="56">
        <f>SUMPRODUCT(N(Tabela3[Nome]=Tabela3[[#This Row],[Nome]]),Tabela3[Ações])</f>
        <v>8024960477</v>
      </c>
      <c r="AE468" s="6">
        <f>Tabela3[Capital Social]/Tabela3[Total Ações]</f>
        <v>6.5197672073220359E-2</v>
      </c>
      <c r="AF468" s="78">
        <f>Tabela3[[#This Row],[Lucro Líquido]]/Tabela3[[#This Row],[Total Ações]]</f>
        <v>-3.8529784774166186E-4</v>
      </c>
      <c r="AG468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68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68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68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68" s="13">
        <f>Tabela3[Div Base]*Tabela3[Ações]</f>
        <v>0</v>
      </c>
      <c r="AL468" s="13">
        <f>SUMPRODUCT(N(Tabela3[Nome]=Tabela3[[#This Row],[Nome]]),Tabela3[Div Base]*Tabela3[Ações])</f>
        <v>0</v>
      </c>
      <c r="AM468" s="6">
        <f>Tabela3[Patrimônio Líquido]/Tabela3[Total Ações]</f>
        <v>3.3249384936503534E-2</v>
      </c>
      <c r="AN468" s="48">
        <f>MAX(Tabela3[[#This Row],[Cotação 1]:[Cotação 5]])</f>
        <v>7.0000000000000007E-2</v>
      </c>
      <c r="AO468" s="44">
        <f>Tabela3[Cotação]/Tabela3[VPA]</f>
        <v>2.1053021020893845</v>
      </c>
      <c r="AP468" s="40">
        <f>IF(Tabela3[[#This Row],[Lucro/Ação]]&gt;0,Tabela3[[#This Row],[Cotação]]/(Tabela3[[#This Row],[Lucro/Ação]]/Tabela3[Ref]*4),0)</f>
        <v>0</v>
      </c>
      <c r="AQ468" s="78">
        <f>Tabela3[Lucro Distribuir]/Tabela3[Total Ações]</f>
        <v>0</v>
      </c>
      <c r="AR468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68" s="14" t="str">
        <f>IF(AND(Tabela3[% A.A.]&gt;=6%,SUMPRODUCT(N(Tabela3[Nome]=Tabela3[[#This Row],[Nome]]),Tabela3[PL])&gt;0,Tabela3[Rentabilidade s/ PL]&gt;=Tabela3[Rentabilidade s/ PL Média]),"Sim","Não")</f>
        <v>Não</v>
      </c>
      <c r="AT468" s="42">
        <f>IF(Tabela3[Cotação]&gt;0,Tabela3[[#This Row],[Lucro]]/Tabela3[[#This Row],[Cotação]],0)</f>
        <v>0</v>
      </c>
      <c r="AU468" s="42">
        <f>((1+Tabela3[[#This Row],[% Yield]])^(1/(3*Tabela3[[#This Row],[Ref]])))^(12)-1</f>
        <v>0</v>
      </c>
      <c r="AV468" s="14">
        <f>IF(Tabela3[Cotação]&gt;0,($BD$1/Tabela3[[#This Row],[Cotação]]-MOD($BD$1/Tabela3[[#This Row],[Cotação]],100)),)</f>
        <v>0</v>
      </c>
      <c r="AW468" s="17">
        <f>Tabela3[[#This Row],[Ativos]]*Tabela3[Lucro]</f>
        <v>0</v>
      </c>
      <c r="AX468" s="17">
        <f>SUMPRODUCT(N(Tabela1[Código]=Tabela3[[#This Row],[PAPEL]]),Tabela1[Fechamento])</f>
        <v>0</v>
      </c>
      <c r="AY468" s="17">
        <f>SUMPRODUCT(N(Tabela17[Código]=Tabela3[[#This Row],[PAPEL]]),Tabela17[Fechamento])</f>
        <v>0</v>
      </c>
      <c r="AZ468" s="17">
        <f>SUMPRODUCT(N(Tabela176[Código]=Tabela3[[#This Row],[PAPEL]]),Tabela176[Fechamento])</f>
        <v>7.0000000000000007E-2</v>
      </c>
      <c r="BA468" s="17">
        <f>SUMPRODUCT(N(Tabela1768[Código]=Tabela3[[#This Row],[PAPEL]]),Tabela1768[Fechamento])</f>
        <v>0</v>
      </c>
      <c r="BB468" s="7">
        <f>SUMPRODUCT(N(Tabela17683[Código]=Tabela3[[#This Row],[PAPEL]]),Tabela17683[Fechamento])</f>
        <v>0</v>
      </c>
    </row>
    <row r="469" spans="1:54" hidden="1" x14ac:dyDescent="0.2">
      <c r="A469" s="4" t="s">
        <v>12</v>
      </c>
      <c r="B469" s="58" t="s">
        <v>515</v>
      </c>
      <c r="C469" s="16" t="str">
        <f>LEFT(Tabela3[PAPEL],LEN(Tabela3[PAPEL])-(LEN(Tabela3[PAPEL])-4))</f>
        <v>RNEW</v>
      </c>
      <c r="D469" s="16">
        <v>4</v>
      </c>
      <c r="E469" s="5"/>
      <c r="F469" s="56"/>
      <c r="G469" s="86">
        <v>0.25</v>
      </c>
      <c r="H469" s="16"/>
      <c r="J469" s="18"/>
      <c r="K469" s="87">
        <v>1</v>
      </c>
      <c r="L469" s="87">
        <v>2</v>
      </c>
      <c r="M469" s="54"/>
      <c r="N469" s="54"/>
      <c r="O469" s="54"/>
      <c r="P469" s="91"/>
      <c r="Q469" s="73"/>
      <c r="R469" s="73">
        <f>IF(Tabela3[[#This Row],[Ativo || Passivo]]&gt;0,Tabela3[[#This Row],[Ativo || Passivo]]-Tabela3[[#This Row],[Patrimônio Líquido]],0)</f>
        <v>0</v>
      </c>
      <c r="S469" s="73">
        <f>Tabela3[[#This Row],[Cotação]]*Tabela3[[#This Row],[Total Ações]]</f>
        <v>10121402060</v>
      </c>
      <c r="T469" s="37">
        <f>IF(Tabela3[[#This Row],[Passivo Circulante]]&gt;0,Tabela3[[#This Row],[Ativo Circulante]]/Tabela3[[#This Row],[Passivo Circulante]],0)</f>
        <v>0</v>
      </c>
      <c r="U469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69" s="18">
        <f>IF(Tabela3[[#This Row],[Lucro Líquido]]&gt;0,Tabela3[[#This Row],[Lucro Líquido]]/Tabela3[[#This Row],[Patrimônio Líquido]],0)</f>
        <v>0</v>
      </c>
      <c r="W469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69" s="18">
        <f>IF(Tabela3[[#This Row],[Dívida]]&gt;0,Tabela3[[#This Row],[Dívida]]/Tabela3[[#This Row],[Patrimônio Líquido]],0)</f>
        <v>0</v>
      </c>
      <c r="Y469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69" s="47">
        <f>Tabela3[[#This Row],[Capital Social]]*20%</f>
        <v>0</v>
      </c>
      <c r="AA469" s="47">
        <f>IF((Tabela3[Lucro Líquido]*5%)&gt;Tabela3[Teto R. Legal],Tabela3[Teto R. Legal],Tabela3[Lucro Líquido]*5%)</f>
        <v>0</v>
      </c>
      <c r="AB469" s="47">
        <f>IF(Tabela3[Lucro Líquido]&lt;0,0,Tabela3[Lucro Líquido]-Tabela3[Reserva Legal])</f>
        <v>0</v>
      </c>
      <c r="AC469" s="47">
        <f>Tabela3[[#This Row],[Lucro Distribuir]]*Tabela3[%Div]</f>
        <v>0</v>
      </c>
      <c r="AD469" s="56">
        <f>SUMPRODUCT(N(Tabela3[Nome]=Tabela3[[#This Row],[Nome]]),Tabela3[Ações])</f>
        <v>230031865</v>
      </c>
      <c r="AE469" s="5">
        <f>Tabela3[Capital Social]/Tabela3[Total Ações]</f>
        <v>0</v>
      </c>
      <c r="AF469" s="77">
        <f>Tabela3[[#This Row],[Lucro Líquido]]/Tabela3[[#This Row],[Total Ações]]</f>
        <v>0</v>
      </c>
      <c r="AG469" s="77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69" s="77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69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69" s="77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69" s="47">
        <f>Tabela3[Div Base]*Tabela3[Ações]</f>
        <v>0</v>
      </c>
      <c r="AL469" s="47">
        <f>SUMPRODUCT(N(Tabela3[Nome]=Tabela3[[#This Row],[Nome]]),Tabela3[Div Base]*Tabela3[Ações])</f>
        <v>1312900</v>
      </c>
      <c r="AM469" s="5">
        <f>Tabela3[Patrimônio Líquido]/Tabela3[Total Ações]</f>
        <v>0</v>
      </c>
      <c r="AN469" s="52">
        <f>MAX(Tabela3[[#This Row],[Cotação 1]:[Cotação 5]])</f>
        <v>44</v>
      </c>
      <c r="AO469" s="53" t="e">
        <f>Tabela3[Cotação]/Tabela3[VPA]</f>
        <v>#DIV/0!</v>
      </c>
      <c r="AP469" s="37">
        <f>IF(Tabela3[[#This Row],[Lucro/Ação]]&gt;0,Tabela3[[#This Row],[Cotação]]/(Tabela3[[#This Row],[Lucro/Ação]]/Tabela3[Ref]*4),0)</f>
        <v>0</v>
      </c>
      <c r="AQ469" s="77">
        <f>Tabela3[Lucro Distribuir]/Tabela3[Total Ações]</f>
        <v>0</v>
      </c>
      <c r="AR469" s="77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1.7122410410401183E-2</v>
      </c>
      <c r="AS469" s="10" t="str">
        <f>IF(AND(Tabela3[% A.A.]&gt;=6%,SUMPRODUCT(N(Tabela3[Nome]=Tabela3[[#This Row],[Nome]]),Tabela3[PL])&gt;0,Tabela3[Rentabilidade s/ PL]&gt;=Tabela3[Rentabilidade s/ PL Média]),"Sim","Não")</f>
        <v>Não</v>
      </c>
      <c r="AT469" s="22">
        <f>IF(Tabela3[Cotação]&gt;0,Tabela3[[#This Row],[Lucro]]/Tabela3[[#This Row],[Cotação]],0)</f>
        <v>3.8914569114548142E-4</v>
      </c>
      <c r="AU469" s="22">
        <f>((1+Tabela3[[#This Row],[% Yield]])^(1/(3*Tabela3[[#This Row],[Ref]])))^(12)-1</f>
        <v>3.8914569114534281E-4</v>
      </c>
      <c r="AV469" s="10">
        <f>IF(Tabela3[Cotação]&gt;0,($BD$1/Tabela3[[#This Row],[Cotação]]-MOD($BD$1/Tabela3[[#This Row],[Cotação]],100)),)</f>
        <v>0</v>
      </c>
      <c r="AW469" s="7">
        <f>Tabela3[[#This Row],[Ativos]]*Tabela3[Lucro]</f>
        <v>0</v>
      </c>
      <c r="AX469" s="7">
        <f>SUMPRODUCT(N(Tabela1[Código]=Tabela3[[#This Row],[PAPEL]]),Tabela1[Fechamento])</f>
        <v>0</v>
      </c>
      <c r="AY469" s="7">
        <f>SUMPRODUCT(N(Tabela17[Código]=Tabela3[[#This Row],[PAPEL]]),Tabela17[Fechamento])</f>
        <v>44</v>
      </c>
      <c r="AZ469" s="7">
        <f>SUMPRODUCT(N(Tabela176[Código]=Tabela3[[#This Row],[PAPEL]]),Tabela176[Fechamento])</f>
        <v>0</v>
      </c>
      <c r="BA469" s="7">
        <f>SUMPRODUCT(N(Tabela1768[Código]=Tabela3[[#This Row],[PAPEL]]),Tabela1768[Fechamento])</f>
        <v>0</v>
      </c>
      <c r="BB469" s="7">
        <f>SUMPRODUCT(N(Tabela17683[Código]=Tabela3[[#This Row],[PAPEL]]),Tabela17683[Fechamento])</f>
        <v>0</v>
      </c>
    </row>
    <row r="470" spans="1:54" hidden="1" x14ac:dyDescent="0.2">
      <c r="A470" s="4" t="s">
        <v>244</v>
      </c>
      <c r="B470" s="128" t="s">
        <v>602</v>
      </c>
      <c r="C470" s="15" t="str">
        <f>LEFT(Tabela3[PAPEL],LEN(Tabela3[PAPEL])-(LEN(Tabela3[PAPEL])-4))</f>
        <v>RPMG</v>
      </c>
      <c r="D470" s="15">
        <v>2</v>
      </c>
      <c r="E470" s="6">
        <v>148873356.06</v>
      </c>
      <c r="F470" s="8">
        <v>991541636</v>
      </c>
      <c r="G470" s="81">
        <v>0.25</v>
      </c>
      <c r="H470" s="15"/>
      <c r="I470" s="19">
        <v>0.1</v>
      </c>
      <c r="J470" s="19"/>
      <c r="K470" s="88"/>
      <c r="L470" s="88"/>
      <c r="M470" s="55"/>
      <c r="N470" s="55"/>
      <c r="O470" s="55"/>
      <c r="P470" s="92">
        <v>-574737000</v>
      </c>
      <c r="Q470" s="93">
        <v>-53772000</v>
      </c>
      <c r="R470" s="93">
        <f>IF(Tabela3[[#This Row],[Ativo || Passivo]]&gt;0,Tabela3[[#This Row],[Ativo || Passivo]]-Tabela3[[#This Row],[Patrimônio Líquido]],0)</f>
        <v>0</v>
      </c>
      <c r="S470" s="93">
        <f>Tabela3[[#This Row],[Cotação]]*Tabela3[[#This Row],[Total Ações]]</f>
        <v>365481549.44</v>
      </c>
      <c r="T470" s="40">
        <f>IF(Tabela3[[#This Row],[Passivo Circulante]]&gt;0,Tabela3[[#This Row],[Ativo Circulante]]/Tabela3[[#This Row],[Passivo Circulante]],0)</f>
        <v>0</v>
      </c>
      <c r="U470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70" s="19">
        <f>IF(Tabela3[[#This Row],[Lucro Líquido]]&gt;0,Tabela3[[#This Row],[Lucro Líquido]]/Tabela3[[#This Row],[Patrimônio Líquido]],0)</f>
        <v>0</v>
      </c>
      <c r="W470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70" s="19">
        <f>IF(Tabela3[[#This Row],[Dívida]]&gt;0,Tabela3[[#This Row],[Dívida]]/Tabela3[[#This Row],[Patrimônio Líquido]],0)</f>
        <v>0</v>
      </c>
      <c r="Y470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70" s="13">
        <f>Tabela3[[#This Row],[Capital Social]]*20%</f>
        <v>29774671.212000001</v>
      </c>
      <c r="AA470" s="13">
        <f>IF((Tabela3[Lucro Líquido]*5%)&gt;Tabela3[Teto R. Legal],Tabela3[Teto R. Legal],Tabela3[Lucro Líquido]*5%)</f>
        <v>-2688600</v>
      </c>
      <c r="AB470" s="13">
        <f>IF(Tabela3[Lucro Líquido]&lt;0,0,Tabela3[Lucro Líquido]-Tabela3[Reserva Legal])</f>
        <v>0</v>
      </c>
      <c r="AC470" s="13">
        <f>Tabela3[[#This Row],[Lucro Distribuir]]*Tabela3[%Div]</f>
        <v>0</v>
      </c>
      <c r="AD470" s="56">
        <f>SUMPRODUCT(N(Tabela3[Nome]=Tabela3[[#This Row],[Nome]]),Tabela3[Ações])</f>
        <v>1142129842</v>
      </c>
      <c r="AE470" s="6">
        <f>Tabela3[Capital Social]/Tabela3[Total Ações]</f>
        <v>0.13034713793950584</v>
      </c>
      <c r="AF470" s="78">
        <f>Tabela3[[#This Row],[Lucro Líquido]]/Tabela3[[#This Row],[Total Ações]]</f>
        <v>-4.7080461452472931E-2</v>
      </c>
      <c r="AG470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70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70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70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70" s="13">
        <f>Tabela3[Div Base]*Tabela3[Ações]</f>
        <v>0</v>
      </c>
      <c r="AL470" s="13">
        <f>SUMPRODUCT(N(Tabela3[Nome]=Tabela3[[#This Row],[Nome]]),Tabela3[Div Base]*Tabela3[Ações])</f>
        <v>0</v>
      </c>
      <c r="AM470" s="6">
        <f>Tabela3[Patrimônio Líquido]/Tabela3[Total Ações]</f>
        <v>-0.50321511518652706</v>
      </c>
      <c r="AN470" s="48">
        <f>MAX(Tabela3[[#This Row],[Cotação 1]:[Cotação 5]])</f>
        <v>0.32</v>
      </c>
      <c r="AO470" s="44">
        <f>Tabela3[Cotação]/Tabela3[VPA]</f>
        <v>-0.63591094611970356</v>
      </c>
      <c r="AP470" s="40">
        <f>IF(Tabela3[[#This Row],[Lucro/Ação]]&gt;0,Tabela3[[#This Row],[Cotação]]/(Tabela3[[#This Row],[Lucro/Ação]]/Tabela3[Ref]*4),0)</f>
        <v>0</v>
      </c>
      <c r="AQ470" s="78">
        <f>Tabela3[Lucro Distribuir]/Tabela3[Total Ações]</f>
        <v>0</v>
      </c>
      <c r="AR470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70" s="14" t="str">
        <f>IF(AND(Tabela3[% A.A.]&gt;=6%,SUMPRODUCT(N(Tabela3[Nome]=Tabela3[[#This Row],[Nome]]),Tabela3[PL])&gt;0,Tabela3[Rentabilidade s/ PL]&gt;=Tabela3[Rentabilidade s/ PL Média]),"Sim","Não")</f>
        <v>Não</v>
      </c>
      <c r="AT470" s="42">
        <f>IF(Tabela3[Cotação]&gt;0,Tabela3[[#This Row],[Lucro]]/Tabela3[[#This Row],[Cotação]],0)</f>
        <v>0</v>
      </c>
      <c r="AU470" s="42">
        <f>((1+Tabela3[[#This Row],[% Yield]])^(1/(3*Tabela3[[#This Row],[Ref]])))^(12)-1</f>
        <v>0</v>
      </c>
      <c r="AV470" s="14">
        <f>IF(Tabela3[Cotação]&gt;0,($BD$1/Tabela3[[#This Row],[Cotação]]-MOD($BD$1/Tabela3[[#This Row],[Cotação]],100)),)</f>
        <v>0</v>
      </c>
      <c r="AW470" s="17">
        <f>Tabela3[[#This Row],[Ativos]]*Tabela3[Lucro]</f>
        <v>0</v>
      </c>
      <c r="AX470" s="17">
        <f>SUMPRODUCT(N(Tabela1[Código]=Tabela3[[#This Row],[PAPEL]]),Tabela1[Fechamento])</f>
        <v>0</v>
      </c>
      <c r="AY470" s="17">
        <f>SUMPRODUCT(N(Tabela17[Código]=Tabela3[[#This Row],[PAPEL]]),Tabela17[Fechamento])</f>
        <v>0</v>
      </c>
      <c r="AZ470" s="17">
        <f>SUMPRODUCT(N(Tabela176[Código]=Tabela3[[#This Row],[PAPEL]]),Tabela176[Fechamento])</f>
        <v>0.32</v>
      </c>
      <c r="BA470" s="17">
        <f>SUMPRODUCT(N(Tabela1768[Código]=Tabela3[[#This Row],[PAPEL]]),Tabela1768[Fechamento])</f>
        <v>0</v>
      </c>
      <c r="BB470" s="7">
        <f>SUMPRODUCT(N(Tabela17683[Código]=Tabela3[[#This Row],[PAPEL]]),Tabela17683[Fechamento])</f>
        <v>0</v>
      </c>
    </row>
    <row r="471" spans="1:54" hidden="1" x14ac:dyDescent="0.2">
      <c r="A471" s="4" t="s">
        <v>244</v>
      </c>
      <c r="B471" s="128" t="s">
        <v>603</v>
      </c>
      <c r="C471" s="15" t="str">
        <f>LEFT(Tabela3[PAPEL],LEN(Tabela3[PAPEL])-(LEN(Tabela3[PAPEL])-4))</f>
        <v>RPMG</v>
      </c>
      <c r="D471" s="15">
        <v>2</v>
      </c>
      <c r="E471" s="6">
        <v>148873356.06</v>
      </c>
      <c r="F471" s="8">
        <v>150588206</v>
      </c>
      <c r="G471" s="81">
        <v>0.25</v>
      </c>
      <c r="H471" s="15"/>
      <c r="I471" s="19">
        <v>0.1</v>
      </c>
      <c r="J471" s="19"/>
      <c r="K471" s="88"/>
      <c r="L471" s="88"/>
      <c r="M471" s="55"/>
      <c r="N471" s="55"/>
      <c r="O471" s="55"/>
      <c r="P471" s="92">
        <v>-574737000</v>
      </c>
      <c r="Q471" s="93">
        <v>-53772000</v>
      </c>
      <c r="R471" s="93">
        <f>IF(Tabela3[[#This Row],[Ativo || Passivo]]&gt;0,Tabela3[[#This Row],[Ativo || Passivo]]-Tabela3[[#This Row],[Patrimônio Líquido]],0)</f>
        <v>0</v>
      </c>
      <c r="S471" s="93">
        <f>Tabela3[[#This Row],[Cotação]]*Tabela3[[#This Row],[Total Ações]]</f>
        <v>354060251.01999998</v>
      </c>
      <c r="T471" s="40">
        <f>IF(Tabela3[[#This Row],[Passivo Circulante]]&gt;0,Tabela3[[#This Row],[Ativo Circulante]]/Tabela3[[#This Row],[Passivo Circulante]],0)</f>
        <v>0</v>
      </c>
      <c r="U471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71" s="19">
        <f>IF(Tabela3[[#This Row],[Lucro Líquido]]&gt;0,Tabela3[[#This Row],[Lucro Líquido]]/Tabela3[[#This Row],[Patrimônio Líquido]],0)</f>
        <v>0</v>
      </c>
      <c r="W471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71" s="19">
        <f>IF(Tabela3[[#This Row],[Dívida]]&gt;0,Tabela3[[#This Row],[Dívida]]/Tabela3[[#This Row],[Patrimônio Líquido]],0)</f>
        <v>0</v>
      </c>
      <c r="Y471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71" s="13">
        <f>Tabela3[[#This Row],[Capital Social]]*20%</f>
        <v>29774671.212000001</v>
      </c>
      <c r="AA471" s="13">
        <f>IF((Tabela3[Lucro Líquido]*5%)&gt;Tabela3[Teto R. Legal],Tabela3[Teto R. Legal],Tabela3[Lucro Líquido]*5%)</f>
        <v>-2688600</v>
      </c>
      <c r="AB471" s="13">
        <f>IF(Tabela3[Lucro Líquido]&lt;0,0,Tabela3[Lucro Líquido]-Tabela3[Reserva Legal])</f>
        <v>0</v>
      </c>
      <c r="AC471" s="13">
        <f>Tabela3[[#This Row],[Lucro Distribuir]]*Tabela3[%Div]</f>
        <v>0</v>
      </c>
      <c r="AD471" s="56">
        <f>SUMPRODUCT(N(Tabela3[Nome]=Tabela3[[#This Row],[Nome]]),Tabela3[Ações])</f>
        <v>1142129842</v>
      </c>
      <c r="AE471" s="6">
        <f>Tabela3[Capital Social]/Tabela3[Total Ações]</f>
        <v>0.13034713793950584</v>
      </c>
      <c r="AF471" s="78">
        <f>Tabela3[[#This Row],[Lucro Líquido]]/Tabela3[[#This Row],[Total Ações]]</f>
        <v>-4.7080461452472931E-2</v>
      </c>
      <c r="AG471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71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71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71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71" s="13">
        <f>Tabela3[Div Base]*Tabela3[Ações]</f>
        <v>0</v>
      </c>
      <c r="AL471" s="13">
        <f>SUMPRODUCT(N(Tabela3[Nome]=Tabela3[[#This Row],[Nome]]),Tabela3[Div Base]*Tabela3[Ações])</f>
        <v>0</v>
      </c>
      <c r="AM471" s="6">
        <f>Tabela3[Patrimônio Líquido]/Tabela3[Total Ações]</f>
        <v>-0.50321511518652706</v>
      </c>
      <c r="AN471" s="48">
        <f>MAX(Tabela3[[#This Row],[Cotação 1]:[Cotação 5]])</f>
        <v>0.31</v>
      </c>
      <c r="AO471" s="44">
        <f>Tabela3[Cotação]/Tabela3[VPA]</f>
        <v>-0.6160387290534628</v>
      </c>
      <c r="AP471" s="40">
        <f>IF(Tabela3[[#This Row],[Lucro/Ação]]&gt;0,Tabela3[[#This Row],[Cotação]]/(Tabela3[[#This Row],[Lucro/Ação]]/Tabela3[Ref]*4),0)</f>
        <v>0</v>
      </c>
      <c r="AQ471" s="78">
        <f>Tabela3[Lucro Distribuir]/Tabela3[Total Ações]</f>
        <v>0</v>
      </c>
      <c r="AR471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71" s="14" t="str">
        <f>IF(AND(Tabela3[% A.A.]&gt;=6%,SUMPRODUCT(N(Tabela3[Nome]=Tabela3[[#This Row],[Nome]]),Tabela3[PL])&gt;0,Tabela3[Rentabilidade s/ PL]&gt;=Tabela3[Rentabilidade s/ PL Média]),"Sim","Não")</f>
        <v>Não</v>
      </c>
      <c r="AT471" s="42">
        <f>IF(Tabela3[Cotação]&gt;0,Tabela3[[#This Row],[Lucro]]/Tabela3[[#This Row],[Cotação]],0)</f>
        <v>0</v>
      </c>
      <c r="AU471" s="42">
        <f>((1+Tabela3[[#This Row],[% Yield]])^(1/(3*Tabela3[[#This Row],[Ref]])))^(12)-1</f>
        <v>0</v>
      </c>
      <c r="AV471" s="14">
        <f>IF(Tabela3[Cotação]&gt;0,($BD$1/Tabela3[[#This Row],[Cotação]]-MOD($BD$1/Tabela3[[#This Row],[Cotação]],100)),)</f>
        <v>0</v>
      </c>
      <c r="AW471" s="17">
        <f>Tabela3[[#This Row],[Ativos]]*Tabela3[Lucro]</f>
        <v>0</v>
      </c>
      <c r="AX471" s="17">
        <f>SUMPRODUCT(N(Tabela1[Código]=Tabela3[[#This Row],[PAPEL]]),Tabela1[Fechamento])</f>
        <v>0</v>
      </c>
      <c r="AY471" s="17">
        <f>SUMPRODUCT(N(Tabela17[Código]=Tabela3[[#This Row],[PAPEL]]),Tabela17[Fechamento])</f>
        <v>0</v>
      </c>
      <c r="AZ471" s="17">
        <f>SUMPRODUCT(N(Tabela176[Código]=Tabela3[[#This Row],[PAPEL]]),Tabela176[Fechamento])</f>
        <v>0.31</v>
      </c>
      <c r="BA471" s="17">
        <f>SUMPRODUCT(N(Tabela1768[Código]=Tabela3[[#This Row],[PAPEL]]),Tabela1768[Fechamento])</f>
        <v>0</v>
      </c>
      <c r="BB471" s="7">
        <f>SUMPRODUCT(N(Tabela17683[Código]=Tabela3[[#This Row],[PAPEL]]),Tabela17683[Fechamento])</f>
        <v>0</v>
      </c>
    </row>
    <row r="472" spans="1:54" hidden="1" x14ac:dyDescent="0.2">
      <c r="A472" s="3" t="s">
        <v>1709</v>
      </c>
      <c r="B472" s="57" t="s">
        <v>1667</v>
      </c>
      <c r="C472" s="16" t="str">
        <f>LEFT(Tabela3[PAPEL],LEN(Tabela3[PAPEL])-(LEN(Tabela3[PAPEL])-4))</f>
        <v>RSUL</v>
      </c>
      <c r="D472" s="16">
        <v>3</v>
      </c>
      <c r="E472" s="5">
        <v>9213613.5800000001</v>
      </c>
      <c r="F472" s="56">
        <v>343000</v>
      </c>
      <c r="G472" s="81">
        <v>0.25</v>
      </c>
      <c r="H472" s="87"/>
      <c r="J472" s="18"/>
      <c r="K472" s="16"/>
      <c r="L472" s="87"/>
      <c r="M472" s="54"/>
      <c r="N472" s="54"/>
      <c r="O472" s="54"/>
      <c r="P472" s="91">
        <v>1266000</v>
      </c>
      <c r="Q472" s="73">
        <v>-5191000</v>
      </c>
      <c r="R472" s="73">
        <f>IF(Tabela3[[#This Row],[Ativo || Passivo]]&gt;0,Tabela3[[#This Row],[Ativo || Passivo]]-Tabela3[[#This Row],[Patrimônio Líquido]],0)</f>
        <v>0</v>
      </c>
      <c r="S472" s="73">
        <f>Tabela3[[#This Row],[Cotação]]*Tabela3[[#This Row],[Total Ações]]</f>
        <v>0</v>
      </c>
      <c r="T472" s="37">
        <f>IF(Tabela3[[#This Row],[Passivo Circulante]]&gt;0,Tabela3[[#This Row],[Ativo Circulante]]/Tabela3[[#This Row],[Passivo Circulante]],0)</f>
        <v>0</v>
      </c>
      <c r="U472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72" s="18">
        <f>IF(Tabela3[[#This Row],[Lucro Líquido]]&gt;0,Tabela3[[#This Row],[Lucro Líquido]]/Tabela3[[#This Row],[Patrimônio Líquido]],0)</f>
        <v>0</v>
      </c>
      <c r="W472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72" s="18">
        <f>IF(Tabela3[[#This Row],[Dívida]]&gt;0,Tabela3[[#This Row],[Dívida]]/Tabela3[[#This Row],[Patrimônio Líquido]],0)</f>
        <v>0</v>
      </c>
      <c r="Y472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72" s="7">
        <f>Tabela3[[#This Row],[Capital Social]]*20%</f>
        <v>1842722.716</v>
      </c>
      <c r="AA472" s="47">
        <f>IF((Tabela3[Lucro Líquido]*5%)&gt;Tabela3[Teto R. Legal],Tabela3[Teto R. Legal],Tabela3[Lucro Líquido]*5%)</f>
        <v>-259550</v>
      </c>
      <c r="AB472" s="47">
        <f>IF(Tabela3[Lucro Líquido]&lt;0,0,Tabela3[Lucro Líquido]-Tabela3[Reserva Legal])</f>
        <v>0</v>
      </c>
      <c r="AC472" s="47">
        <f>Tabela3[[#This Row],[Lucro Distribuir]]*Tabela3[%Div]</f>
        <v>0</v>
      </c>
      <c r="AD472" s="56">
        <f>SUMPRODUCT(N(Tabela3[Nome]=Tabela3[[#This Row],[Nome]]),Tabela3[Ações])</f>
        <v>583000</v>
      </c>
      <c r="AE472" s="85">
        <f>Tabela3[Capital Social]/Tabela3[Total Ações]</f>
        <v>15.803796878216124</v>
      </c>
      <c r="AF472" s="85">
        <f>Tabela3[[#This Row],[Lucro Líquido]]/Tabela3[[#This Row],[Total Ações]]</f>
        <v>-8.9039451114922805</v>
      </c>
      <c r="AG472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72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72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72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72" s="7">
        <f>Tabela3[Div Base]*Tabela3[Ações]</f>
        <v>0</v>
      </c>
      <c r="AL472" s="121">
        <f>SUMPRODUCT(N(Tabela3[Nome]=Tabela3[[#This Row],[Nome]]),Tabela3[Div Base]*Tabela3[Ações])</f>
        <v>0</v>
      </c>
      <c r="AM472" s="5">
        <f>Tabela3[Patrimônio Líquido]/Tabela3[Total Ações]</f>
        <v>2.1715265866209261</v>
      </c>
      <c r="AN472" s="52">
        <f>MAX(Tabela3[[#This Row],[Cotação 1]:[Cotação 5]])</f>
        <v>0</v>
      </c>
      <c r="AO472" s="53">
        <f>Tabela3[Cotação]/Tabela3[VPA]</f>
        <v>0</v>
      </c>
      <c r="AP472" s="37">
        <f>IF(Tabela3[[#This Row],[Lucro/Ação]]&gt;0,Tabela3[[#This Row],[Cotação]]/(Tabela3[[#This Row],[Lucro/Ação]]/Tabela3[Ref]*4),0)</f>
        <v>0</v>
      </c>
      <c r="AQ472" s="85">
        <f>Tabela3[Lucro Distribuir]/Tabela3[Total Ações]</f>
        <v>0</v>
      </c>
      <c r="AR472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72" s="10" t="str">
        <f>IF(AND(Tabela3[% A.A.]&gt;=6%,SUMPRODUCT(N(Tabela3[Nome]=Tabela3[[#This Row],[Nome]]),Tabela3[PL])&gt;0,Tabela3[Rentabilidade s/ PL]&gt;=Tabela3[Rentabilidade s/ PL Média]),"Sim","Não")</f>
        <v>Não</v>
      </c>
      <c r="AT472" s="22">
        <f>IF(Tabela3[Cotação]&gt;0,Tabela3[[#This Row],[Lucro]]/Tabela3[[#This Row],[Cotação]],0)</f>
        <v>0</v>
      </c>
      <c r="AU472" s="22">
        <f>((1+Tabela3[[#This Row],[% Yield]])^(1/(3*Tabela3[[#This Row],[Ref]])))^(12)-1</f>
        <v>0</v>
      </c>
      <c r="AV472" s="10">
        <f>IF(Tabela3[Cotação]&gt;0,($BD$1/Tabela3[[#This Row],[Cotação]]-MOD($BD$1/Tabela3[[#This Row],[Cotação]],100)),)</f>
        <v>0</v>
      </c>
      <c r="AW472" s="7">
        <f>Tabela3[[#This Row],[Ativos]]*Tabela3[Lucro]</f>
        <v>0</v>
      </c>
      <c r="AX472" s="7">
        <f>SUMPRODUCT(N(Tabela1[Código]=Tabela3[[#This Row],[PAPEL]]),Tabela1[Fechamento])</f>
        <v>0</v>
      </c>
      <c r="AY472" s="7">
        <f>SUMPRODUCT(N(Tabela17[Código]=Tabela3[[#This Row],[PAPEL]]),Tabela17[Fechamento])</f>
        <v>0</v>
      </c>
      <c r="AZ472" s="7">
        <f>SUMPRODUCT(N(Tabela176[Código]=Tabela3[[#This Row],[PAPEL]]),Tabela176[Fechamento])</f>
        <v>0</v>
      </c>
      <c r="BA472" s="7">
        <f>SUMPRODUCT(N(Tabela1768[Código]=Tabela3[[#This Row],[PAPEL]]),Tabela1768[Fechamento])</f>
        <v>0</v>
      </c>
      <c r="BB472" s="7">
        <f>SUMPRODUCT(N(Tabela17683[Código]=Tabela3[[#This Row],[PAPEL]]),Tabela17683[Fechamento])</f>
        <v>0</v>
      </c>
    </row>
    <row r="473" spans="1:54" hidden="1" x14ac:dyDescent="0.2">
      <c r="A473" s="3" t="s">
        <v>1709</v>
      </c>
      <c r="B473" s="57" t="s">
        <v>1668</v>
      </c>
      <c r="C473" s="16" t="str">
        <f>LEFT(Tabela3[PAPEL],LEN(Tabela3[PAPEL])-(LEN(Tabela3[PAPEL])-4))</f>
        <v>RSUL</v>
      </c>
      <c r="D473" s="16">
        <v>3</v>
      </c>
      <c r="E473" s="5">
        <v>9213613.5800000001</v>
      </c>
      <c r="F473" s="56">
        <v>240000</v>
      </c>
      <c r="G473" s="81">
        <v>0.25</v>
      </c>
      <c r="H473" s="87"/>
      <c r="J473" s="18">
        <v>0.1</v>
      </c>
      <c r="K473" s="16"/>
      <c r="L473" s="87"/>
      <c r="M473" s="54"/>
      <c r="N473" s="54"/>
      <c r="O473" s="54"/>
      <c r="P473" s="91">
        <v>1266000</v>
      </c>
      <c r="Q473" s="73">
        <v>-5191000</v>
      </c>
      <c r="R473" s="73">
        <f>IF(Tabela3[[#This Row],[Ativo || Passivo]]&gt;0,Tabela3[[#This Row],[Ativo || Passivo]]-Tabela3[[#This Row],[Patrimônio Líquido]],0)</f>
        <v>0</v>
      </c>
      <c r="S473" s="73">
        <f>Tabela3[[#This Row],[Cotação]]*Tabela3[[#This Row],[Total Ações]]</f>
        <v>17460850</v>
      </c>
      <c r="T473" s="37">
        <f>IF(Tabela3[[#This Row],[Passivo Circulante]]&gt;0,Tabela3[[#This Row],[Ativo Circulante]]/Tabela3[[#This Row],[Passivo Circulante]],0)</f>
        <v>0</v>
      </c>
      <c r="U473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73" s="18">
        <f>IF(Tabela3[[#This Row],[Lucro Líquido]]&gt;0,Tabela3[[#This Row],[Lucro Líquido]]/Tabela3[[#This Row],[Patrimônio Líquido]],0)</f>
        <v>0</v>
      </c>
      <c r="W473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73" s="18">
        <f>IF(Tabela3[[#This Row],[Dívida]]&gt;0,Tabela3[[#This Row],[Dívida]]/Tabela3[[#This Row],[Patrimônio Líquido]],0)</f>
        <v>0</v>
      </c>
      <c r="Y473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73" s="7">
        <f>Tabela3[[#This Row],[Capital Social]]*20%</f>
        <v>1842722.716</v>
      </c>
      <c r="AA473" s="47">
        <f>IF((Tabela3[Lucro Líquido]*5%)&gt;Tabela3[Teto R. Legal],Tabela3[Teto R. Legal],Tabela3[Lucro Líquido]*5%)</f>
        <v>-259550</v>
      </c>
      <c r="AB473" s="47">
        <f>IF(Tabela3[Lucro Líquido]&lt;0,0,Tabela3[Lucro Líquido]-Tabela3[Reserva Legal])</f>
        <v>0</v>
      </c>
      <c r="AC473" s="47">
        <f>Tabela3[[#This Row],[Lucro Distribuir]]*Tabela3[%Div]</f>
        <v>0</v>
      </c>
      <c r="AD473" s="56">
        <f>SUMPRODUCT(N(Tabela3[Nome]=Tabela3[[#This Row],[Nome]]),Tabela3[Ações])</f>
        <v>583000</v>
      </c>
      <c r="AE473" s="85">
        <f>Tabela3[Capital Social]/Tabela3[Total Ações]</f>
        <v>15.803796878216124</v>
      </c>
      <c r="AF473" s="85">
        <f>Tabela3[[#This Row],[Lucro Líquido]]/Tabela3[[#This Row],[Total Ações]]</f>
        <v>-8.9039451114922805</v>
      </c>
      <c r="AG473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73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73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73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73" s="7">
        <f>Tabela3[Div Base]*Tabela3[Ações]</f>
        <v>0</v>
      </c>
      <c r="AL473" s="121">
        <f>SUMPRODUCT(N(Tabela3[Nome]=Tabela3[[#This Row],[Nome]]),Tabela3[Div Base]*Tabela3[Ações])</f>
        <v>0</v>
      </c>
      <c r="AM473" s="5">
        <f>Tabela3[Patrimônio Líquido]/Tabela3[Total Ações]</f>
        <v>2.1715265866209261</v>
      </c>
      <c r="AN473" s="52">
        <f>MAX(Tabela3[[#This Row],[Cotação 1]:[Cotação 5]])</f>
        <v>29.95</v>
      </c>
      <c r="AO473" s="53">
        <f>Tabela3[Cotação]/Tabela3[VPA]</f>
        <v>13.792140600315957</v>
      </c>
      <c r="AP473" s="37">
        <f>IF(Tabela3[[#This Row],[Lucro/Ação]]&gt;0,Tabela3[[#This Row],[Cotação]]/(Tabela3[[#This Row],[Lucro/Ação]]/Tabela3[Ref]*4),0)</f>
        <v>0</v>
      </c>
      <c r="AQ473" s="85">
        <f>Tabela3[Lucro Distribuir]/Tabela3[Total Ações]</f>
        <v>0</v>
      </c>
      <c r="AR473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73" s="10" t="str">
        <f>IF(AND(Tabela3[% A.A.]&gt;=6%,SUMPRODUCT(N(Tabela3[Nome]=Tabela3[[#This Row],[Nome]]),Tabela3[PL])&gt;0,Tabela3[Rentabilidade s/ PL]&gt;=Tabela3[Rentabilidade s/ PL Média]),"Sim","Não")</f>
        <v>Não</v>
      </c>
      <c r="AT473" s="22">
        <f>IF(Tabela3[Cotação]&gt;0,Tabela3[[#This Row],[Lucro]]/Tabela3[[#This Row],[Cotação]],0)</f>
        <v>0</v>
      </c>
      <c r="AU473" s="22">
        <f>((1+Tabela3[[#This Row],[% Yield]])^(1/(3*Tabela3[[#This Row],[Ref]])))^(12)-1</f>
        <v>0</v>
      </c>
      <c r="AV473" s="10">
        <f>IF(Tabela3[Cotação]&gt;0,($BD$1/Tabela3[[#This Row],[Cotação]]-MOD($BD$1/Tabela3[[#This Row],[Cotação]],100)),)</f>
        <v>0</v>
      </c>
      <c r="AW473" s="7">
        <f>Tabela3[[#This Row],[Ativos]]*Tabela3[Lucro]</f>
        <v>0</v>
      </c>
      <c r="AX473" s="7">
        <f>SUMPRODUCT(N(Tabela1[Código]=Tabela3[[#This Row],[PAPEL]]),Tabela1[Fechamento])</f>
        <v>0</v>
      </c>
      <c r="AY473" s="7">
        <f>SUMPRODUCT(N(Tabela17[Código]=Tabela3[[#This Row],[PAPEL]]),Tabela17[Fechamento])</f>
        <v>0</v>
      </c>
      <c r="AZ473" s="7">
        <f>SUMPRODUCT(N(Tabela176[Código]=Tabela3[[#This Row],[PAPEL]]),Tabela176[Fechamento])</f>
        <v>0</v>
      </c>
      <c r="BA473" s="7">
        <f>SUMPRODUCT(N(Tabela1768[Código]=Tabela3[[#This Row],[PAPEL]]),Tabela1768[Fechamento])</f>
        <v>0</v>
      </c>
      <c r="BB473" s="7">
        <f>SUMPRODUCT(N(Tabela17683[Código]=Tabela3[[#This Row],[PAPEL]]),Tabela17683[Fechamento])</f>
        <v>29.95</v>
      </c>
    </row>
    <row r="474" spans="1:54" hidden="1" x14ac:dyDescent="0.2">
      <c r="A474" s="4" t="s">
        <v>14</v>
      </c>
      <c r="B474" s="57" t="s">
        <v>571</v>
      </c>
      <c r="C474" s="15" t="str">
        <f>LEFT(Tabela3[PAPEL],LEN(Tabela3[PAPEL])-(LEN(Tabela3[PAPEL])-4))</f>
        <v>SANB</v>
      </c>
      <c r="D474" s="15">
        <v>4</v>
      </c>
      <c r="E474" s="6"/>
      <c r="F474" s="8"/>
      <c r="G474" s="86">
        <v>0.25</v>
      </c>
      <c r="H474" s="15"/>
      <c r="I474" s="19"/>
      <c r="J474" s="19"/>
      <c r="K474" s="88">
        <v>55</v>
      </c>
      <c r="L474" s="88">
        <v>50</v>
      </c>
      <c r="M474" s="55"/>
      <c r="N474" s="55"/>
      <c r="O474" s="55"/>
      <c r="P474" s="92"/>
      <c r="Q474" s="93"/>
      <c r="R474" s="93">
        <f>IF(Tabela3[[#This Row],[Ativo || Passivo]]&gt;0,Tabela3[[#This Row],[Ativo || Passivo]]-Tabela3[[#This Row],[Patrimônio Líquido]],0)</f>
        <v>0</v>
      </c>
      <c r="S474" s="93">
        <f>Tabela3[[#This Row],[Cotação]]*Tabela3[[#This Row],[Total Ações]]</f>
        <v>4577036020900.3506</v>
      </c>
      <c r="T474" s="40">
        <f>IF(Tabela3[[#This Row],[Passivo Circulante]]&gt;0,Tabela3[[#This Row],[Ativo Circulante]]/Tabela3[[#This Row],[Passivo Circulante]],0)</f>
        <v>0</v>
      </c>
      <c r="U474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74" s="19">
        <f>IF(Tabela3[[#This Row],[Lucro Líquido]]&gt;0,Tabela3[[#This Row],[Lucro Líquido]]/Tabela3[[#This Row],[Patrimônio Líquido]],0)</f>
        <v>0</v>
      </c>
      <c r="W474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74" s="19">
        <f>IF(Tabela3[[#This Row],[Dívida]]&gt;0,Tabela3[[#This Row],[Dívida]]/Tabela3[[#This Row],[Patrimônio Líquido]],0)</f>
        <v>0</v>
      </c>
      <c r="Y474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74" s="13">
        <f>Tabela3[[#This Row],[Capital Social]]*20%</f>
        <v>0</v>
      </c>
      <c r="AA474" s="13">
        <f>IF((Tabela3[Lucro Líquido]*5%)&gt;Tabela3[Teto R. Legal],Tabela3[Teto R. Legal],Tabela3[Lucro Líquido]*5%)</f>
        <v>0</v>
      </c>
      <c r="AB474" s="13">
        <f>IF(Tabela3[Lucro Líquido]&lt;0,0,Tabela3[Lucro Líquido]-Tabela3[Reserva Legal])</f>
        <v>0</v>
      </c>
      <c r="AC474" s="13">
        <f>Tabela3[[#This Row],[Lucro Distribuir]]*Tabela3[%Div]</f>
        <v>0</v>
      </c>
      <c r="AD474" s="56">
        <f>SUMPRODUCT(N(Tabela3[Nome]=Tabela3[[#This Row],[Nome]]),Tabela3[Ações])</f>
        <v>399044116905</v>
      </c>
      <c r="AE474" s="6">
        <f>Tabela3[Capital Social]/Tabela3[Total Ações]</f>
        <v>0</v>
      </c>
      <c r="AF474" s="78">
        <f>Tabela3[[#This Row],[Lucro Líquido]]/Tabela3[[#This Row],[Total Ações]]</f>
        <v>0</v>
      </c>
      <c r="AG474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74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74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74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74" s="13">
        <f>Tabela3[Div Base]*Tabela3[Ações]</f>
        <v>0</v>
      </c>
      <c r="AL474" s="13">
        <f>SUMPRODUCT(N(Tabela3[Nome]=Tabela3[[#This Row],[Nome]]),Tabela3[Div Base]*Tabela3[Ações])</f>
        <v>391512248.61271071</v>
      </c>
      <c r="AM474" s="6">
        <f>Tabela3[Patrimônio Líquido]/Tabela3[Total Ações]</f>
        <v>0</v>
      </c>
      <c r="AN474" s="48">
        <f>MAX(Tabela3[[#This Row],[Cotação 1]:[Cotação 5]])</f>
        <v>11.47</v>
      </c>
      <c r="AO474" s="44" t="e">
        <f>Tabela3[Cotação]/Tabela3[VPA]</f>
        <v>#DIV/0!</v>
      </c>
      <c r="AP474" s="40">
        <f>IF(Tabela3[[#This Row],[Lucro/Ação]]&gt;0,Tabela3[[#This Row],[Cotação]]/(Tabela3[[#This Row],[Lucro/Ação]]/Tabela3[Ref]*4),0)</f>
        <v>0</v>
      </c>
      <c r="AQ474" s="78">
        <f>Tabela3[Lucro Distribuir]/Tabela3[Total Ações]</f>
        <v>0</v>
      </c>
      <c r="AR474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0.10311233599201215</v>
      </c>
      <c r="AS474" s="14" t="str">
        <f>IF(AND(Tabela3[% A.A.]&gt;=6%,SUMPRODUCT(N(Tabela3[Nome]=Tabela3[[#This Row],[Nome]]),Tabela3[PL])&gt;0,Tabela3[Rentabilidade s/ PL]&gt;=Tabela3[Rentabilidade s/ PL Média]),"Sim","Não")</f>
        <v>Não</v>
      </c>
      <c r="AT474" s="42">
        <f>IF(Tabela3[Cotação]&gt;0,Tabela3[[#This Row],[Lucro]]/Tabela3[[#This Row],[Cotação]],0)</f>
        <v>8.9897415860516264E-3</v>
      </c>
      <c r="AU474" s="42">
        <f>((1+Tabela3[[#This Row],[% Yield]])^(1/(3*Tabela3[[#This Row],[Ref]])))^(12)-1</f>
        <v>8.9897415860515917E-3</v>
      </c>
      <c r="AV474" s="14">
        <f>IF(Tabela3[Cotação]&gt;0,($BD$1/Tabela3[[#This Row],[Cotação]]-MOD($BD$1/Tabela3[[#This Row],[Cotação]],100)),)</f>
        <v>0</v>
      </c>
      <c r="AW474" s="17">
        <f>Tabela3[[#This Row],[Ativos]]*Tabela3[Lucro]</f>
        <v>0</v>
      </c>
      <c r="AX474" s="17">
        <f>SUMPRODUCT(N(Tabela1[Código]=Tabela3[[#This Row],[PAPEL]]),Tabela1[Fechamento])</f>
        <v>0</v>
      </c>
      <c r="AY474" s="17">
        <f>SUMPRODUCT(N(Tabela17[Código]=Tabela3[[#This Row],[PAPEL]]),Tabela17[Fechamento])</f>
        <v>0</v>
      </c>
      <c r="AZ474" s="17">
        <f>SUMPRODUCT(N(Tabela176[Código]=Tabela3[[#This Row],[PAPEL]]),Tabela176[Fechamento])</f>
        <v>11.47</v>
      </c>
      <c r="BA474" s="17">
        <f>SUMPRODUCT(N(Tabela1768[Código]=Tabela3[[#This Row],[PAPEL]]),Tabela1768[Fechamento])</f>
        <v>0</v>
      </c>
      <c r="BB474" s="7">
        <f>SUMPRODUCT(N(Tabela17683[Código]=Tabela3[[#This Row],[PAPEL]]),Tabela17683[Fechamento])</f>
        <v>0</v>
      </c>
    </row>
    <row r="475" spans="1:54" hidden="1" x14ac:dyDescent="0.2">
      <c r="A475" s="3" t="s">
        <v>1330</v>
      </c>
      <c r="B475" s="57" t="s">
        <v>1365</v>
      </c>
      <c r="C475" s="16" t="str">
        <f>LEFT(Tabela3[PAPEL],LEN(Tabela3[PAPEL])-(LEN(Tabela3[PAPEL])-4))</f>
        <v>SGEN</v>
      </c>
      <c r="D475" s="16">
        <v>3</v>
      </c>
      <c r="E475" s="5">
        <v>55000000</v>
      </c>
      <c r="F475" s="56">
        <v>15807460935</v>
      </c>
      <c r="G475" s="81">
        <v>0.25</v>
      </c>
      <c r="H475" s="87"/>
      <c r="J475" s="18"/>
      <c r="K475" s="16"/>
      <c r="L475" s="87"/>
      <c r="M475" s="54"/>
      <c r="N475" s="54"/>
      <c r="O475" s="54"/>
      <c r="P475" s="91">
        <v>156980922</v>
      </c>
      <c r="Q475" s="73">
        <v>-493467</v>
      </c>
      <c r="R475" s="73">
        <f>IF(Tabela3[[#This Row],[Ativo || Passivo]]&gt;0,Tabela3[[#This Row],[Ativo || Passivo]]-Tabela3[[#This Row],[Patrimônio Líquido]],0)</f>
        <v>0</v>
      </c>
      <c r="S475" s="73">
        <f>Tabela3[[#This Row],[Cotação]]*Tabela3[[#This Row],[Total Ações]]</f>
        <v>121375160025</v>
      </c>
      <c r="T475" s="37">
        <f>IF(Tabela3[[#This Row],[Passivo Circulante]]&gt;0,Tabela3[[#This Row],[Ativo Circulante]]/Tabela3[[#This Row],[Passivo Circulante]],0)</f>
        <v>0</v>
      </c>
      <c r="U475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75" s="18">
        <f>IF(Tabela3[[#This Row],[Lucro Líquido]]&gt;0,Tabela3[[#This Row],[Lucro Líquido]]/Tabela3[[#This Row],[Patrimônio Líquido]],0)</f>
        <v>0</v>
      </c>
      <c r="W475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75" s="18">
        <f>IF(Tabela3[[#This Row],[Dívida]]&gt;0,Tabela3[[#This Row],[Dívida]]/Tabela3[[#This Row],[Patrimônio Líquido]],0)</f>
        <v>0</v>
      </c>
      <c r="Y475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75" s="7">
        <f>Tabela3[[#This Row],[Capital Social]]*20%</f>
        <v>11000000</v>
      </c>
      <c r="AA475" s="47">
        <f>IF((Tabela3[Lucro Líquido]*5%)&gt;Tabela3[Teto R. Legal],Tabela3[Teto R. Legal],Tabela3[Lucro Líquido]*5%)</f>
        <v>-24673.350000000002</v>
      </c>
      <c r="AB475" s="47">
        <f>IF(Tabela3[Lucro Líquido]&lt;0,0,Tabela3[Lucro Líquido]-Tabela3[Reserva Legal])</f>
        <v>0</v>
      </c>
      <c r="AC475" s="47">
        <f>Tabela3[[#This Row],[Lucro Distribuir]]*Tabela3[%Div]</f>
        <v>0</v>
      </c>
      <c r="AD475" s="56">
        <f>SUMPRODUCT(N(Tabela3[Nome]=Tabela3[[#This Row],[Nome]]),Tabela3[Ações])</f>
        <v>24275032005</v>
      </c>
      <c r="AE475" s="85">
        <f>Tabela3[Capital Social]/Tabela3[Total Ações]</f>
        <v>2.265702471109883E-3</v>
      </c>
      <c r="AF475" s="85">
        <f>Tabela3[[#This Row],[Lucro Líquido]]/Tabela3[[#This Row],[Total Ações]]</f>
        <v>-2.0328170932930559E-5</v>
      </c>
      <c r="AG475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75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75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75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75" s="7">
        <f>Tabela3[Div Base]*Tabela3[Ações]</f>
        <v>0</v>
      </c>
      <c r="AL475" s="121">
        <f>SUMPRODUCT(N(Tabela3[Nome]=Tabela3[[#This Row],[Nome]]),Tabela3[Div Base]*Tabela3[Ações])</f>
        <v>0</v>
      </c>
      <c r="AM475" s="5">
        <f>Tabela3[Patrimônio Líquido]/Tabela3[Total Ações]</f>
        <v>6.4667647798637784E-3</v>
      </c>
      <c r="AN475" s="52">
        <f>MAX(Tabela3[[#This Row],[Cotação 1]:[Cotação 5]])</f>
        <v>5</v>
      </c>
      <c r="AO475" s="53">
        <f>Tabela3[Cotação]/Tabela3[VPA]</f>
        <v>773.18414542755716</v>
      </c>
      <c r="AP475" s="37">
        <f>IF(Tabela3[[#This Row],[Lucro/Ação]]&gt;0,Tabela3[[#This Row],[Cotação]]/(Tabela3[[#This Row],[Lucro/Ação]]/Tabela3[Ref]*4),0)</f>
        <v>0</v>
      </c>
      <c r="AQ475" s="85">
        <f>Tabela3[Lucro Distribuir]/Tabela3[Total Ações]</f>
        <v>0</v>
      </c>
      <c r="AR475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75" s="10" t="str">
        <f>IF(AND(Tabela3[% A.A.]&gt;=6%,SUMPRODUCT(N(Tabela3[Nome]=Tabela3[[#This Row],[Nome]]),Tabela3[PL])&gt;0,Tabela3[Rentabilidade s/ PL]&gt;=Tabela3[Rentabilidade s/ PL Média]),"Sim","Não")</f>
        <v>Não</v>
      </c>
      <c r="AT475" s="22">
        <f>IF(Tabela3[Cotação]&gt;0,Tabela3[[#This Row],[Lucro]]/Tabela3[[#This Row],[Cotação]],0)</f>
        <v>0</v>
      </c>
      <c r="AU475" s="22">
        <f>((1+Tabela3[[#This Row],[% Yield]])^(1/(3*Tabela3[[#This Row],[Ref]])))^(12)-1</f>
        <v>0</v>
      </c>
      <c r="AV475" s="10">
        <f>IF(Tabela3[Cotação]&gt;0,($BD$1/Tabela3[[#This Row],[Cotação]]-MOD($BD$1/Tabela3[[#This Row],[Cotação]],100)),)</f>
        <v>0</v>
      </c>
      <c r="AW475" s="7">
        <f>Tabela3[[#This Row],[Ativos]]*Tabela3[Lucro]</f>
        <v>0</v>
      </c>
      <c r="AX475" s="7">
        <f>SUMPRODUCT(N(Tabela1[Código]=Tabela3[[#This Row],[PAPEL]]),Tabela1[Fechamento])</f>
        <v>0</v>
      </c>
      <c r="AY475" s="7">
        <f>SUMPRODUCT(N(Tabela17[Código]=Tabela3[[#This Row],[PAPEL]]),Tabela17[Fechamento])</f>
        <v>0</v>
      </c>
      <c r="AZ475" s="7">
        <f>SUMPRODUCT(N(Tabela176[Código]=Tabela3[[#This Row],[PAPEL]]),Tabela176[Fechamento])</f>
        <v>0</v>
      </c>
      <c r="BA475" s="7">
        <f>SUMPRODUCT(N(Tabela1768[Código]=Tabela3[[#This Row],[PAPEL]]),Tabela1768[Fechamento])</f>
        <v>5</v>
      </c>
      <c r="BB475" s="7">
        <f>SUMPRODUCT(N(Tabela17683[Código]=Tabela3[[#This Row],[PAPEL]]),Tabela17683[Fechamento])</f>
        <v>0</v>
      </c>
    </row>
    <row r="476" spans="1:54" hidden="1" x14ac:dyDescent="0.2">
      <c r="A476" s="3" t="s">
        <v>1330</v>
      </c>
      <c r="B476" s="57" t="s">
        <v>1366</v>
      </c>
      <c r="C476" s="16" t="str">
        <f>LEFT(Tabela3[PAPEL],LEN(Tabela3[PAPEL])-(LEN(Tabela3[PAPEL])-4))</f>
        <v>SGEN</v>
      </c>
      <c r="D476" s="16">
        <v>3</v>
      </c>
      <c r="E476" s="5">
        <v>55000000</v>
      </c>
      <c r="F476" s="56">
        <v>8467571070</v>
      </c>
      <c r="G476" s="81">
        <v>0.25</v>
      </c>
      <c r="H476" s="87"/>
      <c r="J476" s="18">
        <v>0.1</v>
      </c>
      <c r="K476" s="16"/>
      <c r="L476" s="87"/>
      <c r="M476" s="54"/>
      <c r="N476" s="54"/>
      <c r="O476" s="54"/>
      <c r="P476" s="91">
        <v>156980922</v>
      </c>
      <c r="Q476" s="93">
        <v>-493467</v>
      </c>
      <c r="R476" s="93">
        <f>IF(Tabela3[[#This Row],[Ativo || Passivo]]&gt;0,Tabela3[[#This Row],[Ativo || Passivo]]-Tabela3[[#This Row],[Patrimônio Líquido]],0)</f>
        <v>0</v>
      </c>
      <c r="S476" s="93">
        <f>Tabela3[[#This Row],[Cotação]]*Tabela3[[#This Row],[Total Ações]]</f>
        <v>14565019203</v>
      </c>
      <c r="T476" s="40">
        <f>IF(Tabela3[[#This Row],[Passivo Circulante]]&gt;0,Tabela3[[#This Row],[Ativo Circulante]]/Tabela3[[#This Row],[Passivo Circulante]],0)</f>
        <v>0</v>
      </c>
      <c r="U476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76" s="19">
        <f>IF(Tabela3[[#This Row],[Lucro Líquido]]&gt;0,Tabela3[[#This Row],[Lucro Líquido]]/Tabela3[[#This Row],[Patrimônio Líquido]],0)</f>
        <v>0</v>
      </c>
      <c r="W476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76" s="19">
        <f>IF(Tabela3[[#This Row],[Dívida]]&gt;0,Tabela3[[#This Row],[Dívida]]/Tabela3[[#This Row],[Patrimônio Líquido]],0)</f>
        <v>0</v>
      </c>
      <c r="Y476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76" s="7">
        <f>Tabela3[[#This Row],[Capital Social]]*20%</f>
        <v>11000000</v>
      </c>
      <c r="AA476" s="47">
        <f>IF((Tabela3[Lucro Líquido]*5%)&gt;Tabela3[Teto R. Legal],Tabela3[Teto R. Legal],Tabela3[Lucro Líquido]*5%)</f>
        <v>-24673.350000000002</v>
      </c>
      <c r="AB476" s="47">
        <f>IF(Tabela3[Lucro Líquido]&lt;0,0,Tabela3[Lucro Líquido]-Tabela3[Reserva Legal])</f>
        <v>0</v>
      </c>
      <c r="AC476" s="47">
        <f>Tabela3[[#This Row],[Lucro Distribuir]]*Tabela3[%Div]</f>
        <v>0</v>
      </c>
      <c r="AD476" s="56">
        <f>SUMPRODUCT(N(Tabela3[Nome]=Tabela3[[#This Row],[Nome]]),Tabela3[Ações])</f>
        <v>24275032005</v>
      </c>
      <c r="AE476" s="85">
        <f>Tabela3[Capital Social]/Tabela3[Total Ações]</f>
        <v>2.265702471109883E-3</v>
      </c>
      <c r="AF476" s="85">
        <f>Tabela3[[#This Row],[Lucro Líquido]]/Tabela3[[#This Row],[Total Ações]]</f>
        <v>-2.0328170932930559E-5</v>
      </c>
      <c r="AG476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76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76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76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76" s="7">
        <f>Tabela3[Div Base]*Tabela3[Ações]</f>
        <v>0</v>
      </c>
      <c r="AL476" s="121">
        <f>SUMPRODUCT(N(Tabela3[Nome]=Tabela3[[#This Row],[Nome]]),Tabela3[Div Base]*Tabela3[Ações])</f>
        <v>0</v>
      </c>
      <c r="AM476" s="5">
        <f>Tabela3[Patrimônio Líquido]/Tabela3[Total Ações]</f>
        <v>6.4667647798637784E-3</v>
      </c>
      <c r="AN476" s="52">
        <f>MAX(Tabela3[[#This Row],[Cotação 1]:[Cotação 5]])</f>
        <v>0.6</v>
      </c>
      <c r="AO476" s="53">
        <f>Tabela3[Cotação]/Tabela3[VPA]</f>
        <v>92.782097451306853</v>
      </c>
      <c r="AP476" s="37">
        <f>IF(Tabela3[[#This Row],[Lucro/Ação]]&gt;0,Tabela3[[#This Row],[Cotação]]/(Tabela3[[#This Row],[Lucro/Ação]]/Tabela3[Ref]*4),0)</f>
        <v>0</v>
      </c>
      <c r="AQ476" s="85">
        <f>Tabela3[Lucro Distribuir]/Tabela3[Total Ações]</f>
        <v>0</v>
      </c>
      <c r="AR476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76" s="10" t="str">
        <f>IF(AND(Tabela3[% A.A.]&gt;=6%,SUMPRODUCT(N(Tabela3[Nome]=Tabela3[[#This Row],[Nome]]),Tabela3[PL])&gt;0,Tabela3[Rentabilidade s/ PL]&gt;=Tabela3[Rentabilidade s/ PL Média]),"Sim","Não")</f>
        <v>Não</v>
      </c>
      <c r="AT476" s="22">
        <f>IF(Tabela3[Cotação]&gt;0,Tabela3[[#This Row],[Lucro]]/Tabela3[[#This Row],[Cotação]],0)</f>
        <v>0</v>
      </c>
      <c r="AU476" s="22">
        <f>((1+Tabela3[[#This Row],[% Yield]])^(1/(3*Tabela3[[#This Row],[Ref]])))^(12)-1</f>
        <v>0</v>
      </c>
      <c r="AV476" s="10">
        <f>IF(Tabela3[Cotação]&gt;0,($BD$1/Tabela3[[#This Row],[Cotação]]-MOD($BD$1/Tabela3[[#This Row],[Cotação]],100)),)</f>
        <v>0</v>
      </c>
      <c r="AW476" s="7">
        <f>Tabela3[[#This Row],[Ativos]]*Tabela3[Lucro]</f>
        <v>0</v>
      </c>
      <c r="AX476" s="7">
        <f>SUMPRODUCT(N(Tabela1[Código]=Tabela3[[#This Row],[PAPEL]]),Tabela1[Fechamento])</f>
        <v>0</v>
      </c>
      <c r="AY476" s="7">
        <f>SUMPRODUCT(N(Tabela17[Código]=Tabela3[[#This Row],[PAPEL]]),Tabela17[Fechamento])</f>
        <v>0</v>
      </c>
      <c r="AZ476" s="7">
        <f>SUMPRODUCT(N(Tabela176[Código]=Tabela3[[#This Row],[PAPEL]]),Tabela176[Fechamento])</f>
        <v>0</v>
      </c>
      <c r="BA476" s="7">
        <f>SUMPRODUCT(N(Tabela1768[Código]=Tabela3[[#This Row],[PAPEL]]),Tabela1768[Fechamento])</f>
        <v>0.6</v>
      </c>
      <c r="BB476" s="7">
        <f>SUMPRODUCT(N(Tabela17683[Código]=Tabela3[[#This Row],[PAPEL]]),Tabela17683[Fechamento])</f>
        <v>0</v>
      </c>
    </row>
    <row r="477" spans="1:54" hidden="1" x14ac:dyDescent="0.2">
      <c r="A477" s="3" t="s">
        <v>935</v>
      </c>
      <c r="B477" s="58" t="s">
        <v>1131</v>
      </c>
      <c r="C477" s="16" t="str">
        <f>LEFT(Tabela3[PAPEL],LEN(Tabela3[PAPEL])-(LEN(Tabela3[PAPEL])-4))</f>
        <v>SGPS</v>
      </c>
      <c r="D477" s="16">
        <v>3</v>
      </c>
      <c r="E477" s="5">
        <v>1860263807.6800001</v>
      </c>
      <c r="F477" s="56">
        <v>200000000</v>
      </c>
      <c r="G477" s="81">
        <v>0.33</v>
      </c>
      <c r="H477" s="87"/>
      <c r="J477" s="18"/>
      <c r="K477" s="16"/>
      <c r="L477" s="87"/>
      <c r="M477" s="54"/>
      <c r="N477" s="54"/>
      <c r="O477" s="54"/>
      <c r="P477" s="91">
        <v>1147616000</v>
      </c>
      <c r="Q477" s="73">
        <v>-49149000</v>
      </c>
      <c r="R477" s="73">
        <f>IF(Tabela3[[#This Row],[Ativo || Passivo]]&gt;0,Tabela3[[#This Row],[Ativo || Passivo]]-Tabela3[[#This Row],[Patrimônio Líquido]],0)</f>
        <v>0</v>
      </c>
      <c r="S477" s="73">
        <f>Tabela3[[#This Row],[Cotação]]*Tabela3[[#This Row],[Total Ações]]</f>
        <v>302000000</v>
      </c>
      <c r="T477" s="37">
        <f>IF(Tabela3[[#This Row],[Passivo Circulante]]&gt;0,Tabela3[[#This Row],[Ativo Circulante]]/Tabela3[[#This Row],[Passivo Circulante]],0)</f>
        <v>0</v>
      </c>
      <c r="U477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77" s="18">
        <f>IF(Tabela3[[#This Row],[Lucro Líquido]]&gt;0,Tabela3[[#This Row],[Lucro Líquido]]/Tabela3[[#This Row],[Patrimônio Líquido]],0)</f>
        <v>0</v>
      </c>
      <c r="W477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77" s="18">
        <f>IF(Tabela3[[#This Row],[Dívida]]&gt;0,Tabela3[[#This Row],[Dívida]]/Tabela3[[#This Row],[Patrimônio Líquido]],0)</f>
        <v>0</v>
      </c>
      <c r="Y477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77" s="7">
        <f>Tabela3[[#This Row],[Capital Social]]*20%</f>
        <v>372052761.53600001</v>
      </c>
      <c r="AA477" s="47">
        <f>IF((Tabela3[Lucro Líquido]*5%)&gt;Tabela3[Teto R. Legal],Tabela3[Teto R. Legal],Tabela3[Lucro Líquido]*5%)</f>
        <v>-2457450</v>
      </c>
      <c r="AB477" s="47">
        <f>IF(Tabela3[Lucro Líquido]&lt;0,0,Tabela3[Lucro Líquido]-Tabela3[Reserva Legal])</f>
        <v>0</v>
      </c>
      <c r="AC477" s="47">
        <f>Tabela3[[#This Row],[Lucro Distribuir]]*Tabela3[%Div]</f>
        <v>0</v>
      </c>
      <c r="AD477" s="56">
        <f>SUMPRODUCT(N(Tabela3[Nome]=Tabela3[[#This Row],[Nome]]),Tabela3[Ações])</f>
        <v>200000000</v>
      </c>
      <c r="AE477" s="85">
        <f>Tabela3[Capital Social]/Tabela3[Total Ações]</f>
        <v>9.3013190384000008</v>
      </c>
      <c r="AF477" s="85">
        <f>Tabela3[[#This Row],[Lucro Líquido]]/Tabela3[[#This Row],[Total Ações]]</f>
        <v>-0.24574499999999999</v>
      </c>
      <c r="AG477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77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77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77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77" s="7">
        <f>Tabela3[Div Base]*Tabela3[Ações]</f>
        <v>0</v>
      </c>
      <c r="AL477" s="7">
        <f>SUMPRODUCT(N(Tabela3[Nome]=Tabela3[[#This Row],[Nome]]),Tabela3[Div Base]*Tabela3[Ações])</f>
        <v>0</v>
      </c>
      <c r="AM477" s="5">
        <f>Tabela3[Patrimônio Líquido]/Tabela3[Total Ações]</f>
        <v>5.7380800000000001</v>
      </c>
      <c r="AN477" s="52">
        <f>MAX(Tabela3[[#This Row],[Cotação 1]:[Cotação 5]])</f>
        <v>1.51</v>
      </c>
      <c r="AO477" s="53">
        <f>Tabela3[Cotação]/Tabela3[VPA]</f>
        <v>0.26315422580375319</v>
      </c>
      <c r="AP477" s="37">
        <f>IF(Tabela3[[#This Row],[Lucro/Ação]]&gt;0,Tabela3[[#This Row],[Cotação]]/(Tabela3[[#This Row],[Lucro/Ação]]/Tabela3[Ref]*4),0)</f>
        <v>0</v>
      </c>
      <c r="AQ477" s="85">
        <f>Tabela3[Lucro Distribuir]/Tabela3[Total Ações]</f>
        <v>0</v>
      </c>
      <c r="AR477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77" s="10" t="str">
        <f>IF(AND(Tabela3[% A.A.]&gt;=6%,SUMPRODUCT(N(Tabela3[Nome]=Tabela3[[#This Row],[Nome]]),Tabela3[PL])&gt;0,Tabela3[Rentabilidade s/ PL]&gt;=Tabela3[Rentabilidade s/ PL Média]),"Sim","Não")</f>
        <v>Não</v>
      </c>
      <c r="AT477" s="22">
        <f>IF(Tabela3[Cotação]&gt;0,Tabela3[[#This Row],[Lucro]]/Tabela3[[#This Row],[Cotação]],0)</f>
        <v>0</v>
      </c>
      <c r="AU477" s="22">
        <f>((1+Tabela3[[#This Row],[% Yield]])^(1/(3*Tabela3[[#This Row],[Ref]])))^(12)-1</f>
        <v>0</v>
      </c>
      <c r="AV477" s="10">
        <f>IF(Tabela3[Cotação]&gt;0,($BD$1/Tabela3[[#This Row],[Cotação]]-MOD($BD$1/Tabela3[[#This Row],[Cotação]],100)),)</f>
        <v>0</v>
      </c>
      <c r="AW477" s="7">
        <f>Tabela3[[#This Row],[Ativos]]*Tabela3[Lucro]</f>
        <v>0</v>
      </c>
      <c r="AX477" s="7">
        <f>SUMPRODUCT(N(Tabela1[Código]=Tabela3[[#This Row],[PAPEL]]),Tabela1[Fechamento])</f>
        <v>0</v>
      </c>
      <c r="AY477" s="7">
        <f>SUMPRODUCT(N(Tabela17[Código]=Tabela3[[#This Row],[PAPEL]]),Tabela17[Fechamento])</f>
        <v>0</v>
      </c>
      <c r="AZ477" s="7">
        <f>SUMPRODUCT(N(Tabela176[Código]=Tabela3[[#This Row],[PAPEL]]),Tabela176[Fechamento])</f>
        <v>0</v>
      </c>
      <c r="BA477" s="7">
        <f>SUMPRODUCT(N(Tabela1768[Código]=Tabela3[[#This Row],[PAPEL]]),Tabela1768[Fechamento])</f>
        <v>1.51</v>
      </c>
      <c r="BB477" s="7">
        <f>SUMPRODUCT(N(Tabela17683[Código]=Tabela3[[#This Row],[PAPEL]]),Tabela17683[Fechamento])</f>
        <v>0</v>
      </c>
    </row>
    <row r="478" spans="1:54" hidden="1" x14ac:dyDescent="0.2">
      <c r="A478" s="3" t="s">
        <v>903</v>
      </c>
      <c r="B478" s="58" t="s">
        <v>904</v>
      </c>
      <c r="C478" s="16" t="str">
        <f>LEFT(Tabela3[PAPEL],LEN(Tabela3[PAPEL])-(LEN(Tabela3[PAPEL])-4))</f>
        <v>SHOW</v>
      </c>
      <c r="D478" s="16">
        <v>3</v>
      </c>
      <c r="E478" s="5">
        <v>243022170.40000001</v>
      </c>
      <c r="F478" s="56">
        <v>69971465</v>
      </c>
      <c r="G478" s="81">
        <v>0.25</v>
      </c>
      <c r="H478" s="87"/>
      <c r="J478" s="18"/>
      <c r="K478" s="16"/>
      <c r="L478" s="87"/>
      <c r="M478" s="54"/>
      <c r="N478" s="54"/>
      <c r="O478" s="54"/>
      <c r="P478" s="91">
        <v>335316000</v>
      </c>
      <c r="Q478" s="73">
        <v>-9780000</v>
      </c>
      <c r="R478" s="73">
        <f>IF(Tabela3[[#This Row],[Ativo || Passivo]]&gt;0,Tabela3[[#This Row],[Ativo || Passivo]]-Tabela3[[#This Row],[Patrimônio Líquido]],0)</f>
        <v>0</v>
      </c>
      <c r="S478" s="73">
        <f>Tabela3[[#This Row],[Cotação]]*Tabela3[[#This Row],[Total Ações]]</f>
        <v>327466456.19999999</v>
      </c>
      <c r="T478" s="37">
        <f>IF(Tabela3[[#This Row],[Passivo Circulante]]&gt;0,Tabela3[[#This Row],[Ativo Circulante]]/Tabela3[[#This Row],[Passivo Circulante]],0)</f>
        <v>0</v>
      </c>
      <c r="U478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78" s="18">
        <f>IF(Tabela3[[#This Row],[Lucro Líquido]]&gt;0,Tabela3[[#This Row],[Lucro Líquido]]/Tabela3[[#This Row],[Patrimônio Líquido]],0)</f>
        <v>0</v>
      </c>
      <c r="W478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78" s="18">
        <f>IF(Tabela3[[#This Row],[Dívida]]&gt;0,Tabela3[[#This Row],[Dívida]]/Tabela3[[#This Row],[Patrimônio Líquido]],0)</f>
        <v>0</v>
      </c>
      <c r="Y478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78" s="7">
        <f>Tabela3[[#This Row],[Capital Social]]*20%</f>
        <v>48604434.080000006</v>
      </c>
      <c r="AA478" s="47">
        <f>IF((Tabela3[Lucro Líquido]*5%)&gt;Tabela3[Teto R. Legal],Tabela3[Teto R. Legal],Tabela3[Lucro Líquido]*5%)</f>
        <v>-489000</v>
      </c>
      <c r="AB478" s="47">
        <f>IF(Tabela3[Lucro Líquido]&lt;0,0,Tabela3[Lucro Líquido]-Tabela3[Reserva Legal])</f>
        <v>0</v>
      </c>
      <c r="AC478" s="47">
        <f>Tabela3[[#This Row],[Lucro Distribuir]]*Tabela3[%Div]</f>
        <v>0</v>
      </c>
      <c r="AD478" s="56">
        <f>SUMPRODUCT(N(Tabela3[Nome]=Tabela3[[#This Row],[Nome]]),Tabela3[Ações])</f>
        <v>69971465</v>
      </c>
      <c r="AE478" s="85">
        <f>Tabela3[Capital Social]/Tabela3[Total Ações]</f>
        <v>3.4731611007429959</v>
      </c>
      <c r="AF478" s="85">
        <f>Tabela3[[#This Row],[Lucro Líquido]]/Tabela3[[#This Row],[Total Ações]]</f>
        <v>-0.13977126247106589</v>
      </c>
      <c r="AG478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78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78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78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78" s="7">
        <f>Tabela3[Div Base]*Tabela3[Ações]</f>
        <v>0</v>
      </c>
      <c r="AL478" s="7">
        <f>SUMPRODUCT(N(Tabela3[Nome]=Tabela3[[#This Row],[Nome]]),Tabela3[Div Base]*Tabela3[Ações])</f>
        <v>0</v>
      </c>
      <c r="AM478" s="5">
        <f>Tabela3[Patrimônio Líquido]/Tabela3[Total Ações]</f>
        <v>4.7921820702196243</v>
      </c>
      <c r="AN478" s="52">
        <f>MAX(Tabela3[[#This Row],[Cotação 1]:[Cotação 5]])</f>
        <v>4.68</v>
      </c>
      <c r="AO478" s="53">
        <f>Tabela3[Cotação]/Tabela3[VPA]</f>
        <v>0.97659060766560501</v>
      </c>
      <c r="AP478" s="37">
        <f>IF(Tabela3[[#This Row],[Lucro/Ação]]&gt;0,Tabela3[[#This Row],[Cotação]]/(Tabela3[[#This Row],[Lucro/Ação]]/Tabela3[Ref]*4),0)</f>
        <v>0</v>
      </c>
      <c r="AQ478" s="85">
        <f>Tabela3[Lucro Distribuir]/Tabela3[Total Ações]</f>
        <v>0</v>
      </c>
      <c r="AR478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78" s="10" t="str">
        <f>IF(AND(Tabela3[% A.A.]&gt;=6%,SUMPRODUCT(N(Tabela3[Nome]=Tabela3[[#This Row],[Nome]]),Tabela3[PL])&gt;0,Tabela3[Rentabilidade s/ PL]&gt;=Tabela3[Rentabilidade s/ PL Média]),"Sim","Não")</f>
        <v>Não</v>
      </c>
      <c r="AT478" s="22">
        <f>IF(Tabela3[Cotação]&gt;0,Tabela3[[#This Row],[Lucro]]/Tabela3[[#This Row],[Cotação]],0)</f>
        <v>0</v>
      </c>
      <c r="AU478" s="22">
        <f>((1+Tabela3[[#This Row],[% Yield]])^(1/(3*Tabela3[[#This Row],[Ref]])))^(12)-1</f>
        <v>0</v>
      </c>
      <c r="AV478" s="10">
        <f>IF(Tabela3[Cotação]&gt;0,($BD$1/Tabela3[[#This Row],[Cotação]]-MOD($BD$1/Tabela3[[#This Row],[Cotação]],100)),)</f>
        <v>0</v>
      </c>
      <c r="AW478" s="7">
        <f>Tabela3[[#This Row],[Ativos]]*Tabela3[Lucro]</f>
        <v>0</v>
      </c>
      <c r="AX478" s="7">
        <f>SUMPRODUCT(N(Tabela1[Código]=Tabela3[[#This Row],[PAPEL]]),Tabela1[Fechamento])</f>
        <v>0</v>
      </c>
      <c r="AY478" s="7">
        <f>SUMPRODUCT(N(Tabela17[Código]=Tabela3[[#This Row],[PAPEL]]),Tabela17[Fechamento])</f>
        <v>0</v>
      </c>
      <c r="AZ478" s="7">
        <f>SUMPRODUCT(N(Tabela176[Código]=Tabela3[[#This Row],[PAPEL]]),Tabela176[Fechamento])</f>
        <v>0</v>
      </c>
      <c r="BA478" s="7">
        <f>SUMPRODUCT(N(Tabela1768[Código]=Tabela3[[#This Row],[PAPEL]]),Tabela1768[Fechamento])</f>
        <v>4.68</v>
      </c>
      <c r="BB478" s="7">
        <f>SUMPRODUCT(N(Tabela17683[Código]=Tabela3[[#This Row],[PAPEL]]),Tabela17683[Fechamento])</f>
        <v>0</v>
      </c>
    </row>
    <row r="479" spans="1:54" hidden="1" x14ac:dyDescent="0.2">
      <c r="A479" s="4" t="s">
        <v>324</v>
      </c>
      <c r="B479" s="128" t="s">
        <v>679</v>
      </c>
      <c r="C479" s="15" t="str">
        <f>LEFT(Tabela3[PAPEL],LEN(Tabela3[PAPEL])-(LEN(Tabela3[PAPEL])-4))</f>
        <v>SNSY</v>
      </c>
      <c r="D479" s="15">
        <v>3</v>
      </c>
      <c r="E479" s="6">
        <v>54625000</v>
      </c>
      <c r="F479" s="8">
        <v>6644806</v>
      </c>
      <c r="G479" s="81">
        <v>0.25</v>
      </c>
      <c r="H479" s="15"/>
      <c r="I479" s="19"/>
      <c r="J479" s="19"/>
      <c r="K479" s="88"/>
      <c r="L479" s="88"/>
      <c r="M479" s="55"/>
      <c r="N479" s="55"/>
      <c r="O479" s="55"/>
      <c r="P479" s="92">
        <v>-350694000</v>
      </c>
      <c r="Q479" s="93">
        <v>-43597000</v>
      </c>
      <c r="R479" s="93">
        <f>IF(Tabela3[[#This Row],[Ativo || Passivo]]&gt;0,Tabela3[[#This Row],[Ativo || Passivo]]-Tabela3[[#This Row],[Patrimônio Líquido]],0)</f>
        <v>0</v>
      </c>
      <c r="S479" s="93">
        <f>Tabela3[[#This Row],[Cotação]]*Tabela3[[#This Row],[Total Ações]]</f>
        <v>38582244</v>
      </c>
      <c r="T479" s="40">
        <f>IF(Tabela3[[#This Row],[Passivo Circulante]]&gt;0,Tabela3[[#This Row],[Ativo Circulante]]/Tabela3[[#This Row],[Passivo Circulante]],0)</f>
        <v>0</v>
      </c>
      <c r="U479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79" s="19">
        <f>IF(Tabela3[[#This Row],[Lucro Líquido]]&gt;0,Tabela3[[#This Row],[Lucro Líquido]]/Tabela3[[#This Row],[Patrimônio Líquido]],0)</f>
        <v>0</v>
      </c>
      <c r="W479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79" s="19">
        <f>IF(Tabela3[[#This Row],[Dívida]]&gt;0,Tabela3[[#This Row],[Dívida]]/Tabela3[[#This Row],[Patrimônio Líquido]],0)</f>
        <v>0</v>
      </c>
      <c r="Y479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79" s="13">
        <f>Tabela3[[#This Row],[Capital Social]]*20%</f>
        <v>10925000</v>
      </c>
      <c r="AA479" s="13">
        <f>IF((Tabela3[Lucro Líquido]*5%)&gt;Tabela3[Teto R. Legal],Tabela3[Teto R. Legal],Tabela3[Lucro Líquido]*5%)</f>
        <v>-2179850</v>
      </c>
      <c r="AB479" s="13">
        <f>IF(Tabela3[Lucro Líquido]&lt;0,0,Tabela3[Lucro Líquido]-Tabela3[Reserva Legal])</f>
        <v>0</v>
      </c>
      <c r="AC479" s="13">
        <f>Tabela3[[#This Row],[Lucro Distribuir]]*Tabela3[%Div]</f>
        <v>0</v>
      </c>
      <c r="AD479" s="56">
        <f>SUMPRODUCT(N(Tabela3[Nome]=Tabela3[[#This Row],[Nome]]),Tabela3[Ações])</f>
        <v>19291122</v>
      </c>
      <c r="AE479" s="6">
        <f>Tabela3[Capital Social]/Tabela3[Total Ações]</f>
        <v>2.8316134230035974</v>
      </c>
      <c r="AF479" s="78">
        <f>Tabela3[[#This Row],[Lucro Líquido]]/Tabela3[[#This Row],[Total Ações]]</f>
        <v>-2.2599514947860473</v>
      </c>
      <c r="AG479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79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79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79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79" s="13">
        <f>Tabela3[Div Base]*Tabela3[Ações]</f>
        <v>0</v>
      </c>
      <c r="AL479" s="13">
        <f>SUMPRODUCT(N(Tabela3[Nome]=Tabela3[[#This Row],[Nome]]),Tabela3[Div Base]*Tabela3[Ações])</f>
        <v>0</v>
      </c>
      <c r="AM479" s="6">
        <f>Tabela3[Patrimônio Líquido]/Tabela3[Total Ações]</f>
        <v>-18.179035931658095</v>
      </c>
      <c r="AN479" s="48">
        <f>MAX(Tabela3[[#This Row],[Cotação 1]:[Cotação 5]])</f>
        <v>2</v>
      </c>
      <c r="AO479" s="44">
        <f>Tabela3[Cotação]/Tabela3[VPA]</f>
        <v>-0.11001683518965252</v>
      </c>
      <c r="AP479" s="40">
        <f>IF(Tabela3[[#This Row],[Lucro/Ação]]&gt;0,Tabela3[[#This Row],[Cotação]]/(Tabela3[[#This Row],[Lucro/Ação]]/Tabela3[Ref]*4),0)</f>
        <v>0</v>
      </c>
      <c r="AQ479" s="78">
        <f>Tabela3[Lucro Distribuir]/Tabela3[Total Ações]</f>
        <v>0</v>
      </c>
      <c r="AR479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79" s="14" t="str">
        <f>IF(AND(Tabela3[% A.A.]&gt;=6%,SUMPRODUCT(N(Tabela3[Nome]=Tabela3[[#This Row],[Nome]]),Tabela3[PL])&gt;0,Tabela3[Rentabilidade s/ PL]&gt;=Tabela3[Rentabilidade s/ PL Média]),"Sim","Não")</f>
        <v>Não</v>
      </c>
      <c r="AT479" s="42">
        <f>IF(Tabela3[Cotação]&gt;0,Tabela3[[#This Row],[Lucro]]/Tabela3[[#This Row],[Cotação]],0)</f>
        <v>0</v>
      </c>
      <c r="AU479" s="42">
        <f>((1+Tabela3[[#This Row],[% Yield]])^(1/(3*Tabela3[[#This Row],[Ref]])))^(12)-1</f>
        <v>0</v>
      </c>
      <c r="AV479" s="14">
        <f>IF(Tabela3[Cotação]&gt;0,($BD$1/Tabela3[[#This Row],[Cotação]]-MOD($BD$1/Tabela3[[#This Row],[Cotação]],100)),)</f>
        <v>0</v>
      </c>
      <c r="AW479" s="17">
        <f>Tabela3[[#This Row],[Ativos]]*Tabela3[Lucro]</f>
        <v>0</v>
      </c>
      <c r="AX479" s="17">
        <f>SUMPRODUCT(N(Tabela1[Código]=Tabela3[[#This Row],[PAPEL]]),Tabela1[Fechamento])</f>
        <v>0</v>
      </c>
      <c r="AY479" s="17">
        <f>SUMPRODUCT(N(Tabela17[Código]=Tabela3[[#This Row],[PAPEL]]),Tabela17[Fechamento])</f>
        <v>0</v>
      </c>
      <c r="AZ479" s="17">
        <f>SUMPRODUCT(N(Tabela176[Código]=Tabela3[[#This Row],[PAPEL]]),Tabela176[Fechamento])</f>
        <v>2</v>
      </c>
      <c r="BA479" s="17">
        <f>SUMPRODUCT(N(Tabela1768[Código]=Tabela3[[#This Row],[PAPEL]]),Tabela1768[Fechamento])</f>
        <v>0</v>
      </c>
      <c r="BB479" s="7">
        <f>SUMPRODUCT(N(Tabela17683[Código]=Tabela3[[#This Row],[PAPEL]]),Tabela17683[Fechamento])</f>
        <v>0</v>
      </c>
    </row>
    <row r="480" spans="1:54" hidden="1" x14ac:dyDescent="0.2">
      <c r="A480" s="4" t="s">
        <v>324</v>
      </c>
      <c r="B480" s="128" t="s">
        <v>680</v>
      </c>
      <c r="C480" s="15" t="str">
        <f>LEFT(Tabela3[PAPEL],LEN(Tabela3[PAPEL])-(LEN(Tabela3[PAPEL])-4))</f>
        <v>SNSY</v>
      </c>
      <c r="D480" s="15">
        <v>3</v>
      </c>
      <c r="E480" s="6">
        <v>54625000</v>
      </c>
      <c r="F480" s="8">
        <v>12619870</v>
      </c>
      <c r="G480" s="81">
        <v>0.25</v>
      </c>
      <c r="H480" s="15"/>
      <c r="I480" s="19"/>
      <c r="J480" s="19"/>
      <c r="K480" s="88"/>
      <c r="L480" s="88"/>
      <c r="M480" s="55"/>
      <c r="N480" s="55"/>
      <c r="O480" s="55"/>
      <c r="P480" s="92">
        <v>-350694000</v>
      </c>
      <c r="Q480" s="93">
        <v>-43597000</v>
      </c>
      <c r="R480" s="93">
        <f>IF(Tabela3[[#This Row],[Ativo || Passivo]]&gt;0,Tabela3[[#This Row],[Ativo || Passivo]]-Tabela3[[#This Row],[Patrimônio Líquido]],0)</f>
        <v>0</v>
      </c>
      <c r="S480" s="93">
        <f>Tabela3[[#This Row],[Cotação]]*Tabela3[[#This Row],[Total Ações]]</f>
        <v>14854163.939999999</v>
      </c>
      <c r="T480" s="40">
        <f>IF(Tabela3[[#This Row],[Passivo Circulante]]&gt;0,Tabela3[[#This Row],[Ativo Circulante]]/Tabela3[[#This Row],[Passivo Circulante]],0)</f>
        <v>0</v>
      </c>
      <c r="U480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80" s="19">
        <f>IF(Tabela3[[#This Row],[Lucro Líquido]]&gt;0,Tabela3[[#This Row],[Lucro Líquido]]/Tabela3[[#This Row],[Patrimônio Líquido]],0)</f>
        <v>0</v>
      </c>
      <c r="W480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80" s="19">
        <f>IF(Tabela3[[#This Row],[Dívida]]&gt;0,Tabela3[[#This Row],[Dívida]]/Tabela3[[#This Row],[Patrimônio Líquido]],0)</f>
        <v>0</v>
      </c>
      <c r="Y480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80" s="13">
        <f>Tabela3[[#This Row],[Capital Social]]*20%</f>
        <v>10925000</v>
      </c>
      <c r="AA480" s="13">
        <f>IF((Tabela3[Lucro Líquido]*5%)&gt;Tabela3[Teto R. Legal],Tabela3[Teto R. Legal],Tabela3[Lucro Líquido]*5%)</f>
        <v>-2179850</v>
      </c>
      <c r="AB480" s="13">
        <f>IF(Tabela3[Lucro Líquido]&lt;0,0,Tabela3[Lucro Líquido]-Tabela3[Reserva Legal])</f>
        <v>0</v>
      </c>
      <c r="AC480" s="13">
        <f>Tabela3[[#This Row],[Lucro Distribuir]]*Tabela3[%Div]</f>
        <v>0</v>
      </c>
      <c r="AD480" s="56">
        <f>SUMPRODUCT(N(Tabela3[Nome]=Tabela3[[#This Row],[Nome]]),Tabela3[Ações])</f>
        <v>19291122</v>
      </c>
      <c r="AE480" s="6">
        <f>Tabela3[Capital Social]/Tabela3[Total Ações]</f>
        <v>2.8316134230035974</v>
      </c>
      <c r="AF480" s="78">
        <f>Tabela3[[#This Row],[Lucro Líquido]]/Tabela3[[#This Row],[Total Ações]]</f>
        <v>-2.2599514947860473</v>
      </c>
      <c r="AG480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80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80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80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80" s="13">
        <f>Tabela3[Div Base]*Tabela3[Ações]</f>
        <v>0</v>
      </c>
      <c r="AL480" s="13">
        <f>SUMPRODUCT(N(Tabela3[Nome]=Tabela3[[#This Row],[Nome]]),Tabela3[Div Base]*Tabela3[Ações])</f>
        <v>0</v>
      </c>
      <c r="AM480" s="6">
        <f>Tabela3[Patrimônio Líquido]/Tabela3[Total Ações]</f>
        <v>-18.179035931658095</v>
      </c>
      <c r="AN480" s="48">
        <f>MAX(Tabela3[[#This Row],[Cotação 1]:[Cotação 5]])</f>
        <v>0.77</v>
      </c>
      <c r="AO480" s="44">
        <f>Tabela3[Cotação]/Tabela3[VPA]</f>
        <v>-4.2356481548016224E-2</v>
      </c>
      <c r="AP480" s="40">
        <f>IF(Tabela3[[#This Row],[Lucro/Ação]]&gt;0,Tabela3[[#This Row],[Cotação]]/(Tabela3[[#This Row],[Lucro/Ação]]/Tabela3[Ref]*4),0)</f>
        <v>0</v>
      </c>
      <c r="AQ480" s="78">
        <f>Tabela3[Lucro Distribuir]/Tabela3[Total Ações]</f>
        <v>0</v>
      </c>
      <c r="AR480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80" s="14" t="str">
        <f>IF(AND(Tabela3[% A.A.]&gt;=6%,SUMPRODUCT(N(Tabela3[Nome]=Tabela3[[#This Row],[Nome]]),Tabela3[PL])&gt;0,Tabela3[Rentabilidade s/ PL]&gt;=Tabela3[Rentabilidade s/ PL Média]),"Sim","Não")</f>
        <v>Não</v>
      </c>
      <c r="AT480" s="42">
        <f>IF(Tabela3[Cotação]&gt;0,Tabela3[[#This Row],[Lucro]]/Tabela3[[#This Row],[Cotação]],0)</f>
        <v>0</v>
      </c>
      <c r="AU480" s="42">
        <f>((1+Tabela3[[#This Row],[% Yield]])^(1/(3*Tabela3[[#This Row],[Ref]])))^(12)-1</f>
        <v>0</v>
      </c>
      <c r="AV480" s="14">
        <f>IF(Tabela3[Cotação]&gt;0,($BD$1/Tabela3[[#This Row],[Cotação]]-MOD($BD$1/Tabela3[[#This Row],[Cotação]],100)),)</f>
        <v>0</v>
      </c>
      <c r="AW480" s="17">
        <f>Tabela3[[#This Row],[Ativos]]*Tabela3[Lucro]</f>
        <v>0</v>
      </c>
      <c r="AX480" s="17">
        <f>SUMPRODUCT(N(Tabela1[Código]=Tabela3[[#This Row],[PAPEL]]),Tabela1[Fechamento])</f>
        <v>0</v>
      </c>
      <c r="AY480" s="17">
        <f>SUMPRODUCT(N(Tabela17[Código]=Tabela3[[#This Row],[PAPEL]]),Tabela17[Fechamento])</f>
        <v>0</v>
      </c>
      <c r="AZ480" s="17">
        <f>SUMPRODUCT(N(Tabela176[Código]=Tabela3[[#This Row],[PAPEL]]),Tabela176[Fechamento])</f>
        <v>0.77</v>
      </c>
      <c r="BA480" s="17">
        <f>SUMPRODUCT(N(Tabela1768[Código]=Tabela3[[#This Row],[PAPEL]]),Tabela1768[Fechamento])</f>
        <v>0</v>
      </c>
      <c r="BB480" s="7">
        <f>SUMPRODUCT(N(Tabela17683[Código]=Tabela3[[#This Row],[PAPEL]]),Tabela17683[Fechamento])</f>
        <v>0</v>
      </c>
    </row>
    <row r="481" spans="1:54" hidden="1" x14ac:dyDescent="0.2">
      <c r="A481" s="4" t="s">
        <v>324</v>
      </c>
      <c r="B481" s="128" t="s">
        <v>681</v>
      </c>
      <c r="C481" s="15" t="str">
        <f>LEFT(Tabela3[PAPEL],LEN(Tabela3[PAPEL])-(LEN(Tabela3[PAPEL])-4))</f>
        <v>SNSY</v>
      </c>
      <c r="D481" s="15">
        <v>3</v>
      </c>
      <c r="E481" s="6">
        <v>54625000</v>
      </c>
      <c r="F481" s="8">
        <v>26446</v>
      </c>
      <c r="G481" s="81">
        <v>0.25</v>
      </c>
      <c r="H481" s="15"/>
      <c r="I481" s="19">
        <v>0.06</v>
      </c>
      <c r="J481" s="19"/>
      <c r="K481" s="88"/>
      <c r="L481" s="88"/>
      <c r="M481" s="55"/>
      <c r="N481" s="55"/>
      <c r="O481" s="55"/>
      <c r="P481" s="92">
        <v>-350694000</v>
      </c>
      <c r="Q481" s="93">
        <v>-43597000</v>
      </c>
      <c r="R481" s="93">
        <f>IF(Tabela3[[#This Row],[Ativo || Passivo]]&gt;0,Tabela3[[#This Row],[Ativo || Passivo]]-Tabela3[[#This Row],[Patrimônio Líquido]],0)</f>
        <v>0</v>
      </c>
      <c r="S481" s="93">
        <f>Tabela3[[#This Row],[Cotação]]*Tabela3[[#This Row],[Total Ações]]</f>
        <v>57873366</v>
      </c>
      <c r="T481" s="40">
        <f>IF(Tabela3[[#This Row],[Passivo Circulante]]&gt;0,Tabela3[[#This Row],[Ativo Circulante]]/Tabela3[[#This Row],[Passivo Circulante]],0)</f>
        <v>0</v>
      </c>
      <c r="U481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81" s="19">
        <f>IF(Tabela3[[#This Row],[Lucro Líquido]]&gt;0,Tabela3[[#This Row],[Lucro Líquido]]/Tabela3[[#This Row],[Patrimônio Líquido]],0)</f>
        <v>0</v>
      </c>
      <c r="W481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81" s="19">
        <f>IF(Tabela3[[#This Row],[Dívida]]&gt;0,Tabela3[[#This Row],[Dívida]]/Tabela3[[#This Row],[Patrimônio Líquido]],0)</f>
        <v>0</v>
      </c>
      <c r="Y481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81" s="13">
        <f>Tabela3[[#This Row],[Capital Social]]*20%</f>
        <v>10925000</v>
      </c>
      <c r="AA481" s="13">
        <f>IF((Tabela3[Lucro Líquido]*5%)&gt;Tabela3[Teto R. Legal],Tabela3[Teto R. Legal],Tabela3[Lucro Líquido]*5%)</f>
        <v>-2179850</v>
      </c>
      <c r="AB481" s="13">
        <f>IF(Tabela3[Lucro Líquido]&lt;0,0,Tabela3[Lucro Líquido]-Tabela3[Reserva Legal])</f>
        <v>0</v>
      </c>
      <c r="AC481" s="13">
        <f>Tabela3[[#This Row],[Lucro Distribuir]]*Tabela3[%Div]</f>
        <v>0</v>
      </c>
      <c r="AD481" s="56">
        <f>SUMPRODUCT(N(Tabela3[Nome]=Tabela3[[#This Row],[Nome]]),Tabela3[Ações])</f>
        <v>19291122</v>
      </c>
      <c r="AE481" s="6">
        <f>Tabela3[Capital Social]/Tabela3[Total Ações]</f>
        <v>2.8316134230035974</v>
      </c>
      <c r="AF481" s="78">
        <f>Tabela3[[#This Row],[Lucro Líquido]]/Tabela3[[#This Row],[Total Ações]]</f>
        <v>-2.2599514947860473</v>
      </c>
      <c r="AG481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81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81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81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81" s="13">
        <f>Tabela3[Div Base]*Tabela3[Ações]</f>
        <v>0</v>
      </c>
      <c r="AL481" s="13">
        <f>SUMPRODUCT(N(Tabela3[Nome]=Tabela3[[#This Row],[Nome]]),Tabela3[Div Base]*Tabela3[Ações])</f>
        <v>0</v>
      </c>
      <c r="AM481" s="6">
        <f>Tabela3[Patrimônio Líquido]/Tabela3[Total Ações]</f>
        <v>-18.179035931658095</v>
      </c>
      <c r="AN481" s="48">
        <f>MAX(Tabela3[[#This Row],[Cotação 1]:[Cotação 5]])</f>
        <v>3</v>
      </c>
      <c r="AO481" s="44">
        <f>Tabela3[Cotação]/Tabela3[VPA]</f>
        <v>-0.1650252527844788</v>
      </c>
      <c r="AP481" s="40">
        <f>IF(Tabela3[[#This Row],[Lucro/Ação]]&gt;0,Tabela3[[#This Row],[Cotação]]/(Tabela3[[#This Row],[Lucro/Ação]]/Tabela3[Ref]*4),0)</f>
        <v>0</v>
      </c>
      <c r="AQ481" s="78">
        <f>Tabela3[Lucro Distribuir]/Tabela3[Total Ações]</f>
        <v>0</v>
      </c>
      <c r="AR481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81" s="14" t="str">
        <f>IF(AND(Tabela3[% A.A.]&gt;=6%,SUMPRODUCT(N(Tabela3[Nome]=Tabela3[[#This Row],[Nome]]),Tabela3[PL])&gt;0,Tabela3[Rentabilidade s/ PL]&gt;=Tabela3[Rentabilidade s/ PL Média]),"Sim","Não")</f>
        <v>Não</v>
      </c>
      <c r="AT481" s="42">
        <f>IF(Tabela3[Cotação]&gt;0,Tabela3[[#This Row],[Lucro]]/Tabela3[[#This Row],[Cotação]],0)</f>
        <v>0</v>
      </c>
      <c r="AU481" s="42">
        <f>((1+Tabela3[[#This Row],[% Yield]])^(1/(3*Tabela3[[#This Row],[Ref]])))^(12)-1</f>
        <v>0</v>
      </c>
      <c r="AV481" s="14">
        <f>IF(Tabela3[Cotação]&gt;0,($BD$1/Tabela3[[#This Row],[Cotação]]-MOD($BD$1/Tabela3[[#This Row],[Cotação]],100)),)</f>
        <v>0</v>
      </c>
      <c r="AW481" s="17">
        <f>Tabela3[[#This Row],[Ativos]]*Tabela3[Lucro]</f>
        <v>0</v>
      </c>
      <c r="AX481" s="17">
        <f>SUMPRODUCT(N(Tabela1[Código]=Tabela3[[#This Row],[PAPEL]]),Tabela1[Fechamento])</f>
        <v>0</v>
      </c>
      <c r="AY481" s="17">
        <f>SUMPRODUCT(N(Tabela17[Código]=Tabela3[[#This Row],[PAPEL]]),Tabela17[Fechamento])</f>
        <v>0</v>
      </c>
      <c r="AZ481" s="17">
        <f>SUMPRODUCT(N(Tabela176[Código]=Tabela3[[#This Row],[PAPEL]]),Tabela176[Fechamento])</f>
        <v>3</v>
      </c>
      <c r="BA481" s="17">
        <f>SUMPRODUCT(N(Tabela1768[Código]=Tabela3[[#This Row],[PAPEL]]),Tabela1768[Fechamento])</f>
        <v>0</v>
      </c>
      <c r="BB481" s="7">
        <f>SUMPRODUCT(N(Tabela17683[Código]=Tabela3[[#This Row],[PAPEL]]),Tabela17683[Fechamento])</f>
        <v>0</v>
      </c>
    </row>
    <row r="482" spans="1:54" hidden="1" x14ac:dyDescent="0.2">
      <c r="A482" s="3" t="s">
        <v>913</v>
      </c>
      <c r="B482" s="58" t="s">
        <v>1322</v>
      </c>
      <c r="C482" s="16" t="str">
        <f>LEFT(Tabela3[PAPEL],LEN(Tabela3[PAPEL])-(LEN(Tabela3[PAPEL])-4))</f>
        <v>SPRI</v>
      </c>
      <c r="D482" s="16">
        <v>3</v>
      </c>
      <c r="E482" s="5">
        <v>78245643.75</v>
      </c>
      <c r="F482" s="56">
        <v>94450230</v>
      </c>
      <c r="G482" s="81">
        <v>0.25</v>
      </c>
      <c r="H482" s="87"/>
      <c r="J482" s="18"/>
      <c r="K482" s="16"/>
      <c r="L482" s="87"/>
      <c r="M482" s="54"/>
      <c r="N482" s="54"/>
      <c r="O482" s="54"/>
      <c r="P482" s="91">
        <v>107145000</v>
      </c>
      <c r="Q482" s="73">
        <v>-10860000</v>
      </c>
      <c r="R482" s="73">
        <f>IF(Tabela3[[#This Row],[Ativo || Passivo]]&gt;0,Tabela3[[#This Row],[Ativo || Passivo]]-Tabela3[[#This Row],[Patrimônio Líquido]],0)</f>
        <v>0</v>
      </c>
      <c r="S482" s="73">
        <f>Tabela3[[#This Row],[Cotação]]*Tabela3[[#This Row],[Total Ações]]</f>
        <v>45529570.799999997</v>
      </c>
      <c r="T482" s="37">
        <f>IF(Tabela3[[#This Row],[Passivo Circulante]]&gt;0,Tabela3[[#This Row],[Ativo Circulante]]/Tabela3[[#This Row],[Passivo Circulante]],0)</f>
        <v>0</v>
      </c>
      <c r="U482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82" s="18">
        <f>IF(Tabela3[[#This Row],[Lucro Líquido]]&gt;0,Tabela3[[#This Row],[Lucro Líquido]]/Tabela3[[#This Row],[Patrimônio Líquido]],0)</f>
        <v>0</v>
      </c>
      <c r="W482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82" s="18">
        <f>IF(Tabela3[[#This Row],[Dívida]]&gt;0,Tabela3[[#This Row],[Dívida]]/Tabela3[[#This Row],[Patrimônio Líquido]],0)</f>
        <v>0</v>
      </c>
      <c r="Y482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82" s="7">
        <f>Tabela3[[#This Row],[Capital Social]]*20%</f>
        <v>15649128.75</v>
      </c>
      <c r="AA482" s="47">
        <f>IF((Tabela3[Lucro Líquido]*5%)&gt;Tabela3[Teto R. Legal],Tabela3[Teto R. Legal],Tabela3[Lucro Líquido]*5%)</f>
        <v>-543000</v>
      </c>
      <c r="AB482" s="47">
        <f>IF(Tabela3[Lucro Líquido]&lt;0,0,Tabela3[Lucro Líquido]-Tabela3[Reserva Legal])</f>
        <v>0</v>
      </c>
      <c r="AC482" s="47">
        <f>Tabela3[[#This Row],[Lucro Distribuir]]*Tabela3[%Div]</f>
        <v>0</v>
      </c>
      <c r="AD482" s="56">
        <f>SUMPRODUCT(N(Tabela3[Nome]=Tabela3[[#This Row],[Nome]]),Tabela3[Ações])</f>
        <v>126471030</v>
      </c>
      <c r="AE482" s="85">
        <f>Tabela3[Capital Social]/Tabela3[Total Ações]</f>
        <v>0.61868432438638321</v>
      </c>
      <c r="AF482" s="85">
        <f>Tabela3[[#This Row],[Lucro Líquido]]/Tabela3[[#This Row],[Total Ações]]</f>
        <v>-8.5869467497813531E-2</v>
      </c>
      <c r="AG482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82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82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82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82" s="7">
        <f>Tabela3[Div Base]*Tabela3[Ações]</f>
        <v>0</v>
      </c>
      <c r="AL482" s="121">
        <f>SUMPRODUCT(N(Tabela3[Nome]=Tabela3[[#This Row],[Nome]]),Tabela3[Div Base]*Tabela3[Ações])</f>
        <v>0</v>
      </c>
      <c r="AM482" s="5">
        <f>Tabela3[Patrimônio Líquido]/Tabela3[Total Ações]</f>
        <v>0.84719006400121832</v>
      </c>
      <c r="AN482" s="52">
        <f>MAX(Tabela3[[#This Row],[Cotação 1]:[Cotação 5]])</f>
        <v>0.36</v>
      </c>
      <c r="AO482" s="53">
        <f>Tabela3[Cotação]/Tabela3[VPA]</f>
        <v>0.42493416211675766</v>
      </c>
      <c r="AP482" s="37">
        <f>IF(Tabela3[[#This Row],[Lucro/Ação]]&gt;0,Tabela3[[#This Row],[Cotação]]/(Tabela3[[#This Row],[Lucro/Ação]]/Tabela3[Ref]*4),0)</f>
        <v>0</v>
      </c>
      <c r="AQ482" s="85">
        <f>Tabela3[Lucro Distribuir]/Tabela3[Total Ações]</f>
        <v>0</v>
      </c>
      <c r="AR482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82" s="10" t="str">
        <f>IF(AND(Tabela3[% A.A.]&gt;=6%,SUMPRODUCT(N(Tabela3[Nome]=Tabela3[[#This Row],[Nome]]),Tabela3[PL])&gt;0,Tabela3[Rentabilidade s/ PL]&gt;=Tabela3[Rentabilidade s/ PL Média]),"Sim","Não")</f>
        <v>Não</v>
      </c>
      <c r="AT482" s="22">
        <f>IF(Tabela3[Cotação]&gt;0,Tabela3[[#This Row],[Lucro]]/Tabela3[[#This Row],[Cotação]],0)</f>
        <v>0</v>
      </c>
      <c r="AU482" s="22">
        <f>((1+Tabela3[[#This Row],[% Yield]])^(1/(3*Tabela3[[#This Row],[Ref]])))^(12)-1</f>
        <v>0</v>
      </c>
      <c r="AV482" s="10">
        <f>IF(Tabela3[Cotação]&gt;0,($BD$1/Tabela3[[#This Row],[Cotação]]-MOD($BD$1/Tabela3[[#This Row],[Cotação]],100)),)</f>
        <v>0</v>
      </c>
      <c r="AW482" s="7">
        <f>Tabela3[[#This Row],[Ativos]]*Tabela3[Lucro]</f>
        <v>0</v>
      </c>
      <c r="AX482" s="7">
        <f>SUMPRODUCT(N(Tabela1[Código]=Tabela3[[#This Row],[PAPEL]]),Tabela1[Fechamento])</f>
        <v>0</v>
      </c>
      <c r="AY482" s="7">
        <f>SUMPRODUCT(N(Tabela17[Código]=Tabela3[[#This Row],[PAPEL]]),Tabela17[Fechamento])</f>
        <v>0</v>
      </c>
      <c r="AZ482" s="7">
        <f>SUMPRODUCT(N(Tabela176[Código]=Tabela3[[#This Row],[PAPEL]]),Tabela176[Fechamento])</f>
        <v>0</v>
      </c>
      <c r="BA482" s="7">
        <f>SUMPRODUCT(N(Tabela1768[Código]=Tabela3[[#This Row],[PAPEL]]),Tabela1768[Fechamento])</f>
        <v>0.36</v>
      </c>
      <c r="BB482" s="7">
        <f>SUMPRODUCT(N(Tabela17683[Código]=Tabela3[[#This Row],[PAPEL]]),Tabela17683[Fechamento])</f>
        <v>0</v>
      </c>
    </row>
    <row r="483" spans="1:54" hidden="1" x14ac:dyDescent="0.2">
      <c r="A483" s="3" t="s">
        <v>913</v>
      </c>
      <c r="B483" s="58" t="s">
        <v>1323</v>
      </c>
      <c r="C483" s="16" t="str">
        <f>LEFT(Tabela3[PAPEL],LEN(Tabela3[PAPEL])-(LEN(Tabela3[PAPEL])-4))</f>
        <v>SPRI</v>
      </c>
      <c r="D483" s="16">
        <v>3</v>
      </c>
      <c r="E483" s="5">
        <v>78245643.75</v>
      </c>
      <c r="F483" s="56">
        <v>25616640</v>
      </c>
      <c r="G483" s="81">
        <v>0.25</v>
      </c>
      <c r="H483" s="87"/>
      <c r="I483" s="18">
        <v>0.12</v>
      </c>
      <c r="J483" s="18"/>
      <c r="K483" s="16"/>
      <c r="L483" s="87"/>
      <c r="M483" s="54"/>
      <c r="N483" s="54"/>
      <c r="O483" s="54"/>
      <c r="P483" s="91">
        <v>107145000</v>
      </c>
      <c r="Q483" s="73">
        <v>-10860000</v>
      </c>
      <c r="R483" s="73">
        <f>IF(Tabela3[[#This Row],[Ativo || Passivo]]&gt;0,Tabela3[[#This Row],[Ativo || Passivo]]-Tabela3[[#This Row],[Patrimônio Líquido]],0)</f>
        <v>0</v>
      </c>
      <c r="S483" s="73">
        <f>Tabela3[[#This Row],[Cotação]]*Tabela3[[#This Row],[Total Ações]]</f>
        <v>45529570.799999997</v>
      </c>
      <c r="T483" s="37">
        <f>IF(Tabela3[[#This Row],[Passivo Circulante]]&gt;0,Tabela3[[#This Row],[Ativo Circulante]]/Tabela3[[#This Row],[Passivo Circulante]],0)</f>
        <v>0</v>
      </c>
      <c r="U483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83" s="18">
        <f>IF(Tabela3[[#This Row],[Lucro Líquido]]&gt;0,Tabela3[[#This Row],[Lucro Líquido]]/Tabela3[[#This Row],[Patrimônio Líquido]],0)</f>
        <v>0</v>
      </c>
      <c r="W483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83" s="18">
        <f>IF(Tabela3[[#This Row],[Dívida]]&gt;0,Tabela3[[#This Row],[Dívida]]/Tabela3[[#This Row],[Patrimônio Líquido]],0)</f>
        <v>0</v>
      </c>
      <c r="Y483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83" s="7">
        <f>Tabela3[[#This Row],[Capital Social]]*20%</f>
        <v>15649128.75</v>
      </c>
      <c r="AA483" s="47">
        <f>IF((Tabela3[Lucro Líquido]*5%)&gt;Tabela3[Teto R. Legal],Tabela3[Teto R. Legal],Tabela3[Lucro Líquido]*5%)</f>
        <v>-543000</v>
      </c>
      <c r="AB483" s="47">
        <f>IF(Tabela3[Lucro Líquido]&lt;0,0,Tabela3[Lucro Líquido]-Tabela3[Reserva Legal])</f>
        <v>0</v>
      </c>
      <c r="AC483" s="47">
        <f>Tabela3[[#This Row],[Lucro Distribuir]]*Tabela3[%Div]</f>
        <v>0</v>
      </c>
      <c r="AD483" s="56">
        <f>SUMPRODUCT(N(Tabela3[Nome]=Tabela3[[#This Row],[Nome]]),Tabela3[Ações])</f>
        <v>126471030</v>
      </c>
      <c r="AE483" s="85">
        <f>Tabela3[Capital Social]/Tabela3[Total Ações]</f>
        <v>0.61868432438638321</v>
      </c>
      <c r="AF483" s="85">
        <f>Tabela3[[#This Row],[Lucro Líquido]]/Tabela3[[#This Row],[Total Ações]]</f>
        <v>-8.5869467497813531E-2</v>
      </c>
      <c r="AG483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83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83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83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83" s="7">
        <f>Tabela3[Div Base]*Tabela3[Ações]</f>
        <v>0</v>
      </c>
      <c r="AL483" s="121">
        <f>SUMPRODUCT(N(Tabela3[Nome]=Tabela3[[#This Row],[Nome]]),Tabela3[Div Base]*Tabela3[Ações])</f>
        <v>0</v>
      </c>
      <c r="AM483" s="5">
        <f>Tabela3[Patrimônio Líquido]/Tabela3[Total Ações]</f>
        <v>0.84719006400121832</v>
      </c>
      <c r="AN483" s="52">
        <f>MAX(Tabela3[[#This Row],[Cotação 1]:[Cotação 5]])</f>
        <v>0.36</v>
      </c>
      <c r="AO483" s="53">
        <f>Tabela3[Cotação]/Tabela3[VPA]</f>
        <v>0.42493416211675766</v>
      </c>
      <c r="AP483" s="37">
        <f>IF(Tabela3[[#This Row],[Lucro/Ação]]&gt;0,Tabela3[[#This Row],[Cotação]]/(Tabela3[[#This Row],[Lucro/Ação]]/Tabela3[Ref]*4),0)</f>
        <v>0</v>
      </c>
      <c r="AQ483" s="85">
        <f>Tabela3[Lucro Distribuir]/Tabela3[Total Ações]</f>
        <v>0</v>
      </c>
      <c r="AR483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83" s="10" t="str">
        <f>IF(AND(Tabela3[% A.A.]&gt;=6%,SUMPRODUCT(N(Tabela3[Nome]=Tabela3[[#This Row],[Nome]]),Tabela3[PL])&gt;0,Tabela3[Rentabilidade s/ PL]&gt;=Tabela3[Rentabilidade s/ PL Média]),"Sim","Não")</f>
        <v>Não</v>
      </c>
      <c r="AT483" s="22">
        <f>IF(Tabela3[Cotação]&gt;0,Tabela3[[#This Row],[Lucro]]/Tabela3[[#This Row],[Cotação]],0)</f>
        <v>0</v>
      </c>
      <c r="AU483" s="22">
        <f>((1+Tabela3[[#This Row],[% Yield]])^(1/(3*Tabela3[[#This Row],[Ref]])))^(12)-1</f>
        <v>0</v>
      </c>
      <c r="AV483" s="10">
        <f>IF(Tabela3[Cotação]&gt;0,($BD$1/Tabela3[[#This Row],[Cotação]]-MOD($BD$1/Tabela3[[#This Row],[Cotação]],100)),)</f>
        <v>0</v>
      </c>
      <c r="AW483" s="7">
        <f>Tabela3[[#This Row],[Ativos]]*Tabela3[Lucro]</f>
        <v>0</v>
      </c>
      <c r="AX483" s="7">
        <f>SUMPRODUCT(N(Tabela1[Código]=Tabela3[[#This Row],[PAPEL]]),Tabela1[Fechamento])</f>
        <v>0</v>
      </c>
      <c r="AY483" s="7">
        <f>SUMPRODUCT(N(Tabela17[Código]=Tabela3[[#This Row],[PAPEL]]),Tabela17[Fechamento])</f>
        <v>0</v>
      </c>
      <c r="AZ483" s="7">
        <f>SUMPRODUCT(N(Tabela176[Código]=Tabela3[[#This Row],[PAPEL]]),Tabela176[Fechamento])</f>
        <v>0</v>
      </c>
      <c r="BA483" s="7">
        <f>SUMPRODUCT(N(Tabela1768[Código]=Tabela3[[#This Row],[PAPEL]]),Tabela1768[Fechamento])</f>
        <v>0.36</v>
      </c>
      <c r="BB483" s="7">
        <f>SUMPRODUCT(N(Tabela17683[Código]=Tabela3[[#This Row],[PAPEL]]),Tabela17683[Fechamento])</f>
        <v>0</v>
      </c>
    </row>
    <row r="484" spans="1:54" hidden="1" x14ac:dyDescent="0.2">
      <c r="A484" s="3" t="s">
        <v>913</v>
      </c>
      <c r="B484" s="58" t="s">
        <v>1324</v>
      </c>
      <c r="C484" s="16" t="str">
        <f>LEFT(Tabela3[PAPEL],LEN(Tabela3[PAPEL])-(LEN(Tabela3[PAPEL])-4))</f>
        <v>SPRI</v>
      </c>
      <c r="D484" s="16">
        <v>3</v>
      </c>
      <c r="E484" s="5">
        <v>78245643.75</v>
      </c>
      <c r="F484" s="56">
        <v>6404160</v>
      </c>
      <c r="G484" s="81">
        <v>0.3</v>
      </c>
      <c r="H484" s="87"/>
      <c r="J484" s="18"/>
      <c r="K484" s="16"/>
      <c r="L484" s="87"/>
      <c r="M484" s="54"/>
      <c r="N484" s="54"/>
      <c r="O484" s="54"/>
      <c r="P484" s="91">
        <v>107145000</v>
      </c>
      <c r="Q484" s="73">
        <v>-10860000</v>
      </c>
      <c r="R484" s="73">
        <f>IF(Tabela3[[#This Row],[Ativo || Passivo]]&gt;0,Tabela3[[#This Row],[Ativo || Passivo]]-Tabela3[[#This Row],[Patrimônio Líquido]],0)</f>
        <v>0</v>
      </c>
      <c r="S484" s="73">
        <f>Tabela3[[#This Row],[Cotação]]*Tabela3[[#This Row],[Total Ações]]</f>
        <v>49323701.700000003</v>
      </c>
      <c r="T484" s="37">
        <f>IF(Tabela3[[#This Row],[Passivo Circulante]]&gt;0,Tabela3[[#This Row],[Ativo Circulante]]/Tabela3[[#This Row],[Passivo Circulante]],0)</f>
        <v>0</v>
      </c>
      <c r="U484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84" s="18">
        <f>IF(Tabela3[[#This Row],[Lucro Líquido]]&gt;0,Tabela3[[#This Row],[Lucro Líquido]]/Tabela3[[#This Row],[Patrimônio Líquido]],0)</f>
        <v>0</v>
      </c>
      <c r="W484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84" s="18">
        <f>IF(Tabela3[[#This Row],[Dívida]]&gt;0,Tabela3[[#This Row],[Dívida]]/Tabela3[[#This Row],[Patrimônio Líquido]],0)</f>
        <v>0</v>
      </c>
      <c r="Y484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84" s="7">
        <f>Tabela3[[#This Row],[Capital Social]]*20%</f>
        <v>15649128.75</v>
      </c>
      <c r="AA484" s="47">
        <f>IF((Tabela3[Lucro Líquido]*5%)&gt;Tabela3[Teto R. Legal],Tabela3[Teto R. Legal],Tabela3[Lucro Líquido]*5%)</f>
        <v>-543000</v>
      </c>
      <c r="AB484" s="47">
        <f>IF(Tabela3[Lucro Líquido]&lt;0,0,Tabela3[Lucro Líquido]-Tabela3[Reserva Legal])</f>
        <v>0</v>
      </c>
      <c r="AC484" s="47">
        <f>Tabela3[[#This Row],[Lucro Distribuir]]*Tabela3[%Div]</f>
        <v>0</v>
      </c>
      <c r="AD484" s="56">
        <f>SUMPRODUCT(N(Tabela3[Nome]=Tabela3[[#This Row],[Nome]]),Tabela3[Ações])</f>
        <v>126471030</v>
      </c>
      <c r="AE484" s="85">
        <f>Tabela3[Capital Social]/Tabela3[Total Ações]</f>
        <v>0.61868432438638321</v>
      </c>
      <c r="AF484" s="85">
        <f>Tabela3[[#This Row],[Lucro Líquido]]/Tabela3[[#This Row],[Total Ações]]</f>
        <v>-8.5869467497813531E-2</v>
      </c>
      <c r="AG484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84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84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84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84" s="7">
        <f>Tabela3[Div Base]*Tabela3[Ações]</f>
        <v>0</v>
      </c>
      <c r="AL484" s="121">
        <f>SUMPRODUCT(N(Tabela3[Nome]=Tabela3[[#This Row],[Nome]]),Tabela3[Div Base]*Tabela3[Ações])</f>
        <v>0</v>
      </c>
      <c r="AM484" s="5">
        <f>Tabela3[Patrimônio Líquido]/Tabela3[Total Ações]</f>
        <v>0.84719006400121832</v>
      </c>
      <c r="AN484" s="52">
        <f>MAX(Tabela3[[#This Row],[Cotação 1]:[Cotação 5]])</f>
        <v>0.39</v>
      </c>
      <c r="AO484" s="53">
        <f>Tabela3[Cotação]/Tabela3[VPA]</f>
        <v>0.46034534229315416</v>
      </c>
      <c r="AP484" s="37">
        <f>IF(Tabela3[[#This Row],[Lucro/Ação]]&gt;0,Tabela3[[#This Row],[Cotação]]/(Tabela3[[#This Row],[Lucro/Ação]]/Tabela3[Ref]*4),0)</f>
        <v>0</v>
      </c>
      <c r="AQ484" s="85">
        <f>Tabela3[Lucro Distribuir]/Tabela3[Total Ações]</f>
        <v>0</v>
      </c>
      <c r="AR484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84" s="10" t="str">
        <f>IF(AND(Tabela3[% A.A.]&gt;=6%,SUMPRODUCT(N(Tabela3[Nome]=Tabela3[[#This Row],[Nome]]),Tabela3[PL])&gt;0,Tabela3[Rentabilidade s/ PL]&gt;=Tabela3[Rentabilidade s/ PL Média]),"Sim","Não")</f>
        <v>Não</v>
      </c>
      <c r="AT484" s="22">
        <f>IF(Tabela3[Cotação]&gt;0,Tabela3[[#This Row],[Lucro]]/Tabela3[[#This Row],[Cotação]],0)</f>
        <v>0</v>
      </c>
      <c r="AU484" s="22">
        <f>((1+Tabela3[[#This Row],[% Yield]])^(1/(3*Tabela3[[#This Row],[Ref]])))^(12)-1</f>
        <v>0</v>
      </c>
      <c r="AV484" s="10">
        <f>IF(Tabela3[Cotação]&gt;0,($BD$1/Tabela3[[#This Row],[Cotação]]-MOD($BD$1/Tabela3[[#This Row],[Cotação]],100)),)</f>
        <v>0</v>
      </c>
      <c r="AW484" s="7">
        <f>Tabela3[[#This Row],[Ativos]]*Tabela3[Lucro]</f>
        <v>0</v>
      </c>
      <c r="AX484" s="7">
        <f>SUMPRODUCT(N(Tabela1[Código]=Tabela3[[#This Row],[PAPEL]]),Tabela1[Fechamento])</f>
        <v>0</v>
      </c>
      <c r="AY484" s="7">
        <f>SUMPRODUCT(N(Tabela17[Código]=Tabela3[[#This Row],[PAPEL]]),Tabela17[Fechamento])</f>
        <v>0</v>
      </c>
      <c r="AZ484" s="7">
        <f>SUMPRODUCT(N(Tabela176[Código]=Tabela3[[#This Row],[PAPEL]]),Tabela176[Fechamento])</f>
        <v>0</v>
      </c>
      <c r="BA484" s="7">
        <f>SUMPRODUCT(N(Tabela1768[Código]=Tabela3[[#This Row],[PAPEL]]),Tabela1768[Fechamento])</f>
        <v>0.39</v>
      </c>
      <c r="BB484" s="7">
        <f>SUMPRODUCT(N(Tabela17683[Código]=Tabela3[[#This Row],[PAPEL]]),Tabela17683[Fechamento])</f>
        <v>0</v>
      </c>
    </row>
    <row r="485" spans="1:54" hidden="1" x14ac:dyDescent="0.2">
      <c r="A485" s="3" t="s">
        <v>1477</v>
      </c>
      <c r="B485" s="57" t="s">
        <v>1481</v>
      </c>
      <c r="C485" s="16" t="str">
        <f>LEFT(Tabela3[PAPEL],LEN(Tabela3[PAPEL])-(LEN(Tabela3[PAPEL])-4))</f>
        <v>STBP</v>
      </c>
      <c r="D485" s="16">
        <v>4</v>
      </c>
      <c r="E485" s="5"/>
      <c r="F485" s="56"/>
      <c r="G485" s="81">
        <v>0.25</v>
      </c>
      <c r="H485" s="87"/>
      <c r="J485" s="18"/>
      <c r="K485" s="16">
        <v>1</v>
      </c>
      <c r="L485" s="87">
        <v>4</v>
      </c>
      <c r="M485" s="54"/>
      <c r="N485" s="54"/>
      <c r="O485" s="54"/>
      <c r="P485" s="91"/>
      <c r="Q485" s="73"/>
      <c r="R485" s="73">
        <f>IF(Tabela3[[#This Row],[Ativo || Passivo]]&gt;0,Tabela3[[#This Row],[Ativo || Passivo]]-Tabela3[[#This Row],[Patrimônio Líquido]],0)</f>
        <v>0</v>
      </c>
      <c r="S485" s="73">
        <f>Tabela3[[#This Row],[Cotação]]*Tabela3[[#This Row],[Total Ações]]</f>
        <v>9798133209.3400002</v>
      </c>
      <c r="T485" s="37">
        <f>IF(Tabela3[[#This Row],[Passivo Circulante]]&gt;0,Tabela3[[#This Row],[Ativo Circulante]]/Tabela3[[#This Row],[Passivo Circulante]],0)</f>
        <v>0</v>
      </c>
      <c r="U485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85" s="18">
        <f>IF(Tabela3[[#This Row],[Lucro Líquido]]&gt;0,Tabela3[[#This Row],[Lucro Líquido]]/Tabela3[[#This Row],[Patrimônio Líquido]],0)</f>
        <v>0</v>
      </c>
      <c r="W485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85" s="18">
        <f>IF(Tabela3[[#This Row],[Dívida]]&gt;0,Tabela3[[#This Row],[Dívida]]/Tabela3[[#This Row],[Patrimônio Líquido]],0)</f>
        <v>0</v>
      </c>
      <c r="Y485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85" s="7">
        <f>Tabela3[[#This Row],[Capital Social]]*20%</f>
        <v>0</v>
      </c>
      <c r="AA485" s="47">
        <f>IF((Tabela3[Lucro Líquido]*5%)&gt;Tabela3[Teto R. Legal],Tabela3[Teto R. Legal],Tabela3[Lucro Líquido]*5%)</f>
        <v>0</v>
      </c>
      <c r="AB485" s="47">
        <f>IF(Tabela3[Lucro Líquido]&lt;0,0,Tabela3[Lucro Líquido]-Tabela3[Reserva Legal])</f>
        <v>0</v>
      </c>
      <c r="AC485" s="47">
        <f>Tabela3[[#This Row],[Lucro Distribuir]]*Tabela3[%Div]</f>
        <v>0</v>
      </c>
      <c r="AD485" s="56">
        <f>SUMPRODUCT(N(Tabela3[Nome]=Tabela3[[#This Row],[Nome]]),Tabela3[Ações])</f>
        <v>666086554</v>
      </c>
      <c r="AE485" s="85">
        <f>Tabela3[Capital Social]/Tabela3[Total Ações]</f>
        <v>0</v>
      </c>
      <c r="AF485" s="85">
        <f>Tabela3[[#This Row],[Lucro Líquido]]/Tabela3[[#This Row],[Total Ações]]</f>
        <v>0</v>
      </c>
      <c r="AG485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85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85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85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85" s="7">
        <f>Tabela3[Div Base]*Tabela3[Ações]</f>
        <v>0</v>
      </c>
      <c r="AL485" s="121">
        <f>SUMPRODUCT(N(Tabela3[Nome]=Tabela3[[#This Row],[Nome]]),Tabela3[Div Base]*Tabela3[Ações])</f>
        <v>60576750</v>
      </c>
      <c r="AM485" s="5">
        <f>Tabela3[Patrimônio Líquido]/Tabela3[Total Ações]</f>
        <v>0</v>
      </c>
      <c r="AN485" s="52">
        <f>MAX(Tabela3[[#This Row],[Cotação 1]:[Cotação 5]])</f>
        <v>14.71</v>
      </c>
      <c r="AO485" s="53" t="e">
        <f>Tabela3[Cotação]/Tabela3[VPA]</f>
        <v>#DIV/0!</v>
      </c>
      <c r="AP485" s="37">
        <f>IF(Tabela3[[#This Row],[Lucro/Ação]]&gt;0,Tabela3[[#This Row],[Cotação]]/(Tabela3[[#This Row],[Lucro/Ação]]/Tabela3[Ref]*4),0)</f>
        <v>0</v>
      </c>
      <c r="AQ485" s="85">
        <f>Tabela3[Lucro Distribuir]/Tabela3[Total Ações]</f>
        <v>0</v>
      </c>
      <c r="AR485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0.45472130938706806</v>
      </c>
      <c r="AS485" s="10" t="str">
        <f>IF(AND(Tabela3[% A.A.]&gt;=6%,SUMPRODUCT(N(Tabela3[Nome]=Tabela3[[#This Row],[Nome]]),Tabela3[PL])&gt;0,Tabela3[Rentabilidade s/ PL]&gt;=Tabela3[Rentabilidade s/ PL Média]),"Sim","Não")</f>
        <v>Não</v>
      </c>
      <c r="AT485" s="22">
        <f>IF(Tabela3[Cotação]&gt;0,Tabela3[[#This Row],[Lucro]]/Tabela3[[#This Row],[Cotação]],0)</f>
        <v>3.0912393568121553E-2</v>
      </c>
      <c r="AU485" s="22">
        <f>((1+Tabela3[[#This Row],[% Yield]])^(1/(3*Tabela3[[#This Row],[Ref]])))^(12)-1</f>
        <v>3.0912393568122365E-2</v>
      </c>
      <c r="AV485" s="10">
        <f>IF(Tabela3[Cotação]&gt;0,($BD$1/Tabela3[[#This Row],[Cotação]]-MOD($BD$1/Tabela3[[#This Row],[Cotação]],100)),)</f>
        <v>0</v>
      </c>
      <c r="AW485" s="7">
        <f>Tabela3[[#This Row],[Ativos]]*Tabela3[Lucro]</f>
        <v>0</v>
      </c>
      <c r="AX485" s="7">
        <f>SUMPRODUCT(N(Tabela1[Código]=Tabela3[[#This Row],[PAPEL]]),Tabela1[Fechamento])</f>
        <v>0</v>
      </c>
      <c r="AY485" s="7">
        <f>SUMPRODUCT(N(Tabela17[Código]=Tabela3[[#This Row],[PAPEL]]),Tabela17[Fechamento])</f>
        <v>0</v>
      </c>
      <c r="AZ485" s="7">
        <f>SUMPRODUCT(N(Tabela176[Código]=Tabela3[[#This Row],[PAPEL]]),Tabela176[Fechamento])</f>
        <v>0</v>
      </c>
      <c r="BA485" s="7">
        <f>SUMPRODUCT(N(Tabela1768[Código]=Tabela3[[#This Row],[PAPEL]]),Tabela1768[Fechamento])</f>
        <v>0</v>
      </c>
      <c r="BB485" s="7">
        <f>SUMPRODUCT(N(Tabela17683[Código]=Tabela3[[#This Row],[PAPEL]]),Tabela17683[Fechamento])</f>
        <v>14.71</v>
      </c>
    </row>
    <row r="486" spans="1:54" hidden="1" x14ac:dyDescent="0.2">
      <c r="A486" s="3" t="s">
        <v>1410</v>
      </c>
      <c r="B486" s="57" t="s">
        <v>1389</v>
      </c>
      <c r="C486" s="16" t="str">
        <f>LEFT(Tabela3[PAPEL],LEN(Tabela3[PAPEL])-(LEN(Tabela3[PAPEL])-4))</f>
        <v>SULT</v>
      </c>
      <c r="D486" s="16">
        <v>3</v>
      </c>
      <c r="E486" s="5">
        <v>130000000</v>
      </c>
      <c r="F486" s="56">
        <v>7489720</v>
      </c>
      <c r="G486" s="81">
        <v>0.25</v>
      </c>
      <c r="H486" s="87"/>
      <c r="J486" s="18"/>
      <c r="K486" s="16"/>
      <c r="L486" s="87"/>
      <c r="M486" s="54"/>
      <c r="N486" s="54"/>
      <c r="O486" s="54"/>
      <c r="P486" s="91">
        <v>198646000</v>
      </c>
      <c r="Q486" s="73">
        <v>-25149000</v>
      </c>
      <c r="R486" s="73">
        <f>IF(Tabela3[[#This Row],[Ativo || Passivo]]&gt;0,Tabela3[[#This Row],[Ativo || Passivo]]-Tabela3[[#This Row],[Patrimônio Líquido]],0)</f>
        <v>0</v>
      </c>
      <c r="S486" s="73">
        <f>Tabela3[[#This Row],[Cotação]]*Tabela3[[#This Row],[Total Ações]]</f>
        <v>14489999.999999998</v>
      </c>
      <c r="T486" s="37">
        <f>IF(Tabela3[[#This Row],[Passivo Circulante]]&gt;0,Tabela3[[#This Row],[Ativo Circulante]]/Tabela3[[#This Row],[Passivo Circulante]],0)</f>
        <v>0</v>
      </c>
      <c r="U486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86" s="18">
        <f>IF(Tabela3[[#This Row],[Lucro Líquido]]&gt;0,Tabela3[[#This Row],[Lucro Líquido]]/Tabela3[[#This Row],[Patrimônio Líquido]],0)</f>
        <v>0</v>
      </c>
      <c r="W486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86" s="18">
        <f>IF(Tabela3[[#This Row],[Dívida]]&gt;0,Tabela3[[#This Row],[Dívida]]/Tabela3[[#This Row],[Patrimônio Líquido]],0)</f>
        <v>0</v>
      </c>
      <c r="Y486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86" s="7">
        <f>Tabela3[[#This Row],[Capital Social]]*20%</f>
        <v>26000000</v>
      </c>
      <c r="AA486" s="47">
        <f>IF((Tabela3[Lucro Líquido]*5%)&gt;Tabela3[Teto R. Legal],Tabela3[Teto R. Legal],Tabela3[Lucro Líquido]*5%)</f>
        <v>-1257450</v>
      </c>
      <c r="AB486" s="47">
        <f>IF(Tabela3[Lucro Líquido]&lt;0,0,Tabela3[Lucro Líquido]-Tabela3[Reserva Legal])</f>
        <v>0</v>
      </c>
      <c r="AC486" s="47">
        <f>Tabela3[[#This Row],[Lucro Distribuir]]*Tabela3[%Div]</f>
        <v>0</v>
      </c>
      <c r="AD486" s="56">
        <f>SUMPRODUCT(N(Tabela3[Nome]=Tabela3[[#This Row],[Nome]]),Tabela3[Ações])</f>
        <v>12600000</v>
      </c>
      <c r="AE486" s="85">
        <f>Tabela3[Capital Social]/Tabela3[Total Ações]</f>
        <v>10.317460317460318</v>
      </c>
      <c r="AF486" s="85">
        <f>Tabela3[[#This Row],[Lucro Líquido]]/Tabela3[[#This Row],[Total Ações]]</f>
        <v>-1.9959523809523809</v>
      </c>
      <c r="AG486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86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86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86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86" s="7">
        <f>Tabela3[Div Base]*Tabela3[Ações]</f>
        <v>0</v>
      </c>
      <c r="AL486" s="121">
        <f>SUMPRODUCT(N(Tabela3[Nome]=Tabela3[[#This Row],[Nome]]),Tabela3[Div Base]*Tabela3[Ações])</f>
        <v>0</v>
      </c>
      <c r="AM486" s="5">
        <f>Tabela3[Patrimônio Líquido]/Tabela3[Total Ações]</f>
        <v>15.765555555555556</v>
      </c>
      <c r="AN486" s="52">
        <f>MAX(Tabela3[[#This Row],[Cotação 1]:[Cotação 5]])</f>
        <v>1.1499999999999999</v>
      </c>
      <c r="AO486" s="53">
        <f>Tabela3[Cotação]/Tabela3[VPA]</f>
        <v>7.2943829727253495E-2</v>
      </c>
      <c r="AP486" s="37">
        <f>IF(Tabela3[[#This Row],[Lucro/Ação]]&gt;0,Tabela3[[#This Row],[Cotação]]/(Tabela3[[#This Row],[Lucro/Ação]]/Tabela3[Ref]*4),0)</f>
        <v>0</v>
      </c>
      <c r="AQ486" s="85">
        <f>Tabela3[Lucro Distribuir]/Tabela3[Total Ações]</f>
        <v>0</v>
      </c>
      <c r="AR486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86" s="10" t="str">
        <f>IF(AND(Tabela3[% A.A.]&gt;=6%,SUMPRODUCT(N(Tabela3[Nome]=Tabela3[[#This Row],[Nome]]),Tabela3[PL])&gt;0,Tabela3[Rentabilidade s/ PL]&gt;=Tabela3[Rentabilidade s/ PL Média]),"Sim","Não")</f>
        <v>Não</v>
      </c>
      <c r="AT486" s="22">
        <f>IF(Tabela3[Cotação]&gt;0,Tabela3[[#This Row],[Lucro]]/Tabela3[[#This Row],[Cotação]],0)</f>
        <v>0</v>
      </c>
      <c r="AU486" s="22">
        <f>((1+Tabela3[[#This Row],[% Yield]])^(1/(3*Tabela3[[#This Row],[Ref]])))^(12)-1</f>
        <v>0</v>
      </c>
      <c r="AV486" s="10">
        <f>IF(Tabela3[Cotação]&gt;0,($BD$1/Tabela3[[#This Row],[Cotação]]-MOD($BD$1/Tabela3[[#This Row],[Cotação]],100)),)</f>
        <v>0</v>
      </c>
      <c r="AW486" s="7">
        <f>Tabela3[[#This Row],[Ativos]]*Tabela3[Lucro]</f>
        <v>0</v>
      </c>
      <c r="AX486" s="7">
        <f>SUMPRODUCT(N(Tabela1[Código]=Tabela3[[#This Row],[PAPEL]]),Tabela1[Fechamento])</f>
        <v>0</v>
      </c>
      <c r="AY486" s="7">
        <f>SUMPRODUCT(N(Tabela17[Código]=Tabela3[[#This Row],[PAPEL]]),Tabela17[Fechamento])</f>
        <v>0</v>
      </c>
      <c r="AZ486" s="7">
        <f>SUMPRODUCT(N(Tabela176[Código]=Tabela3[[#This Row],[PAPEL]]),Tabela176[Fechamento])</f>
        <v>0</v>
      </c>
      <c r="BA486" s="7">
        <f>SUMPRODUCT(N(Tabela1768[Código]=Tabela3[[#This Row],[PAPEL]]),Tabela1768[Fechamento])</f>
        <v>0</v>
      </c>
      <c r="BB486" s="7">
        <f>SUMPRODUCT(N(Tabela17683[Código]=Tabela3[[#This Row],[PAPEL]]),Tabela17683[Fechamento])</f>
        <v>1.1499999999999999</v>
      </c>
    </row>
    <row r="487" spans="1:54" hidden="1" x14ac:dyDescent="0.2">
      <c r="A487" s="3" t="s">
        <v>1410</v>
      </c>
      <c r="B487" s="57" t="s">
        <v>1390</v>
      </c>
      <c r="C487" s="16" t="str">
        <f>LEFT(Tabela3[PAPEL],LEN(Tabela3[PAPEL])-(LEN(Tabela3[PAPEL])-4))</f>
        <v>SULT</v>
      </c>
      <c r="D487" s="16">
        <v>3</v>
      </c>
      <c r="E487" s="5">
        <v>130000000</v>
      </c>
      <c r="F487" s="56">
        <v>5110280</v>
      </c>
      <c r="G487" s="81">
        <v>0.25</v>
      </c>
      <c r="H487" s="87"/>
      <c r="J487" s="18">
        <v>0.1</v>
      </c>
      <c r="K487" s="16"/>
      <c r="L487" s="87"/>
      <c r="M487" s="54"/>
      <c r="N487" s="54"/>
      <c r="O487" s="54"/>
      <c r="P487" s="91">
        <v>198646000</v>
      </c>
      <c r="Q487" s="73">
        <v>-25149000</v>
      </c>
      <c r="R487" s="73">
        <f>IF(Tabela3[[#This Row],[Ativo || Passivo]]&gt;0,Tabela3[[#This Row],[Ativo || Passivo]]-Tabela3[[#This Row],[Patrimônio Líquido]],0)</f>
        <v>0</v>
      </c>
      <c r="S487" s="73">
        <f>Tabela3[[#This Row],[Cotação]]*Tabela3[[#This Row],[Total Ações]]</f>
        <v>12726000</v>
      </c>
      <c r="T487" s="37">
        <f>IF(Tabela3[[#This Row],[Passivo Circulante]]&gt;0,Tabela3[[#This Row],[Ativo Circulante]]/Tabela3[[#This Row],[Passivo Circulante]],0)</f>
        <v>0</v>
      </c>
      <c r="U487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87" s="18">
        <f>IF(Tabela3[[#This Row],[Lucro Líquido]]&gt;0,Tabela3[[#This Row],[Lucro Líquido]]/Tabela3[[#This Row],[Patrimônio Líquido]],0)</f>
        <v>0</v>
      </c>
      <c r="W487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87" s="18">
        <f>IF(Tabela3[[#This Row],[Dívida]]&gt;0,Tabela3[[#This Row],[Dívida]]/Tabela3[[#This Row],[Patrimônio Líquido]],0)</f>
        <v>0</v>
      </c>
      <c r="Y487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87" s="7">
        <f>Tabela3[[#This Row],[Capital Social]]*20%</f>
        <v>26000000</v>
      </c>
      <c r="AA487" s="47">
        <f>IF((Tabela3[Lucro Líquido]*5%)&gt;Tabela3[Teto R. Legal],Tabela3[Teto R. Legal],Tabela3[Lucro Líquido]*5%)</f>
        <v>-1257450</v>
      </c>
      <c r="AB487" s="47">
        <f>IF(Tabela3[Lucro Líquido]&lt;0,0,Tabela3[Lucro Líquido]-Tabela3[Reserva Legal])</f>
        <v>0</v>
      </c>
      <c r="AC487" s="47">
        <f>Tabela3[[#This Row],[Lucro Distribuir]]*Tabela3[%Div]</f>
        <v>0</v>
      </c>
      <c r="AD487" s="56">
        <f>SUMPRODUCT(N(Tabela3[Nome]=Tabela3[[#This Row],[Nome]]),Tabela3[Ações])</f>
        <v>12600000</v>
      </c>
      <c r="AE487" s="85">
        <f>Tabela3[Capital Social]/Tabela3[Total Ações]</f>
        <v>10.317460317460318</v>
      </c>
      <c r="AF487" s="85">
        <f>Tabela3[[#This Row],[Lucro Líquido]]/Tabela3[[#This Row],[Total Ações]]</f>
        <v>-1.9959523809523809</v>
      </c>
      <c r="AG487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87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87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87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87" s="7">
        <f>Tabela3[Div Base]*Tabela3[Ações]</f>
        <v>0</v>
      </c>
      <c r="AL487" s="121">
        <f>SUMPRODUCT(N(Tabela3[Nome]=Tabela3[[#This Row],[Nome]]),Tabela3[Div Base]*Tabela3[Ações])</f>
        <v>0</v>
      </c>
      <c r="AM487" s="5">
        <f>Tabela3[Patrimônio Líquido]/Tabela3[Total Ações]</f>
        <v>15.765555555555556</v>
      </c>
      <c r="AN487" s="52">
        <f>MAX(Tabela3[[#This Row],[Cotação 1]:[Cotação 5]])</f>
        <v>1.01</v>
      </c>
      <c r="AO487" s="53">
        <f>Tabela3[Cotação]/Tabela3[VPA]</f>
        <v>6.4063711325674816E-2</v>
      </c>
      <c r="AP487" s="37">
        <f>IF(Tabela3[[#This Row],[Lucro/Ação]]&gt;0,Tabela3[[#This Row],[Cotação]]/(Tabela3[[#This Row],[Lucro/Ação]]/Tabela3[Ref]*4),0)</f>
        <v>0</v>
      </c>
      <c r="AQ487" s="85">
        <f>Tabela3[Lucro Distribuir]/Tabela3[Total Ações]</f>
        <v>0</v>
      </c>
      <c r="AR487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87" s="10" t="str">
        <f>IF(AND(Tabela3[% A.A.]&gt;=6%,SUMPRODUCT(N(Tabela3[Nome]=Tabela3[[#This Row],[Nome]]),Tabela3[PL])&gt;0,Tabela3[Rentabilidade s/ PL]&gt;=Tabela3[Rentabilidade s/ PL Média]),"Sim","Não")</f>
        <v>Não</v>
      </c>
      <c r="AT487" s="22">
        <f>IF(Tabela3[Cotação]&gt;0,Tabela3[[#This Row],[Lucro]]/Tabela3[[#This Row],[Cotação]],0)</f>
        <v>0</v>
      </c>
      <c r="AU487" s="22">
        <f>((1+Tabela3[[#This Row],[% Yield]])^(1/(3*Tabela3[[#This Row],[Ref]])))^(12)-1</f>
        <v>0</v>
      </c>
      <c r="AV487" s="10">
        <f>IF(Tabela3[Cotação]&gt;0,($BD$1/Tabela3[[#This Row],[Cotação]]-MOD($BD$1/Tabela3[[#This Row],[Cotação]],100)),)</f>
        <v>0</v>
      </c>
      <c r="AW487" s="7">
        <f>Tabela3[[#This Row],[Ativos]]*Tabela3[Lucro]</f>
        <v>0</v>
      </c>
      <c r="AX487" s="7">
        <f>SUMPRODUCT(N(Tabela1[Código]=Tabela3[[#This Row],[PAPEL]]),Tabela1[Fechamento])</f>
        <v>0</v>
      </c>
      <c r="AY487" s="7">
        <f>SUMPRODUCT(N(Tabela17[Código]=Tabela3[[#This Row],[PAPEL]]),Tabela17[Fechamento])</f>
        <v>0</v>
      </c>
      <c r="AZ487" s="7">
        <f>SUMPRODUCT(N(Tabela176[Código]=Tabela3[[#This Row],[PAPEL]]),Tabela176[Fechamento])</f>
        <v>0</v>
      </c>
      <c r="BA487" s="7">
        <f>SUMPRODUCT(N(Tabela1768[Código]=Tabela3[[#This Row],[PAPEL]]),Tabela1768[Fechamento])</f>
        <v>0</v>
      </c>
      <c r="BB487" s="7">
        <f>SUMPRODUCT(N(Tabela17683[Código]=Tabela3[[#This Row],[PAPEL]]),Tabela17683[Fechamento])</f>
        <v>1.01</v>
      </c>
    </row>
    <row r="488" spans="1:54" hidden="1" x14ac:dyDescent="0.2">
      <c r="A488" s="4" t="s">
        <v>19</v>
      </c>
      <c r="B488" s="57" t="s">
        <v>698</v>
      </c>
      <c r="C488" s="82" t="str">
        <f>LEFT(Tabela3[PAPEL],LEN(Tabela3[PAPEL])-(LEN(Tabela3[PAPEL])-4))</f>
        <v>SUZB</v>
      </c>
      <c r="D488" s="15">
        <v>3</v>
      </c>
      <c r="E488" s="6">
        <v>6241753032.1599998</v>
      </c>
      <c r="F488" s="8">
        <v>371148532</v>
      </c>
      <c r="G488" s="81">
        <v>0.25</v>
      </c>
      <c r="H488" s="15"/>
      <c r="I488" s="19"/>
      <c r="J488" s="19"/>
      <c r="K488" s="88"/>
      <c r="L488" s="88"/>
      <c r="M488" s="55"/>
      <c r="N488" s="55"/>
      <c r="O488" s="55"/>
      <c r="P488" s="6">
        <v>10702169000</v>
      </c>
      <c r="Q488" s="6">
        <v>-162427000</v>
      </c>
      <c r="R488" s="6">
        <f>IF(Tabela3[[#This Row],[Ativo || Passivo]]&gt;0,Tabela3[[#This Row],[Ativo || Passivo]]-Tabela3[[#This Row],[Patrimônio Líquido]],0)</f>
        <v>0</v>
      </c>
      <c r="S488" s="6">
        <f>Tabela3[[#This Row],[Cotação]]*Tabela3[[#This Row],[Total Ações]]</f>
        <v>4430954708</v>
      </c>
      <c r="T488" s="134">
        <f>IF(Tabela3[[#This Row],[Passivo Circulante]]&gt;0,Tabela3[[#This Row],[Ativo Circulante]]/Tabela3[[#This Row],[Passivo Circulante]],0)</f>
        <v>0</v>
      </c>
      <c r="U488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88" s="19">
        <f>IF(Tabela3[[#This Row],[Lucro Líquido]]&gt;0,Tabela3[[#This Row],[Lucro Líquido]]/Tabela3[[#This Row],[Patrimônio Líquido]],0)</f>
        <v>0</v>
      </c>
      <c r="W488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88" s="19">
        <f>IF(Tabela3[[#This Row],[Dívida]]&gt;0,Tabela3[[#This Row],[Dívida]]/Tabela3[[#This Row],[Patrimônio Líquido]],0)</f>
        <v>0</v>
      </c>
      <c r="Y488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88" s="6">
        <f>Tabela3[[#This Row],[Capital Social]]*20%</f>
        <v>1248350606.4319999</v>
      </c>
      <c r="AA488" s="6">
        <f>IF((Tabela3[Lucro Líquido]*5%)&gt;Tabela3[Teto R. Legal],Tabela3[Teto R. Legal],Tabela3[Lucro Líquido]*5%)</f>
        <v>-8121350</v>
      </c>
      <c r="AB488" s="6">
        <f>IF(Tabela3[Lucro Líquido]&lt;0,0,Tabela3[Lucro Líquido]-Tabela3[Reserva Legal])</f>
        <v>0</v>
      </c>
      <c r="AC488" s="6">
        <f>Tabela3[[#This Row],[Lucro Distribuir]]*Tabela3[%Div]</f>
        <v>0</v>
      </c>
      <c r="AD488" s="56">
        <f>SUMPRODUCT(N(Tabela3[Nome]=Tabela3[[#This Row],[Nome]]),Tabela3[Ações])</f>
        <v>1107738677</v>
      </c>
      <c r="AE488" s="6">
        <f>Tabela3[Capital Social]/Tabela3[Total Ações]</f>
        <v>5.6346800574518534</v>
      </c>
      <c r="AF488" s="78">
        <f>Tabela3[[#This Row],[Lucro Líquido]]/Tabela3[[#This Row],[Total Ações]]</f>
        <v>-0.14662934803349834</v>
      </c>
      <c r="AG488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88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88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88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88" s="6">
        <f>Tabela3[Div Base]*Tabela3[Ações]</f>
        <v>0</v>
      </c>
      <c r="AL488" s="6">
        <f>SUMPRODUCT(N(Tabela3[Nome]=Tabela3[[#This Row],[Nome]]),Tabela3[Div Base]*Tabela3[Ações])</f>
        <v>0</v>
      </c>
      <c r="AM488" s="6">
        <f>Tabela3[Patrimônio Líquido]/Tabela3[Total Ações]</f>
        <v>9.6612759148067546</v>
      </c>
      <c r="AN488" s="48">
        <f>MAX(Tabela3[[#This Row],[Cotação 1]:[Cotação 5]])</f>
        <v>4</v>
      </c>
      <c r="AO488" s="44">
        <f>Tabela3[Cotação]/Tabela3[VPA]</f>
        <v>0.41402398971647714</v>
      </c>
      <c r="AP488" s="40">
        <f>IF(Tabela3[[#This Row],[Lucro/Ação]]&gt;0,Tabela3[[#This Row],[Cotação]]/(Tabela3[[#This Row],[Lucro/Ação]]/Tabela3[Ref]*4),0)</f>
        <v>0</v>
      </c>
      <c r="AQ488" s="78">
        <f>Tabela3[Lucro Distribuir]/Tabela3[Total Ações]</f>
        <v>0</v>
      </c>
      <c r="AR488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88" s="15" t="str">
        <f>IF(AND(Tabela3[% A.A.]&gt;=6%,SUMPRODUCT(N(Tabela3[Nome]=Tabela3[[#This Row],[Nome]]),Tabela3[PL])&gt;0,Tabela3[Rentabilidade s/ PL]&gt;=Tabela3[Rentabilidade s/ PL Média]),"Sim","Não")</f>
        <v>Não</v>
      </c>
      <c r="AT488" s="42">
        <f>IF(Tabela3[Cotação]&gt;0,Tabela3[[#This Row],[Lucro]]/Tabela3[[#This Row],[Cotação]],0)</f>
        <v>0</v>
      </c>
      <c r="AU488" s="19">
        <f>((1+Tabela3[[#This Row],[% Yield]])^(1/(3*Tabela3[[#This Row],[Ref]])))^(12)-1</f>
        <v>0</v>
      </c>
      <c r="AV488" s="14">
        <f>IF(Tabela3[Cotação]&gt;0,($BD$1/Tabela3[[#This Row],[Cotação]]-MOD($BD$1/Tabela3[[#This Row],[Cotação]],100)),)</f>
        <v>0</v>
      </c>
      <c r="AW488" s="17">
        <f>Tabela3[[#This Row],[Ativos]]*Tabela3[Lucro]</f>
        <v>0</v>
      </c>
      <c r="AX488" s="13">
        <f>SUMPRODUCT(N(Tabela1[Código]=Tabela3[[#This Row],[PAPEL]]),Tabela1[Fechamento])</f>
        <v>0</v>
      </c>
      <c r="AY488" s="13">
        <f>SUMPRODUCT(N(Tabela17[Código]=Tabela3[[#This Row],[PAPEL]]),Tabela17[Fechamento])</f>
        <v>0</v>
      </c>
      <c r="AZ488" s="7">
        <f>SUMPRODUCT(N(Tabela176[Código]=Tabela3[[#This Row],[PAPEL]]),Tabela176[Fechamento])</f>
        <v>4</v>
      </c>
      <c r="BA488" s="7">
        <f>SUMPRODUCT(N(Tabela1768[Código]=Tabela3[[#This Row],[PAPEL]]),Tabela1768[Fechamento])</f>
        <v>0</v>
      </c>
      <c r="BB488" s="7">
        <f>SUMPRODUCT(N(Tabela17683[Código]=Tabela3[[#This Row],[PAPEL]]),Tabela17683[Fechamento])</f>
        <v>0</v>
      </c>
    </row>
    <row r="489" spans="1:54" hidden="1" x14ac:dyDescent="0.2">
      <c r="A489" s="4" t="s">
        <v>19</v>
      </c>
      <c r="B489" s="57" t="s">
        <v>18</v>
      </c>
      <c r="C489" s="14" t="str">
        <f>LEFT(Tabela3[PAPEL],LEN(Tabela3[PAPEL])-(LEN(Tabela3[PAPEL])-4))</f>
        <v>SUZB</v>
      </c>
      <c r="D489" s="15">
        <v>3</v>
      </c>
      <c r="E489" s="6">
        <v>6241753032.1599998</v>
      </c>
      <c r="F489" s="8">
        <v>734649326</v>
      </c>
      <c r="G489" s="81">
        <v>0.25</v>
      </c>
      <c r="H489" s="15"/>
      <c r="I489" s="19"/>
      <c r="J489" s="19"/>
      <c r="K489" s="88"/>
      <c r="L489" s="88"/>
      <c r="M489" s="55"/>
      <c r="N489" s="55"/>
      <c r="O489" s="55"/>
      <c r="P489" s="6">
        <v>10702169000</v>
      </c>
      <c r="Q489" s="6">
        <v>-162427000</v>
      </c>
      <c r="R489" s="6">
        <f>IF(Tabela3[[#This Row],[Ativo || Passivo]]&gt;0,Tabela3[[#This Row],[Ativo || Passivo]]-Tabela3[[#This Row],[Patrimônio Líquido]],0)</f>
        <v>0</v>
      </c>
      <c r="S489" s="6">
        <f>Tabela3[[#This Row],[Cotação]]*Tabela3[[#This Row],[Total Ações]]</f>
        <v>9858874225.3000011</v>
      </c>
      <c r="T489" s="134">
        <f>IF(Tabela3[[#This Row],[Passivo Circulante]]&gt;0,Tabela3[[#This Row],[Ativo Circulante]]/Tabela3[[#This Row],[Passivo Circulante]],0)</f>
        <v>0</v>
      </c>
      <c r="U489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89" s="19">
        <f>IF(Tabela3[[#This Row],[Lucro Líquido]]&gt;0,Tabela3[[#This Row],[Lucro Líquido]]/Tabela3[[#This Row],[Patrimônio Líquido]],0)</f>
        <v>0</v>
      </c>
      <c r="W489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89" s="19">
        <f>IF(Tabela3[[#This Row],[Dívida]]&gt;0,Tabela3[[#This Row],[Dívida]]/Tabela3[[#This Row],[Patrimônio Líquido]],0)</f>
        <v>0</v>
      </c>
      <c r="Y489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89" s="6">
        <f>Tabela3[[#This Row],[Capital Social]]*20%</f>
        <v>1248350606.4319999</v>
      </c>
      <c r="AA489" s="6">
        <f>IF((Tabela3[Lucro Líquido]*5%)&gt;Tabela3[Teto R. Legal],Tabela3[Teto R. Legal],Tabela3[Lucro Líquido]*5%)</f>
        <v>-8121350</v>
      </c>
      <c r="AB489" s="6">
        <f>IF(Tabela3[Lucro Líquido]&lt;0,0,Tabela3[Lucro Líquido]-Tabela3[Reserva Legal])</f>
        <v>0</v>
      </c>
      <c r="AC489" s="6">
        <f>Tabela3[[#This Row],[Lucro Distribuir]]*Tabela3[%Div]</f>
        <v>0</v>
      </c>
      <c r="AD489" s="56">
        <f>SUMPRODUCT(N(Tabela3[Nome]=Tabela3[[#This Row],[Nome]]),Tabela3[Ações])</f>
        <v>1107738677</v>
      </c>
      <c r="AE489" s="6">
        <f>Tabela3[Capital Social]/Tabela3[Total Ações]</f>
        <v>5.6346800574518534</v>
      </c>
      <c r="AF489" s="78">
        <f>Tabela3[[#This Row],[Lucro Líquido]]/Tabela3[[#This Row],[Total Ações]]</f>
        <v>-0.14662934803349834</v>
      </c>
      <c r="AG489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89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89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89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89" s="6">
        <f>Tabela3[Div Base]*Tabela3[Ações]</f>
        <v>0</v>
      </c>
      <c r="AL489" s="6">
        <f>SUMPRODUCT(N(Tabela3[Nome]=Tabela3[[#This Row],[Nome]]),Tabela3[Div Base]*Tabela3[Ações])</f>
        <v>0</v>
      </c>
      <c r="AM489" s="6">
        <f>Tabela3[Patrimônio Líquido]/Tabela3[Total Ações]</f>
        <v>9.6612759148067546</v>
      </c>
      <c r="AN489" s="48">
        <f>MAX(Tabela3[[#This Row],[Cotação 1]:[Cotação 5]])</f>
        <v>8.9</v>
      </c>
      <c r="AO489" s="44">
        <f>Tabela3[Cotação]/Tabela3[VPA]</f>
        <v>0.92120337711916167</v>
      </c>
      <c r="AP489" s="40">
        <f>IF(Tabela3[[#This Row],[Lucro/Ação]]&gt;0,Tabela3[[#This Row],[Cotação]]/(Tabela3[[#This Row],[Lucro/Ação]]/Tabela3[Ref]*4),0)</f>
        <v>0</v>
      </c>
      <c r="AQ489" s="78">
        <f>Tabela3[Lucro Distribuir]/Tabela3[Total Ações]</f>
        <v>0</v>
      </c>
      <c r="AR489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89" s="15" t="str">
        <f>IF(AND(Tabela3[% A.A.]&gt;=6%,SUMPRODUCT(N(Tabela3[Nome]=Tabela3[[#This Row],[Nome]]),Tabela3[PL])&gt;0,Tabela3[Rentabilidade s/ PL]&gt;=Tabela3[Rentabilidade s/ PL Média]),"Sim","Não")</f>
        <v>Não</v>
      </c>
      <c r="AT489" s="42">
        <f>IF(Tabela3[Cotação]&gt;0,Tabela3[[#This Row],[Lucro]]/Tabela3[[#This Row],[Cotação]],0)</f>
        <v>0</v>
      </c>
      <c r="AU489" s="19">
        <f>((1+Tabela3[[#This Row],[% Yield]])^(1/(3*Tabela3[[#This Row],[Ref]])))^(12)-1</f>
        <v>0</v>
      </c>
      <c r="AV489" s="14">
        <f>IF(Tabela3[Cotação]&gt;0,($BD$1/Tabela3[[#This Row],[Cotação]]-MOD($BD$1/Tabela3[[#This Row],[Cotação]],100)),)</f>
        <v>0</v>
      </c>
      <c r="AW489" s="17">
        <f>Tabela3[[#This Row],[Ativos]]*Tabela3[Lucro]</f>
        <v>0</v>
      </c>
      <c r="AX489" s="5">
        <f>SUMPRODUCT(N(Tabela1[Código]=Tabela3[[#This Row],[PAPEL]]),Tabela1[Fechamento])</f>
        <v>8.9</v>
      </c>
      <c r="AY489" s="5">
        <f>SUMPRODUCT(N(Tabela17[Código]=Tabela3[[#This Row],[PAPEL]]),Tabela17[Fechamento])</f>
        <v>0</v>
      </c>
      <c r="AZ489" s="7">
        <f>SUMPRODUCT(N(Tabela176[Código]=Tabela3[[#This Row],[PAPEL]]),Tabela176[Fechamento])</f>
        <v>0</v>
      </c>
      <c r="BA489" s="7">
        <f>SUMPRODUCT(N(Tabela1768[Código]=Tabela3[[#This Row],[PAPEL]]),Tabela1768[Fechamento])</f>
        <v>0</v>
      </c>
      <c r="BB489" s="7">
        <f>SUMPRODUCT(N(Tabela17683[Código]=Tabela3[[#This Row],[PAPEL]]),Tabela17683[Fechamento])</f>
        <v>0</v>
      </c>
    </row>
    <row r="490" spans="1:54" hidden="1" x14ac:dyDescent="0.2">
      <c r="A490" s="4" t="s">
        <v>19</v>
      </c>
      <c r="B490" s="57" t="s">
        <v>189</v>
      </c>
      <c r="C490" s="14" t="str">
        <f>LEFT(Tabela3[PAPEL],LEN(Tabela3[PAPEL])-(LEN(Tabela3[PAPEL])-4))</f>
        <v>SUZB</v>
      </c>
      <c r="D490" s="15">
        <v>3</v>
      </c>
      <c r="E490" s="6">
        <v>6241753032.1599998</v>
      </c>
      <c r="F490" s="8">
        <v>1940819</v>
      </c>
      <c r="G490" s="86">
        <v>0.25</v>
      </c>
      <c r="H490" s="15"/>
      <c r="I490" s="19"/>
      <c r="J490" s="19"/>
      <c r="K490" s="88"/>
      <c r="L490" s="88"/>
      <c r="M490" s="55"/>
      <c r="N490" s="55"/>
      <c r="O490" s="55"/>
      <c r="P490" s="6">
        <v>10702169000</v>
      </c>
      <c r="Q490" s="6">
        <v>-162427000</v>
      </c>
      <c r="R490" s="6">
        <f>IF(Tabela3[[#This Row],[Ativo || Passivo]]&gt;0,Tabela3[[#This Row],[Ativo || Passivo]]-Tabela3[[#This Row],[Patrimônio Líquido]],0)</f>
        <v>0</v>
      </c>
      <c r="S490" s="6">
        <f>Tabela3[[#This Row],[Cotação]]*Tabela3[[#This Row],[Total Ações]]</f>
        <v>8640361680.6000004</v>
      </c>
      <c r="T490" s="134">
        <f>IF(Tabela3[[#This Row],[Passivo Circulante]]&gt;0,Tabela3[[#This Row],[Ativo Circulante]]/Tabela3[[#This Row],[Passivo Circulante]],0)</f>
        <v>0</v>
      </c>
      <c r="U490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90" s="19">
        <f>IF(Tabela3[[#This Row],[Lucro Líquido]]&gt;0,Tabela3[[#This Row],[Lucro Líquido]]/Tabela3[[#This Row],[Patrimônio Líquido]],0)</f>
        <v>0</v>
      </c>
      <c r="W490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90" s="19">
        <f>IF(Tabela3[[#This Row],[Dívida]]&gt;0,Tabela3[[#This Row],[Dívida]]/Tabela3[[#This Row],[Patrimônio Líquido]],0)</f>
        <v>0</v>
      </c>
      <c r="Y490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90" s="6">
        <f>Tabela3[[#This Row],[Capital Social]]*20%</f>
        <v>1248350606.4319999</v>
      </c>
      <c r="AA490" s="6">
        <f>IF((Tabela3[Lucro Líquido]*5%)&gt;Tabela3[Teto R. Legal],Tabela3[Teto R. Legal],Tabela3[Lucro Líquido]*5%)</f>
        <v>-8121350</v>
      </c>
      <c r="AB490" s="6">
        <f>IF(Tabela3[Lucro Líquido]&lt;0,0,Tabela3[Lucro Líquido]-Tabela3[Reserva Legal])</f>
        <v>0</v>
      </c>
      <c r="AC490" s="6">
        <f>Tabela3[[#This Row],[Lucro Distribuir]]*Tabela3[%Div]</f>
        <v>0</v>
      </c>
      <c r="AD490" s="56">
        <f>SUMPRODUCT(N(Tabela3[Nome]=Tabela3[[#This Row],[Nome]]),Tabela3[Ações])</f>
        <v>1107738677</v>
      </c>
      <c r="AE490" s="6">
        <f>Tabela3[Capital Social]/Tabela3[Total Ações]</f>
        <v>5.6346800574518534</v>
      </c>
      <c r="AF490" s="78">
        <f>Tabela3[[#This Row],[Lucro Líquido]]/Tabela3[[#This Row],[Total Ações]]</f>
        <v>-0.14662934803349834</v>
      </c>
      <c r="AG490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90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90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90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90" s="6">
        <f>Tabela3[Div Base]*Tabela3[Ações]</f>
        <v>0</v>
      </c>
      <c r="AL490" s="6">
        <f>SUMPRODUCT(N(Tabela3[Nome]=Tabela3[[#This Row],[Nome]]),Tabela3[Div Base]*Tabela3[Ações])</f>
        <v>0</v>
      </c>
      <c r="AM490" s="6">
        <f>Tabela3[Patrimônio Líquido]/Tabela3[Total Ações]</f>
        <v>9.6612759148067546</v>
      </c>
      <c r="AN490" s="48">
        <f>MAX(Tabela3[[#This Row],[Cotação 1]:[Cotação 5]])</f>
        <v>7.8</v>
      </c>
      <c r="AO490" s="44">
        <f>Tabela3[Cotação]/Tabela3[VPA]</f>
        <v>0.80734677994713044</v>
      </c>
      <c r="AP490" s="40">
        <f>IF(Tabela3[[#This Row],[Lucro/Ação]]&gt;0,Tabela3[[#This Row],[Cotação]]/(Tabela3[[#This Row],[Lucro/Ação]]/Tabela3[Ref]*4),0)</f>
        <v>0</v>
      </c>
      <c r="AQ490" s="78">
        <f>Tabela3[Lucro Distribuir]/Tabela3[Total Ações]</f>
        <v>0</v>
      </c>
      <c r="AR490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90" s="15" t="str">
        <f>IF(AND(Tabela3[% A.A.]&gt;=6%,SUMPRODUCT(N(Tabela3[Nome]=Tabela3[[#This Row],[Nome]]),Tabela3[PL])&gt;0,Tabela3[Rentabilidade s/ PL]&gt;=Tabela3[Rentabilidade s/ PL Média]),"Sim","Não")</f>
        <v>Não</v>
      </c>
      <c r="AT490" s="42">
        <f>IF(Tabela3[Cotação]&gt;0,Tabela3[[#This Row],[Lucro]]/Tabela3[[#This Row],[Cotação]],0)</f>
        <v>0</v>
      </c>
      <c r="AU490" s="19">
        <f>((1+Tabela3[[#This Row],[% Yield]])^(1/(3*Tabela3[[#This Row],[Ref]])))^(12)-1</f>
        <v>0</v>
      </c>
      <c r="AV490" s="14">
        <f>IF(Tabela3[Cotação]&gt;0,($BD$1/Tabela3[[#This Row],[Cotação]]-MOD($BD$1/Tabela3[[#This Row],[Cotação]],100)),)</f>
        <v>0</v>
      </c>
      <c r="AW490" s="17">
        <f>Tabela3[[#This Row],[Ativos]]*Tabela3[Lucro]</f>
        <v>0</v>
      </c>
      <c r="AX490" s="5">
        <f>SUMPRODUCT(N(Tabela1[Código]=Tabela3[[#This Row],[PAPEL]]),Tabela1[Fechamento])</f>
        <v>7.8</v>
      </c>
      <c r="AY490" s="5">
        <f>SUMPRODUCT(N(Tabela17[Código]=Tabela3[[#This Row],[PAPEL]]),Tabela17[Fechamento])</f>
        <v>0</v>
      </c>
      <c r="AZ490" s="7">
        <f>SUMPRODUCT(N(Tabela176[Código]=Tabela3[[#This Row],[PAPEL]]),Tabela176[Fechamento])</f>
        <v>0</v>
      </c>
      <c r="BA490" s="7">
        <f>SUMPRODUCT(N(Tabela1768[Código]=Tabela3[[#This Row],[PAPEL]]),Tabela1768[Fechamento])</f>
        <v>0</v>
      </c>
      <c r="BB490" s="7">
        <f>SUMPRODUCT(N(Tabela17683[Código]=Tabela3[[#This Row],[PAPEL]]),Tabela17683[Fechamento])</f>
        <v>0</v>
      </c>
    </row>
    <row r="491" spans="1:54" hidden="1" x14ac:dyDescent="0.2">
      <c r="A491" s="3" t="s">
        <v>1425</v>
      </c>
      <c r="B491" s="127" t="s">
        <v>1415</v>
      </c>
      <c r="C491" s="16" t="str">
        <f>LEFT(Tabela3[PAPEL],LEN(Tabela3[PAPEL])-(LEN(Tabela3[PAPEL])-4))</f>
        <v>TCNO</v>
      </c>
      <c r="D491" s="16">
        <v>3</v>
      </c>
      <c r="E491" s="5">
        <v>12971838.99</v>
      </c>
      <c r="F491" s="56">
        <v>35305085</v>
      </c>
      <c r="G491" s="81">
        <v>0.25</v>
      </c>
      <c r="H491" s="87"/>
      <c r="J491" s="18"/>
      <c r="K491" s="16"/>
      <c r="L491" s="87"/>
      <c r="M491" s="54"/>
      <c r="N491" s="54"/>
      <c r="O491" s="54"/>
      <c r="P491" s="91">
        <v>5301000</v>
      </c>
      <c r="Q491" s="73">
        <v>-67139000</v>
      </c>
      <c r="R491" s="73">
        <f>IF(Tabela3[[#This Row],[Ativo || Passivo]]&gt;0,Tabela3[[#This Row],[Ativo || Passivo]]-Tabela3[[#This Row],[Patrimônio Líquido]],0)</f>
        <v>0</v>
      </c>
      <c r="S491" s="73">
        <f>Tabela3[[#This Row],[Cotação]]*Tabela3[[#This Row],[Total Ações]]</f>
        <v>7944406.7999999998</v>
      </c>
      <c r="T491" s="37">
        <f>IF(Tabela3[[#This Row],[Passivo Circulante]]&gt;0,Tabela3[[#This Row],[Ativo Circulante]]/Tabela3[[#This Row],[Passivo Circulante]],0)</f>
        <v>0</v>
      </c>
      <c r="U491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91" s="18">
        <f>IF(Tabela3[[#This Row],[Lucro Líquido]]&gt;0,Tabela3[[#This Row],[Lucro Líquido]]/Tabela3[[#This Row],[Patrimônio Líquido]],0)</f>
        <v>0</v>
      </c>
      <c r="W491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91" s="18">
        <f>IF(Tabela3[[#This Row],[Dívida]]&gt;0,Tabela3[[#This Row],[Dívida]]/Tabela3[[#This Row],[Patrimônio Líquido]],0)</f>
        <v>0</v>
      </c>
      <c r="Y491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91" s="7">
        <f>Tabela3[[#This Row],[Capital Social]]*20%</f>
        <v>2594367.7980000004</v>
      </c>
      <c r="AA491" s="47">
        <f>IF((Tabela3[Lucro Líquido]*5%)&gt;Tabela3[Teto R. Legal],Tabela3[Teto R. Legal],Tabela3[Lucro Líquido]*5%)</f>
        <v>-3356950</v>
      </c>
      <c r="AB491" s="47">
        <f>IF(Tabela3[Lucro Líquido]&lt;0,0,Tabela3[Lucro Líquido]-Tabela3[Reserva Legal])</f>
        <v>0</v>
      </c>
      <c r="AC491" s="47">
        <f>Tabela3[[#This Row],[Lucro Distribuir]]*Tabela3[%Div]</f>
        <v>0</v>
      </c>
      <c r="AD491" s="56">
        <f>SUMPRODUCT(N(Tabela3[Nome]=Tabela3[[#This Row],[Nome]]),Tabela3[Ações])</f>
        <v>99305085</v>
      </c>
      <c r="AE491" s="85">
        <f>Tabela3[Capital Social]/Tabela3[Total Ações]</f>
        <v>0.13062613047458749</v>
      </c>
      <c r="AF491" s="85">
        <f>Tabela3[[#This Row],[Lucro Líquido]]/Tabela3[[#This Row],[Total Ações]]</f>
        <v>-0.67608823858315015</v>
      </c>
      <c r="AG491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91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91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91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91" s="7">
        <f>Tabela3[Div Base]*Tabela3[Ações]</f>
        <v>0</v>
      </c>
      <c r="AL491" s="121">
        <f>SUMPRODUCT(N(Tabela3[Nome]=Tabela3[[#This Row],[Nome]]),Tabela3[Div Base]*Tabela3[Ações])</f>
        <v>0</v>
      </c>
      <c r="AM491" s="5">
        <f>Tabela3[Patrimônio Líquido]/Tabela3[Total Ações]</f>
        <v>5.3380952244288397E-2</v>
      </c>
      <c r="AN491" s="52">
        <f>MAX(Tabela3[[#This Row],[Cotação 1]:[Cotação 5]])</f>
        <v>0.08</v>
      </c>
      <c r="AO491" s="53">
        <f>Tabela3[Cotação]/Tabela3[VPA]</f>
        <v>1.4986619128466327</v>
      </c>
      <c r="AP491" s="37">
        <f>IF(Tabela3[[#This Row],[Lucro/Ação]]&gt;0,Tabela3[[#This Row],[Cotação]]/(Tabela3[[#This Row],[Lucro/Ação]]/Tabela3[Ref]*4),0)</f>
        <v>0</v>
      </c>
      <c r="AQ491" s="85">
        <f>Tabela3[Lucro Distribuir]/Tabela3[Total Ações]</f>
        <v>0</v>
      </c>
      <c r="AR491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91" s="10" t="str">
        <f>IF(AND(Tabela3[% A.A.]&gt;=6%,SUMPRODUCT(N(Tabela3[Nome]=Tabela3[[#This Row],[Nome]]),Tabela3[PL])&gt;0,Tabela3[Rentabilidade s/ PL]&gt;=Tabela3[Rentabilidade s/ PL Média]),"Sim","Não")</f>
        <v>Não</v>
      </c>
      <c r="AT491" s="22">
        <f>IF(Tabela3[Cotação]&gt;0,Tabela3[[#This Row],[Lucro]]/Tabela3[[#This Row],[Cotação]],0)</f>
        <v>0</v>
      </c>
      <c r="AU491" s="22">
        <f>((1+Tabela3[[#This Row],[% Yield]])^(1/(3*Tabela3[[#This Row],[Ref]])))^(12)-1</f>
        <v>0</v>
      </c>
      <c r="AV491" s="10">
        <f>IF(Tabela3[Cotação]&gt;0,($BD$1/Tabela3[[#This Row],[Cotação]]-MOD($BD$1/Tabela3[[#This Row],[Cotação]],100)),)</f>
        <v>0</v>
      </c>
      <c r="AW491" s="7">
        <f>Tabela3[[#This Row],[Ativos]]*Tabela3[Lucro]</f>
        <v>0</v>
      </c>
      <c r="AX491" s="7">
        <f>SUMPRODUCT(N(Tabela1[Código]=Tabela3[[#This Row],[PAPEL]]),Tabela1[Fechamento])</f>
        <v>0</v>
      </c>
      <c r="AY491" s="7">
        <f>SUMPRODUCT(N(Tabela17[Código]=Tabela3[[#This Row],[PAPEL]]),Tabela17[Fechamento])</f>
        <v>0</v>
      </c>
      <c r="AZ491" s="7">
        <f>SUMPRODUCT(N(Tabela176[Código]=Tabela3[[#This Row],[PAPEL]]),Tabela176[Fechamento])</f>
        <v>0</v>
      </c>
      <c r="BA491" s="7">
        <f>SUMPRODUCT(N(Tabela1768[Código]=Tabela3[[#This Row],[PAPEL]]),Tabela1768[Fechamento])</f>
        <v>0</v>
      </c>
      <c r="BB491" s="7">
        <f>SUMPRODUCT(N(Tabela17683[Código]=Tabela3[[#This Row],[PAPEL]]),Tabela17683[Fechamento])</f>
        <v>0.08</v>
      </c>
    </row>
    <row r="492" spans="1:54" hidden="1" x14ac:dyDescent="0.2">
      <c r="A492" s="3" t="s">
        <v>1425</v>
      </c>
      <c r="B492" s="127" t="s">
        <v>1416</v>
      </c>
      <c r="C492" s="16" t="str">
        <f>LEFT(Tabela3[PAPEL],LEN(Tabela3[PAPEL])-(LEN(Tabela3[PAPEL])-4))</f>
        <v>TCNO</v>
      </c>
      <c r="D492" s="16">
        <v>3</v>
      </c>
      <c r="E492" s="5">
        <v>12971838.99</v>
      </c>
      <c r="F492" s="56">
        <v>64000000</v>
      </c>
      <c r="G492" s="81">
        <v>0.25</v>
      </c>
      <c r="H492" s="87"/>
      <c r="J492" s="18"/>
      <c r="K492" s="16"/>
      <c r="L492" s="87"/>
      <c r="M492" s="54"/>
      <c r="N492" s="54"/>
      <c r="O492" s="54"/>
      <c r="P492" s="91">
        <v>5301000</v>
      </c>
      <c r="Q492" s="73">
        <v>-67139000</v>
      </c>
      <c r="R492" s="73">
        <f>IF(Tabela3[[#This Row],[Ativo || Passivo]]&gt;0,Tabela3[[#This Row],[Ativo || Passivo]]-Tabela3[[#This Row],[Patrimônio Líquido]],0)</f>
        <v>0</v>
      </c>
      <c r="S492" s="73">
        <f>Tabela3[[#This Row],[Cotação]]*Tabela3[[#This Row],[Total Ações]]</f>
        <v>5958305.0999999996</v>
      </c>
      <c r="T492" s="37">
        <f>IF(Tabela3[[#This Row],[Passivo Circulante]]&gt;0,Tabela3[[#This Row],[Ativo Circulante]]/Tabela3[[#This Row],[Passivo Circulante]],0)</f>
        <v>0</v>
      </c>
      <c r="U492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92" s="18">
        <f>IF(Tabela3[[#This Row],[Lucro Líquido]]&gt;0,Tabela3[[#This Row],[Lucro Líquido]]/Tabela3[[#This Row],[Patrimônio Líquido]],0)</f>
        <v>0</v>
      </c>
      <c r="W492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92" s="18">
        <f>IF(Tabela3[[#This Row],[Dívida]]&gt;0,Tabela3[[#This Row],[Dívida]]/Tabela3[[#This Row],[Patrimônio Líquido]],0)</f>
        <v>0</v>
      </c>
      <c r="Y492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92" s="7">
        <f>Tabela3[[#This Row],[Capital Social]]*20%</f>
        <v>2594367.7980000004</v>
      </c>
      <c r="AA492" s="47">
        <f>IF((Tabela3[Lucro Líquido]*5%)&gt;Tabela3[Teto R. Legal],Tabela3[Teto R. Legal],Tabela3[Lucro Líquido]*5%)</f>
        <v>-3356950</v>
      </c>
      <c r="AB492" s="47">
        <f>IF(Tabela3[Lucro Líquido]&lt;0,0,Tabela3[Lucro Líquido]-Tabela3[Reserva Legal])</f>
        <v>0</v>
      </c>
      <c r="AC492" s="47">
        <f>Tabela3[[#This Row],[Lucro Distribuir]]*Tabela3[%Div]</f>
        <v>0</v>
      </c>
      <c r="AD492" s="56">
        <f>SUMPRODUCT(N(Tabela3[Nome]=Tabela3[[#This Row],[Nome]]),Tabela3[Ações])</f>
        <v>99305085</v>
      </c>
      <c r="AE492" s="85">
        <f>Tabela3[Capital Social]/Tabela3[Total Ações]</f>
        <v>0.13062613047458749</v>
      </c>
      <c r="AF492" s="85">
        <f>Tabela3[[#This Row],[Lucro Líquido]]/Tabela3[[#This Row],[Total Ações]]</f>
        <v>-0.67608823858315015</v>
      </c>
      <c r="AG492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92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92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92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92" s="7">
        <f>Tabela3[Div Base]*Tabela3[Ações]</f>
        <v>0</v>
      </c>
      <c r="AL492" s="121">
        <f>SUMPRODUCT(N(Tabela3[Nome]=Tabela3[[#This Row],[Nome]]),Tabela3[Div Base]*Tabela3[Ações])</f>
        <v>0</v>
      </c>
      <c r="AM492" s="5">
        <f>Tabela3[Patrimônio Líquido]/Tabela3[Total Ações]</f>
        <v>5.3380952244288397E-2</v>
      </c>
      <c r="AN492" s="52">
        <f>MAX(Tabela3[[#This Row],[Cotação 1]:[Cotação 5]])</f>
        <v>0.06</v>
      </c>
      <c r="AO492" s="53">
        <f>Tabela3[Cotação]/Tabela3[VPA]</f>
        <v>1.1239964346349745</v>
      </c>
      <c r="AP492" s="37">
        <f>IF(Tabela3[[#This Row],[Lucro/Ação]]&gt;0,Tabela3[[#This Row],[Cotação]]/(Tabela3[[#This Row],[Lucro/Ação]]/Tabela3[Ref]*4),0)</f>
        <v>0</v>
      </c>
      <c r="AQ492" s="85">
        <f>Tabela3[Lucro Distribuir]/Tabela3[Total Ações]</f>
        <v>0</v>
      </c>
      <c r="AR492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92" s="10" t="str">
        <f>IF(AND(Tabela3[% A.A.]&gt;=6%,SUMPRODUCT(N(Tabela3[Nome]=Tabela3[[#This Row],[Nome]]),Tabela3[PL])&gt;0,Tabela3[Rentabilidade s/ PL]&gt;=Tabela3[Rentabilidade s/ PL Média]),"Sim","Não")</f>
        <v>Não</v>
      </c>
      <c r="AT492" s="22">
        <f>IF(Tabela3[Cotação]&gt;0,Tabela3[[#This Row],[Lucro]]/Tabela3[[#This Row],[Cotação]],0)</f>
        <v>0</v>
      </c>
      <c r="AU492" s="22">
        <f>((1+Tabela3[[#This Row],[% Yield]])^(1/(3*Tabela3[[#This Row],[Ref]])))^(12)-1</f>
        <v>0</v>
      </c>
      <c r="AV492" s="10">
        <f>IF(Tabela3[Cotação]&gt;0,($BD$1/Tabela3[[#This Row],[Cotação]]-MOD($BD$1/Tabela3[[#This Row],[Cotação]],100)),)</f>
        <v>0</v>
      </c>
      <c r="AW492" s="7">
        <f>Tabela3[[#This Row],[Ativos]]*Tabela3[Lucro]</f>
        <v>0</v>
      </c>
      <c r="AX492" s="7">
        <f>SUMPRODUCT(N(Tabela1[Código]=Tabela3[[#This Row],[PAPEL]]),Tabela1[Fechamento])</f>
        <v>0</v>
      </c>
      <c r="AY492" s="7">
        <f>SUMPRODUCT(N(Tabela17[Código]=Tabela3[[#This Row],[PAPEL]]),Tabela17[Fechamento])</f>
        <v>0</v>
      </c>
      <c r="AZ492" s="7">
        <f>SUMPRODUCT(N(Tabela176[Código]=Tabela3[[#This Row],[PAPEL]]),Tabela176[Fechamento])</f>
        <v>0</v>
      </c>
      <c r="BA492" s="7">
        <f>SUMPRODUCT(N(Tabela1768[Código]=Tabela3[[#This Row],[PAPEL]]),Tabela1768[Fechamento])</f>
        <v>0</v>
      </c>
      <c r="BB492" s="7">
        <f>SUMPRODUCT(N(Tabela17683[Código]=Tabela3[[#This Row],[PAPEL]]),Tabela17683[Fechamento])</f>
        <v>0.06</v>
      </c>
    </row>
    <row r="493" spans="1:54" hidden="1" x14ac:dyDescent="0.2">
      <c r="A493" s="4" t="s">
        <v>583</v>
      </c>
      <c r="B493" s="57" t="s">
        <v>585</v>
      </c>
      <c r="C493" s="15" t="str">
        <f>LEFT(Tabela3[PAPEL],LEN(Tabela3[PAPEL])-(LEN(Tabela3[PAPEL])-4))</f>
        <v>TELB</v>
      </c>
      <c r="D493" s="15">
        <v>3</v>
      </c>
      <c r="E493" s="6">
        <v>263145011.81999999</v>
      </c>
      <c r="F493" s="8">
        <v>97439719</v>
      </c>
      <c r="G493" s="86">
        <v>0.25</v>
      </c>
      <c r="H493" s="15"/>
      <c r="I493" s="19"/>
      <c r="J493" s="19"/>
      <c r="K493" s="88"/>
      <c r="L493" s="88"/>
      <c r="M493" s="55"/>
      <c r="N493" s="55"/>
      <c r="O493" s="55"/>
      <c r="P493" s="92">
        <v>133454000</v>
      </c>
      <c r="Q493" s="93">
        <v>-128852000</v>
      </c>
      <c r="R493" s="93">
        <f>IF(Tabela3[[#This Row],[Ativo || Passivo]]&gt;0,Tabela3[[#This Row],[Ativo || Passivo]]-Tabela3[[#This Row],[Patrimônio Líquido]],0)</f>
        <v>0</v>
      </c>
      <c r="S493" s="93">
        <f>Tabela3[[#This Row],[Cotação]]*Tabela3[[#This Row],[Total Ações]]</f>
        <v>509303687.39999998</v>
      </c>
      <c r="T493" s="40">
        <f>IF(Tabela3[[#This Row],[Passivo Circulante]]&gt;0,Tabela3[[#This Row],[Ativo Circulante]]/Tabela3[[#This Row],[Passivo Circulante]],0)</f>
        <v>0</v>
      </c>
      <c r="U493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93" s="19">
        <f>IF(Tabela3[[#This Row],[Lucro Líquido]]&gt;0,Tabela3[[#This Row],[Lucro Líquido]]/Tabela3[[#This Row],[Patrimônio Líquido]],0)</f>
        <v>0</v>
      </c>
      <c r="W493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93" s="19">
        <f>IF(Tabela3[[#This Row],[Dívida]]&gt;0,Tabela3[[#This Row],[Dívida]]/Tabela3[[#This Row],[Patrimônio Líquido]],0)</f>
        <v>0</v>
      </c>
      <c r="Y493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93" s="13">
        <f>Tabela3[[#This Row],[Capital Social]]*20%</f>
        <v>52629002.364</v>
      </c>
      <c r="AA493" s="13">
        <f>IF((Tabela3[Lucro Líquido]*5%)&gt;Tabela3[Teto R. Legal],Tabela3[Teto R. Legal],Tabela3[Lucro Líquido]*5%)</f>
        <v>-6442600</v>
      </c>
      <c r="AB493" s="13">
        <f>IF(Tabela3[Lucro Líquido]&lt;0,0,Tabela3[Lucro Líquido]-Tabela3[Reserva Legal])</f>
        <v>0</v>
      </c>
      <c r="AC493" s="13">
        <f>Tabela3[[#This Row],[Lucro Distribuir]]*Tabela3[%Div]</f>
        <v>0</v>
      </c>
      <c r="AD493" s="56">
        <f>SUMPRODUCT(N(Tabela3[Nome]=Tabela3[[#This Row],[Nome]]),Tabela3[Ações])</f>
        <v>118442718</v>
      </c>
      <c r="AE493" s="6">
        <f>Tabela3[Capital Social]/Tabela3[Total Ações]</f>
        <v>2.2217069674135645</v>
      </c>
      <c r="AF493" s="78">
        <f>Tabela3[[#This Row],[Lucro Líquido]]/Tabela3[[#This Row],[Total Ações]]</f>
        <v>-1.087884524905955</v>
      </c>
      <c r="AG493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93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93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93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93" s="13">
        <f>Tabela3[Div Base]*Tabela3[Ações]</f>
        <v>0</v>
      </c>
      <c r="AL493" s="13">
        <f>SUMPRODUCT(N(Tabela3[Nome]=Tabela3[[#This Row],[Nome]]),Tabela3[Div Base]*Tabela3[Ações])</f>
        <v>0</v>
      </c>
      <c r="AM493" s="6">
        <f>Tabela3[Patrimônio Líquido]/Tabela3[Total Ações]</f>
        <v>1.126738749781139</v>
      </c>
      <c r="AN493" s="48">
        <f>MAX(Tabela3[[#This Row],[Cotação 1]:[Cotação 5]])</f>
        <v>4.3</v>
      </c>
      <c r="AO493" s="44">
        <f>Tabela3[Cotação]/Tabela3[VPA]</f>
        <v>3.81632388238644</v>
      </c>
      <c r="AP493" s="40">
        <f>IF(Tabela3[[#This Row],[Lucro/Ação]]&gt;0,Tabela3[[#This Row],[Cotação]]/(Tabela3[[#This Row],[Lucro/Ação]]/Tabela3[Ref]*4),0)</f>
        <v>0</v>
      </c>
      <c r="AQ493" s="78">
        <f>Tabela3[Lucro Distribuir]/Tabela3[Total Ações]</f>
        <v>0</v>
      </c>
      <c r="AR493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93" s="14" t="str">
        <f>IF(AND(Tabela3[% A.A.]&gt;=6%,SUMPRODUCT(N(Tabela3[Nome]=Tabela3[[#This Row],[Nome]]),Tabela3[PL])&gt;0,Tabela3[Rentabilidade s/ PL]&gt;=Tabela3[Rentabilidade s/ PL Média]),"Sim","Não")</f>
        <v>Não</v>
      </c>
      <c r="AT493" s="42">
        <f>IF(Tabela3[Cotação]&gt;0,Tabela3[[#This Row],[Lucro]]/Tabela3[[#This Row],[Cotação]],0)</f>
        <v>0</v>
      </c>
      <c r="AU493" s="42">
        <f>((1+Tabela3[[#This Row],[% Yield]])^(1/(3*Tabela3[[#This Row],[Ref]])))^(12)-1</f>
        <v>0</v>
      </c>
      <c r="AV493" s="14">
        <f>IF(Tabela3[Cotação]&gt;0,($BD$1/Tabela3[[#This Row],[Cotação]]-MOD($BD$1/Tabela3[[#This Row],[Cotação]],100)),)</f>
        <v>0</v>
      </c>
      <c r="AW493" s="17">
        <f>Tabela3[[#This Row],[Ativos]]*Tabela3[Lucro]</f>
        <v>0</v>
      </c>
      <c r="AX493" s="17">
        <f>SUMPRODUCT(N(Tabela1[Código]=Tabela3[[#This Row],[PAPEL]]),Tabela1[Fechamento])</f>
        <v>0</v>
      </c>
      <c r="AY493" s="17">
        <f>SUMPRODUCT(N(Tabela17[Código]=Tabela3[[#This Row],[PAPEL]]),Tabela17[Fechamento])</f>
        <v>0</v>
      </c>
      <c r="AZ493" s="17">
        <f>SUMPRODUCT(N(Tabela176[Código]=Tabela3[[#This Row],[PAPEL]]),Tabela176[Fechamento])</f>
        <v>4.3</v>
      </c>
      <c r="BA493" s="17">
        <f>SUMPRODUCT(N(Tabela1768[Código]=Tabela3[[#This Row],[PAPEL]]),Tabela1768[Fechamento])</f>
        <v>0</v>
      </c>
      <c r="BB493" s="7">
        <f>SUMPRODUCT(N(Tabela17683[Código]=Tabela3[[#This Row],[PAPEL]]),Tabela17683[Fechamento])</f>
        <v>0</v>
      </c>
    </row>
    <row r="494" spans="1:54" hidden="1" x14ac:dyDescent="0.2">
      <c r="A494" s="4" t="s">
        <v>583</v>
      </c>
      <c r="B494" s="57" t="s">
        <v>586</v>
      </c>
      <c r="C494" s="15" t="str">
        <f>LEFT(Tabela3[PAPEL],LEN(Tabela3[PAPEL])-(LEN(Tabela3[PAPEL])-4))</f>
        <v>TELB</v>
      </c>
      <c r="D494" s="15">
        <v>3</v>
      </c>
      <c r="E494" s="6">
        <v>263145011.81999999</v>
      </c>
      <c r="F494" s="8">
        <v>21002999</v>
      </c>
      <c r="G494" s="86">
        <v>0.25</v>
      </c>
      <c r="H494" s="15"/>
      <c r="I494" s="19">
        <v>0.06</v>
      </c>
      <c r="J494" s="19"/>
      <c r="K494" s="88"/>
      <c r="L494" s="88"/>
      <c r="M494" s="55"/>
      <c r="N494" s="55"/>
      <c r="O494" s="55"/>
      <c r="P494" s="92">
        <v>133454000</v>
      </c>
      <c r="Q494" s="93">
        <v>-128852000</v>
      </c>
      <c r="R494" s="93">
        <f>IF(Tabela3[[#This Row],[Ativo || Passivo]]&gt;0,Tabela3[[#This Row],[Ativo || Passivo]]-Tabela3[[#This Row],[Patrimônio Líquido]],0)</f>
        <v>0</v>
      </c>
      <c r="S494" s="93">
        <f>Tabela3[[#This Row],[Cotação]]*Tabela3[[#This Row],[Total Ações]]</f>
        <v>313873202.69999999</v>
      </c>
      <c r="T494" s="40">
        <f>IF(Tabela3[[#This Row],[Passivo Circulante]]&gt;0,Tabela3[[#This Row],[Ativo Circulante]]/Tabela3[[#This Row],[Passivo Circulante]],0)</f>
        <v>0</v>
      </c>
      <c r="U494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94" s="19">
        <f>IF(Tabela3[[#This Row],[Lucro Líquido]]&gt;0,Tabela3[[#This Row],[Lucro Líquido]]/Tabela3[[#This Row],[Patrimônio Líquido]],0)</f>
        <v>0</v>
      </c>
      <c r="W494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94" s="19">
        <f>IF(Tabela3[[#This Row],[Dívida]]&gt;0,Tabela3[[#This Row],[Dívida]]/Tabela3[[#This Row],[Patrimônio Líquido]],0)</f>
        <v>0</v>
      </c>
      <c r="Y494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94" s="13">
        <f>Tabela3[[#This Row],[Capital Social]]*20%</f>
        <v>52629002.364</v>
      </c>
      <c r="AA494" s="13">
        <f>IF((Tabela3[Lucro Líquido]*5%)&gt;Tabela3[Teto R. Legal],Tabela3[Teto R. Legal],Tabela3[Lucro Líquido]*5%)</f>
        <v>-6442600</v>
      </c>
      <c r="AB494" s="13">
        <f>IF(Tabela3[Lucro Líquido]&lt;0,0,Tabela3[Lucro Líquido]-Tabela3[Reserva Legal])</f>
        <v>0</v>
      </c>
      <c r="AC494" s="13">
        <f>Tabela3[[#This Row],[Lucro Distribuir]]*Tabela3[%Div]</f>
        <v>0</v>
      </c>
      <c r="AD494" s="56">
        <f>SUMPRODUCT(N(Tabela3[Nome]=Tabela3[[#This Row],[Nome]]),Tabela3[Ações])</f>
        <v>118442718</v>
      </c>
      <c r="AE494" s="6">
        <f>Tabela3[Capital Social]/Tabela3[Total Ações]</f>
        <v>2.2217069674135645</v>
      </c>
      <c r="AF494" s="78">
        <f>Tabela3[[#This Row],[Lucro Líquido]]/Tabela3[[#This Row],[Total Ações]]</f>
        <v>-1.087884524905955</v>
      </c>
      <c r="AG494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94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94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94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94" s="13">
        <f>Tabela3[Div Base]*Tabela3[Ações]</f>
        <v>0</v>
      </c>
      <c r="AL494" s="13">
        <f>SUMPRODUCT(N(Tabela3[Nome]=Tabela3[[#This Row],[Nome]]),Tabela3[Div Base]*Tabela3[Ações])</f>
        <v>0</v>
      </c>
      <c r="AM494" s="6">
        <f>Tabela3[Patrimônio Líquido]/Tabela3[Total Ações]</f>
        <v>1.126738749781139</v>
      </c>
      <c r="AN494" s="48">
        <f>MAX(Tabela3[[#This Row],[Cotação 1]:[Cotação 5]])</f>
        <v>2.65</v>
      </c>
      <c r="AO494" s="44">
        <f>Tabela3[Cotação]/Tabela3[VPA]</f>
        <v>2.3519205321683874</v>
      </c>
      <c r="AP494" s="40">
        <f>IF(Tabela3[[#This Row],[Lucro/Ação]]&gt;0,Tabela3[[#This Row],[Cotação]]/(Tabela3[[#This Row],[Lucro/Ação]]/Tabela3[Ref]*4),0)</f>
        <v>0</v>
      </c>
      <c r="AQ494" s="78">
        <f>Tabela3[Lucro Distribuir]/Tabela3[Total Ações]</f>
        <v>0</v>
      </c>
      <c r="AR494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94" s="14" t="str">
        <f>IF(AND(Tabela3[% A.A.]&gt;=6%,SUMPRODUCT(N(Tabela3[Nome]=Tabela3[[#This Row],[Nome]]),Tabela3[PL])&gt;0,Tabela3[Rentabilidade s/ PL]&gt;=Tabela3[Rentabilidade s/ PL Média]),"Sim","Não")</f>
        <v>Não</v>
      </c>
      <c r="AT494" s="42">
        <f>IF(Tabela3[Cotação]&gt;0,Tabela3[[#This Row],[Lucro]]/Tabela3[[#This Row],[Cotação]],0)</f>
        <v>0</v>
      </c>
      <c r="AU494" s="42">
        <f>((1+Tabela3[[#This Row],[% Yield]])^(1/(3*Tabela3[[#This Row],[Ref]])))^(12)-1</f>
        <v>0</v>
      </c>
      <c r="AV494" s="14">
        <f>IF(Tabela3[Cotação]&gt;0,($BD$1/Tabela3[[#This Row],[Cotação]]-MOD($BD$1/Tabela3[[#This Row],[Cotação]],100)),)</f>
        <v>0</v>
      </c>
      <c r="AW494" s="17">
        <f>Tabela3[[#This Row],[Ativos]]*Tabela3[Lucro]</f>
        <v>0</v>
      </c>
      <c r="AX494" s="17">
        <f>SUMPRODUCT(N(Tabela1[Código]=Tabela3[[#This Row],[PAPEL]]),Tabela1[Fechamento])</f>
        <v>0</v>
      </c>
      <c r="AY494" s="17">
        <f>SUMPRODUCT(N(Tabela17[Código]=Tabela3[[#This Row],[PAPEL]]),Tabela17[Fechamento])</f>
        <v>0</v>
      </c>
      <c r="AZ494" s="17">
        <f>SUMPRODUCT(N(Tabela176[Código]=Tabela3[[#This Row],[PAPEL]]),Tabela176[Fechamento])</f>
        <v>2.65</v>
      </c>
      <c r="BA494" s="17">
        <f>SUMPRODUCT(N(Tabela1768[Código]=Tabela3[[#This Row],[PAPEL]]),Tabela1768[Fechamento])</f>
        <v>0</v>
      </c>
      <c r="BB494" s="7">
        <f>SUMPRODUCT(N(Tabela17683[Código]=Tabela3[[#This Row],[PAPEL]]),Tabela17683[Fechamento])</f>
        <v>0</v>
      </c>
    </row>
    <row r="495" spans="1:54" hidden="1" x14ac:dyDescent="0.2">
      <c r="A495" s="3" t="s">
        <v>935</v>
      </c>
      <c r="B495" s="58" t="s">
        <v>1134</v>
      </c>
      <c r="C495" s="16" t="str">
        <f>LEFT(Tabela3[PAPEL],LEN(Tabela3[PAPEL])-(LEN(Tabela3[PAPEL])-4))</f>
        <v>TENE</v>
      </c>
      <c r="D495" s="16">
        <v>3</v>
      </c>
      <c r="E495" s="5">
        <v>44070179.950000003</v>
      </c>
      <c r="F495" s="56">
        <v>180894</v>
      </c>
      <c r="G495" s="81">
        <v>0.25</v>
      </c>
      <c r="H495" s="87"/>
      <c r="J495" s="18"/>
      <c r="K495" s="16"/>
      <c r="L495" s="87"/>
      <c r="M495" s="54"/>
      <c r="N495" s="54"/>
      <c r="O495" s="54"/>
      <c r="P495" s="91">
        <v>-37945000</v>
      </c>
      <c r="Q495" s="73">
        <v>-3753000</v>
      </c>
      <c r="R495" s="73">
        <f>IF(Tabela3[[#This Row],[Ativo || Passivo]]&gt;0,Tabela3[[#This Row],[Ativo || Passivo]]-Tabela3[[#This Row],[Patrimônio Líquido]],0)</f>
        <v>0</v>
      </c>
      <c r="S495" s="73">
        <f>Tabela3[[#This Row],[Cotação]]*Tabela3[[#This Row],[Total Ações]]</f>
        <v>0</v>
      </c>
      <c r="T495" s="37">
        <f>IF(Tabela3[[#This Row],[Passivo Circulante]]&gt;0,Tabela3[[#This Row],[Ativo Circulante]]/Tabela3[[#This Row],[Passivo Circulante]],0)</f>
        <v>0</v>
      </c>
      <c r="U495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95" s="18">
        <f>IF(Tabela3[[#This Row],[Lucro Líquido]]&gt;0,Tabela3[[#This Row],[Lucro Líquido]]/Tabela3[[#This Row],[Patrimônio Líquido]],0)</f>
        <v>0</v>
      </c>
      <c r="W495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95" s="18">
        <f>IF(Tabela3[[#This Row],[Dívida]]&gt;0,Tabela3[[#This Row],[Dívida]]/Tabela3[[#This Row],[Patrimônio Líquido]],0)</f>
        <v>0</v>
      </c>
      <c r="Y495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95" s="7">
        <f>Tabela3[[#This Row],[Capital Social]]*20%</f>
        <v>8814035.9900000002</v>
      </c>
      <c r="AA495" s="47">
        <f>IF((Tabela3[Lucro Líquido]*5%)&gt;Tabela3[Teto R. Legal],Tabela3[Teto R. Legal],Tabela3[Lucro Líquido]*5%)</f>
        <v>-187650</v>
      </c>
      <c r="AB495" s="47">
        <f>IF(Tabela3[Lucro Líquido]&lt;0,0,Tabela3[Lucro Líquido]-Tabela3[Reserva Legal])</f>
        <v>0</v>
      </c>
      <c r="AC495" s="47">
        <f>Tabela3[[#This Row],[Lucro Distribuir]]*Tabela3[%Div]</f>
        <v>0</v>
      </c>
      <c r="AD495" s="56">
        <f>SUMPRODUCT(N(Tabela3[Nome]=Tabela3[[#This Row],[Nome]]),Tabela3[Ações])</f>
        <v>1206791</v>
      </c>
      <c r="AE495" s="85">
        <f>Tabela3[Capital Social]/Tabela3[Total Ações]</f>
        <v>36.518485760997557</v>
      </c>
      <c r="AF495" s="85">
        <f>Tabela3[[#This Row],[Lucro Líquido]]/Tabela3[[#This Row],[Total Ações]]</f>
        <v>-3.1099005544456331</v>
      </c>
      <c r="AG495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95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95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95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95" s="7">
        <f>Tabela3[Div Base]*Tabela3[Ações]</f>
        <v>0</v>
      </c>
      <c r="AL495" s="7">
        <f>SUMPRODUCT(N(Tabela3[Nome]=Tabela3[[#This Row],[Nome]]),Tabela3[Div Base]*Tabela3[Ações])</f>
        <v>0</v>
      </c>
      <c r="AM495" s="5">
        <f>Tabela3[Patrimônio Líquido]/Tabela3[Total Ações]</f>
        <v>-31.442892762707046</v>
      </c>
      <c r="AN495" s="52">
        <f>MAX(Tabela3[[#This Row],[Cotação 1]:[Cotação 5]])</f>
        <v>0</v>
      </c>
      <c r="AO495" s="53">
        <f>Tabela3[Cotação]/Tabela3[VPA]</f>
        <v>0</v>
      </c>
      <c r="AP495" s="37">
        <f>IF(Tabela3[[#This Row],[Lucro/Ação]]&gt;0,Tabela3[[#This Row],[Cotação]]/(Tabela3[[#This Row],[Lucro/Ação]]/Tabela3[Ref]*4),0)</f>
        <v>0</v>
      </c>
      <c r="AQ495" s="85">
        <f>Tabela3[Lucro Distribuir]/Tabela3[Total Ações]</f>
        <v>0</v>
      </c>
      <c r="AR495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95" s="10" t="str">
        <f>IF(AND(Tabela3[% A.A.]&gt;=6%,SUMPRODUCT(N(Tabela3[Nome]=Tabela3[[#This Row],[Nome]]),Tabela3[PL])&gt;0,Tabela3[Rentabilidade s/ PL]&gt;=Tabela3[Rentabilidade s/ PL Média]),"Sim","Não")</f>
        <v>Não</v>
      </c>
      <c r="AT495" s="22">
        <f>IF(Tabela3[Cotação]&gt;0,Tabela3[[#This Row],[Lucro]]/Tabela3[[#This Row],[Cotação]],0)</f>
        <v>0</v>
      </c>
      <c r="AU495" s="22">
        <f>((1+Tabela3[[#This Row],[% Yield]])^(1/(3*Tabela3[[#This Row],[Ref]])))^(12)-1</f>
        <v>0</v>
      </c>
      <c r="AV495" s="10">
        <f>IF(Tabela3[Cotação]&gt;0,($BD$1/Tabela3[[#This Row],[Cotação]]-MOD($BD$1/Tabela3[[#This Row],[Cotação]],100)),)</f>
        <v>0</v>
      </c>
      <c r="AW495" s="7">
        <f>Tabela3[[#This Row],[Ativos]]*Tabela3[Lucro]</f>
        <v>0</v>
      </c>
      <c r="AX495" s="7">
        <f>SUMPRODUCT(N(Tabela1[Código]=Tabela3[[#This Row],[PAPEL]]),Tabela1[Fechamento])</f>
        <v>0</v>
      </c>
      <c r="AY495" s="7">
        <f>SUMPRODUCT(N(Tabela17[Código]=Tabela3[[#This Row],[PAPEL]]),Tabela17[Fechamento])</f>
        <v>0</v>
      </c>
      <c r="AZ495" s="7">
        <f>SUMPRODUCT(N(Tabela176[Código]=Tabela3[[#This Row],[PAPEL]]),Tabela176[Fechamento])</f>
        <v>0</v>
      </c>
      <c r="BA495" s="7">
        <f>SUMPRODUCT(N(Tabela1768[Código]=Tabela3[[#This Row],[PAPEL]]),Tabela1768[Fechamento])</f>
        <v>0</v>
      </c>
      <c r="BB495" s="7">
        <f>SUMPRODUCT(N(Tabela17683[Código]=Tabela3[[#This Row],[PAPEL]]),Tabela17683[Fechamento])</f>
        <v>0</v>
      </c>
    </row>
    <row r="496" spans="1:54" hidden="1" x14ac:dyDescent="0.2">
      <c r="A496" s="3" t="s">
        <v>935</v>
      </c>
      <c r="B496" s="58" t="s">
        <v>1135</v>
      </c>
      <c r="C496" s="16" t="str">
        <f>LEFT(Tabela3[PAPEL],LEN(Tabela3[PAPEL])-(LEN(Tabela3[PAPEL])-4))</f>
        <v>TENE</v>
      </c>
      <c r="D496" s="16">
        <v>3</v>
      </c>
      <c r="E496" s="5">
        <v>44070179.950000003</v>
      </c>
      <c r="F496" s="56">
        <v>286075</v>
      </c>
      <c r="G496" s="81">
        <v>0.25</v>
      </c>
      <c r="H496" s="87"/>
      <c r="I496" s="18">
        <v>0.03</v>
      </c>
      <c r="J496" s="18"/>
      <c r="K496" s="16"/>
      <c r="L496" s="87"/>
      <c r="M496" s="54"/>
      <c r="N496" s="54"/>
      <c r="O496" s="54"/>
      <c r="P496" s="91">
        <v>-37945000</v>
      </c>
      <c r="Q496" s="73">
        <v>-3753000</v>
      </c>
      <c r="R496" s="73">
        <f>IF(Tabela3[[#This Row],[Ativo || Passivo]]&gt;0,Tabela3[[#This Row],[Ativo || Passivo]]-Tabela3[[#This Row],[Patrimônio Líquido]],0)</f>
        <v>0</v>
      </c>
      <c r="S496" s="73">
        <f>Tabela3[[#This Row],[Cotação]]*Tabela3[[#This Row],[Total Ações]]</f>
        <v>651667.14</v>
      </c>
      <c r="T496" s="37">
        <f>IF(Tabela3[[#This Row],[Passivo Circulante]]&gt;0,Tabela3[[#This Row],[Ativo Circulante]]/Tabela3[[#This Row],[Passivo Circulante]],0)</f>
        <v>0</v>
      </c>
      <c r="U496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96" s="18">
        <f>IF(Tabela3[[#This Row],[Lucro Líquido]]&gt;0,Tabela3[[#This Row],[Lucro Líquido]]/Tabela3[[#This Row],[Patrimônio Líquido]],0)</f>
        <v>0</v>
      </c>
      <c r="W496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96" s="18">
        <f>IF(Tabela3[[#This Row],[Dívida]]&gt;0,Tabela3[[#This Row],[Dívida]]/Tabela3[[#This Row],[Patrimônio Líquido]],0)</f>
        <v>0</v>
      </c>
      <c r="Y496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96" s="7">
        <f>Tabela3[[#This Row],[Capital Social]]*20%</f>
        <v>8814035.9900000002</v>
      </c>
      <c r="AA496" s="47">
        <f>IF((Tabela3[Lucro Líquido]*5%)&gt;Tabela3[Teto R. Legal],Tabela3[Teto R. Legal],Tabela3[Lucro Líquido]*5%)</f>
        <v>-187650</v>
      </c>
      <c r="AB496" s="47">
        <f>IF(Tabela3[Lucro Líquido]&lt;0,0,Tabela3[Lucro Líquido]-Tabela3[Reserva Legal])</f>
        <v>0</v>
      </c>
      <c r="AC496" s="47">
        <f>Tabela3[[#This Row],[Lucro Distribuir]]*Tabela3[%Div]</f>
        <v>0</v>
      </c>
      <c r="AD496" s="56">
        <f>SUMPRODUCT(N(Tabela3[Nome]=Tabela3[[#This Row],[Nome]]),Tabela3[Ações])</f>
        <v>1206791</v>
      </c>
      <c r="AE496" s="85">
        <f>Tabela3[Capital Social]/Tabela3[Total Ações]</f>
        <v>36.518485760997557</v>
      </c>
      <c r="AF496" s="85">
        <f>Tabela3[[#This Row],[Lucro Líquido]]/Tabela3[[#This Row],[Total Ações]]</f>
        <v>-3.1099005544456331</v>
      </c>
      <c r="AG496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96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96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96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96" s="7">
        <f>Tabela3[Div Base]*Tabela3[Ações]</f>
        <v>0</v>
      </c>
      <c r="AL496" s="7">
        <f>SUMPRODUCT(N(Tabela3[Nome]=Tabela3[[#This Row],[Nome]]),Tabela3[Div Base]*Tabela3[Ações])</f>
        <v>0</v>
      </c>
      <c r="AM496" s="5">
        <f>Tabela3[Patrimônio Líquido]/Tabela3[Total Ações]</f>
        <v>-31.442892762707046</v>
      </c>
      <c r="AN496" s="52">
        <f>MAX(Tabela3[[#This Row],[Cotação 1]:[Cotação 5]])</f>
        <v>0.54</v>
      </c>
      <c r="AO496" s="53">
        <f>Tabela3[Cotação]/Tabela3[VPA]</f>
        <v>-1.7173992357359336E-2</v>
      </c>
      <c r="AP496" s="37">
        <f>IF(Tabela3[[#This Row],[Lucro/Ação]]&gt;0,Tabela3[[#This Row],[Cotação]]/(Tabela3[[#This Row],[Lucro/Ação]]/Tabela3[Ref]*4),0)</f>
        <v>0</v>
      </c>
      <c r="AQ496" s="85">
        <f>Tabela3[Lucro Distribuir]/Tabela3[Total Ações]</f>
        <v>0</v>
      </c>
      <c r="AR496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96" s="10" t="str">
        <f>IF(AND(Tabela3[% A.A.]&gt;=6%,SUMPRODUCT(N(Tabela3[Nome]=Tabela3[[#This Row],[Nome]]),Tabela3[PL])&gt;0,Tabela3[Rentabilidade s/ PL]&gt;=Tabela3[Rentabilidade s/ PL Média]),"Sim","Não")</f>
        <v>Não</v>
      </c>
      <c r="AT496" s="22">
        <f>IF(Tabela3[Cotação]&gt;0,Tabela3[[#This Row],[Lucro]]/Tabela3[[#This Row],[Cotação]],0)</f>
        <v>0</v>
      </c>
      <c r="AU496" s="22">
        <f>((1+Tabela3[[#This Row],[% Yield]])^(1/(3*Tabela3[[#This Row],[Ref]])))^(12)-1</f>
        <v>0</v>
      </c>
      <c r="AV496" s="10">
        <f>IF(Tabela3[Cotação]&gt;0,($BD$1/Tabela3[[#This Row],[Cotação]]-MOD($BD$1/Tabela3[[#This Row],[Cotação]],100)),)</f>
        <v>0</v>
      </c>
      <c r="AW496" s="7">
        <f>Tabela3[[#This Row],[Ativos]]*Tabela3[Lucro]</f>
        <v>0</v>
      </c>
      <c r="AX496" s="7">
        <f>SUMPRODUCT(N(Tabela1[Código]=Tabela3[[#This Row],[PAPEL]]),Tabela1[Fechamento])</f>
        <v>0</v>
      </c>
      <c r="AY496" s="7">
        <f>SUMPRODUCT(N(Tabela17[Código]=Tabela3[[#This Row],[PAPEL]]),Tabela17[Fechamento])</f>
        <v>0</v>
      </c>
      <c r="AZ496" s="7">
        <f>SUMPRODUCT(N(Tabela176[Código]=Tabela3[[#This Row],[PAPEL]]),Tabela176[Fechamento])</f>
        <v>0</v>
      </c>
      <c r="BA496" s="7">
        <f>SUMPRODUCT(N(Tabela1768[Código]=Tabela3[[#This Row],[PAPEL]]),Tabela1768[Fechamento])</f>
        <v>0.54</v>
      </c>
      <c r="BB496" s="7">
        <f>SUMPRODUCT(N(Tabela17683[Código]=Tabela3[[#This Row],[PAPEL]]),Tabela17683[Fechamento])</f>
        <v>0</v>
      </c>
    </row>
    <row r="497" spans="1:54" hidden="1" x14ac:dyDescent="0.2">
      <c r="A497" s="3" t="s">
        <v>935</v>
      </c>
      <c r="B497" s="58" t="s">
        <v>1136</v>
      </c>
      <c r="C497" s="16" t="str">
        <f>LEFT(Tabela3[PAPEL],LEN(Tabela3[PAPEL])-(LEN(Tabela3[PAPEL])-4))</f>
        <v>TENE</v>
      </c>
      <c r="D497" s="16">
        <v>3</v>
      </c>
      <c r="E497" s="5">
        <v>44070179.950000003</v>
      </c>
      <c r="F497" s="56">
        <v>137</v>
      </c>
      <c r="G497" s="81">
        <v>0.25</v>
      </c>
      <c r="H497" s="87"/>
      <c r="I497" s="18">
        <v>0.03</v>
      </c>
      <c r="J497" s="18"/>
      <c r="K497" s="16"/>
      <c r="L497" s="87"/>
      <c r="M497" s="54"/>
      <c r="N497" s="54"/>
      <c r="O497" s="54"/>
      <c r="P497" s="91">
        <v>-37945000</v>
      </c>
      <c r="Q497" s="73">
        <v>-3753000</v>
      </c>
      <c r="R497" s="73">
        <f>IF(Tabela3[[#This Row],[Ativo || Passivo]]&gt;0,Tabela3[[#This Row],[Ativo || Passivo]]-Tabela3[[#This Row],[Patrimônio Líquido]],0)</f>
        <v>0</v>
      </c>
      <c r="S497" s="73">
        <f>Tabela3[[#This Row],[Cotação]]*Tabela3[[#This Row],[Total Ações]]</f>
        <v>0</v>
      </c>
      <c r="T497" s="37">
        <f>IF(Tabela3[[#This Row],[Passivo Circulante]]&gt;0,Tabela3[[#This Row],[Ativo Circulante]]/Tabela3[[#This Row],[Passivo Circulante]],0)</f>
        <v>0</v>
      </c>
      <c r="U497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97" s="18">
        <f>IF(Tabela3[[#This Row],[Lucro Líquido]]&gt;0,Tabela3[[#This Row],[Lucro Líquido]]/Tabela3[[#This Row],[Patrimônio Líquido]],0)</f>
        <v>0</v>
      </c>
      <c r="W497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97" s="18">
        <f>IF(Tabela3[[#This Row],[Dívida]]&gt;0,Tabela3[[#This Row],[Dívida]]/Tabela3[[#This Row],[Patrimônio Líquido]],0)</f>
        <v>0</v>
      </c>
      <c r="Y497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97" s="7">
        <f>Tabela3[[#This Row],[Capital Social]]*20%</f>
        <v>8814035.9900000002</v>
      </c>
      <c r="AA497" s="47">
        <f>IF((Tabela3[Lucro Líquido]*5%)&gt;Tabela3[Teto R. Legal],Tabela3[Teto R. Legal],Tabela3[Lucro Líquido]*5%)</f>
        <v>-187650</v>
      </c>
      <c r="AB497" s="47">
        <f>IF(Tabela3[Lucro Líquido]&lt;0,0,Tabela3[Lucro Líquido]-Tabela3[Reserva Legal])</f>
        <v>0</v>
      </c>
      <c r="AC497" s="47">
        <f>Tabela3[[#This Row],[Lucro Distribuir]]*Tabela3[%Div]</f>
        <v>0</v>
      </c>
      <c r="AD497" s="56">
        <f>SUMPRODUCT(N(Tabela3[Nome]=Tabela3[[#This Row],[Nome]]),Tabela3[Ações])</f>
        <v>1206791</v>
      </c>
      <c r="AE497" s="85">
        <f>Tabela3[Capital Social]/Tabela3[Total Ações]</f>
        <v>36.518485760997557</v>
      </c>
      <c r="AF497" s="85">
        <f>Tabela3[[#This Row],[Lucro Líquido]]/Tabela3[[#This Row],[Total Ações]]</f>
        <v>-3.1099005544456331</v>
      </c>
      <c r="AG497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97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97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97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97" s="7">
        <f>Tabela3[Div Base]*Tabela3[Ações]</f>
        <v>0</v>
      </c>
      <c r="AL497" s="7">
        <f>SUMPRODUCT(N(Tabela3[Nome]=Tabela3[[#This Row],[Nome]]),Tabela3[Div Base]*Tabela3[Ações])</f>
        <v>0</v>
      </c>
      <c r="AM497" s="5">
        <f>Tabela3[Patrimônio Líquido]/Tabela3[Total Ações]</f>
        <v>-31.442892762707046</v>
      </c>
      <c r="AN497" s="52">
        <f>MAX(Tabela3[[#This Row],[Cotação 1]:[Cotação 5]])</f>
        <v>0</v>
      </c>
      <c r="AO497" s="53">
        <f>Tabela3[Cotação]/Tabela3[VPA]</f>
        <v>0</v>
      </c>
      <c r="AP497" s="37">
        <f>IF(Tabela3[[#This Row],[Lucro/Ação]]&gt;0,Tabela3[[#This Row],[Cotação]]/(Tabela3[[#This Row],[Lucro/Ação]]/Tabela3[Ref]*4),0)</f>
        <v>0</v>
      </c>
      <c r="AQ497" s="85">
        <f>Tabela3[Lucro Distribuir]/Tabela3[Total Ações]</f>
        <v>0</v>
      </c>
      <c r="AR497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97" s="10" t="str">
        <f>IF(AND(Tabela3[% A.A.]&gt;=6%,SUMPRODUCT(N(Tabela3[Nome]=Tabela3[[#This Row],[Nome]]),Tabela3[PL])&gt;0,Tabela3[Rentabilidade s/ PL]&gt;=Tabela3[Rentabilidade s/ PL Média]),"Sim","Não")</f>
        <v>Não</v>
      </c>
      <c r="AT497" s="22">
        <f>IF(Tabela3[Cotação]&gt;0,Tabela3[[#This Row],[Lucro]]/Tabela3[[#This Row],[Cotação]],0)</f>
        <v>0</v>
      </c>
      <c r="AU497" s="22">
        <f>((1+Tabela3[[#This Row],[% Yield]])^(1/(3*Tabela3[[#This Row],[Ref]])))^(12)-1</f>
        <v>0</v>
      </c>
      <c r="AV497" s="10">
        <f>IF(Tabela3[Cotação]&gt;0,($BD$1/Tabela3[[#This Row],[Cotação]]-MOD($BD$1/Tabela3[[#This Row],[Cotação]],100)),)</f>
        <v>0</v>
      </c>
      <c r="AW497" s="7">
        <f>Tabela3[[#This Row],[Ativos]]*Tabela3[Lucro]</f>
        <v>0</v>
      </c>
      <c r="AX497" s="7">
        <f>SUMPRODUCT(N(Tabela1[Código]=Tabela3[[#This Row],[PAPEL]]),Tabela1[Fechamento])</f>
        <v>0</v>
      </c>
      <c r="AY497" s="7">
        <f>SUMPRODUCT(N(Tabela17[Código]=Tabela3[[#This Row],[PAPEL]]),Tabela17[Fechamento])</f>
        <v>0</v>
      </c>
      <c r="AZ497" s="7">
        <f>SUMPRODUCT(N(Tabela176[Código]=Tabela3[[#This Row],[PAPEL]]),Tabela176[Fechamento])</f>
        <v>0</v>
      </c>
      <c r="BA497" s="7">
        <f>SUMPRODUCT(N(Tabela1768[Código]=Tabela3[[#This Row],[PAPEL]]),Tabela1768[Fechamento])</f>
        <v>0</v>
      </c>
      <c r="BB497" s="7">
        <f>SUMPRODUCT(N(Tabela17683[Código]=Tabela3[[#This Row],[PAPEL]]),Tabela17683[Fechamento])</f>
        <v>0</v>
      </c>
    </row>
    <row r="498" spans="1:54" hidden="1" x14ac:dyDescent="0.2">
      <c r="A498" s="3" t="s">
        <v>935</v>
      </c>
      <c r="B498" s="58" t="s">
        <v>1137</v>
      </c>
      <c r="C498" s="16" t="str">
        <f>LEFT(Tabela3[PAPEL],LEN(Tabela3[PAPEL])-(LEN(Tabela3[PAPEL])-4))</f>
        <v>TENE</v>
      </c>
      <c r="D498" s="16">
        <v>3</v>
      </c>
      <c r="E498" s="5">
        <v>44070179.950000003</v>
      </c>
      <c r="F498" s="56">
        <v>739685</v>
      </c>
      <c r="G498" s="81">
        <v>0.25</v>
      </c>
      <c r="H498" s="87"/>
      <c r="I498" s="18">
        <v>0.03</v>
      </c>
      <c r="J498" s="18"/>
      <c r="K498" s="16"/>
      <c r="L498" s="87"/>
      <c r="M498" s="54"/>
      <c r="N498" s="54"/>
      <c r="O498" s="54"/>
      <c r="P498" s="91">
        <v>-37945000</v>
      </c>
      <c r="Q498" s="73">
        <v>-3753000</v>
      </c>
      <c r="R498" s="73">
        <f>IF(Tabela3[[#This Row],[Ativo || Passivo]]&gt;0,Tabela3[[#This Row],[Ativo || Passivo]]-Tabela3[[#This Row],[Patrimônio Líquido]],0)</f>
        <v>0</v>
      </c>
      <c r="S498" s="73">
        <f>Tabela3[[#This Row],[Cotação]]*Tabela3[[#This Row],[Total Ações]]</f>
        <v>941296.98</v>
      </c>
      <c r="T498" s="37">
        <f>IF(Tabela3[[#This Row],[Passivo Circulante]]&gt;0,Tabela3[[#This Row],[Ativo Circulante]]/Tabela3[[#This Row],[Passivo Circulante]],0)</f>
        <v>0</v>
      </c>
      <c r="U498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98" s="18">
        <f>IF(Tabela3[[#This Row],[Lucro Líquido]]&gt;0,Tabela3[[#This Row],[Lucro Líquido]]/Tabela3[[#This Row],[Patrimônio Líquido]],0)</f>
        <v>0</v>
      </c>
      <c r="W498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98" s="18">
        <f>IF(Tabela3[[#This Row],[Dívida]]&gt;0,Tabela3[[#This Row],[Dívida]]/Tabela3[[#This Row],[Patrimônio Líquido]],0)</f>
        <v>0</v>
      </c>
      <c r="Y498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98" s="7">
        <f>Tabela3[[#This Row],[Capital Social]]*20%</f>
        <v>8814035.9900000002</v>
      </c>
      <c r="AA498" s="47">
        <f>IF((Tabela3[Lucro Líquido]*5%)&gt;Tabela3[Teto R. Legal],Tabela3[Teto R. Legal],Tabela3[Lucro Líquido]*5%)</f>
        <v>-187650</v>
      </c>
      <c r="AB498" s="47">
        <f>IF(Tabela3[Lucro Líquido]&lt;0,0,Tabela3[Lucro Líquido]-Tabela3[Reserva Legal])</f>
        <v>0</v>
      </c>
      <c r="AC498" s="47">
        <f>Tabela3[[#This Row],[Lucro Distribuir]]*Tabela3[%Div]</f>
        <v>0</v>
      </c>
      <c r="AD498" s="56">
        <f>SUMPRODUCT(N(Tabela3[Nome]=Tabela3[[#This Row],[Nome]]),Tabela3[Ações])</f>
        <v>1206791</v>
      </c>
      <c r="AE498" s="85">
        <f>Tabela3[Capital Social]/Tabela3[Total Ações]</f>
        <v>36.518485760997557</v>
      </c>
      <c r="AF498" s="85">
        <f>Tabela3[[#This Row],[Lucro Líquido]]/Tabela3[[#This Row],[Total Ações]]</f>
        <v>-3.1099005544456331</v>
      </c>
      <c r="AG498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98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98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98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98" s="7">
        <f>Tabela3[Div Base]*Tabela3[Ações]</f>
        <v>0</v>
      </c>
      <c r="AL498" s="7">
        <f>SUMPRODUCT(N(Tabela3[Nome]=Tabela3[[#This Row],[Nome]]),Tabela3[Div Base]*Tabela3[Ações])</f>
        <v>0</v>
      </c>
      <c r="AM498" s="5">
        <f>Tabela3[Patrimônio Líquido]/Tabela3[Total Ações]</f>
        <v>-31.442892762707046</v>
      </c>
      <c r="AN498" s="52">
        <f>MAX(Tabela3[[#This Row],[Cotação 1]:[Cotação 5]])</f>
        <v>0.78</v>
      </c>
      <c r="AO498" s="53">
        <f>Tabela3[Cotação]/Tabela3[VPA]</f>
        <v>-2.4806877849519043E-2</v>
      </c>
      <c r="AP498" s="37">
        <f>IF(Tabela3[[#This Row],[Lucro/Ação]]&gt;0,Tabela3[[#This Row],[Cotação]]/(Tabela3[[#This Row],[Lucro/Ação]]/Tabela3[Ref]*4),0)</f>
        <v>0</v>
      </c>
      <c r="AQ498" s="85">
        <f>Tabela3[Lucro Distribuir]/Tabela3[Total Ações]</f>
        <v>0</v>
      </c>
      <c r="AR498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98" s="10" t="str">
        <f>IF(AND(Tabela3[% A.A.]&gt;=6%,SUMPRODUCT(N(Tabela3[Nome]=Tabela3[[#This Row],[Nome]]),Tabela3[PL])&gt;0,Tabela3[Rentabilidade s/ PL]&gt;=Tabela3[Rentabilidade s/ PL Média]),"Sim","Não")</f>
        <v>Não</v>
      </c>
      <c r="AT498" s="22">
        <f>IF(Tabela3[Cotação]&gt;0,Tabela3[[#This Row],[Lucro]]/Tabela3[[#This Row],[Cotação]],0)</f>
        <v>0</v>
      </c>
      <c r="AU498" s="22">
        <f>((1+Tabela3[[#This Row],[% Yield]])^(1/(3*Tabela3[[#This Row],[Ref]])))^(12)-1</f>
        <v>0</v>
      </c>
      <c r="AV498" s="10">
        <f>IF(Tabela3[Cotação]&gt;0,($BD$1/Tabela3[[#This Row],[Cotação]]-MOD($BD$1/Tabela3[[#This Row],[Cotação]],100)),)</f>
        <v>0</v>
      </c>
      <c r="AW498" s="7">
        <f>Tabela3[[#This Row],[Ativos]]*Tabela3[Lucro]</f>
        <v>0</v>
      </c>
      <c r="AX498" s="7">
        <f>SUMPRODUCT(N(Tabela1[Código]=Tabela3[[#This Row],[PAPEL]]),Tabela1[Fechamento])</f>
        <v>0</v>
      </c>
      <c r="AY498" s="7">
        <f>SUMPRODUCT(N(Tabela17[Código]=Tabela3[[#This Row],[PAPEL]]),Tabela17[Fechamento])</f>
        <v>0</v>
      </c>
      <c r="AZ498" s="7">
        <f>SUMPRODUCT(N(Tabela176[Código]=Tabela3[[#This Row],[PAPEL]]),Tabela176[Fechamento])</f>
        <v>0</v>
      </c>
      <c r="BA498" s="7">
        <f>SUMPRODUCT(N(Tabela1768[Código]=Tabela3[[#This Row],[PAPEL]]),Tabela1768[Fechamento])</f>
        <v>0.78</v>
      </c>
      <c r="BB498" s="7">
        <f>SUMPRODUCT(N(Tabela17683[Código]=Tabela3[[#This Row],[PAPEL]]),Tabela17683[Fechamento])</f>
        <v>0</v>
      </c>
    </row>
    <row r="499" spans="1:54" hidden="1" x14ac:dyDescent="0.2">
      <c r="A499" s="4" t="s">
        <v>647</v>
      </c>
      <c r="B499" s="57" t="s">
        <v>644</v>
      </c>
      <c r="C499" s="15" t="str">
        <f>LEFT(Tabela3[PAPEL],LEN(Tabela3[PAPEL])-(LEN(Tabela3[PAPEL])-4))</f>
        <v>TIBR</v>
      </c>
      <c r="D499" s="15">
        <v>3</v>
      </c>
      <c r="E499" s="6">
        <v>162504983.90000001</v>
      </c>
      <c r="F499" s="8">
        <v>812671800</v>
      </c>
      <c r="G499" s="86">
        <v>0.25</v>
      </c>
      <c r="H499" s="15"/>
      <c r="I499" s="19"/>
      <c r="J499" s="19"/>
      <c r="K499" s="88"/>
      <c r="L499" s="88"/>
      <c r="M499" s="55"/>
      <c r="N499" s="55"/>
      <c r="O499" s="55"/>
      <c r="P499" s="92">
        <v>392415000</v>
      </c>
      <c r="Q499" s="93">
        <v>-19960000</v>
      </c>
      <c r="R499" s="93">
        <f>IF(Tabela3[[#This Row],[Ativo || Passivo]]&gt;0,Tabela3[[#This Row],[Ativo || Passivo]]-Tabela3[[#This Row],[Patrimônio Líquido]],0)</f>
        <v>0</v>
      </c>
      <c r="S499" s="93">
        <f>Tabela3[[#This Row],[Cotação]]*Tabela3[[#This Row],[Total Ações]]</f>
        <v>417869928</v>
      </c>
      <c r="T499" s="40">
        <f>IF(Tabela3[[#This Row],[Passivo Circulante]]&gt;0,Tabela3[[#This Row],[Ativo Circulante]]/Tabela3[[#This Row],[Passivo Circulante]],0)</f>
        <v>0</v>
      </c>
      <c r="U499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499" s="19">
        <f>IF(Tabela3[[#This Row],[Lucro Líquido]]&gt;0,Tabela3[[#This Row],[Lucro Líquido]]/Tabela3[[#This Row],[Patrimônio Líquido]],0)</f>
        <v>0</v>
      </c>
      <c r="W499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499" s="19">
        <f>IF(Tabela3[[#This Row],[Dívida]]&gt;0,Tabela3[[#This Row],[Dívida]]/Tabela3[[#This Row],[Patrimônio Líquido]],0)</f>
        <v>0</v>
      </c>
      <c r="Y499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499" s="13">
        <f>Tabela3[[#This Row],[Capital Social]]*20%</f>
        <v>32500996.780000001</v>
      </c>
      <c r="AA499" s="13">
        <f>IF((Tabela3[Lucro Líquido]*5%)&gt;Tabela3[Teto R. Legal],Tabela3[Teto R. Legal],Tabela3[Lucro Líquido]*5%)</f>
        <v>-998000</v>
      </c>
      <c r="AB499" s="13">
        <f>IF(Tabela3[Lucro Líquido]&lt;0,0,Tabela3[Lucro Líquido]-Tabela3[Reserva Legal])</f>
        <v>0</v>
      </c>
      <c r="AC499" s="13">
        <f>Tabela3[[#This Row],[Lucro Distribuir]]*Tabela3[%Div]</f>
        <v>0</v>
      </c>
      <c r="AD499" s="56">
        <f>SUMPRODUCT(N(Tabela3[Nome]=Tabela3[[#This Row],[Nome]]),Tabela3[Ações])</f>
        <v>2321499600</v>
      </c>
      <c r="AE499" s="6">
        <f>Tabela3[Capital Social]/Tabela3[Total Ações]</f>
        <v>7.0000005125997009E-2</v>
      </c>
      <c r="AF499" s="78">
        <f>Tabela3[[#This Row],[Lucro Líquido]]/Tabela3[[#This Row],[Total Ações]]</f>
        <v>-8.5978907771511147E-3</v>
      </c>
      <c r="AG499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499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499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499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499" s="13">
        <f>Tabela3[Div Base]*Tabela3[Ações]</f>
        <v>0</v>
      </c>
      <c r="AL499" s="13">
        <f>SUMPRODUCT(N(Tabela3[Nome]=Tabela3[[#This Row],[Nome]]),Tabela3[Div Base]*Tabela3[Ações])</f>
        <v>0</v>
      </c>
      <c r="AM499" s="6">
        <f>Tabela3[Patrimônio Líquido]/Tabela3[Total Ações]</f>
        <v>0.16903513573726225</v>
      </c>
      <c r="AN499" s="48">
        <f>MAX(Tabela3[[#This Row],[Cotação 1]:[Cotação 5]])</f>
        <v>0.18</v>
      </c>
      <c r="AO499" s="44">
        <f>Tabela3[Cotação]/Tabela3[VPA]</f>
        <v>1.0648673674553724</v>
      </c>
      <c r="AP499" s="40">
        <f>IF(Tabela3[[#This Row],[Lucro/Ação]]&gt;0,Tabela3[[#This Row],[Cotação]]/(Tabela3[[#This Row],[Lucro/Ação]]/Tabela3[Ref]*4),0)</f>
        <v>0</v>
      </c>
      <c r="AQ499" s="78">
        <f>Tabela3[Lucro Distribuir]/Tabela3[Total Ações]</f>
        <v>0</v>
      </c>
      <c r="AR499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499" s="14" t="str">
        <f>IF(AND(Tabela3[% A.A.]&gt;=6%,SUMPRODUCT(N(Tabela3[Nome]=Tabela3[[#This Row],[Nome]]),Tabela3[PL])&gt;0,Tabela3[Rentabilidade s/ PL]&gt;=Tabela3[Rentabilidade s/ PL Média]),"Sim","Não")</f>
        <v>Não</v>
      </c>
      <c r="AT499" s="42">
        <f>IF(Tabela3[Cotação]&gt;0,Tabela3[[#This Row],[Lucro]]/Tabela3[[#This Row],[Cotação]],0)</f>
        <v>0</v>
      </c>
      <c r="AU499" s="42">
        <f>((1+Tabela3[[#This Row],[% Yield]])^(1/(3*Tabela3[[#This Row],[Ref]])))^(12)-1</f>
        <v>0</v>
      </c>
      <c r="AV499" s="14">
        <f>IF(Tabela3[Cotação]&gt;0,($BD$1/Tabela3[[#This Row],[Cotação]]-MOD($BD$1/Tabela3[[#This Row],[Cotação]],100)),)</f>
        <v>0</v>
      </c>
      <c r="AW499" s="17">
        <f>Tabela3[[#This Row],[Ativos]]*Tabela3[Lucro]</f>
        <v>0</v>
      </c>
      <c r="AX499" s="17">
        <f>SUMPRODUCT(N(Tabela1[Código]=Tabela3[[#This Row],[PAPEL]]),Tabela1[Fechamento])</f>
        <v>0</v>
      </c>
      <c r="AY499" s="17">
        <f>SUMPRODUCT(N(Tabela17[Código]=Tabela3[[#This Row],[PAPEL]]),Tabela17[Fechamento])</f>
        <v>0</v>
      </c>
      <c r="AZ499" s="17">
        <f>SUMPRODUCT(N(Tabela176[Código]=Tabela3[[#This Row],[PAPEL]]),Tabela176[Fechamento])</f>
        <v>0.18</v>
      </c>
      <c r="BA499" s="17">
        <f>SUMPRODUCT(N(Tabela1768[Código]=Tabela3[[#This Row],[PAPEL]]),Tabela1768[Fechamento])</f>
        <v>0</v>
      </c>
      <c r="BB499" s="7">
        <f>SUMPRODUCT(N(Tabela17683[Código]=Tabela3[[#This Row],[PAPEL]]),Tabela17683[Fechamento])</f>
        <v>0</v>
      </c>
    </row>
    <row r="500" spans="1:54" hidden="1" x14ac:dyDescent="0.2">
      <c r="A500" s="4" t="s">
        <v>647</v>
      </c>
      <c r="B500" s="57" t="s">
        <v>645</v>
      </c>
      <c r="C500" s="15" t="str">
        <f>LEFT(Tabela3[PAPEL],LEN(Tabela3[PAPEL])-(LEN(Tabela3[PAPEL])-4))</f>
        <v>TIBR</v>
      </c>
      <c r="D500" s="15">
        <v>3</v>
      </c>
      <c r="E500" s="6">
        <v>162504983.90000001</v>
      </c>
      <c r="F500" s="8">
        <v>987379000</v>
      </c>
      <c r="G500" s="86">
        <v>0.25</v>
      </c>
      <c r="H500" s="15"/>
      <c r="I500" s="19">
        <v>0.06</v>
      </c>
      <c r="J500" s="19"/>
      <c r="K500" s="88"/>
      <c r="L500" s="88"/>
      <c r="M500" s="55"/>
      <c r="N500" s="55"/>
      <c r="O500" s="55"/>
      <c r="P500" s="92">
        <v>392415000</v>
      </c>
      <c r="Q500" s="93">
        <v>-19960000</v>
      </c>
      <c r="R500" s="93">
        <f>IF(Tabela3[[#This Row],[Ativo || Passivo]]&gt;0,Tabela3[[#This Row],[Ativo || Passivo]]-Tabela3[[#This Row],[Patrimônio Líquido]],0)</f>
        <v>0</v>
      </c>
      <c r="S500" s="93">
        <f>Tabela3[[#This Row],[Cotação]]*Tabela3[[#This Row],[Total Ações]]</f>
        <v>533944908</v>
      </c>
      <c r="T500" s="40">
        <f>IF(Tabela3[[#This Row],[Passivo Circulante]]&gt;0,Tabela3[[#This Row],[Ativo Circulante]]/Tabela3[[#This Row],[Passivo Circulante]],0)</f>
        <v>0</v>
      </c>
      <c r="U500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500" s="19">
        <f>IF(Tabela3[[#This Row],[Lucro Líquido]]&gt;0,Tabela3[[#This Row],[Lucro Líquido]]/Tabela3[[#This Row],[Patrimônio Líquido]],0)</f>
        <v>0</v>
      </c>
      <c r="W500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500" s="19">
        <f>IF(Tabela3[[#This Row],[Dívida]]&gt;0,Tabela3[[#This Row],[Dívida]]/Tabela3[[#This Row],[Patrimônio Líquido]],0)</f>
        <v>0</v>
      </c>
      <c r="Y500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500" s="13">
        <f>Tabela3[[#This Row],[Capital Social]]*20%</f>
        <v>32500996.780000001</v>
      </c>
      <c r="AA500" s="13">
        <f>IF((Tabela3[Lucro Líquido]*5%)&gt;Tabela3[Teto R. Legal],Tabela3[Teto R. Legal],Tabela3[Lucro Líquido]*5%)</f>
        <v>-998000</v>
      </c>
      <c r="AB500" s="13">
        <f>IF(Tabela3[Lucro Líquido]&lt;0,0,Tabela3[Lucro Líquido]-Tabela3[Reserva Legal])</f>
        <v>0</v>
      </c>
      <c r="AC500" s="13">
        <f>Tabela3[[#This Row],[Lucro Distribuir]]*Tabela3[%Div]</f>
        <v>0</v>
      </c>
      <c r="AD500" s="56">
        <f>SUMPRODUCT(N(Tabela3[Nome]=Tabela3[[#This Row],[Nome]]),Tabela3[Ações])</f>
        <v>2321499600</v>
      </c>
      <c r="AE500" s="6">
        <f>Tabela3[Capital Social]/Tabela3[Total Ações]</f>
        <v>7.0000005125997009E-2</v>
      </c>
      <c r="AF500" s="78">
        <f>Tabela3[[#This Row],[Lucro Líquido]]/Tabela3[[#This Row],[Total Ações]]</f>
        <v>-8.5978907771511147E-3</v>
      </c>
      <c r="AG500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500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500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500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500" s="13">
        <f>Tabela3[Div Base]*Tabela3[Ações]</f>
        <v>0</v>
      </c>
      <c r="AL500" s="13">
        <f>SUMPRODUCT(N(Tabela3[Nome]=Tabela3[[#This Row],[Nome]]),Tabela3[Div Base]*Tabela3[Ações])</f>
        <v>0</v>
      </c>
      <c r="AM500" s="6">
        <f>Tabela3[Patrimônio Líquido]/Tabela3[Total Ações]</f>
        <v>0.16903513573726225</v>
      </c>
      <c r="AN500" s="48">
        <f>MAX(Tabela3[[#This Row],[Cotação 1]:[Cotação 5]])</f>
        <v>0.23</v>
      </c>
      <c r="AO500" s="44">
        <f>Tabela3[Cotação]/Tabela3[VPA]</f>
        <v>1.3606638584151982</v>
      </c>
      <c r="AP500" s="40">
        <f>IF(Tabela3[[#This Row],[Lucro/Ação]]&gt;0,Tabela3[[#This Row],[Cotação]]/(Tabela3[[#This Row],[Lucro/Ação]]/Tabela3[Ref]*4),0)</f>
        <v>0</v>
      </c>
      <c r="AQ500" s="78">
        <f>Tabela3[Lucro Distribuir]/Tabela3[Total Ações]</f>
        <v>0</v>
      </c>
      <c r="AR500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500" s="14" t="str">
        <f>IF(AND(Tabela3[% A.A.]&gt;=6%,SUMPRODUCT(N(Tabela3[Nome]=Tabela3[[#This Row],[Nome]]),Tabela3[PL])&gt;0,Tabela3[Rentabilidade s/ PL]&gt;=Tabela3[Rentabilidade s/ PL Média]),"Sim","Não")</f>
        <v>Não</v>
      </c>
      <c r="AT500" s="42">
        <f>IF(Tabela3[Cotação]&gt;0,Tabela3[[#This Row],[Lucro]]/Tabela3[[#This Row],[Cotação]],0)</f>
        <v>0</v>
      </c>
      <c r="AU500" s="42">
        <f>((1+Tabela3[[#This Row],[% Yield]])^(1/(3*Tabela3[[#This Row],[Ref]])))^(12)-1</f>
        <v>0</v>
      </c>
      <c r="AV500" s="14">
        <f>IF(Tabela3[Cotação]&gt;0,($BD$1/Tabela3[[#This Row],[Cotação]]-MOD($BD$1/Tabela3[[#This Row],[Cotação]],100)),)</f>
        <v>0</v>
      </c>
      <c r="AW500" s="17">
        <f>Tabela3[[#This Row],[Ativos]]*Tabela3[Lucro]</f>
        <v>0</v>
      </c>
      <c r="AX500" s="17">
        <f>SUMPRODUCT(N(Tabela1[Código]=Tabela3[[#This Row],[PAPEL]]),Tabela1[Fechamento])</f>
        <v>0</v>
      </c>
      <c r="AY500" s="17">
        <f>SUMPRODUCT(N(Tabela17[Código]=Tabela3[[#This Row],[PAPEL]]),Tabela17[Fechamento])</f>
        <v>0</v>
      </c>
      <c r="AZ500" s="17">
        <f>SUMPRODUCT(N(Tabela176[Código]=Tabela3[[#This Row],[PAPEL]]),Tabela176[Fechamento])</f>
        <v>0.23</v>
      </c>
      <c r="BA500" s="17">
        <f>SUMPRODUCT(N(Tabela1768[Código]=Tabela3[[#This Row],[PAPEL]]),Tabela1768[Fechamento])</f>
        <v>0</v>
      </c>
      <c r="BB500" s="7">
        <f>SUMPRODUCT(N(Tabela17683[Código]=Tabela3[[#This Row],[PAPEL]]),Tabela17683[Fechamento])</f>
        <v>0</v>
      </c>
    </row>
    <row r="501" spans="1:54" hidden="1" x14ac:dyDescent="0.2">
      <c r="A501" s="4" t="s">
        <v>647</v>
      </c>
      <c r="B501" s="57" t="s">
        <v>646</v>
      </c>
      <c r="C501" s="15" t="str">
        <f>LEFT(Tabela3[PAPEL],LEN(Tabela3[PAPEL])-(LEN(Tabela3[PAPEL])-4))</f>
        <v>TIBR</v>
      </c>
      <c r="D501" s="15">
        <v>3</v>
      </c>
      <c r="E501" s="6">
        <v>162504983.90000001</v>
      </c>
      <c r="F501" s="8">
        <v>521448800</v>
      </c>
      <c r="G501" s="86">
        <v>0.25</v>
      </c>
      <c r="H501" s="15"/>
      <c r="I501" s="19"/>
      <c r="J501" s="19"/>
      <c r="K501" s="88"/>
      <c r="L501" s="88"/>
      <c r="M501" s="55"/>
      <c r="N501" s="55"/>
      <c r="O501" s="55"/>
      <c r="P501" s="92">
        <v>392415000</v>
      </c>
      <c r="Q501" s="93">
        <v>-19960000</v>
      </c>
      <c r="R501" s="93">
        <f>IF(Tabela3[[#This Row],[Ativo || Passivo]]&gt;0,Tabela3[[#This Row],[Ativo || Passivo]]-Tabela3[[#This Row],[Patrimônio Líquido]],0)</f>
        <v>0</v>
      </c>
      <c r="S501" s="93">
        <f>Tabela3[[#This Row],[Cotação]]*Tabela3[[#This Row],[Total Ações]]</f>
        <v>557159904</v>
      </c>
      <c r="T501" s="40">
        <f>IF(Tabela3[[#This Row],[Passivo Circulante]]&gt;0,Tabela3[[#This Row],[Ativo Circulante]]/Tabela3[[#This Row],[Passivo Circulante]],0)</f>
        <v>0</v>
      </c>
      <c r="U501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501" s="19">
        <f>IF(Tabela3[[#This Row],[Lucro Líquido]]&gt;0,Tabela3[[#This Row],[Lucro Líquido]]/Tabela3[[#This Row],[Patrimônio Líquido]],0)</f>
        <v>0</v>
      </c>
      <c r="W501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501" s="19">
        <f>IF(Tabela3[[#This Row],[Dívida]]&gt;0,Tabela3[[#This Row],[Dívida]]/Tabela3[[#This Row],[Patrimônio Líquido]],0)</f>
        <v>0</v>
      </c>
      <c r="Y501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501" s="13">
        <f>Tabela3[[#This Row],[Capital Social]]*20%</f>
        <v>32500996.780000001</v>
      </c>
      <c r="AA501" s="13">
        <f>IF((Tabela3[Lucro Líquido]*5%)&gt;Tabela3[Teto R. Legal],Tabela3[Teto R. Legal],Tabela3[Lucro Líquido]*5%)</f>
        <v>-998000</v>
      </c>
      <c r="AB501" s="13">
        <f>IF(Tabela3[Lucro Líquido]&lt;0,0,Tabela3[Lucro Líquido]-Tabela3[Reserva Legal])</f>
        <v>0</v>
      </c>
      <c r="AC501" s="13">
        <f>Tabela3[[#This Row],[Lucro Distribuir]]*Tabela3[%Div]</f>
        <v>0</v>
      </c>
      <c r="AD501" s="56">
        <f>SUMPRODUCT(N(Tabela3[Nome]=Tabela3[[#This Row],[Nome]]),Tabela3[Ações])</f>
        <v>2321499600</v>
      </c>
      <c r="AE501" s="6">
        <f>Tabela3[Capital Social]/Tabela3[Total Ações]</f>
        <v>7.0000005125997009E-2</v>
      </c>
      <c r="AF501" s="78">
        <f>Tabela3[[#This Row],[Lucro Líquido]]/Tabela3[[#This Row],[Total Ações]]</f>
        <v>-8.5978907771511147E-3</v>
      </c>
      <c r="AG501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501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501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501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501" s="13">
        <f>Tabela3[Div Base]*Tabela3[Ações]</f>
        <v>0</v>
      </c>
      <c r="AL501" s="13">
        <f>SUMPRODUCT(N(Tabela3[Nome]=Tabela3[[#This Row],[Nome]]),Tabela3[Div Base]*Tabela3[Ações])</f>
        <v>0</v>
      </c>
      <c r="AM501" s="6">
        <f>Tabela3[Patrimônio Líquido]/Tabela3[Total Ações]</f>
        <v>0.16903513573726225</v>
      </c>
      <c r="AN501" s="48">
        <f>MAX(Tabela3[[#This Row],[Cotação 1]:[Cotação 5]])</f>
        <v>0.24</v>
      </c>
      <c r="AO501" s="44">
        <f>Tabela3[Cotação]/Tabela3[VPA]</f>
        <v>1.4198231566071631</v>
      </c>
      <c r="AP501" s="40">
        <f>IF(Tabela3[[#This Row],[Lucro/Ação]]&gt;0,Tabela3[[#This Row],[Cotação]]/(Tabela3[[#This Row],[Lucro/Ação]]/Tabela3[Ref]*4),0)</f>
        <v>0</v>
      </c>
      <c r="AQ501" s="78">
        <f>Tabela3[Lucro Distribuir]/Tabela3[Total Ações]</f>
        <v>0</v>
      </c>
      <c r="AR501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501" s="14" t="str">
        <f>IF(AND(Tabela3[% A.A.]&gt;=6%,SUMPRODUCT(N(Tabela3[Nome]=Tabela3[[#This Row],[Nome]]),Tabela3[PL])&gt;0,Tabela3[Rentabilidade s/ PL]&gt;=Tabela3[Rentabilidade s/ PL Média]),"Sim","Não")</f>
        <v>Não</v>
      </c>
      <c r="AT501" s="42">
        <f>IF(Tabela3[Cotação]&gt;0,Tabela3[[#This Row],[Lucro]]/Tabela3[[#This Row],[Cotação]],0)</f>
        <v>0</v>
      </c>
      <c r="AU501" s="42">
        <f>((1+Tabela3[[#This Row],[% Yield]])^(1/(3*Tabela3[[#This Row],[Ref]])))^(12)-1</f>
        <v>0</v>
      </c>
      <c r="AV501" s="14">
        <f>IF(Tabela3[Cotação]&gt;0,($BD$1/Tabela3[[#This Row],[Cotação]]-MOD($BD$1/Tabela3[[#This Row],[Cotação]],100)),)</f>
        <v>0</v>
      </c>
      <c r="AW501" s="17">
        <f>Tabela3[[#This Row],[Ativos]]*Tabela3[Lucro]</f>
        <v>0</v>
      </c>
      <c r="AX501" s="17">
        <f>SUMPRODUCT(N(Tabela1[Código]=Tabela3[[#This Row],[PAPEL]]),Tabela1[Fechamento])</f>
        <v>0</v>
      </c>
      <c r="AY501" s="17">
        <f>SUMPRODUCT(N(Tabela17[Código]=Tabela3[[#This Row],[PAPEL]]),Tabela17[Fechamento])</f>
        <v>0</v>
      </c>
      <c r="AZ501" s="17">
        <f>SUMPRODUCT(N(Tabela176[Código]=Tabela3[[#This Row],[PAPEL]]),Tabela176[Fechamento])</f>
        <v>0.24</v>
      </c>
      <c r="BA501" s="17">
        <f>SUMPRODUCT(N(Tabela1768[Código]=Tabela3[[#This Row],[PAPEL]]),Tabela1768[Fechamento])</f>
        <v>0</v>
      </c>
      <c r="BB501" s="7">
        <f>SUMPRODUCT(N(Tabela17683[Código]=Tabela3[[#This Row],[PAPEL]]),Tabela17683[Fechamento])</f>
        <v>0</v>
      </c>
    </row>
    <row r="502" spans="1:54" hidden="1" x14ac:dyDescent="0.2">
      <c r="A502" s="3" t="s">
        <v>1075</v>
      </c>
      <c r="B502" s="58" t="s">
        <v>1076</v>
      </c>
      <c r="C502" s="16" t="str">
        <f>LEFT(Tabela3[PAPEL],LEN(Tabela3[PAPEL])-(LEN(Tabela3[PAPEL])-4))</f>
        <v>TOYB</v>
      </c>
      <c r="D502" s="16">
        <v>3</v>
      </c>
      <c r="E502" s="5">
        <v>126282315.51000001</v>
      </c>
      <c r="F502" s="56">
        <v>685714429483</v>
      </c>
      <c r="G502" s="81">
        <v>0.25</v>
      </c>
      <c r="H502" s="87"/>
      <c r="J502" s="18"/>
      <c r="K502" s="16"/>
      <c r="L502" s="87"/>
      <c r="M502" s="54"/>
      <c r="N502" s="54"/>
      <c r="O502" s="54"/>
      <c r="P502" s="91">
        <v>2313000</v>
      </c>
      <c r="Q502" s="73">
        <v>-6051000</v>
      </c>
      <c r="R502" s="73">
        <f>IF(Tabela3[[#This Row],[Ativo || Passivo]]&gt;0,Tabela3[[#This Row],[Ativo || Passivo]]-Tabela3[[#This Row],[Patrimônio Líquido]],0)</f>
        <v>0</v>
      </c>
      <c r="S502" s="73">
        <f>Tabela3[[#This Row],[Cotação]]*Tabela3[[#This Row],[Total Ações]]</f>
        <v>26452814699.080002</v>
      </c>
      <c r="T502" s="37">
        <f>IF(Tabela3[[#This Row],[Passivo Circulante]]&gt;0,Tabela3[[#This Row],[Ativo Circulante]]/Tabela3[[#This Row],[Passivo Circulante]],0)</f>
        <v>0</v>
      </c>
      <c r="U502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502" s="18">
        <f>IF(Tabela3[[#This Row],[Lucro Líquido]]&gt;0,Tabela3[[#This Row],[Lucro Líquido]]/Tabela3[[#This Row],[Patrimônio Líquido]],0)</f>
        <v>0</v>
      </c>
      <c r="W502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502" s="18">
        <f>IF(Tabela3[[#This Row],[Dívida]]&gt;0,Tabela3[[#This Row],[Dívida]]/Tabela3[[#This Row],[Patrimônio Líquido]],0)</f>
        <v>0</v>
      </c>
      <c r="Y502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502" s="7">
        <f>Tabela3[[#This Row],[Capital Social]]*20%</f>
        <v>25256463.102000002</v>
      </c>
      <c r="AA502" s="47">
        <f>IF((Tabela3[Lucro Líquido]*5%)&gt;Tabela3[Teto R. Legal],Tabela3[Teto R. Legal],Tabela3[Lucro Líquido]*5%)</f>
        <v>-302550</v>
      </c>
      <c r="AB502" s="47">
        <f>IF(Tabela3[Lucro Líquido]&lt;0,0,Tabela3[Lucro Líquido]-Tabela3[Reserva Legal])</f>
        <v>0</v>
      </c>
      <c r="AC502" s="47">
        <f>Tabela3[[#This Row],[Lucro Distribuir]]*Tabela3[%Div]</f>
        <v>0</v>
      </c>
      <c r="AD502" s="56">
        <f>SUMPRODUCT(N(Tabela3[Nome]=Tabela3[[#This Row],[Nome]]),Tabela3[Ações])</f>
        <v>1322640734954</v>
      </c>
      <c r="AE502" s="85">
        <f>Tabela3[Capital Social]/Tabela3[Total Ações]</f>
        <v>9.5477412854966977E-5</v>
      </c>
      <c r="AF502" s="85">
        <f>Tabela3[[#This Row],[Lucro Líquido]]/Tabela3[[#This Row],[Total Ações]]</f>
        <v>-4.5749384848716666E-6</v>
      </c>
      <c r="AG502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502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502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502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502" s="7">
        <f>Tabela3[Div Base]*Tabela3[Ações]</f>
        <v>0</v>
      </c>
      <c r="AL502" s="7">
        <f>SUMPRODUCT(N(Tabela3[Nome]=Tabela3[[#This Row],[Nome]]),Tabela3[Div Base]*Tabela3[Ações])</f>
        <v>0</v>
      </c>
      <c r="AM502" s="5">
        <f>Tabela3[Patrimônio Líquido]/Tabela3[Total Ações]</f>
        <v>1.7487742051740479E-6</v>
      </c>
      <c r="AN502" s="52">
        <f>MAX(Tabela3[[#This Row],[Cotação 1]:[Cotação 5]])</f>
        <v>0.02</v>
      </c>
      <c r="AO502" s="53">
        <f>Tabela3[Cotação]/Tabela3[VPA]</f>
        <v>11436.582230471249</v>
      </c>
      <c r="AP502" s="37">
        <f>IF(Tabela3[[#This Row],[Lucro/Ação]]&gt;0,Tabela3[[#This Row],[Cotação]]/(Tabela3[[#This Row],[Lucro/Ação]]/Tabela3[Ref]*4),0)</f>
        <v>0</v>
      </c>
      <c r="AQ502" s="85">
        <f>Tabela3[Lucro Distribuir]/Tabela3[Total Ações]</f>
        <v>0</v>
      </c>
      <c r="AR502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502" s="10" t="str">
        <f>IF(AND(Tabela3[% A.A.]&gt;=6%,SUMPRODUCT(N(Tabela3[Nome]=Tabela3[[#This Row],[Nome]]),Tabela3[PL])&gt;0,Tabela3[Rentabilidade s/ PL]&gt;=Tabela3[Rentabilidade s/ PL Média]),"Sim","Não")</f>
        <v>Não</v>
      </c>
      <c r="AT502" s="22">
        <f>IF(Tabela3[Cotação]&gt;0,Tabela3[[#This Row],[Lucro]]/Tabela3[[#This Row],[Cotação]],0)</f>
        <v>0</v>
      </c>
      <c r="AU502" s="22">
        <f>((1+Tabela3[[#This Row],[% Yield]])^(1/(3*Tabela3[[#This Row],[Ref]])))^(12)-1</f>
        <v>0</v>
      </c>
      <c r="AV502" s="10">
        <f>IF(Tabela3[Cotação]&gt;0,($BD$1/Tabela3[[#This Row],[Cotação]]-MOD($BD$1/Tabela3[[#This Row],[Cotação]],100)),)</f>
        <v>0</v>
      </c>
      <c r="AW502" s="7">
        <f>Tabela3[[#This Row],[Ativos]]*Tabela3[Lucro]</f>
        <v>0</v>
      </c>
      <c r="AX502" s="7">
        <f>SUMPRODUCT(N(Tabela1[Código]=Tabela3[[#This Row],[PAPEL]]),Tabela1[Fechamento])</f>
        <v>0</v>
      </c>
      <c r="AY502" s="7">
        <f>SUMPRODUCT(N(Tabela17[Código]=Tabela3[[#This Row],[PAPEL]]),Tabela17[Fechamento])</f>
        <v>0</v>
      </c>
      <c r="AZ502" s="7">
        <f>SUMPRODUCT(N(Tabela176[Código]=Tabela3[[#This Row],[PAPEL]]),Tabela176[Fechamento])</f>
        <v>0</v>
      </c>
      <c r="BA502" s="7">
        <f>SUMPRODUCT(N(Tabela1768[Código]=Tabela3[[#This Row],[PAPEL]]),Tabela1768[Fechamento])</f>
        <v>0.02</v>
      </c>
      <c r="BB502" s="7">
        <f>SUMPRODUCT(N(Tabela17683[Código]=Tabela3[[#This Row],[PAPEL]]),Tabela17683[Fechamento])</f>
        <v>0</v>
      </c>
    </row>
    <row r="503" spans="1:54" hidden="1" x14ac:dyDescent="0.2">
      <c r="A503" s="3" t="s">
        <v>1075</v>
      </c>
      <c r="B503" s="58" t="s">
        <v>1077</v>
      </c>
      <c r="C503" s="16" t="str">
        <f>LEFT(Tabela3[PAPEL],LEN(Tabela3[PAPEL])-(LEN(Tabela3[PAPEL])-4))</f>
        <v>TOYB</v>
      </c>
      <c r="D503" s="16">
        <v>3</v>
      </c>
      <c r="E503" s="5">
        <v>126282315.51000001</v>
      </c>
      <c r="F503" s="56">
        <v>636926305471</v>
      </c>
      <c r="G503" s="81">
        <v>0.25</v>
      </c>
      <c r="H503" s="87"/>
      <c r="J503" s="18"/>
      <c r="K503" s="16"/>
      <c r="L503" s="87"/>
      <c r="M503" s="54"/>
      <c r="N503" s="54"/>
      <c r="O503" s="54"/>
      <c r="P503" s="91">
        <v>2313000</v>
      </c>
      <c r="Q503" s="73">
        <v>-6051000</v>
      </c>
      <c r="R503" s="73">
        <f>IF(Tabela3[[#This Row],[Ativo || Passivo]]&gt;0,Tabela3[[#This Row],[Ativo || Passivo]]-Tabela3[[#This Row],[Patrimônio Líquido]],0)</f>
        <v>0</v>
      </c>
      <c r="S503" s="73">
        <f>Tabela3[[#This Row],[Cotação]]*Tabela3[[#This Row],[Total Ações]]</f>
        <v>26452814699.080002</v>
      </c>
      <c r="T503" s="37">
        <f>IF(Tabela3[[#This Row],[Passivo Circulante]]&gt;0,Tabela3[[#This Row],[Ativo Circulante]]/Tabela3[[#This Row],[Passivo Circulante]],0)</f>
        <v>0</v>
      </c>
      <c r="U503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503" s="18">
        <f>IF(Tabela3[[#This Row],[Lucro Líquido]]&gt;0,Tabela3[[#This Row],[Lucro Líquido]]/Tabela3[[#This Row],[Patrimônio Líquido]],0)</f>
        <v>0</v>
      </c>
      <c r="W503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503" s="18">
        <f>IF(Tabela3[[#This Row],[Dívida]]&gt;0,Tabela3[[#This Row],[Dívida]]/Tabela3[[#This Row],[Patrimônio Líquido]],0)</f>
        <v>0</v>
      </c>
      <c r="Y503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503" s="7">
        <f>Tabela3[[#This Row],[Capital Social]]*20%</f>
        <v>25256463.102000002</v>
      </c>
      <c r="AA503" s="47">
        <f>IF((Tabela3[Lucro Líquido]*5%)&gt;Tabela3[Teto R. Legal],Tabela3[Teto R. Legal],Tabela3[Lucro Líquido]*5%)</f>
        <v>-302550</v>
      </c>
      <c r="AB503" s="47">
        <f>IF(Tabela3[Lucro Líquido]&lt;0,0,Tabela3[Lucro Líquido]-Tabela3[Reserva Legal])</f>
        <v>0</v>
      </c>
      <c r="AC503" s="47">
        <f>Tabela3[[#This Row],[Lucro Distribuir]]*Tabela3[%Div]</f>
        <v>0</v>
      </c>
      <c r="AD503" s="56">
        <f>SUMPRODUCT(N(Tabela3[Nome]=Tabela3[[#This Row],[Nome]]),Tabela3[Ações])</f>
        <v>1322640734954</v>
      </c>
      <c r="AE503" s="85">
        <f>Tabela3[Capital Social]/Tabela3[Total Ações]</f>
        <v>9.5477412854966977E-5</v>
      </c>
      <c r="AF503" s="85">
        <f>Tabela3[[#This Row],[Lucro Líquido]]/Tabela3[[#This Row],[Total Ações]]</f>
        <v>-4.5749384848716666E-6</v>
      </c>
      <c r="AG503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503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503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503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503" s="7">
        <f>Tabela3[Div Base]*Tabela3[Ações]</f>
        <v>0</v>
      </c>
      <c r="AL503" s="7">
        <f>SUMPRODUCT(N(Tabela3[Nome]=Tabela3[[#This Row],[Nome]]),Tabela3[Div Base]*Tabela3[Ações])</f>
        <v>0</v>
      </c>
      <c r="AM503" s="5">
        <f>Tabela3[Patrimônio Líquido]/Tabela3[Total Ações]</f>
        <v>1.7487742051740479E-6</v>
      </c>
      <c r="AN503" s="52">
        <f>MAX(Tabela3[[#This Row],[Cotação 1]:[Cotação 5]])</f>
        <v>0.02</v>
      </c>
      <c r="AO503" s="53">
        <f>Tabela3[Cotação]/Tabela3[VPA]</f>
        <v>11436.582230471249</v>
      </c>
      <c r="AP503" s="37">
        <f>IF(Tabela3[[#This Row],[Lucro/Ação]]&gt;0,Tabela3[[#This Row],[Cotação]]/(Tabela3[[#This Row],[Lucro/Ação]]/Tabela3[Ref]*4),0)</f>
        <v>0</v>
      </c>
      <c r="AQ503" s="85">
        <f>Tabela3[Lucro Distribuir]/Tabela3[Total Ações]</f>
        <v>0</v>
      </c>
      <c r="AR503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503" s="10" t="str">
        <f>IF(AND(Tabela3[% A.A.]&gt;=6%,SUMPRODUCT(N(Tabela3[Nome]=Tabela3[[#This Row],[Nome]]),Tabela3[PL])&gt;0,Tabela3[Rentabilidade s/ PL]&gt;=Tabela3[Rentabilidade s/ PL Média]),"Sim","Não")</f>
        <v>Não</v>
      </c>
      <c r="AT503" s="22">
        <f>IF(Tabela3[Cotação]&gt;0,Tabela3[[#This Row],[Lucro]]/Tabela3[[#This Row],[Cotação]],0)</f>
        <v>0</v>
      </c>
      <c r="AU503" s="22">
        <f>((1+Tabela3[[#This Row],[% Yield]])^(1/(3*Tabela3[[#This Row],[Ref]])))^(12)-1</f>
        <v>0</v>
      </c>
      <c r="AV503" s="10">
        <f>IF(Tabela3[Cotação]&gt;0,($BD$1/Tabela3[[#This Row],[Cotação]]-MOD($BD$1/Tabela3[[#This Row],[Cotação]],100)),)</f>
        <v>0</v>
      </c>
      <c r="AW503" s="7">
        <f>Tabela3[[#This Row],[Ativos]]*Tabela3[Lucro]</f>
        <v>0</v>
      </c>
      <c r="AX503" s="7">
        <f>SUMPRODUCT(N(Tabela1[Código]=Tabela3[[#This Row],[PAPEL]]),Tabela1[Fechamento])</f>
        <v>0</v>
      </c>
      <c r="AY503" s="7">
        <f>SUMPRODUCT(N(Tabela17[Código]=Tabela3[[#This Row],[PAPEL]]),Tabela17[Fechamento])</f>
        <v>0</v>
      </c>
      <c r="AZ503" s="7">
        <f>SUMPRODUCT(N(Tabela176[Código]=Tabela3[[#This Row],[PAPEL]]),Tabela176[Fechamento])</f>
        <v>0</v>
      </c>
      <c r="BA503" s="7">
        <f>SUMPRODUCT(N(Tabela1768[Código]=Tabela3[[#This Row],[PAPEL]]),Tabela1768[Fechamento])</f>
        <v>0.02</v>
      </c>
      <c r="BB503" s="7">
        <f>SUMPRODUCT(N(Tabela17683[Código]=Tabela3[[#This Row],[PAPEL]]),Tabela17683[Fechamento])</f>
        <v>0</v>
      </c>
    </row>
    <row r="504" spans="1:54" hidden="1" x14ac:dyDescent="0.2">
      <c r="A504" s="4" t="s">
        <v>12</v>
      </c>
      <c r="B504" s="60" t="s">
        <v>157</v>
      </c>
      <c r="C504" s="14" t="str">
        <f>LEFT(Tabela3[PAPEL],LEN(Tabela3[PAPEL])-(LEN(Tabela3[PAPEL])-4))</f>
        <v>TRPL</v>
      </c>
      <c r="D504" s="15">
        <v>3</v>
      </c>
      <c r="E504" s="6">
        <v>2000000000</v>
      </c>
      <c r="F504" s="8">
        <v>64484433</v>
      </c>
      <c r="G504" s="86">
        <v>0.25</v>
      </c>
      <c r="H504" s="15"/>
      <c r="I504" s="19"/>
      <c r="J504" s="19"/>
      <c r="K504" s="88"/>
      <c r="L504" s="88"/>
      <c r="M504" s="55"/>
      <c r="N504" s="55"/>
      <c r="O504" s="55"/>
      <c r="P504" s="89">
        <v>4953037000</v>
      </c>
      <c r="Q504" s="89">
        <v>-126863000</v>
      </c>
      <c r="R504" s="89">
        <f>IF(Tabela3[[#This Row],[Ativo || Passivo]]&gt;0,Tabela3[[#This Row],[Ativo || Passivo]]-Tabela3[[#This Row],[Patrimônio Líquido]],0)</f>
        <v>0</v>
      </c>
      <c r="S504" s="89">
        <f>Tabela3[[#This Row],[Cotação]]*Tabela3[[#This Row],[Total Ações]]</f>
        <v>6991899677</v>
      </c>
      <c r="T504" s="134">
        <f>IF(Tabela3[[#This Row],[Passivo Circulante]]&gt;0,Tabela3[[#This Row],[Ativo Circulante]]/Tabela3[[#This Row],[Passivo Circulante]],0)</f>
        <v>0</v>
      </c>
      <c r="U504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504" s="19">
        <f>IF(Tabela3[[#This Row],[Lucro Líquido]]&gt;0,Tabela3[[#This Row],[Lucro Líquido]]/Tabela3[[#This Row],[Patrimônio Líquido]],0)</f>
        <v>0</v>
      </c>
      <c r="W504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504" s="19">
        <f>IF(Tabela3[[#This Row],[Dívida]]&gt;0,Tabela3[[#This Row],[Dívida]]/Tabela3[[#This Row],[Patrimônio Líquido]],0)</f>
        <v>0</v>
      </c>
      <c r="Y504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504" s="6">
        <f>Tabela3[[#This Row],[Capital Social]]*20%</f>
        <v>400000000</v>
      </c>
      <c r="AA504" s="6">
        <f>IF((Tabela3[Lucro Líquido]*5%)&gt;Tabela3[Teto R. Legal],Tabela3[Teto R. Legal],Tabela3[Lucro Líquido]*5%)</f>
        <v>-6343150</v>
      </c>
      <c r="AB504" s="89">
        <f>IF(Tabela3[Lucro Líquido]&lt;0,0,Tabela3[Lucro Líquido]-Tabela3[Reserva Legal])</f>
        <v>0</v>
      </c>
      <c r="AC504" s="89">
        <f>Tabela3[[#This Row],[Lucro Distribuir]]*Tabela3[%Div]</f>
        <v>0</v>
      </c>
      <c r="AD504" s="56">
        <f>SUMPRODUCT(N(Tabela3[Nome]=Tabela3[[#This Row],[Nome]]),Tabela3[Ações])</f>
        <v>152661565</v>
      </c>
      <c r="AE504" s="6">
        <f>Tabela3[Capital Social]/Tabela3[Total Ações]</f>
        <v>13.100874473545453</v>
      </c>
      <c r="AF504" s="78">
        <f>Tabela3[[#This Row],[Lucro Líquido]]/Tabela3[[#This Row],[Total Ações]]</f>
        <v>-0.83100811916869843</v>
      </c>
      <c r="AG504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504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504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504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504" s="6">
        <f>Tabela3[Div Base]*Tabela3[Ações]</f>
        <v>0</v>
      </c>
      <c r="AL504" s="6">
        <f>SUMPRODUCT(N(Tabela3[Nome]=Tabela3[[#This Row],[Nome]]),Tabela3[Div Base]*Tabela3[Ações])</f>
        <v>0</v>
      </c>
      <c r="AM504" s="6">
        <f>Tabela3[Patrimônio Líquido]/Tabela3[Total Ações]</f>
        <v>32.444557999913073</v>
      </c>
      <c r="AN504" s="48">
        <f>MAX(Tabela3[[#This Row],[Cotação 1]:[Cotação 5]])</f>
        <v>45.8</v>
      </c>
      <c r="AO504" s="44">
        <f>Tabela3[Cotação]/Tabela3[VPA]</f>
        <v>1.4116388948840883</v>
      </c>
      <c r="AP504" s="40">
        <f>IF(Tabela3[[#This Row],[Lucro/Ação]]&gt;0,Tabela3[[#This Row],[Cotação]]/(Tabela3[[#This Row],[Lucro/Ação]]/Tabela3[Ref]*4),0)</f>
        <v>0</v>
      </c>
      <c r="AQ504" s="78">
        <f>Tabela3[Lucro Distribuir]/Tabela3[Total Ações]</f>
        <v>0</v>
      </c>
      <c r="AR504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504" s="15" t="str">
        <f>IF(AND(Tabela3[% A.A.]&gt;=6%,SUMPRODUCT(N(Tabela3[Nome]=Tabela3[[#This Row],[Nome]]),Tabela3[PL])&gt;0,Tabela3[Rentabilidade s/ PL]&gt;=Tabela3[Rentabilidade s/ PL Média]),"Sim","Não")</f>
        <v>Não</v>
      </c>
      <c r="AT504" s="42">
        <f>IF(Tabela3[Cotação]&gt;0,Tabela3[[#This Row],[Lucro]]/Tabela3[[#This Row],[Cotação]],0)</f>
        <v>0</v>
      </c>
      <c r="AU504" s="19">
        <f>((1+Tabela3[[#This Row],[% Yield]])^(1/(3*Tabela3[[#This Row],[Ref]])))^(12)-1</f>
        <v>0</v>
      </c>
      <c r="AV504" s="14">
        <f>IF(Tabela3[Cotação]&gt;0,($BD$1/Tabela3[[#This Row],[Cotação]]-MOD($BD$1/Tabela3[[#This Row],[Cotação]],100)),)</f>
        <v>0</v>
      </c>
      <c r="AW504" s="17">
        <f>Tabela3[[#This Row],[Ativos]]*Tabela3[Lucro]</f>
        <v>0</v>
      </c>
      <c r="AX504" s="5">
        <f>SUMPRODUCT(N(Tabela1[Código]=Tabela3[[#This Row],[PAPEL]]),Tabela1[Fechamento])</f>
        <v>45.8</v>
      </c>
      <c r="AY504" s="5">
        <f>SUMPRODUCT(N(Tabela17[Código]=Tabela3[[#This Row],[PAPEL]]),Tabela17[Fechamento])</f>
        <v>0</v>
      </c>
      <c r="AZ504" s="7">
        <f>SUMPRODUCT(N(Tabela176[Código]=Tabela3[[#This Row],[PAPEL]]),Tabela176[Fechamento])</f>
        <v>0</v>
      </c>
      <c r="BA504" s="7">
        <f>SUMPRODUCT(N(Tabela1768[Código]=Tabela3[[#This Row],[PAPEL]]),Tabela1768[Fechamento])</f>
        <v>0</v>
      </c>
      <c r="BB504" s="7">
        <f>SUMPRODUCT(N(Tabela17683[Código]=Tabela3[[#This Row],[PAPEL]]),Tabela17683[Fechamento])</f>
        <v>0</v>
      </c>
    </row>
    <row r="505" spans="1:54" hidden="1" x14ac:dyDescent="0.2">
      <c r="A505" s="4" t="s">
        <v>12</v>
      </c>
      <c r="B505" s="60" t="s">
        <v>158</v>
      </c>
      <c r="C505" s="14" t="str">
        <f>LEFT(Tabela3[PAPEL],LEN(Tabela3[PAPEL])-(LEN(Tabela3[PAPEL])-4))</f>
        <v>TRPL</v>
      </c>
      <c r="D505" s="15">
        <v>3</v>
      </c>
      <c r="E505" s="6">
        <v>2000000000</v>
      </c>
      <c r="F505" s="8">
        <v>88177132</v>
      </c>
      <c r="G505" s="81">
        <v>0.25</v>
      </c>
      <c r="H505" s="15"/>
      <c r="I505" s="19">
        <v>0.1</v>
      </c>
      <c r="J505" s="19"/>
      <c r="K505" s="88"/>
      <c r="L505" s="88"/>
      <c r="M505" s="55"/>
      <c r="N505" s="55"/>
      <c r="O505" s="55"/>
      <c r="P505" s="89">
        <v>4953037000</v>
      </c>
      <c r="Q505" s="89">
        <v>-126863000</v>
      </c>
      <c r="R505" s="89">
        <f>IF(Tabela3[[#This Row],[Ativo || Passivo]]&gt;0,Tabela3[[#This Row],[Ativo || Passivo]]-Tabela3[[#This Row],[Patrimônio Líquido]],0)</f>
        <v>0</v>
      </c>
      <c r="S505" s="89">
        <f>Tabela3[[#This Row],[Cotação]]*Tabela3[[#This Row],[Total Ações]]</f>
        <v>3691356641.6999998</v>
      </c>
      <c r="T505" s="134">
        <f>IF(Tabela3[[#This Row],[Passivo Circulante]]&gt;0,Tabela3[[#This Row],[Ativo Circulante]]/Tabela3[[#This Row],[Passivo Circulante]],0)</f>
        <v>0</v>
      </c>
      <c r="U505" s="134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505" s="19">
        <f>IF(Tabela3[[#This Row],[Lucro Líquido]]&gt;0,Tabela3[[#This Row],[Lucro Líquido]]/Tabela3[[#This Row],[Patrimônio Líquido]],0)</f>
        <v>0</v>
      </c>
      <c r="W505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505" s="19">
        <f>IF(Tabela3[[#This Row],[Dívida]]&gt;0,Tabela3[[#This Row],[Dívida]]/Tabela3[[#This Row],[Patrimônio Líquido]],0)</f>
        <v>0</v>
      </c>
      <c r="Y505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505" s="6">
        <f>Tabela3[[#This Row],[Capital Social]]*20%</f>
        <v>400000000</v>
      </c>
      <c r="AA505" s="6">
        <f>IF((Tabela3[Lucro Líquido]*5%)&gt;Tabela3[Teto R. Legal],Tabela3[Teto R. Legal],Tabela3[Lucro Líquido]*5%)</f>
        <v>-6343150</v>
      </c>
      <c r="AB505" s="89">
        <f>IF(Tabela3[Lucro Líquido]&lt;0,0,Tabela3[Lucro Líquido]-Tabela3[Reserva Legal])</f>
        <v>0</v>
      </c>
      <c r="AC505" s="89">
        <f>Tabela3[[#This Row],[Lucro Distribuir]]*Tabela3[%Div]</f>
        <v>0</v>
      </c>
      <c r="AD505" s="56">
        <f>SUMPRODUCT(N(Tabela3[Nome]=Tabela3[[#This Row],[Nome]]),Tabela3[Ações])</f>
        <v>152661565</v>
      </c>
      <c r="AE505" s="6">
        <f>Tabela3[Capital Social]/Tabela3[Total Ações]</f>
        <v>13.100874473545453</v>
      </c>
      <c r="AF505" s="78">
        <f>Tabela3[[#This Row],[Lucro Líquido]]/Tabela3[[#This Row],[Total Ações]]</f>
        <v>-0.83100811916869843</v>
      </c>
      <c r="AG505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505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505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505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505" s="6">
        <f>Tabela3[Div Base]*Tabela3[Ações]</f>
        <v>0</v>
      </c>
      <c r="AL505" s="6">
        <f>SUMPRODUCT(N(Tabela3[Nome]=Tabela3[[#This Row],[Nome]]),Tabela3[Div Base]*Tabela3[Ações])</f>
        <v>0</v>
      </c>
      <c r="AM505" s="6">
        <f>Tabela3[Patrimônio Líquido]/Tabela3[Total Ações]</f>
        <v>32.444557999913073</v>
      </c>
      <c r="AN505" s="48">
        <f>MAX(Tabela3[[#This Row],[Cotação 1]:[Cotação 5]])</f>
        <v>24.18</v>
      </c>
      <c r="AO505" s="44">
        <f>Tabela3[Cotação]/Tabela3[VPA]</f>
        <v>0.74527136415496198</v>
      </c>
      <c r="AP505" s="40">
        <f>IF(Tabela3[[#This Row],[Lucro/Ação]]&gt;0,Tabela3[[#This Row],[Cotação]]/(Tabela3[[#This Row],[Lucro/Ação]]/Tabela3[Ref]*4),0)</f>
        <v>0</v>
      </c>
      <c r="AQ505" s="78">
        <f>Tabela3[Lucro Distribuir]/Tabela3[Total Ações]</f>
        <v>0</v>
      </c>
      <c r="AR505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505" s="15" t="str">
        <f>IF(AND(Tabela3[% A.A.]&gt;=6%,SUMPRODUCT(N(Tabela3[Nome]=Tabela3[[#This Row],[Nome]]),Tabela3[PL])&gt;0,Tabela3[Rentabilidade s/ PL]&gt;=Tabela3[Rentabilidade s/ PL Média]),"Sim","Não")</f>
        <v>Não</v>
      </c>
      <c r="AT505" s="42">
        <f>IF(Tabela3[Cotação]&gt;0,Tabela3[[#This Row],[Lucro]]/Tabela3[[#This Row],[Cotação]],0)</f>
        <v>0</v>
      </c>
      <c r="AU505" s="19">
        <f>((1+Tabela3[[#This Row],[% Yield]])^(1/(3*Tabela3[[#This Row],[Ref]])))^(12)-1</f>
        <v>0</v>
      </c>
      <c r="AV505" s="14">
        <f>IF(Tabela3[Cotação]&gt;0,($BD$1/Tabela3[[#This Row],[Cotação]]-MOD($BD$1/Tabela3[[#This Row],[Cotação]],100)),)</f>
        <v>0</v>
      </c>
      <c r="AW505" s="17">
        <f>Tabela3[[#This Row],[Ativos]]*Tabela3[Lucro]</f>
        <v>0</v>
      </c>
      <c r="AX505" s="5">
        <f>SUMPRODUCT(N(Tabela1[Código]=Tabela3[[#This Row],[PAPEL]]),Tabela1[Fechamento])</f>
        <v>24.18</v>
      </c>
      <c r="AY505" s="5">
        <f>SUMPRODUCT(N(Tabela17[Código]=Tabela3[[#This Row],[PAPEL]]),Tabela17[Fechamento])</f>
        <v>0</v>
      </c>
      <c r="AZ505" s="7">
        <f>SUMPRODUCT(N(Tabela176[Código]=Tabela3[[#This Row],[PAPEL]]),Tabela176[Fechamento])</f>
        <v>0</v>
      </c>
      <c r="BA505" s="7">
        <f>SUMPRODUCT(N(Tabela1768[Código]=Tabela3[[#This Row],[PAPEL]]),Tabela1768[Fechamento])</f>
        <v>0</v>
      </c>
      <c r="BB505" s="7">
        <f>SUMPRODUCT(N(Tabela17683[Código]=Tabela3[[#This Row],[PAPEL]]),Tabela17683[Fechamento])</f>
        <v>0</v>
      </c>
    </row>
    <row r="506" spans="1:54" hidden="1" x14ac:dyDescent="0.2">
      <c r="A506" s="4" t="s">
        <v>239</v>
      </c>
      <c r="B506" s="57" t="s">
        <v>610</v>
      </c>
      <c r="C506" s="15" t="str">
        <f>LEFT(Tabela3[PAPEL],LEN(Tabela3[PAPEL])-(LEN(Tabela3[PAPEL])-4))</f>
        <v>USIM</v>
      </c>
      <c r="D506" s="15">
        <v>4</v>
      </c>
      <c r="E506" s="6">
        <v>12150000000</v>
      </c>
      <c r="F506" s="8">
        <v>505786684</v>
      </c>
      <c r="G506" s="86">
        <v>0.25</v>
      </c>
      <c r="H506" s="15"/>
      <c r="I506" s="19"/>
      <c r="J506" s="19"/>
      <c r="K506" s="88"/>
      <c r="L506" s="88"/>
      <c r="M506" s="55"/>
      <c r="N506" s="55"/>
      <c r="O506" s="55"/>
      <c r="P506" s="92">
        <v>16711908000</v>
      </c>
      <c r="Q506" s="93">
        <v>-141678000</v>
      </c>
      <c r="R506" s="93">
        <f>IF(Tabela3[[#This Row],[Ativo || Passivo]]&gt;0,Tabela3[[#This Row],[Ativo || Passivo]]-Tabela3[[#This Row],[Patrimônio Líquido]],0)</f>
        <v>0</v>
      </c>
      <c r="S506" s="93">
        <f>Tabela3[[#This Row],[Cotação]]*Tabela3[[#This Row],[Total Ações]]</f>
        <v>9696824536.3999996</v>
      </c>
      <c r="T506" s="40">
        <f>IF(Tabela3[[#This Row],[Passivo Circulante]]&gt;0,Tabela3[[#This Row],[Ativo Circulante]]/Tabela3[[#This Row],[Passivo Circulante]],0)</f>
        <v>0</v>
      </c>
      <c r="U506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506" s="19">
        <f>IF(Tabela3[[#This Row],[Lucro Líquido]]&gt;0,Tabela3[[#This Row],[Lucro Líquido]]/Tabela3[[#This Row],[Patrimônio Líquido]],0)</f>
        <v>0</v>
      </c>
      <c r="W506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506" s="19">
        <f>IF(Tabela3[[#This Row],[Dívida]]&gt;0,Tabela3[[#This Row],[Dívida]]/Tabela3[[#This Row],[Patrimônio Líquido]],0)</f>
        <v>0</v>
      </c>
      <c r="Y506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506" s="13">
        <f>Tabela3[[#This Row],[Capital Social]]*20%</f>
        <v>2430000000</v>
      </c>
      <c r="AA506" s="13">
        <f>IF((Tabela3[Lucro Líquido]*5%)&gt;Tabela3[Teto R. Legal],Tabela3[Teto R. Legal],Tabela3[Lucro Líquido]*5%)</f>
        <v>-7083900</v>
      </c>
      <c r="AB506" s="13">
        <f>IF(Tabela3[Lucro Líquido]&lt;0,0,Tabela3[Lucro Líquido]-Tabela3[Reserva Legal])</f>
        <v>0</v>
      </c>
      <c r="AC506" s="13">
        <f>Tabela3[[#This Row],[Lucro Distribuir]]*Tabela3[%Div]</f>
        <v>0</v>
      </c>
      <c r="AD506" s="56">
        <f>SUMPRODUCT(N(Tabela3[Nome]=Tabela3[[#This Row],[Nome]]),Tabela3[Ações])</f>
        <v>1014312190</v>
      </c>
      <c r="AE506" s="6">
        <f>Tabela3[Capital Social]/Tabela3[Total Ações]</f>
        <v>11.978560565263443</v>
      </c>
      <c r="AF506" s="78">
        <f>Tabela3[[#This Row],[Lucro Líquido]]/Tabela3[[#This Row],[Total Ações]]</f>
        <v>-0.13967888919879787</v>
      </c>
      <c r="AG506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506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506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506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506" s="13">
        <f>Tabela3[Div Base]*Tabela3[Ações]</f>
        <v>0</v>
      </c>
      <c r="AL506" s="13">
        <f>SUMPRODUCT(N(Tabela3[Nome]=Tabela3[[#This Row],[Nome]]),Tabela3[Div Base]*Tabela3[Ações])</f>
        <v>0</v>
      </c>
      <c r="AM506" s="6">
        <f>Tabela3[Patrimônio Líquido]/Tabela3[Total Ações]</f>
        <v>16.476098941490587</v>
      </c>
      <c r="AN506" s="48">
        <f>MAX(Tabela3[[#This Row],[Cotação 1]:[Cotação 5]])</f>
        <v>9.56</v>
      </c>
      <c r="AO506" s="44">
        <f>Tabela3[Cotação]/Tabela3[VPA]</f>
        <v>0.58023443740834391</v>
      </c>
      <c r="AP506" s="40">
        <f>IF(Tabela3[[#This Row],[Lucro/Ação]]&gt;0,Tabela3[[#This Row],[Cotação]]/(Tabela3[[#This Row],[Lucro/Ação]]/Tabela3[Ref]*4),0)</f>
        <v>0</v>
      </c>
      <c r="AQ506" s="78">
        <f>Tabela3[Lucro Distribuir]/Tabela3[Total Ações]</f>
        <v>0</v>
      </c>
      <c r="AR506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506" s="14" t="str">
        <f>IF(AND(Tabela3[% A.A.]&gt;=6%,SUMPRODUCT(N(Tabela3[Nome]=Tabela3[[#This Row],[Nome]]),Tabela3[PL])&gt;0,Tabela3[Rentabilidade s/ PL]&gt;=Tabela3[Rentabilidade s/ PL Média]),"Sim","Não")</f>
        <v>Não</v>
      </c>
      <c r="AT506" s="42">
        <f>IF(Tabela3[Cotação]&gt;0,Tabela3[[#This Row],[Lucro]]/Tabela3[[#This Row],[Cotação]],0)</f>
        <v>0</v>
      </c>
      <c r="AU506" s="42">
        <f>((1+Tabela3[[#This Row],[% Yield]])^(1/(3*Tabela3[[#This Row],[Ref]])))^(12)-1</f>
        <v>0</v>
      </c>
      <c r="AV506" s="14">
        <f>IF(Tabela3[Cotação]&gt;0,($BC$1/Tabela3[[#This Row],[Cotação]]-MOD($BC$1/Tabela3[[#This Row],[Cotação]],100)),)</f>
        <v>0</v>
      </c>
      <c r="AW506" s="17">
        <f>Tabela3[[#This Row],[Ativos]]*Tabela3[Lucro]</f>
        <v>0</v>
      </c>
      <c r="AX506" s="17">
        <f>SUMPRODUCT(N(Tabela1[Código]=Tabela3[[#This Row],[PAPEL]]),Tabela1[Fechamento])</f>
        <v>0</v>
      </c>
      <c r="AY506" s="17">
        <f>SUMPRODUCT(N(Tabela17[Código]=Tabela3[[#This Row],[PAPEL]]),Tabela17[Fechamento])</f>
        <v>0</v>
      </c>
      <c r="AZ506" s="17">
        <f>SUMPRODUCT(N(Tabela176[Código]=Tabela3[[#This Row],[PAPEL]]),Tabela176[Fechamento])</f>
        <v>9.56</v>
      </c>
      <c r="BA506" s="17">
        <f>SUMPRODUCT(N(Tabela1768[Código]=Tabela3[[#This Row],[PAPEL]]),Tabela1768[Fechamento])</f>
        <v>0</v>
      </c>
      <c r="BB506" s="7">
        <f>SUMPRODUCT(N(Tabela17683[Código]=Tabela3[[#This Row],[PAPEL]]),Tabela17683[Fechamento])</f>
        <v>0</v>
      </c>
    </row>
    <row r="507" spans="1:54" hidden="1" x14ac:dyDescent="0.2">
      <c r="A507" s="4" t="s">
        <v>239</v>
      </c>
      <c r="B507" s="57" t="s">
        <v>611</v>
      </c>
      <c r="C507" s="15" t="str">
        <f>LEFT(Tabela3[PAPEL],LEN(Tabela3[PAPEL])-(LEN(Tabela3[PAPEL])-4))</f>
        <v>USIM</v>
      </c>
      <c r="D507" s="15">
        <v>4</v>
      </c>
      <c r="E507" s="6">
        <v>12150000000</v>
      </c>
      <c r="F507" s="8">
        <v>508438474</v>
      </c>
      <c r="G507" s="86">
        <v>0.25</v>
      </c>
      <c r="H507" s="15"/>
      <c r="I507" s="19"/>
      <c r="J507" s="19">
        <v>0.1</v>
      </c>
      <c r="K507" s="88"/>
      <c r="L507" s="88"/>
      <c r="M507" s="55"/>
      <c r="N507" s="55"/>
      <c r="O507" s="55"/>
      <c r="P507" s="92">
        <v>16711908000</v>
      </c>
      <c r="Q507" s="93">
        <v>-141678000</v>
      </c>
      <c r="R507" s="93">
        <f>IF(Tabela3[[#This Row],[Ativo || Passivo]]&gt;0,Tabela3[[#This Row],[Ativo || Passivo]]-Tabela3[[#This Row],[Patrimônio Líquido]],0)</f>
        <v>0</v>
      </c>
      <c r="S507" s="93">
        <f>Tabela3[[#This Row],[Cotação]]*Tabela3[[#This Row],[Total Ações]]</f>
        <v>10437272435.099998</v>
      </c>
      <c r="T507" s="40">
        <f>IF(Tabela3[[#This Row],[Passivo Circulante]]&gt;0,Tabela3[[#This Row],[Ativo Circulante]]/Tabela3[[#This Row],[Passivo Circulante]],0)</f>
        <v>0</v>
      </c>
      <c r="U507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507" s="19">
        <f>IF(Tabela3[[#This Row],[Lucro Líquido]]&gt;0,Tabela3[[#This Row],[Lucro Líquido]]/Tabela3[[#This Row],[Patrimônio Líquido]],0)</f>
        <v>0</v>
      </c>
      <c r="W507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507" s="19">
        <f>IF(Tabela3[[#This Row],[Dívida]]&gt;0,Tabela3[[#This Row],[Dívida]]/Tabela3[[#This Row],[Patrimônio Líquido]],0)</f>
        <v>0</v>
      </c>
      <c r="Y507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507" s="13">
        <f>Tabela3[[#This Row],[Capital Social]]*20%</f>
        <v>2430000000</v>
      </c>
      <c r="AA507" s="13">
        <f>IF((Tabela3[Lucro Líquido]*5%)&gt;Tabela3[Teto R. Legal],Tabela3[Teto R. Legal],Tabela3[Lucro Líquido]*5%)</f>
        <v>-7083900</v>
      </c>
      <c r="AB507" s="13">
        <f>IF(Tabela3[Lucro Líquido]&lt;0,0,Tabela3[Lucro Líquido]-Tabela3[Reserva Legal])</f>
        <v>0</v>
      </c>
      <c r="AC507" s="13">
        <f>Tabela3[[#This Row],[Lucro Distribuir]]*Tabela3[%Div]</f>
        <v>0</v>
      </c>
      <c r="AD507" s="56">
        <f>SUMPRODUCT(N(Tabela3[Nome]=Tabela3[[#This Row],[Nome]]),Tabela3[Ações])</f>
        <v>1014312190</v>
      </c>
      <c r="AE507" s="6">
        <f>Tabela3[Capital Social]/Tabela3[Total Ações]</f>
        <v>11.978560565263443</v>
      </c>
      <c r="AF507" s="78">
        <f>Tabela3[[#This Row],[Lucro Líquido]]/Tabela3[[#This Row],[Total Ações]]</f>
        <v>-0.13967888919879787</v>
      </c>
      <c r="AG507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507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507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507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507" s="13">
        <f>Tabela3[Div Base]*Tabela3[Ações]</f>
        <v>0</v>
      </c>
      <c r="AL507" s="13">
        <f>SUMPRODUCT(N(Tabela3[Nome]=Tabela3[[#This Row],[Nome]]),Tabela3[Div Base]*Tabela3[Ações])</f>
        <v>0</v>
      </c>
      <c r="AM507" s="6">
        <f>Tabela3[Patrimônio Líquido]/Tabela3[Total Ações]</f>
        <v>16.476098941490587</v>
      </c>
      <c r="AN507" s="48">
        <f>MAX(Tabela3[[#This Row],[Cotação 1]:[Cotação 5]])</f>
        <v>10.29</v>
      </c>
      <c r="AO507" s="44">
        <f>Tabela3[Cotação]/Tabela3[VPA]</f>
        <v>0.62454104193847881</v>
      </c>
      <c r="AP507" s="40">
        <f>IF(Tabela3[[#This Row],[Lucro/Ação]]&gt;0,Tabela3[[#This Row],[Cotação]]/(Tabela3[[#This Row],[Lucro/Ação]]/Tabela3[Ref]*4),0)</f>
        <v>0</v>
      </c>
      <c r="AQ507" s="78">
        <f>Tabela3[Lucro Distribuir]/Tabela3[Total Ações]</f>
        <v>0</v>
      </c>
      <c r="AR507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507" s="14" t="str">
        <f>IF(AND(Tabela3[% A.A.]&gt;=6%,SUMPRODUCT(N(Tabela3[Nome]=Tabela3[[#This Row],[Nome]]),Tabela3[PL])&gt;0,Tabela3[Rentabilidade s/ PL]&gt;=Tabela3[Rentabilidade s/ PL Média]),"Sim","Não")</f>
        <v>Não</v>
      </c>
      <c r="AT507" s="42">
        <f>IF(Tabela3[Cotação]&gt;0,Tabela3[[#This Row],[Lucro]]/Tabela3[[#This Row],[Cotação]],0)</f>
        <v>0</v>
      </c>
      <c r="AU507" s="42">
        <f>((1+Tabela3[[#This Row],[% Yield]])^(1/(3*Tabela3[[#This Row],[Ref]])))^(12)-1</f>
        <v>0</v>
      </c>
      <c r="AV507" s="14">
        <f>IF(Tabela3[Cotação]&gt;0,($BC$1/Tabela3[[#This Row],[Cotação]]-MOD($BC$1/Tabela3[[#This Row],[Cotação]],100)),)</f>
        <v>0</v>
      </c>
      <c r="AW507" s="17">
        <f>Tabela3[[#This Row],[Ativos]]*Tabela3[Lucro]</f>
        <v>0</v>
      </c>
      <c r="AX507" s="17">
        <f>SUMPRODUCT(N(Tabela1[Código]=Tabela3[[#This Row],[PAPEL]]),Tabela1[Fechamento])</f>
        <v>0</v>
      </c>
      <c r="AY507" s="17">
        <f>SUMPRODUCT(N(Tabela17[Código]=Tabela3[[#This Row],[PAPEL]]),Tabela17[Fechamento])</f>
        <v>0</v>
      </c>
      <c r="AZ507" s="17">
        <f>SUMPRODUCT(N(Tabela176[Código]=Tabela3[[#This Row],[PAPEL]]),Tabela176[Fechamento])</f>
        <v>10.29</v>
      </c>
      <c r="BA507" s="17">
        <f>SUMPRODUCT(N(Tabela1768[Código]=Tabela3[[#This Row],[PAPEL]]),Tabela1768[Fechamento])</f>
        <v>0</v>
      </c>
      <c r="BB507" s="7">
        <f>SUMPRODUCT(N(Tabela17683[Código]=Tabela3[[#This Row],[PAPEL]]),Tabela17683[Fechamento])</f>
        <v>0</v>
      </c>
    </row>
    <row r="508" spans="1:54" hidden="1" x14ac:dyDescent="0.2">
      <c r="A508" s="4" t="s">
        <v>239</v>
      </c>
      <c r="B508" s="57" t="s">
        <v>612</v>
      </c>
      <c r="C508" s="15" t="str">
        <f>LEFT(Tabela3[PAPEL],LEN(Tabela3[PAPEL])-(LEN(Tabela3[PAPEL])-4))</f>
        <v>USIM</v>
      </c>
      <c r="D508" s="15">
        <v>4</v>
      </c>
      <c r="E508" s="6">
        <v>12150000000</v>
      </c>
      <c r="F508" s="8">
        <v>87032</v>
      </c>
      <c r="G508" s="86">
        <v>0.25</v>
      </c>
      <c r="H508" s="15"/>
      <c r="I508" s="19"/>
      <c r="J508" s="19">
        <v>0.1</v>
      </c>
      <c r="K508" s="88"/>
      <c r="L508" s="88"/>
      <c r="M508" s="55"/>
      <c r="N508" s="55"/>
      <c r="O508" s="55"/>
      <c r="P508" s="92">
        <v>16711908000</v>
      </c>
      <c r="Q508" s="93">
        <v>-141678000</v>
      </c>
      <c r="R508" s="93">
        <f>IF(Tabela3[[#This Row],[Ativo || Passivo]]&gt;0,Tabela3[[#This Row],[Ativo || Passivo]]-Tabela3[[#This Row],[Patrimônio Líquido]],0)</f>
        <v>0</v>
      </c>
      <c r="S508" s="93">
        <f>Tabela3[[#This Row],[Cotação]]*Tabela3[[#This Row],[Total Ações]]</f>
        <v>11289294674.700001</v>
      </c>
      <c r="T508" s="40">
        <f>IF(Tabela3[[#This Row],[Passivo Circulante]]&gt;0,Tabela3[[#This Row],[Ativo Circulante]]/Tabela3[[#This Row],[Passivo Circulante]],0)</f>
        <v>0</v>
      </c>
      <c r="U508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508" s="19">
        <f>IF(Tabela3[[#This Row],[Lucro Líquido]]&gt;0,Tabela3[[#This Row],[Lucro Líquido]]/Tabela3[[#This Row],[Patrimônio Líquido]],0)</f>
        <v>0</v>
      </c>
      <c r="W508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508" s="19">
        <f>IF(Tabela3[[#This Row],[Dívida]]&gt;0,Tabela3[[#This Row],[Dívida]]/Tabela3[[#This Row],[Patrimônio Líquido]],0)</f>
        <v>0</v>
      </c>
      <c r="Y508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508" s="13">
        <f>Tabela3[[#This Row],[Capital Social]]*20%</f>
        <v>2430000000</v>
      </c>
      <c r="AA508" s="13">
        <f>IF((Tabela3[Lucro Líquido]*5%)&gt;Tabela3[Teto R. Legal],Tabela3[Teto R. Legal],Tabela3[Lucro Líquido]*5%)</f>
        <v>-7083900</v>
      </c>
      <c r="AB508" s="13">
        <f>IF(Tabela3[Lucro Líquido]&lt;0,0,Tabela3[Lucro Líquido]-Tabela3[Reserva Legal])</f>
        <v>0</v>
      </c>
      <c r="AC508" s="13">
        <f>Tabela3[[#This Row],[Lucro Distribuir]]*Tabela3[%Div]</f>
        <v>0</v>
      </c>
      <c r="AD508" s="56">
        <f>SUMPRODUCT(N(Tabela3[Nome]=Tabela3[[#This Row],[Nome]]),Tabela3[Ações])</f>
        <v>1014312190</v>
      </c>
      <c r="AE508" s="6">
        <f>Tabela3[Capital Social]/Tabela3[Total Ações]</f>
        <v>11.978560565263443</v>
      </c>
      <c r="AF508" s="78">
        <f>Tabela3[[#This Row],[Lucro Líquido]]/Tabela3[[#This Row],[Total Ações]]</f>
        <v>-0.13967888919879787</v>
      </c>
      <c r="AG508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508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508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508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508" s="13">
        <f>Tabela3[Div Base]*Tabela3[Ações]</f>
        <v>0</v>
      </c>
      <c r="AL508" s="13">
        <f>SUMPRODUCT(N(Tabela3[Nome]=Tabela3[[#This Row],[Nome]]),Tabela3[Div Base]*Tabela3[Ações])</f>
        <v>0</v>
      </c>
      <c r="AM508" s="6">
        <f>Tabela3[Patrimônio Líquido]/Tabela3[Total Ações]</f>
        <v>16.476098941490587</v>
      </c>
      <c r="AN508" s="48">
        <f>MAX(Tabela3[[#This Row],[Cotação 1]:[Cotação 5]])</f>
        <v>11.13</v>
      </c>
      <c r="AO508" s="44">
        <f>Tabela3[Cotação]/Tabela3[VPA]</f>
        <v>0.67552398413753845</v>
      </c>
      <c r="AP508" s="40">
        <f>IF(Tabela3[[#This Row],[Lucro/Ação]]&gt;0,Tabela3[[#This Row],[Cotação]]/(Tabela3[[#This Row],[Lucro/Ação]]/Tabela3[Ref]*4),0)</f>
        <v>0</v>
      </c>
      <c r="AQ508" s="78">
        <f>Tabela3[Lucro Distribuir]/Tabela3[Total Ações]</f>
        <v>0</v>
      </c>
      <c r="AR508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508" s="14" t="str">
        <f>IF(AND(Tabela3[% A.A.]&gt;=6%,SUMPRODUCT(N(Tabela3[Nome]=Tabela3[[#This Row],[Nome]]),Tabela3[PL])&gt;0,Tabela3[Rentabilidade s/ PL]&gt;=Tabela3[Rentabilidade s/ PL Média]),"Sim","Não")</f>
        <v>Não</v>
      </c>
      <c r="AT508" s="42">
        <f>IF(Tabela3[Cotação]&gt;0,Tabela3[[#This Row],[Lucro]]/Tabela3[[#This Row],[Cotação]],0)</f>
        <v>0</v>
      </c>
      <c r="AU508" s="42">
        <f>((1+Tabela3[[#This Row],[% Yield]])^(1/(3*Tabela3[[#This Row],[Ref]])))^(12)-1</f>
        <v>0</v>
      </c>
      <c r="AV508" s="14">
        <f>IF(Tabela3[Cotação]&gt;0,($BC$1/Tabela3[[#This Row],[Cotação]]-MOD($BC$1/Tabela3[[#This Row],[Cotação]],100)),)</f>
        <v>0</v>
      </c>
      <c r="AW508" s="17">
        <f>Tabela3[[#This Row],[Ativos]]*Tabela3[Lucro]</f>
        <v>0</v>
      </c>
      <c r="AX508" s="17">
        <f>SUMPRODUCT(N(Tabela1[Código]=Tabela3[[#This Row],[PAPEL]]),Tabela1[Fechamento])</f>
        <v>0</v>
      </c>
      <c r="AY508" s="17">
        <f>SUMPRODUCT(N(Tabela17[Código]=Tabela3[[#This Row],[PAPEL]]),Tabela17[Fechamento])</f>
        <v>0</v>
      </c>
      <c r="AZ508" s="17">
        <f>SUMPRODUCT(N(Tabela176[Código]=Tabela3[[#This Row],[PAPEL]]),Tabela176[Fechamento])</f>
        <v>11.13</v>
      </c>
      <c r="BA508" s="17">
        <f>SUMPRODUCT(N(Tabela1768[Código]=Tabela3[[#This Row],[PAPEL]]),Tabela1768[Fechamento])</f>
        <v>0</v>
      </c>
      <c r="BB508" s="7">
        <f>SUMPRODUCT(N(Tabela17683[Código]=Tabela3[[#This Row],[PAPEL]]),Tabela17683[Fechamento])</f>
        <v>0</v>
      </c>
    </row>
    <row r="509" spans="1:54" hidden="1" x14ac:dyDescent="0.2">
      <c r="A509" s="3" t="s">
        <v>886</v>
      </c>
      <c r="B509" s="58" t="s">
        <v>885</v>
      </c>
      <c r="C509" s="16" t="str">
        <f>LEFT(Tabela3[PAPEL],LEN(Tabela3[PAPEL])-(LEN(Tabela3[PAPEL])-4))</f>
        <v>VAGR</v>
      </c>
      <c r="D509" s="16">
        <v>3</v>
      </c>
      <c r="E509" s="5">
        <v>2578353582.6799998</v>
      </c>
      <c r="F509" s="56">
        <v>387423556</v>
      </c>
      <c r="G509" s="81">
        <v>0.25</v>
      </c>
      <c r="H509" s="87"/>
      <c r="J509" s="18"/>
      <c r="K509" s="16"/>
      <c r="L509" s="87"/>
      <c r="M509" s="54"/>
      <c r="N509" s="54"/>
      <c r="O509" s="54"/>
      <c r="P509" s="91">
        <v>1338545000</v>
      </c>
      <c r="Q509" s="73">
        <v>-179052000</v>
      </c>
      <c r="R509" s="73">
        <f>IF(Tabela3[[#This Row],[Ativo || Passivo]]&gt;0,Tabela3[[#This Row],[Ativo || Passivo]]-Tabela3[[#This Row],[Patrimônio Líquido]],0)</f>
        <v>0</v>
      </c>
      <c r="S509" s="73">
        <f>Tabela3[[#This Row],[Cotação]]*Tabela3[[#This Row],[Total Ações]]</f>
        <v>1197138788.04</v>
      </c>
      <c r="T509" s="37">
        <f>IF(Tabela3[[#This Row],[Passivo Circulante]]&gt;0,Tabela3[[#This Row],[Ativo Circulante]]/Tabela3[[#This Row],[Passivo Circulante]],0)</f>
        <v>0</v>
      </c>
      <c r="U509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509" s="18">
        <f>IF(Tabela3[[#This Row],[Lucro Líquido]]&gt;0,Tabela3[[#This Row],[Lucro Líquido]]/Tabela3[[#This Row],[Patrimônio Líquido]],0)</f>
        <v>0</v>
      </c>
      <c r="W509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509" s="18">
        <f>IF(Tabela3[[#This Row],[Dívida]]&gt;0,Tabela3[[#This Row],[Dívida]]/Tabela3[[#This Row],[Patrimônio Líquido]],0)</f>
        <v>0</v>
      </c>
      <c r="Y509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509" s="7">
        <f>Tabela3[[#This Row],[Capital Social]]*20%</f>
        <v>515670716.53600001</v>
      </c>
      <c r="AA509" s="47">
        <f>IF((Tabela3[Lucro Líquido]*5%)&gt;Tabela3[Teto R. Legal],Tabela3[Teto R. Legal],Tabela3[Lucro Líquido]*5%)</f>
        <v>-8952600</v>
      </c>
      <c r="AB509" s="47">
        <f>IF(Tabela3[Lucro Líquido]&lt;0,0,Tabela3[Lucro Líquido]-Tabela3[Reserva Legal])</f>
        <v>0</v>
      </c>
      <c r="AC509" s="47">
        <f>Tabela3[[#This Row],[Lucro Distribuir]]*Tabela3[%Div]</f>
        <v>0</v>
      </c>
      <c r="AD509" s="56">
        <f>SUMPRODUCT(N(Tabela3[Nome]=Tabela3[[#This Row],[Nome]]),Tabela3[Ações])</f>
        <v>387423556</v>
      </c>
      <c r="AE509" s="85">
        <f>Tabela3[Capital Social]/Tabela3[Total Ações]</f>
        <v>6.6551285866572343</v>
      </c>
      <c r="AF509" s="85">
        <f>Tabela3[[#This Row],[Lucro Líquido]]/Tabela3[[#This Row],[Total Ações]]</f>
        <v>-0.46216085012652147</v>
      </c>
      <c r="AG509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509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509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509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509" s="7">
        <f>Tabela3[Div Base]*Tabela3[Ações]</f>
        <v>0</v>
      </c>
      <c r="AL509" s="7">
        <f>SUMPRODUCT(N(Tabela3[Nome]=Tabela3[[#This Row],[Nome]]),Tabela3[Div Base]*Tabela3[Ações])</f>
        <v>0</v>
      </c>
      <c r="AM509" s="5">
        <f>Tabela3[Patrimônio Líquido]/Tabela3[Total Ações]</f>
        <v>3.4549912602629664</v>
      </c>
      <c r="AN509" s="52">
        <f>MAX(Tabela3[[#This Row],[Cotação 1]:[Cotação 5]])</f>
        <v>3.09</v>
      </c>
      <c r="AO509" s="53">
        <f>Tabela3[Cotação]/Tabela3[VPA]</f>
        <v>0.89435826814937114</v>
      </c>
      <c r="AP509" s="37">
        <f>IF(Tabela3[[#This Row],[Lucro/Ação]]&gt;0,Tabela3[[#This Row],[Cotação]]/(Tabela3[[#This Row],[Lucro/Ação]]/Tabela3[Ref]*4),0)</f>
        <v>0</v>
      </c>
      <c r="AQ509" s="85">
        <f>Tabela3[Lucro Distribuir]/Tabela3[Total Ações]</f>
        <v>0</v>
      </c>
      <c r="AR509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509" s="10" t="str">
        <f>IF(AND(Tabela3[% A.A.]&gt;=6%,SUMPRODUCT(N(Tabela3[Nome]=Tabela3[[#This Row],[Nome]]),Tabela3[PL])&gt;0,Tabela3[Rentabilidade s/ PL]&gt;=Tabela3[Rentabilidade s/ PL Média]),"Sim","Não")</f>
        <v>Não</v>
      </c>
      <c r="AT509" s="22">
        <f>IF(Tabela3[Cotação]&gt;0,Tabela3[[#This Row],[Lucro]]/Tabela3[[#This Row],[Cotação]],0)</f>
        <v>0</v>
      </c>
      <c r="AU509" s="22">
        <f>((1+Tabela3[[#This Row],[% Yield]])^(1/(3*Tabela3[[#This Row],[Ref]])))^(12)-1</f>
        <v>0</v>
      </c>
      <c r="AV509" s="10">
        <f>IF(Tabela3[Cotação]&gt;0,($BC$1/Tabela3[[#This Row],[Cotação]]-MOD($BC$1/Tabela3[[#This Row],[Cotação]],100)),)</f>
        <v>0</v>
      </c>
      <c r="AW509" s="7">
        <f>Tabela3[[#This Row],[Ativos]]*Tabela3[Lucro]</f>
        <v>0</v>
      </c>
      <c r="AX509" s="7">
        <f>SUMPRODUCT(N(Tabela1[Código]=Tabela3[[#This Row],[PAPEL]]),Tabela1[Fechamento])</f>
        <v>0</v>
      </c>
      <c r="AY509" s="7">
        <f>SUMPRODUCT(N(Tabela17[Código]=Tabela3[[#This Row],[PAPEL]]),Tabela17[Fechamento])</f>
        <v>0</v>
      </c>
      <c r="AZ509" s="7">
        <f>SUMPRODUCT(N(Tabela176[Código]=Tabela3[[#This Row],[PAPEL]]),Tabela176[Fechamento])</f>
        <v>0</v>
      </c>
      <c r="BA509" s="7">
        <f>SUMPRODUCT(N(Tabela1768[Código]=Tabela3[[#This Row],[PAPEL]]),Tabela1768[Fechamento])</f>
        <v>3.09</v>
      </c>
      <c r="BB509" s="7">
        <f>SUMPRODUCT(N(Tabela17683[Código]=Tabela3[[#This Row],[PAPEL]]),Tabela17683[Fechamento])</f>
        <v>0</v>
      </c>
    </row>
    <row r="510" spans="1:54" hidden="1" x14ac:dyDescent="0.2">
      <c r="A510" s="3" t="s">
        <v>1330</v>
      </c>
      <c r="B510" s="57" t="s">
        <v>1369</v>
      </c>
      <c r="C510" s="16" t="str">
        <f>LEFT(Tabela3[PAPEL],LEN(Tabela3[PAPEL])-(LEN(Tabela3[PAPEL])-4))</f>
        <v>VIVR</v>
      </c>
      <c r="D510" s="16">
        <v>3</v>
      </c>
      <c r="E510" s="5">
        <v>1295915254.25</v>
      </c>
      <c r="F510" s="56">
        <v>335309452</v>
      </c>
      <c r="G510" s="81">
        <v>0.25</v>
      </c>
      <c r="H510" s="87"/>
      <c r="J510" s="18"/>
      <c r="K510" s="16"/>
      <c r="L510" s="87"/>
      <c r="M510" s="54"/>
      <c r="N510" s="54"/>
      <c r="O510" s="54"/>
      <c r="P510" s="91">
        <v>430386000</v>
      </c>
      <c r="Q510" s="73">
        <v>-158978000</v>
      </c>
      <c r="R510" s="73">
        <f>IF(Tabela3[[#This Row],[Ativo || Passivo]]&gt;0,Tabela3[[#This Row],[Ativo || Passivo]]-Tabela3[[#This Row],[Patrimônio Líquido]],0)</f>
        <v>0</v>
      </c>
      <c r="S510" s="73">
        <f>Tabela3[[#This Row],[Cotação]]*Tabela3[[#This Row],[Total Ações]]</f>
        <v>57002606.840000004</v>
      </c>
      <c r="T510" s="37">
        <f>IF(Tabela3[[#This Row],[Passivo Circulante]]&gt;0,Tabela3[[#This Row],[Ativo Circulante]]/Tabela3[[#This Row],[Passivo Circulante]],0)</f>
        <v>0</v>
      </c>
      <c r="U510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510" s="18">
        <f>IF(Tabela3[[#This Row],[Lucro Líquido]]&gt;0,Tabela3[[#This Row],[Lucro Líquido]]/Tabela3[[#This Row],[Patrimônio Líquido]],0)</f>
        <v>0</v>
      </c>
      <c r="W510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510" s="18">
        <f>IF(Tabela3[[#This Row],[Dívida]]&gt;0,Tabela3[[#This Row],[Dívida]]/Tabela3[[#This Row],[Patrimônio Líquido]],0)</f>
        <v>0</v>
      </c>
      <c r="Y510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510" s="7">
        <f>Tabela3[[#This Row],[Capital Social]]*20%</f>
        <v>259183050.85000002</v>
      </c>
      <c r="AA510" s="47">
        <f>IF((Tabela3[Lucro Líquido]*5%)&gt;Tabela3[Teto R. Legal],Tabela3[Teto R. Legal],Tabela3[Lucro Líquido]*5%)</f>
        <v>-7948900</v>
      </c>
      <c r="AB510" s="47">
        <f>IF(Tabela3[Lucro Líquido]&lt;0,0,Tabela3[Lucro Líquido]-Tabela3[Reserva Legal])</f>
        <v>0</v>
      </c>
      <c r="AC510" s="47">
        <f>Tabela3[[#This Row],[Lucro Distribuir]]*Tabela3[%Div]</f>
        <v>0</v>
      </c>
      <c r="AD510" s="56">
        <f>SUMPRODUCT(N(Tabela3[Nome]=Tabela3[[#This Row],[Nome]]),Tabela3[Ações])</f>
        <v>335309452</v>
      </c>
      <c r="AE510" s="85">
        <f>Tabela3[Capital Social]/Tabela3[Total Ações]</f>
        <v>3.8648336529743874</v>
      </c>
      <c r="AF510" s="85">
        <f>Tabela3[[#This Row],[Lucro Líquido]]/Tabela3[[#This Row],[Total Ações]]</f>
        <v>-0.47412322871232393</v>
      </c>
      <c r="AG510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510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510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510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510" s="7">
        <f>Tabela3[Div Base]*Tabela3[Ações]</f>
        <v>0</v>
      </c>
      <c r="AL510" s="121">
        <f>SUMPRODUCT(N(Tabela3[Nome]=Tabela3[[#This Row],[Nome]]),Tabela3[Div Base]*Tabela3[Ações])</f>
        <v>0</v>
      </c>
      <c r="AM510" s="5">
        <f>Tabela3[Patrimônio Líquido]/Tabela3[Total Ações]</f>
        <v>1.2835486665612994</v>
      </c>
      <c r="AN510" s="52">
        <f>MAX(Tabela3[[#This Row],[Cotação 1]:[Cotação 5]])</f>
        <v>0.17</v>
      </c>
      <c r="AO510" s="53">
        <f>Tabela3[Cotação]/Tabela3[VPA]</f>
        <v>0.1324453091875665</v>
      </c>
      <c r="AP510" s="37">
        <f>IF(Tabela3[[#This Row],[Lucro/Ação]]&gt;0,Tabela3[[#This Row],[Cotação]]/(Tabela3[[#This Row],[Lucro/Ação]]/Tabela3[Ref]*4),0)</f>
        <v>0</v>
      </c>
      <c r="AQ510" s="85">
        <f>Tabela3[Lucro Distribuir]/Tabela3[Total Ações]</f>
        <v>0</v>
      </c>
      <c r="AR510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510" s="10" t="str">
        <f>IF(AND(Tabela3[% A.A.]&gt;=6%,SUMPRODUCT(N(Tabela3[Nome]=Tabela3[[#This Row],[Nome]]),Tabela3[PL])&gt;0,Tabela3[Rentabilidade s/ PL]&gt;=Tabela3[Rentabilidade s/ PL Média]),"Sim","Não")</f>
        <v>Não</v>
      </c>
      <c r="AT510" s="22">
        <f>IF(Tabela3[Cotação]&gt;0,Tabela3[[#This Row],[Lucro]]/Tabela3[[#This Row],[Cotação]],0)</f>
        <v>0</v>
      </c>
      <c r="AU510" s="22">
        <f>((1+Tabela3[[#This Row],[% Yield]])^(1/(3*Tabela3[[#This Row],[Ref]])))^(12)-1</f>
        <v>0</v>
      </c>
      <c r="AV510" s="10">
        <f>IF(Tabela3[Cotação]&gt;0,($BC$1/Tabela3[[#This Row],[Cotação]]-MOD($BC$1/Tabela3[[#This Row],[Cotação]],100)),)</f>
        <v>0</v>
      </c>
      <c r="AW510" s="7">
        <f>Tabela3[[#This Row],[Ativos]]*Tabela3[Lucro]</f>
        <v>0</v>
      </c>
      <c r="AX510" s="7">
        <f>SUMPRODUCT(N(Tabela1[Código]=Tabela3[[#This Row],[PAPEL]]),Tabela1[Fechamento])</f>
        <v>0</v>
      </c>
      <c r="AY510" s="7">
        <f>SUMPRODUCT(N(Tabela17[Código]=Tabela3[[#This Row],[PAPEL]]),Tabela17[Fechamento])</f>
        <v>0</v>
      </c>
      <c r="AZ510" s="7">
        <f>SUMPRODUCT(N(Tabela176[Código]=Tabela3[[#This Row],[PAPEL]]),Tabela176[Fechamento])</f>
        <v>0</v>
      </c>
      <c r="BA510" s="7">
        <f>SUMPRODUCT(N(Tabela1768[Código]=Tabela3[[#This Row],[PAPEL]]),Tabela1768[Fechamento])</f>
        <v>0.17</v>
      </c>
      <c r="BB510" s="7">
        <f>SUMPRODUCT(N(Tabela17683[Código]=Tabela3[[#This Row],[PAPEL]]),Tabela17683[Fechamento])</f>
        <v>0</v>
      </c>
    </row>
    <row r="511" spans="1:54" hidden="1" x14ac:dyDescent="0.2">
      <c r="A511" s="3" t="s">
        <v>1498</v>
      </c>
      <c r="B511" s="57" t="s">
        <v>1500</v>
      </c>
      <c r="C511" s="16" t="str">
        <f>LEFT(Tabela3[PAPEL],LEN(Tabela3[PAPEL])-(LEN(Tabela3[PAPEL])-4))</f>
        <v>VSPT</v>
      </c>
      <c r="D511" s="16">
        <v>3</v>
      </c>
      <c r="E511" s="5">
        <v>1722965684.3399999</v>
      </c>
      <c r="F511" s="56">
        <v>210197577031248</v>
      </c>
      <c r="G511" s="81">
        <v>0.25</v>
      </c>
      <c r="H511" s="87"/>
      <c r="J511" s="18"/>
      <c r="K511" s="16"/>
      <c r="L511" s="87"/>
      <c r="M511" s="54"/>
      <c r="N511" s="54"/>
      <c r="O511" s="54"/>
      <c r="P511" s="91">
        <v>1228711000</v>
      </c>
      <c r="Q511" s="73">
        <v>-140764000</v>
      </c>
      <c r="R511" s="73">
        <f>IF(Tabela3[[#This Row],[Ativo || Passivo]]&gt;0,Tabela3[[#This Row],[Ativo || Passivo]]-Tabela3[[#This Row],[Patrimônio Líquido]],0)</f>
        <v>0</v>
      </c>
      <c r="S511" s="73">
        <f>Tabela3[[#This Row],[Cotação]]*Tabela3[[#This Row],[Total Ações]]</f>
        <v>630592931088780</v>
      </c>
      <c r="T511" s="37">
        <f>IF(Tabela3[[#This Row],[Passivo Circulante]]&gt;0,Tabela3[[#This Row],[Ativo Circulante]]/Tabela3[[#This Row],[Passivo Circulante]],0)</f>
        <v>0</v>
      </c>
      <c r="U511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511" s="18">
        <f>IF(Tabela3[[#This Row],[Lucro Líquido]]&gt;0,Tabela3[[#This Row],[Lucro Líquido]]/Tabela3[[#This Row],[Patrimônio Líquido]],0)</f>
        <v>0</v>
      </c>
      <c r="W511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511" s="18">
        <f>IF(Tabela3[[#This Row],[Dívida]]&gt;0,Tabela3[[#This Row],[Dívida]]/Tabela3[[#This Row],[Patrimônio Líquido]],0)</f>
        <v>0</v>
      </c>
      <c r="Y511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511" s="7">
        <f>Tabela3[[#This Row],[Capital Social]]*20%</f>
        <v>344593136.86800003</v>
      </c>
      <c r="AA511" s="47">
        <f>IF((Tabela3[Lucro Líquido]*5%)&gt;Tabela3[Teto R. Legal],Tabela3[Teto R. Legal],Tabela3[Lucro Líquido]*5%)</f>
        <v>-7038200</v>
      </c>
      <c r="AB511" s="47">
        <f>IF(Tabela3[Lucro Líquido]&lt;0,0,Tabela3[Lucro Líquido]-Tabela3[Reserva Legal])</f>
        <v>0</v>
      </c>
      <c r="AC511" s="47">
        <f>Tabela3[[#This Row],[Lucro Distribuir]]*Tabela3[%Div]</f>
        <v>0</v>
      </c>
      <c r="AD511" s="56">
        <f>SUMPRODUCT(N(Tabela3[Nome]=Tabela3[[#This Row],[Nome]]),Tabela3[Ações])</f>
        <v>210197643696260</v>
      </c>
      <c r="AE511" s="85">
        <f>Tabela3[Capital Social]/Tabela3[Total Ações]</f>
        <v>8.1968839138355012E-6</v>
      </c>
      <c r="AF511" s="85">
        <f>Tabela3[[#This Row],[Lucro Líquido]]/Tabela3[[#This Row],[Total Ações]]</f>
        <v>-6.6967449075407777E-7</v>
      </c>
      <c r="AG511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511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511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511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511" s="7">
        <f>Tabela3[Div Base]*Tabela3[Ações]</f>
        <v>0</v>
      </c>
      <c r="AL511" s="121">
        <f>SUMPRODUCT(N(Tabela3[Nome]=Tabela3[[#This Row],[Nome]]),Tabela3[Div Base]*Tabela3[Ações])</f>
        <v>11.690716240077828</v>
      </c>
      <c r="AM511" s="5">
        <f>Tabela3[Patrimônio Líquido]/Tabela3[Total Ações]</f>
        <v>5.8455032054284732E-6</v>
      </c>
      <c r="AN511" s="52">
        <f>MAX(Tabela3[[#This Row],[Cotação 1]:[Cotação 5]])</f>
        <v>3</v>
      </c>
      <c r="AO511" s="53">
        <f>Tabela3[Cotação]/Tabela3[VPA]</f>
        <v>513215.01239004132</v>
      </c>
      <c r="AP511" s="37">
        <f>IF(Tabela3[[#This Row],[Lucro/Ação]]&gt;0,Tabela3[[#This Row],[Cotação]]/(Tabela3[[#This Row],[Lucro/Ação]]/Tabela3[Ref]*4),0)</f>
        <v>0</v>
      </c>
      <c r="AQ511" s="85">
        <f>Tabela3[Lucro Distribuir]/Tabela3[Total Ações]</f>
        <v>0</v>
      </c>
      <c r="AR511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511" s="10" t="str">
        <f>IF(AND(Tabela3[% A.A.]&gt;=6%,SUMPRODUCT(N(Tabela3[Nome]=Tabela3[[#This Row],[Nome]]),Tabela3[PL])&gt;0,Tabela3[Rentabilidade s/ PL]&gt;=Tabela3[Rentabilidade s/ PL Média]),"Sim","Não")</f>
        <v>Não</v>
      </c>
      <c r="AT511" s="22">
        <f>IF(Tabela3[Cotação]&gt;0,Tabela3[[#This Row],[Lucro]]/Tabela3[[#This Row],[Cotação]],0)</f>
        <v>0</v>
      </c>
      <c r="AU511" s="22">
        <f>((1+Tabela3[[#This Row],[% Yield]])^(1/(3*Tabela3[[#This Row],[Ref]])))^(12)-1</f>
        <v>0</v>
      </c>
      <c r="AV511" s="10">
        <f>IF(Tabela3[Cotação]&gt;0,($BC$1/Tabela3[[#This Row],[Cotação]]-MOD($BC$1/Tabela3[[#This Row],[Cotação]],100)),)</f>
        <v>0</v>
      </c>
      <c r="AW511" s="7">
        <f>Tabela3[[#This Row],[Ativos]]*Tabela3[Lucro]</f>
        <v>0</v>
      </c>
      <c r="AX511" s="7">
        <f>SUMPRODUCT(N(Tabela1[Código]=Tabela3[[#This Row],[PAPEL]]),Tabela1[Fechamento])</f>
        <v>0</v>
      </c>
      <c r="AY511" s="7">
        <f>SUMPRODUCT(N(Tabela17[Código]=Tabela3[[#This Row],[PAPEL]]),Tabela17[Fechamento])</f>
        <v>0</v>
      </c>
      <c r="AZ511" s="7">
        <f>SUMPRODUCT(N(Tabela176[Código]=Tabela3[[#This Row],[PAPEL]]),Tabela176[Fechamento])</f>
        <v>0</v>
      </c>
      <c r="BA511" s="7">
        <f>SUMPRODUCT(N(Tabela1768[Código]=Tabela3[[#This Row],[PAPEL]]),Tabela1768[Fechamento])</f>
        <v>0</v>
      </c>
      <c r="BB511" s="7">
        <f>SUMPRODUCT(N(Tabela17683[Código]=Tabela3[[#This Row],[PAPEL]]),Tabela17683[Fechamento])</f>
        <v>3</v>
      </c>
    </row>
    <row r="512" spans="1:54" hidden="1" x14ac:dyDescent="0.2">
      <c r="A512" s="3" t="s">
        <v>1498</v>
      </c>
      <c r="B512" s="57" t="s">
        <v>1501</v>
      </c>
      <c r="C512" s="16" t="str">
        <f>LEFT(Tabela3[PAPEL],LEN(Tabela3[PAPEL])-(LEN(Tabela3[PAPEL])-4))</f>
        <v>VSPT</v>
      </c>
      <c r="D512" s="16">
        <v>3</v>
      </c>
      <c r="E512" s="5">
        <v>1722965684.3399999</v>
      </c>
      <c r="F512" s="56">
        <v>66665012</v>
      </c>
      <c r="G512" s="81">
        <v>0.25</v>
      </c>
      <c r="H512" s="81">
        <v>0.03</v>
      </c>
      <c r="J512" s="18"/>
      <c r="K512" s="16"/>
      <c r="L512" s="87"/>
      <c r="M512" s="54"/>
      <c r="N512" s="54"/>
      <c r="O512" s="54"/>
      <c r="P512" s="91">
        <v>1228711000</v>
      </c>
      <c r="Q512" s="73">
        <v>-140764000</v>
      </c>
      <c r="R512" s="73">
        <f>IF(Tabela3[[#This Row],[Ativo || Passivo]]&gt;0,Tabela3[[#This Row],[Ativo || Passivo]]-Tabela3[[#This Row],[Patrimônio Líquido]],0)</f>
        <v>0</v>
      </c>
      <c r="S512" s="73">
        <f>Tabela3[[#This Row],[Cotação]]*Tabela3[[#This Row],[Total Ações]]</f>
        <v>0</v>
      </c>
      <c r="T512" s="37">
        <f>IF(Tabela3[[#This Row],[Passivo Circulante]]&gt;0,Tabela3[[#This Row],[Ativo Circulante]]/Tabela3[[#This Row],[Passivo Circulante]],0)</f>
        <v>0</v>
      </c>
      <c r="U512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512" s="18">
        <f>IF(Tabela3[[#This Row],[Lucro Líquido]]&gt;0,Tabela3[[#This Row],[Lucro Líquido]]/Tabela3[[#This Row],[Patrimônio Líquido]],0)</f>
        <v>0</v>
      </c>
      <c r="W512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512" s="18">
        <f>IF(Tabela3[[#This Row],[Dívida]]&gt;0,Tabela3[[#This Row],[Dívida]]/Tabela3[[#This Row],[Patrimônio Líquido]],0)</f>
        <v>0</v>
      </c>
      <c r="Y512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512" s="7">
        <f>Tabela3[[#This Row],[Capital Social]]*20%</f>
        <v>344593136.86800003</v>
      </c>
      <c r="AA512" s="47">
        <f>IF((Tabela3[Lucro Líquido]*5%)&gt;Tabela3[Teto R. Legal],Tabela3[Teto R. Legal],Tabela3[Lucro Líquido]*5%)</f>
        <v>-7038200</v>
      </c>
      <c r="AB512" s="47">
        <f>IF(Tabela3[Lucro Líquido]&lt;0,0,Tabela3[Lucro Líquido]-Tabela3[Reserva Legal])</f>
        <v>0</v>
      </c>
      <c r="AC512" s="47">
        <f>Tabela3[[#This Row],[Lucro Distribuir]]*Tabela3[%Div]</f>
        <v>0</v>
      </c>
      <c r="AD512" s="56">
        <f>SUMPRODUCT(N(Tabela3[Nome]=Tabela3[[#This Row],[Nome]]),Tabela3[Ações])</f>
        <v>210197643696260</v>
      </c>
      <c r="AE512" s="85">
        <f>Tabela3[Capital Social]/Tabela3[Total Ações]</f>
        <v>8.1968839138355012E-6</v>
      </c>
      <c r="AF512" s="85">
        <f>Tabela3[[#This Row],[Lucro Líquido]]/Tabela3[[#This Row],[Total Ações]]</f>
        <v>-6.6967449075407777E-7</v>
      </c>
      <c r="AG512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512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1.7536509616285419E-7</v>
      </c>
      <c r="AI512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512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1.7536509616285419E-7</v>
      </c>
      <c r="AK512" s="7">
        <f>Tabela3[Div Base]*Tabela3[Ações]</f>
        <v>11.690716240077828</v>
      </c>
      <c r="AL512" s="121">
        <f>SUMPRODUCT(N(Tabela3[Nome]=Tabela3[[#This Row],[Nome]]),Tabela3[Div Base]*Tabela3[Ações])</f>
        <v>11.690716240077828</v>
      </c>
      <c r="AM512" s="5">
        <f>Tabela3[Patrimônio Líquido]/Tabela3[Total Ações]</f>
        <v>5.8455032054284732E-6</v>
      </c>
      <c r="AN512" s="52">
        <f>MAX(Tabela3[[#This Row],[Cotação 1]:[Cotação 5]])</f>
        <v>0</v>
      </c>
      <c r="AO512" s="53">
        <f>Tabela3[Cotação]/Tabela3[VPA]</f>
        <v>0</v>
      </c>
      <c r="AP512" s="37">
        <f>IF(Tabela3[[#This Row],[Lucro/Ação]]&gt;0,Tabela3[[#This Row],[Cotação]]/(Tabela3[[#This Row],[Lucro/Ação]]/Tabela3[Ref]*4),0)</f>
        <v>0</v>
      </c>
      <c r="AQ512" s="85">
        <f>Tabela3[Lucro Distribuir]/Tabela3[Total Ações]</f>
        <v>0</v>
      </c>
      <c r="AR512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1.7536509616285419E-7</v>
      </c>
      <c r="AS512" s="10" t="str">
        <f>IF(AND(Tabela3[% A.A.]&gt;=6%,SUMPRODUCT(N(Tabela3[Nome]=Tabela3[[#This Row],[Nome]]),Tabela3[PL])&gt;0,Tabela3[Rentabilidade s/ PL]&gt;=Tabela3[Rentabilidade s/ PL Média]),"Sim","Não")</f>
        <v>Não</v>
      </c>
      <c r="AT512" s="22">
        <f>IF(Tabela3[Cotação]&gt;0,Tabela3[[#This Row],[Lucro]]/Tabela3[[#This Row],[Cotação]],0)</f>
        <v>0</v>
      </c>
      <c r="AU512" s="22">
        <f>((1+Tabela3[[#This Row],[% Yield]])^(1/(3*Tabela3[[#This Row],[Ref]])))^(12)-1</f>
        <v>0</v>
      </c>
      <c r="AV512" s="10">
        <f>IF(Tabela3[Cotação]&gt;0,($BC$1/Tabela3[[#This Row],[Cotação]]-MOD($BC$1/Tabela3[[#This Row],[Cotação]],100)),)</f>
        <v>0</v>
      </c>
      <c r="AW512" s="7">
        <f>Tabela3[[#This Row],[Ativos]]*Tabela3[Lucro]</f>
        <v>0</v>
      </c>
      <c r="AX512" s="7">
        <f>SUMPRODUCT(N(Tabela1[Código]=Tabela3[[#This Row],[PAPEL]]),Tabela1[Fechamento])</f>
        <v>0</v>
      </c>
      <c r="AY512" s="7">
        <f>SUMPRODUCT(N(Tabela17[Código]=Tabela3[[#This Row],[PAPEL]]),Tabela17[Fechamento])</f>
        <v>0</v>
      </c>
      <c r="AZ512" s="7">
        <f>SUMPRODUCT(N(Tabela176[Código]=Tabela3[[#This Row],[PAPEL]]),Tabela176[Fechamento])</f>
        <v>0</v>
      </c>
      <c r="BA512" s="7">
        <f>SUMPRODUCT(N(Tabela1768[Código]=Tabela3[[#This Row],[PAPEL]]),Tabela1768[Fechamento])</f>
        <v>0</v>
      </c>
      <c r="BB512" s="7">
        <f>SUMPRODUCT(N(Tabela17683[Código]=Tabela3[[#This Row],[PAPEL]]),Tabela17683[Fechamento])</f>
        <v>0</v>
      </c>
    </row>
    <row r="513" spans="1:54" hidden="1" x14ac:dyDescent="0.2">
      <c r="A513" s="3" t="s">
        <v>1147</v>
      </c>
      <c r="B513" s="58" t="s">
        <v>1153</v>
      </c>
      <c r="C513" s="16" t="str">
        <f>LEFT(Tabela3[PAPEL],LEN(Tabela3[PAPEL])-(LEN(Tabela3[PAPEL])-4))</f>
        <v>VULC</v>
      </c>
      <c r="D513" s="16">
        <v>3</v>
      </c>
      <c r="E513" s="5">
        <v>565913332.5</v>
      </c>
      <c r="F513" s="56">
        <v>740921384</v>
      </c>
      <c r="G513" s="81">
        <v>0.25</v>
      </c>
      <c r="H513" s="87"/>
      <c r="J513" s="18"/>
      <c r="K513" s="16"/>
      <c r="L513" s="87"/>
      <c r="M513" s="54"/>
      <c r="N513" s="54"/>
      <c r="O513" s="54"/>
      <c r="P513" s="91">
        <v>-61175000</v>
      </c>
      <c r="Q513" s="73">
        <v>-71191000</v>
      </c>
      <c r="R513" s="73">
        <f>IF(Tabela3[[#This Row],[Ativo || Passivo]]&gt;0,Tabela3[[#This Row],[Ativo || Passivo]]-Tabela3[[#This Row],[Patrimônio Líquido]],0)</f>
        <v>0</v>
      </c>
      <c r="S513" s="73">
        <f>Tabela3[[#This Row],[Cotação]]*Tabela3[[#This Row],[Total Ações]]</f>
        <v>0</v>
      </c>
      <c r="T513" s="37">
        <f>IF(Tabela3[[#This Row],[Passivo Circulante]]&gt;0,Tabela3[[#This Row],[Ativo Circulante]]/Tabela3[[#This Row],[Passivo Circulante]],0)</f>
        <v>0</v>
      </c>
      <c r="U513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513" s="18">
        <f>IF(Tabela3[[#This Row],[Lucro Líquido]]&gt;0,Tabela3[[#This Row],[Lucro Líquido]]/Tabela3[[#This Row],[Patrimônio Líquido]],0)</f>
        <v>0</v>
      </c>
      <c r="W513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513" s="18">
        <f>IF(Tabela3[[#This Row],[Dívida]]&gt;0,Tabela3[[#This Row],[Dívida]]/Tabela3[[#This Row],[Patrimônio Líquido]],0)</f>
        <v>0</v>
      </c>
      <c r="Y513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513" s="7">
        <f>Tabela3[[#This Row],[Capital Social]]*20%</f>
        <v>113182666.5</v>
      </c>
      <c r="AA513" s="47">
        <f>IF((Tabela3[Lucro Líquido]*5%)&gt;Tabela3[Teto R. Legal],Tabela3[Teto R. Legal],Tabela3[Lucro Líquido]*5%)</f>
        <v>-3559550</v>
      </c>
      <c r="AB513" s="47">
        <f>IF(Tabela3[Lucro Líquido]&lt;0,0,Tabela3[Lucro Líquido]-Tabela3[Reserva Legal])</f>
        <v>0</v>
      </c>
      <c r="AC513" s="47">
        <f>Tabela3[[#This Row],[Lucro Distribuir]]*Tabela3[%Div]</f>
        <v>0</v>
      </c>
      <c r="AD513" s="56">
        <f>SUMPRODUCT(N(Tabela3[Nome]=Tabela3[[#This Row],[Nome]]),Tabela3[Ações])</f>
        <v>740921384</v>
      </c>
      <c r="AE513" s="85">
        <f>Tabela3[Capital Social]/Tabela3[Total Ações]</f>
        <v>0.76379673298780104</v>
      </c>
      <c r="AF513" s="85">
        <f>Tabela3[[#This Row],[Lucro Líquido]]/Tabela3[[#This Row],[Total Ações]]</f>
        <v>-9.6084418046706019E-2</v>
      </c>
      <c r="AG513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513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513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513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513" s="7">
        <f>Tabela3[Div Base]*Tabela3[Ações]</f>
        <v>0</v>
      </c>
      <c r="AL513" s="7">
        <f>SUMPRODUCT(N(Tabela3[Nome]=Tabela3[[#This Row],[Nome]]),Tabela3[Div Base]*Tabela3[Ações])</f>
        <v>0</v>
      </c>
      <c r="AM513" s="5">
        <f>Tabela3[Patrimônio Líquido]/Tabela3[Total Ações]</f>
        <v>-8.2566114733705676E-2</v>
      </c>
      <c r="AN513" s="52">
        <f>MAX(Tabela3[[#This Row],[Cotação 1]:[Cotação 5]])</f>
        <v>0</v>
      </c>
      <c r="AO513" s="53">
        <f>Tabela3[Cotação]/Tabela3[VPA]</f>
        <v>0</v>
      </c>
      <c r="AP513" s="37">
        <f>IF(Tabela3[[#This Row],[Lucro/Ação]]&gt;0,Tabela3[[#This Row],[Cotação]]/(Tabela3[[#This Row],[Lucro/Ação]]/Tabela3[Ref]*4),0)</f>
        <v>0</v>
      </c>
      <c r="AQ513" s="85">
        <f>Tabela3[Lucro Distribuir]/Tabela3[Total Ações]</f>
        <v>0</v>
      </c>
      <c r="AR513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513" s="10" t="str">
        <f>IF(AND(Tabela3[% A.A.]&gt;=6%,SUMPRODUCT(N(Tabela3[Nome]=Tabela3[[#This Row],[Nome]]),Tabela3[PL])&gt;0,Tabela3[Rentabilidade s/ PL]&gt;=Tabela3[Rentabilidade s/ PL Média]),"Sim","Não")</f>
        <v>Não</v>
      </c>
      <c r="AT513" s="22">
        <f>IF(Tabela3[Cotação]&gt;0,Tabela3[[#This Row],[Lucro]]/Tabela3[[#This Row],[Cotação]],0)</f>
        <v>0</v>
      </c>
      <c r="AU513" s="22">
        <f>((1+Tabela3[[#This Row],[% Yield]])^(1/(3*Tabela3[[#This Row],[Ref]])))^(12)-1</f>
        <v>0</v>
      </c>
      <c r="AV513" s="10">
        <f>IF(Tabela3[Cotação]&gt;0,($BC$1/Tabela3[[#This Row],[Cotação]]-MOD($BC$1/Tabela3[[#This Row],[Cotação]],100)),)</f>
        <v>0</v>
      </c>
      <c r="AW513" s="7">
        <f>Tabela3[[#This Row],[Ativos]]*Tabela3[Lucro]</f>
        <v>0</v>
      </c>
      <c r="AX513" s="7">
        <f>SUMPRODUCT(N(Tabela1[Código]=Tabela3[[#This Row],[PAPEL]]),Tabela1[Fechamento])</f>
        <v>0</v>
      </c>
      <c r="AY513" s="7">
        <f>SUMPRODUCT(N(Tabela17[Código]=Tabela3[[#This Row],[PAPEL]]),Tabela17[Fechamento])</f>
        <v>0</v>
      </c>
      <c r="AZ513" s="7">
        <f>SUMPRODUCT(N(Tabela176[Código]=Tabela3[[#This Row],[PAPEL]]),Tabela176[Fechamento])</f>
        <v>0</v>
      </c>
      <c r="BA513" s="7">
        <f>SUMPRODUCT(N(Tabela1768[Código]=Tabela3[[#This Row],[PAPEL]]),Tabela1768[Fechamento])</f>
        <v>0</v>
      </c>
      <c r="BB513" s="7">
        <f>SUMPRODUCT(N(Tabela17683[Código]=Tabela3[[#This Row],[PAPEL]]),Tabela17683[Fechamento])</f>
        <v>0</v>
      </c>
    </row>
    <row r="514" spans="1:54" hidden="1" x14ac:dyDescent="0.2">
      <c r="A514" s="3" t="s">
        <v>935</v>
      </c>
      <c r="B514" s="58" t="s">
        <v>1128</v>
      </c>
      <c r="C514" s="16" t="str">
        <f>LEFT(Tabela3[PAPEL],LEN(Tabela3[PAPEL])-(LEN(Tabela3[PAPEL])-4))</f>
        <v>WMBY</v>
      </c>
      <c r="D514" s="16">
        <v>3</v>
      </c>
      <c r="E514" s="5">
        <v>250000000</v>
      </c>
      <c r="F514" s="56">
        <v>24000000</v>
      </c>
      <c r="G514" s="81">
        <v>0.33</v>
      </c>
      <c r="H514" s="87"/>
      <c r="J514" s="18"/>
      <c r="K514" s="16"/>
      <c r="L514" s="87"/>
      <c r="M514" s="54"/>
      <c r="N514" s="54"/>
      <c r="O514" s="54"/>
      <c r="P514" s="91">
        <v>333205000</v>
      </c>
      <c r="Q514" s="73">
        <v>-10896000</v>
      </c>
      <c r="R514" s="73">
        <f>IF(Tabela3[[#This Row],[Ativo || Passivo]]&gt;0,Tabela3[[#This Row],[Ativo || Passivo]]-Tabela3[[#This Row],[Patrimônio Líquido]],0)</f>
        <v>0</v>
      </c>
      <c r="S514" s="73">
        <f>Tabela3[[#This Row],[Cotação]]*Tabela3[[#This Row],[Total Ações]]</f>
        <v>609360000</v>
      </c>
      <c r="T514" s="37">
        <f>IF(Tabela3[[#This Row],[Passivo Circulante]]&gt;0,Tabela3[[#This Row],[Ativo Circulante]]/Tabela3[[#This Row],[Passivo Circulante]],0)</f>
        <v>0</v>
      </c>
      <c r="U514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514" s="18">
        <f>IF(Tabela3[[#This Row],[Lucro Líquido]]&gt;0,Tabela3[[#This Row],[Lucro Líquido]]/Tabela3[[#This Row],[Patrimônio Líquido]],0)</f>
        <v>0</v>
      </c>
      <c r="W514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514" s="18">
        <f>IF(Tabela3[[#This Row],[Dívida]]&gt;0,Tabela3[[#This Row],[Dívida]]/Tabela3[[#This Row],[Patrimônio Líquido]],0)</f>
        <v>0</v>
      </c>
      <c r="Y514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514" s="7">
        <f>Tabela3[[#This Row],[Capital Social]]*20%</f>
        <v>50000000</v>
      </c>
      <c r="AA514" s="47">
        <f>IF((Tabela3[Lucro Líquido]*5%)&gt;Tabela3[Teto R. Legal],Tabela3[Teto R. Legal],Tabela3[Lucro Líquido]*5%)</f>
        <v>-544800</v>
      </c>
      <c r="AB514" s="47">
        <f>IF(Tabela3[Lucro Líquido]&lt;0,0,Tabela3[Lucro Líquido]-Tabela3[Reserva Legal])</f>
        <v>0</v>
      </c>
      <c r="AC514" s="47">
        <f>Tabela3[[#This Row],[Lucro Distribuir]]*Tabela3[%Div]</f>
        <v>0</v>
      </c>
      <c r="AD514" s="56">
        <f>SUMPRODUCT(N(Tabela3[Nome]=Tabela3[[#This Row],[Nome]]),Tabela3[Ações])</f>
        <v>24000000</v>
      </c>
      <c r="AE514" s="85">
        <f>Tabela3[Capital Social]/Tabela3[Total Ações]</f>
        <v>10.416666666666666</v>
      </c>
      <c r="AF514" s="85">
        <f>Tabela3[[#This Row],[Lucro Líquido]]/Tabela3[[#This Row],[Total Ações]]</f>
        <v>-0.45400000000000001</v>
      </c>
      <c r="AG514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</v>
      </c>
      <c r="AH514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514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514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</v>
      </c>
      <c r="AK514" s="7">
        <f>Tabela3[Div Base]*Tabela3[Ações]</f>
        <v>0</v>
      </c>
      <c r="AL514" s="7">
        <f>SUMPRODUCT(N(Tabela3[Nome]=Tabela3[[#This Row],[Nome]]),Tabela3[Div Base]*Tabela3[Ações])</f>
        <v>0</v>
      </c>
      <c r="AM514" s="5">
        <f>Tabela3[Patrimônio Líquido]/Tabela3[Total Ações]</f>
        <v>13.883541666666666</v>
      </c>
      <c r="AN514" s="52">
        <f>MAX(Tabela3[[#This Row],[Cotação 1]:[Cotação 5]])</f>
        <v>25.39</v>
      </c>
      <c r="AO514" s="53">
        <f>Tabela3[Cotação]/Tabela3[VPA]</f>
        <v>1.8287840818715206</v>
      </c>
      <c r="AP514" s="37">
        <f>IF(Tabela3[[#This Row],[Lucro/Ação]]&gt;0,Tabela3[[#This Row],[Cotação]]/(Tabela3[[#This Row],[Lucro/Ação]]/Tabela3[Ref]*4),0)</f>
        <v>0</v>
      </c>
      <c r="AQ514" s="85">
        <f>Tabela3[Lucro Distribuir]/Tabela3[Total Ações]</f>
        <v>0</v>
      </c>
      <c r="AR514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</v>
      </c>
      <c r="AS514" s="10" t="str">
        <f>IF(AND(Tabela3[% A.A.]&gt;=6%,SUMPRODUCT(N(Tabela3[Nome]=Tabela3[[#This Row],[Nome]]),Tabela3[PL])&gt;0,Tabela3[Rentabilidade s/ PL]&gt;=Tabela3[Rentabilidade s/ PL Média]),"Sim","Não")</f>
        <v>Não</v>
      </c>
      <c r="AT514" s="22">
        <f>IF(Tabela3[Cotação]&gt;0,Tabela3[[#This Row],[Lucro]]/Tabela3[[#This Row],[Cotação]],0)</f>
        <v>0</v>
      </c>
      <c r="AU514" s="22">
        <f>((1+Tabela3[[#This Row],[% Yield]])^(1/(3*Tabela3[[#This Row],[Ref]])))^(12)-1</f>
        <v>0</v>
      </c>
      <c r="AV514" s="10">
        <f>IF(Tabela3[Cotação]&gt;0,($BC$1/Tabela3[[#This Row],[Cotação]]-MOD($BC$1/Tabela3[[#This Row],[Cotação]],100)),)</f>
        <v>0</v>
      </c>
      <c r="AW514" s="7">
        <f>Tabela3[[#This Row],[Ativos]]*Tabela3[Lucro]</f>
        <v>0</v>
      </c>
      <c r="AX514" s="7">
        <f>SUMPRODUCT(N(Tabela1[Código]=Tabela3[[#This Row],[PAPEL]]),Tabela1[Fechamento])</f>
        <v>0</v>
      </c>
      <c r="AY514" s="7">
        <f>SUMPRODUCT(N(Tabela17[Código]=Tabela3[[#This Row],[PAPEL]]),Tabela17[Fechamento])</f>
        <v>0</v>
      </c>
      <c r="AZ514" s="7">
        <f>SUMPRODUCT(N(Tabela176[Código]=Tabela3[[#This Row],[PAPEL]]),Tabela176[Fechamento])</f>
        <v>0</v>
      </c>
      <c r="BA514" s="7">
        <f>SUMPRODUCT(N(Tabela1768[Código]=Tabela3[[#This Row],[PAPEL]]),Tabela1768[Fechamento])</f>
        <v>25.39</v>
      </c>
      <c r="BB514" s="7">
        <f>SUMPRODUCT(N(Tabela17683[Código]=Tabela3[[#This Row],[PAPEL]]),Tabela17683[Fechamento])</f>
        <v>0</v>
      </c>
    </row>
    <row r="515" spans="1:54" hidden="1" x14ac:dyDescent="0.2">
      <c r="A515" s="4" t="s">
        <v>12</v>
      </c>
      <c r="B515" s="57" t="s">
        <v>486</v>
      </c>
      <c r="C515" s="15" t="str">
        <f>LEFT(Tabela3[PAPEL],LEN(Tabela3[PAPEL])-(LEN(Tabela3[PAPEL])-4))</f>
        <v>GPAR</v>
      </c>
      <c r="D515" s="15">
        <v>3</v>
      </c>
      <c r="E515" s="6">
        <v>973764337.52999997</v>
      </c>
      <c r="F515" s="8">
        <v>32774246</v>
      </c>
      <c r="G515" s="81">
        <v>0.25</v>
      </c>
      <c r="H515" s="15"/>
      <c r="I515" s="19"/>
      <c r="J515" s="19"/>
      <c r="K515" s="88"/>
      <c r="L515" s="88"/>
      <c r="M515" s="55"/>
      <c r="N515" s="55"/>
      <c r="O515" s="55"/>
      <c r="P515" s="92">
        <v>-2079468000</v>
      </c>
      <c r="Q515" s="93">
        <v>39671000</v>
      </c>
      <c r="R515" s="93">
        <f>IF(Tabela3[[#This Row],[Ativo || Passivo]]&gt;0,Tabela3[[#This Row],[Ativo || Passivo]]-Tabela3[[#This Row],[Patrimônio Líquido]],0)</f>
        <v>0</v>
      </c>
      <c r="S515" s="93">
        <f>Tabela3[[#This Row],[Cotação]]*Tabela3[[#This Row],[Total Ações]]</f>
        <v>491613690</v>
      </c>
      <c r="T515" s="40">
        <f>IF(Tabela3[[#This Row],[Passivo Circulante]]&gt;0,Tabela3[[#This Row],[Ativo Circulante]]/Tabela3[[#This Row],[Passivo Circulante]],0)</f>
        <v>0</v>
      </c>
      <c r="U515" s="40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515" s="19">
        <f>IF(Tabela3[[#This Row],[Lucro Líquido]]&gt;0,Tabela3[[#This Row],[Lucro Líquido]]/Tabela3[[#This Row],[Patrimônio Líquido]],0)</f>
        <v>-1.9077475585101575E-2</v>
      </c>
      <c r="W515" s="19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515" s="19">
        <f>IF(Tabela3[[#This Row],[Dívida]]&gt;0,Tabela3[[#This Row],[Dívida]]/Tabela3[[#This Row],[Patrimônio Líquido]],0)</f>
        <v>0</v>
      </c>
      <c r="Y515" s="19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515" s="13">
        <f>Tabela3[[#This Row],[Capital Social]]*20%</f>
        <v>194752867.50600001</v>
      </c>
      <c r="AA515" s="13">
        <f>IF((Tabela3[Lucro Líquido]*5%)&gt;Tabela3[Teto R. Legal],Tabela3[Teto R. Legal],Tabela3[Lucro Líquido]*5%)</f>
        <v>1983550</v>
      </c>
      <c r="AB515" s="13">
        <f>IF(Tabela3[Lucro Líquido]&lt;0,0,Tabela3[Lucro Líquido]-Tabela3[Reserva Legal])</f>
        <v>37687450</v>
      </c>
      <c r="AC515" s="13">
        <f>Tabela3[[#This Row],[Lucro Distribuir]]*Tabela3[%Div]</f>
        <v>9421862.5</v>
      </c>
      <c r="AD515" s="56">
        <f>SUMPRODUCT(N(Tabela3[Nome]=Tabela3[[#This Row],[Nome]]),Tabela3[Ações])</f>
        <v>32774246</v>
      </c>
      <c r="AE515" s="6">
        <f>Tabela3[Capital Social]/Tabela3[Total Ações]</f>
        <v>29.711265898535085</v>
      </c>
      <c r="AF515" s="78">
        <f>Tabela3[[#This Row],[Lucro Líquido]]/Tabela3[[#This Row],[Total Ações]]</f>
        <v>1.2104321179501734</v>
      </c>
      <c r="AG515" s="78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0.28747762801316618</v>
      </c>
      <c r="AH515" s="78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515" s="78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515" s="78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0.28747762801316618</v>
      </c>
      <c r="AK515" s="13">
        <f>Tabela3[Div Base]*Tabela3[Ações]</f>
        <v>9421862.5</v>
      </c>
      <c r="AL515" s="13">
        <f>SUMPRODUCT(N(Tabela3[Nome]=Tabela3[[#This Row],[Nome]]),Tabela3[Div Base]*Tabela3[Ações])</f>
        <v>9421862.5</v>
      </c>
      <c r="AM515" s="6">
        <f>Tabela3[Patrimônio Líquido]/Tabela3[Total Ações]</f>
        <v>-63.448233103516706</v>
      </c>
      <c r="AN515" s="48">
        <f>MAX(Tabela3[[#This Row],[Cotação 1]:[Cotação 5]])</f>
        <v>15</v>
      </c>
      <c r="AO515" s="44">
        <f>Tabela3[Cotação]/Tabela3[VPA]</f>
        <v>-0.2364132027999469</v>
      </c>
      <c r="AP515" s="40">
        <f>IF(Tabela3[[#This Row],[Lucro/Ação]]&gt;0,Tabela3[[#This Row],[Cotação]]/(Tabela3[[#This Row],[Lucro/Ação]]/Tabela3[Ref]*4),0)</f>
        <v>9.2942014947946863</v>
      </c>
      <c r="AQ515" s="78">
        <f>Tabela3[Lucro Distribuir]/Tabela3[Total Ações]</f>
        <v>1.1499105120526647</v>
      </c>
      <c r="AR515" s="78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0.28747762801316618</v>
      </c>
      <c r="AS515" s="14" t="str">
        <f>IF(AND(Tabela3[% A.A.]&gt;=6%,SUMPRODUCT(N(Tabela3[Nome]=Tabela3[[#This Row],[Nome]]),Tabela3[PL])&gt;0,Tabela3[Rentabilidade s/ PL]&gt;=Tabela3[Rentabilidade s/ PL Média]),"Sim","Não")</f>
        <v>Não</v>
      </c>
      <c r="AT515" s="42">
        <f>IF(Tabela3[Cotação]&gt;0,Tabela3[[#This Row],[Lucro]]/Tabela3[[#This Row],[Cotação]],0)</f>
        <v>1.9165175200877745E-2</v>
      </c>
      <c r="AU515" s="42">
        <f>((1+Tabela3[[#This Row],[% Yield]])^(1/(3*Tabela3[[#This Row],[Ref]])))^(12)-1</f>
        <v>2.5634845153429398E-2</v>
      </c>
      <c r="AV515" s="14">
        <f>IF(Tabela3[Cotação]&gt;0,($BD$1/Tabela3[[#This Row],[Cotação]]-MOD($BD$1/Tabela3[[#This Row],[Cotação]],100)),)</f>
        <v>0</v>
      </c>
      <c r="AW515" s="17">
        <f>Tabela3[[#This Row],[Ativos]]*Tabela3[Lucro]</f>
        <v>0</v>
      </c>
      <c r="AX515" s="17">
        <f>SUMPRODUCT(N(Tabela1[Código]=Tabela3[[#This Row],[PAPEL]]),Tabela1[Fechamento])</f>
        <v>0</v>
      </c>
      <c r="AY515" s="17">
        <f>SUMPRODUCT(N(Tabela17[Código]=Tabela3[[#This Row],[PAPEL]]),Tabela17[Fechamento])</f>
        <v>15</v>
      </c>
      <c r="AZ515" s="7">
        <f>SUMPRODUCT(N(Tabela176[Código]=Tabela3[[#This Row],[PAPEL]]),Tabela176[Fechamento])</f>
        <v>0</v>
      </c>
      <c r="BA515" s="7">
        <f>SUMPRODUCT(N(Tabela1768[Código]=Tabela3[[#This Row],[PAPEL]]),Tabela1768[Fechamento])</f>
        <v>0</v>
      </c>
      <c r="BB515" s="7">
        <f>SUMPRODUCT(N(Tabela17683[Código]=Tabela3[[#This Row],[PAPEL]]),Tabela17683[Fechamento])</f>
        <v>0</v>
      </c>
    </row>
    <row r="516" spans="1:54" hidden="1" x14ac:dyDescent="0.2">
      <c r="A516" s="4" t="s">
        <v>340</v>
      </c>
      <c r="B516" s="58" t="s">
        <v>1434</v>
      </c>
      <c r="C516" s="16" t="str">
        <f>LEFT(Tabela3[PAPEL],LEN(Tabela3[PAPEL])-(LEN(Tabela3[PAPEL])-4))</f>
        <v>HAGA</v>
      </c>
      <c r="D516" s="16">
        <v>3</v>
      </c>
      <c r="E516" s="5">
        <v>10353000</v>
      </c>
      <c r="F516" s="56">
        <v>3966667</v>
      </c>
      <c r="G516" s="81">
        <v>0.25</v>
      </c>
      <c r="H516" s="18"/>
      <c r="J516" s="18"/>
      <c r="K516" s="16"/>
      <c r="L516" s="87"/>
      <c r="M516" s="54"/>
      <c r="N516" s="54"/>
      <c r="O516" s="54"/>
      <c r="P516" s="91">
        <v>-90174895</v>
      </c>
      <c r="Q516" s="73">
        <v>2123777</v>
      </c>
      <c r="R516" s="73">
        <f>IF(Tabela3[[#This Row],[Ativo || Passivo]]&gt;0,Tabela3[[#This Row],[Ativo || Passivo]]-Tabela3[[#This Row],[Patrimônio Líquido]],0)</f>
        <v>0</v>
      </c>
      <c r="S516" s="73">
        <f>Tabela3[[#This Row],[Cotação]]*Tabela3[[#This Row],[Total Ações]]</f>
        <v>23562000</v>
      </c>
      <c r="T516" s="37">
        <f>IF(Tabela3[[#This Row],[Passivo Circulante]]&gt;0,Tabela3[[#This Row],[Ativo Circulante]]/Tabela3[[#This Row],[Passivo Circulante]],0)</f>
        <v>0</v>
      </c>
      <c r="U516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516" s="18">
        <f>IF(Tabela3[[#This Row],[Lucro Líquido]]&gt;0,Tabela3[[#This Row],[Lucro Líquido]]/Tabela3[[#This Row],[Patrimônio Líquido]],0)</f>
        <v>-2.355175462083987E-2</v>
      </c>
      <c r="W516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516" s="18">
        <f>IF(Tabela3[[#This Row],[Dívida]]&gt;0,Tabela3[[#This Row],[Dívida]]/Tabela3[[#This Row],[Patrimônio Líquido]],0)</f>
        <v>0</v>
      </c>
      <c r="Y516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516" s="7">
        <f>Tabela3[[#This Row],[Capital Social]]*20%</f>
        <v>2070600</v>
      </c>
      <c r="AA516" s="47">
        <f>IF((Tabela3[Lucro Líquido]*5%)&gt;Tabela3[Teto R. Legal],Tabela3[Teto R. Legal],Tabela3[Lucro Líquido]*5%)</f>
        <v>106188.85</v>
      </c>
      <c r="AB516" s="47">
        <f>IF(Tabela3[Lucro Líquido]&lt;0,0,Tabela3[Lucro Líquido]-Tabela3[Reserva Legal])</f>
        <v>2017588.15</v>
      </c>
      <c r="AC516" s="47">
        <f>Tabela3[[#This Row],[Lucro Distribuir]]*Tabela3[%Div]</f>
        <v>504397.03749999998</v>
      </c>
      <c r="AD516" s="56">
        <f>SUMPRODUCT(N(Tabela3[Nome]=Tabela3[[#This Row],[Nome]]),Tabela3[Ações])</f>
        <v>11900000</v>
      </c>
      <c r="AE516" s="85">
        <f>Tabela3[Capital Social]/Tabela3[Total Ações]</f>
        <v>0.87</v>
      </c>
      <c r="AF516" s="85">
        <f>Tabela3[[#This Row],[Lucro Líquido]]/Tabela3[[#This Row],[Total Ações]]</f>
        <v>0.17846865546218488</v>
      </c>
      <c r="AG516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4.1067506524638669E-2</v>
      </c>
      <c r="AH516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516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516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4.1067506524638669E-2</v>
      </c>
      <c r="AK516" s="7">
        <f>Tabela3[Div Base]*Tabela3[Ações]</f>
        <v>162901.1229035689</v>
      </c>
      <c r="AL516" s="121">
        <f>SUMPRODUCT(N(Tabela3[Nome]=Tabela3[[#This Row],[Nome]]),Tabela3[Div Base]*Tabela3[Ações])</f>
        <v>521283.54860810976</v>
      </c>
      <c r="AM516" s="5">
        <f>Tabela3[Patrimônio Líquido]/Tabela3[Total Ações]</f>
        <v>-7.5777222689075634</v>
      </c>
      <c r="AN516" s="52">
        <f>MAX(Tabela3[[#This Row],[Cotação 1]:[Cotação 5]])</f>
        <v>1.98</v>
      </c>
      <c r="AO516" s="53">
        <f>Tabela3[Cotação]/Tabela3[VPA]</f>
        <v>-0.2612922366031033</v>
      </c>
      <c r="AP516" s="37">
        <f>IF(Tabela3[[#This Row],[Lucro/Ação]]&gt;0,Tabela3[[#This Row],[Cotação]]/(Tabela3[[#This Row],[Lucro/Ação]]/Tabela3[Ref]*4),0)</f>
        <v>8.3207888587172754</v>
      </c>
      <c r="AQ516" s="85">
        <f>Tabela3[Lucro Distribuir]/Tabela3[Total Ações]</f>
        <v>0.16954522268907563</v>
      </c>
      <c r="AR516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4.1067506524638669E-2</v>
      </c>
      <c r="AS516" s="10" t="str">
        <f>IF(AND(Tabela3[% A.A.]&gt;=6%,SUMPRODUCT(N(Tabela3[Nome]=Tabela3[[#This Row],[Nome]]),Tabela3[PL])&gt;0,Tabela3[Rentabilidade s/ PL]&gt;=Tabela3[Rentabilidade s/ PL Média]),"Sim","Não")</f>
        <v>Não</v>
      </c>
      <c r="AT516" s="22">
        <f>IF(Tabela3[Cotação]&gt;0,Tabela3[[#This Row],[Lucro]]/Tabela3[[#This Row],[Cotação]],0)</f>
        <v>2.0741164911433671E-2</v>
      </c>
      <c r="AU516" s="22">
        <f>((1+Tabela3[[#This Row],[% Yield]])^(1/(3*Tabela3[[#This Row],[Ref]])))^(12)-1</f>
        <v>2.7750048778378167E-2</v>
      </c>
      <c r="AV516" s="10">
        <f>IF(Tabela3[Cotação]&gt;0,($BD$1/Tabela3[[#This Row],[Cotação]]-MOD($BD$1/Tabela3[[#This Row],[Cotação]],100)),)</f>
        <v>0</v>
      </c>
      <c r="AW516" s="7">
        <f>Tabela3[[#This Row],[Ativos]]*Tabela3[Lucro]</f>
        <v>0</v>
      </c>
      <c r="AX516" s="7">
        <f>SUMPRODUCT(N(Tabela1[Código]=Tabela3[[#This Row],[PAPEL]]),Tabela1[Fechamento])</f>
        <v>0</v>
      </c>
      <c r="AY516" s="7">
        <f>SUMPRODUCT(N(Tabela17[Código]=Tabela3[[#This Row],[PAPEL]]),Tabela17[Fechamento])</f>
        <v>0</v>
      </c>
      <c r="AZ516" s="7">
        <f>SUMPRODUCT(N(Tabela176[Código]=Tabela3[[#This Row],[PAPEL]]),Tabela176[Fechamento])</f>
        <v>0</v>
      </c>
      <c r="BA516" s="7">
        <f>SUMPRODUCT(N(Tabela1768[Código]=Tabela3[[#This Row],[PAPEL]]),Tabela1768[Fechamento])</f>
        <v>0</v>
      </c>
      <c r="BB516" s="7">
        <f>SUMPRODUCT(N(Tabela17683[Código]=Tabela3[[#This Row],[PAPEL]]),Tabela17683[Fechamento])</f>
        <v>1.98</v>
      </c>
    </row>
    <row r="517" spans="1:54" hidden="1" x14ac:dyDescent="0.2">
      <c r="A517" s="4" t="s">
        <v>340</v>
      </c>
      <c r="B517" s="58" t="s">
        <v>1435</v>
      </c>
      <c r="C517" s="16" t="str">
        <f>LEFT(Tabela3[PAPEL],LEN(Tabela3[PAPEL])-(LEN(Tabela3[PAPEL])-4))</f>
        <v>HAGA</v>
      </c>
      <c r="D517" s="16">
        <v>3</v>
      </c>
      <c r="E517" s="5">
        <v>10353000</v>
      </c>
      <c r="F517" s="56">
        <v>7933333</v>
      </c>
      <c r="G517" s="81">
        <v>0.25</v>
      </c>
      <c r="H517" s="18"/>
      <c r="J517" s="18">
        <v>0.1</v>
      </c>
      <c r="K517" s="16"/>
      <c r="L517" s="87"/>
      <c r="M517" s="54"/>
      <c r="N517" s="54"/>
      <c r="O517" s="54"/>
      <c r="P517" s="91">
        <v>-90174895</v>
      </c>
      <c r="Q517" s="73">
        <v>2123777</v>
      </c>
      <c r="R517" s="73">
        <f>IF(Tabela3[[#This Row],[Ativo || Passivo]]&gt;0,Tabela3[[#This Row],[Ativo || Passivo]]-Tabela3[[#This Row],[Patrimônio Líquido]],0)</f>
        <v>0</v>
      </c>
      <c r="S517" s="73">
        <f>Tabela3[[#This Row],[Cotação]]*Tabela3[[#This Row],[Total Ações]]</f>
        <v>16065000.000000002</v>
      </c>
      <c r="T517" s="37">
        <f>IF(Tabela3[[#This Row],[Passivo Circulante]]&gt;0,Tabela3[[#This Row],[Ativo Circulante]]/Tabela3[[#This Row],[Passivo Circulante]],0)</f>
        <v>0</v>
      </c>
      <c r="U517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517" s="18">
        <f>IF(Tabela3[[#This Row],[Lucro Líquido]]&gt;0,Tabela3[[#This Row],[Lucro Líquido]]/Tabela3[[#This Row],[Patrimônio Líquido]],0)</f>
        <v>-2.355175462083987E-2</v>
      </c>
      <c r="W517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517" s="18">
        <f>IF(Tabela3[[#This Row],[Dívida]]&gt;0,Tabela3[[#This Row],[Dívida]]/Tabela3[[#This Row],[Patrimônio Líquido]],0)</f>
        <v>0</v>
      </c>
      <c r="Y517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517" s="7">
        <f>Tabela3[[#This Row],[Capital Social]]*20%</f>
        <v>2070600</v>
      </c>
      <c r="AA517" s="47">
        <f>IF((Tabela3[Lucro Líquido]*5%)&gt;Tabela3[Teto R. Legal],Tabela3[Teto R. Legal],Tabela3[Lucro Líquido]*5%)</f>
        <v>106188.85</v>
      </c>
      <c r="AB517" s="47">
        <f>IF(Tabela3[Lucro Líquido]&lt;0,0,Tabela3[Lucro Líquido]-Tabela3[Reserva Legal])</f>
        <v>2017588.15</v>
      </c>
      <c r="AC517" s="47">
        <f>Tabela3[[#This Row],[Lucro Distribuir]]*Tabela3[%Div]</f>
        <v>504397.03749999998</v>
      </c>
      <c r="AD517" s="56">
        <f>SUMPRODUCT(N(Tabela3[Nome]=Tabela3[[#This Row],[Nome]]),Tabela3[Ações])</f>
        <v>11900000</v>
      </c>
      <c r="AE517" s="85">
        <f>Tabela3[Capital Social]/Tabela3[Total Ações]</f>
        <v>0.87</v>
      </c>
      <c r="AF517" s="85">
        <f>Tabela3[[#This Row],[Lucro Líquido]]/Tabela3[[#This Row],[Total Ações]]</f>
        <v>0.17846865546218488</v>
      </c>
      <c r="AG517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4.5174257238986548E-2</v>
      </c>
      <c r="AH517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517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517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4.5174257238986548E-2</v>
      </c>
      <c r="AK517" s="7">
        <f>Tabela3[Div Base]*Tabela3[Ações]</f>
        <v>358382.42570454086</v>
      </c>
      <c r="AL517" s="121">
        <f>SUMPRODUCT(N(Tabela3[Nome]=Tabela3[[#This Row],[Nome]]),Tabela3[Div Base]*Tabela3[Ações])</f>
        <v>521283.54860810976</v>
      </c>
      <c r="AM517" s="5">
        <f>Tabela3[Patrimônio Líquido]/Tabela3[Total Ações]</f>
        <v>-7.5777222689075634</v>
      </c>
      <c r="AN517" s="52">
        <f>MAX(Tabela3[[#This Row],[Cotação 1]:[Cotação 5]])</f>
        <v>1.35</v>
      </c>
      <c r="AO517" s="53">
        <f>Tabela3[Cotação]/Tabela3[VPA]</f>
        <v>-0.17815379768393411</v>
      </c>
      <c r="AP517" s="37">
        <f>IF(Tabela3[[#This Row],[Lucro/Ação]]&gt;0,Tabela3[[#This Row],[Cotação]]/(Tabela3[[#This Row],[Lucro/Ação]]/Tabela3[Ref]*4),0)</f>
        <v>5.6732651309435971</v>
      </c>
      <c r="AQ517" s="85">
        <f>Tabela3[Lucro Distribuir]/Tabela3[Total Ações]</f>
        <v>0.16954522268907563</v>
      </c>
      <c r="AR517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4.5174257238986548E-2</v>
      </c>
      <c r="AS517" s="10" t="str">
        <f>IF(AND(Tabela3[% A.A.]&gt;=6%,SUMPRODUCT(N(Tabela3[Nome]=Tabela3[[#This Row],[Nome]]),Tabela3[PL])&gt;0,Tabela3[Rentabilidade s/ PL]&gt;=Tabela3[Rentabilidade s/ PL Média]),"Sim","Não")</f>
        <v>Não</v>
      </c>
      <c r="AT517" s="22">
        <f>IF(Tabela3[Cotação]&gt;0,Tabela3[[#This Row],[Lucro]]/Tabela3[[#This Row],[Cotação]],0)</f>
        <v>3.3462412769619664E-2</v>
      </c>
      <c r="AU517" s="22">
        <f>((1+Tabela3[[#This Row],[% Yield]])^(1/(3*Tabela3[[#This Row],[Ref]])))^(12)-1</f>
        <v>4.4863554957922602E-2</v>
      </c>
      <c r="AV517" s="10">
        <f>IF(Tabela3[Cotação]&gt;0,($BD$1/Tabela3[[#This Row],[Cotação]]-MOD($BD$1/Tabela3[[#This Row],[Cotação]],100)),)</f>
        <v>0</v>
      </c>
      <c r="AW517" s="7">
        <f>Tabela3[[#This Row],[Ativos]]*Tabela3[Lucro]</f>
        <v>0</v>
      </c>
      <c r="AX517" s="7">
        <f>SUMPRODUCT(N(Tabela1[Código]=Tabela3[[#This Row],[PAPEL]]),Tabela1[Fechamento])</f>
        <v>0</v>
      </c>
      <c r="AY517" s="7">
        <f>SUMPRODUCT(N(Tabela17[Código]=Tabela3[[#This Row],[PAPEL]]),Tabela17[Fechamento])</f>
        <v>0</v>
      </c>
      <c r="AZ517" s="7">
        <f>SUMPRODUCT(N(Tabela176[Código]=Tabela3[[#This Row],[PAPEL]]),Tabela176[Fechamento])</f>
        <v>0</v>
      </c>
      <c r="BA517" s="7">
        <f>SUMPRODUCT(N(Tabela1768[Código]=Tabela3[[#This Row],[PAPEL]]),Tabela1768[Fechamento])</f>
        <v>0</v>
      </c>
      <c r="BB517" s="7">
        <f>SUMPRODUCT(N(Tabela17683[Código]=Tabela3[[#This Row],[PAPEL]]),Tabela17683[Fechamento])</f>
        <v>1.35</v>
      </c>
    </row>
    <row r="518" spans="1:54" hidden="1" x14ac:dyDescent="0.2">
      <c r="A518" s="3" t="s">
        <v>1709</v>
      </c>
      <c r="B518" s="58" t="s">
        <v>1675</v>
      </c>
      <c r="C518" s="16" t="str">
        <f>LEFT(Tabela3[PAPEL],LEN(Tabela3[PAPEL])-(LEN(Tabela3[PAPEL])-4))</f>
        <v>MWET</v>
      </c>
      <c r="D518" s="16">
        <v>3</v>
      </c>
      <c r="E518" s="5">
        <v>47147375.020000003</v>
      </c>
      <c r="F518" s="56">
        <v>6860012</v>
      </c>
      <c r="G518" s="81">
        <v>0.25</v>
      </c>
      <c r="H518" s="87"/>
      <c r="J518" s="18"/>
      <c r="K518" s="16"/>
      <c r="L518" s="87"/>
      <c r="M518" s="54"/>
      <c r="N518" s="54"/>
      <c r="O518" s="54"/>
      <c r="P518" s="91">
        <v>-10141000</v>
      </c>
      <c r="Q518" s="73">
        <v>4196000</v>
      </c>
      <c r="R518" s="73">
        <f>IF(Tabela3[[#This Row],[Ativo || Passivo]]&gt;0,Tabela3[[#This Row],[Ativo || Passivo]]-Tabela3[[#This Row],[Patrimônio Líquido]],0)</f>
        <v>0</v>
      </c>
      <c r="S518" s="73">
        <f>Tabela3[[#This Row],[Cotação]]*Tabela3[[#This Row],[Total Ações]]</f>
        <v>82320144</v>
      </c>
      <c r="T518" s="37">
        <f>IF(Tabela3[[#This Row],[Passivo Circulante]]&gt;0,Tabela3[[#This Row],[Ativo Circulante]]/Tabela3[[#This Row],[Passivo Circulante]],0)</f>
        <v>0</v>
      </c>
      <c r="U518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518" s="18">
        <f>IF(Tabela3[[#This Row],[Lucro Líquido]]&gt;0,Tabela3[[#This Row],[Lucro Líquido]]/Tabela3[[#This Row],[Patrimônio Líquido]],0)</f>
        <v>-0.41376590079873782</v>
      </c>
      <c r="W518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518" s="18">
        <f>IF(Tabela3[[#This Row],[Dívida]]&gt;0,Tabela3[[#This Row],[Dívida]]/Tabela3[[#This Row],[Patrimônio Líquido]],0)</f>
        <v>0</v>
      </c>
      <c r="Y518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518" s="7">
        <f>Tabela3[[#This Row],[Capital Social]]*20%</f>
        <v>9429475.0040000007</v>
      </c>
      <c r="AA518" s="47">
        <f>IF((Tabela3[Lucro Líquido]*5%)&gt;Tabela3[Teto R. Legal],Tabela3[Teto R. Legal],Tabela3[Lucro Líquido]*5%)</f>
        <v>209800</v>
      </c>
      <c r="AB518" s="47">
        <f>IF(Tabela3[Lucro Líquido]&lt;0,0,Tabela3[Lucro Líquido]-Tabela3[Reserva Legal])</f>
        <v>3986200</v>
      </c>
      <c r="AC518" s="47">
        <f>Tabela3[[#This Row],[Lucro Distribuir]]*Tabela3[%Div]</f>
        <v>996550</v>
      </c>
      <c r="AD518" s="56">
        <f>SUMPRODUCT(N(Tabela3[Nome]=Tabela3[[#This Row],[Nome]]),Tabela3[Ações])</f>
        <v>20580036</v>
      </c>
      <c r="AE518" s="85">
        <f>Tabela3[Capital Social]/Tabela3[Total Ações]</f>
        <v>2.2909277233528651</v>
      </c>
      <c r="AF518" s="85">
        <f>Tabela3[[#This Row],[Lucro Líquido]]/Tabela3[[#This Row],[Total Ações]]</f>
        <v>0.20388691253990032</v>
      </c>
      <c r="AG518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4.6916513655222467E-2</v>
      </c>
      <c r="AH518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518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518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4.6916513655222467E-2</v>
      </c>
      <c r="AK518" s="7">
        <f>Tabela3[Div Base]*Tabela3[Ações]</f>
        <v>321847.84667299001</v>
      </c>
      <c r="AL518" s="121">
        <f>SUMPRODUCT(N(Tabela3[Nome]=Tabela3[[#This Row],[Nome]]),Tabela3[Div Base]*Tabela3[Ações])</f>
        <v>1029913.1103235433</v>
      </c>
      <c r="AM518" s="5">
        <f>Tabela3[Patrimônio Líquido]/Tabela3[Total Ações]</f>
        <v>-0.49275909915803839</v>
      </c>
      <c r="AN518" s="52">
        <f>MAX(Tabela3[[#This Row],[Cotação 1]:[Cotação 5]])</f>
        <v>4</v>
      </c>
      <c r="AO518" s="53">
        <f>Tabela3[Cotação]/Tabela3[VPA]</f>
        <v>-8.1175568484370384</v>
      </c>
      <c r="AP518" s="37">
        <f>IF(Tabela3[[#This Row],[Lucro/Ação]]&gt;0,Tabela3[[#This Row],[Cotação]]/(Tabela3[[#This Row],[Lucro/Ação]]/Tabela3[Ref]*4),0)</f>
        <v>14.714039084842707</v>
      </c>
      <c r="AQ518" s="85">
        <f>Tabela3[Lucro Distribuir]/Tabela3[Total Ações]</f>
        <v>0.19369256691290529</v>
      </c>
      <c r="AR518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4.6916513655222467E-2</v>
      </c>
      <c r="AS518" s="10" t="str">
        <f>IF(AND(Tabela3[% A.A.]&gt;=6%,SUMPRODUCT(N(Tabela3[Nome]=Tabela3[[#This Row],[Nome]]),Tabela3[PL])&gt;0,Tabela3[Rentabilidade s/ PL]&gt;=Tabela3[Rentabilidade s/ PL Média]),"Sim","Não")</f>
        <v>Não</v>
      </c>
      <c r="AT518" s="22">
        <f>IF(Tabela3[Cotação]&gt;0,Tabela3[[#This Row],[Lucro]]/Tabela3[[#This Row],[Cotação]],0)</f>
        <v>1.1729128413805617E-2</v>
      </c>
      <c r="AU518" s="22">
        <f>((1+Tabela3[[#This Row],[% Yield]])^(1/(3*Tabela3[[#This Row],[Ref]])))^(12)-1</f>
        <v>1.5669330244186597E-2</v>
      </c>
      <c r="AV518" s="10">
        <f>IF(Tabela3[Cotação]&gt;0,($BD$1/Tabela3[[#This Row],[Cotação]]-MOD($BD$1/Tabela3[[#This Row],[Cotação]],100)),)</f>
        <v>0</v>
      </c>
      <c r="AW518" s="7">
        <f>Tabela3[[#This Row],[Ativos]]*Tabela3[Lucro]</f>
        <v>0</v>
      </c>
      <c r="AX518" s="7">
        <f>SUMPRODUCT(N(Tabela1[Código]=Tabela3[[#This Row],[PAPEL]]),Tabela1[Fechamento])</f>
        <v>0</v>
      </c>
      <c r="AY518" s="7">
        <f>SUMPRODUCT(N(Tabela17[Código]=Tabela3[[#This Row],[PAPEL]]),Tabela17[Fechamento])</f>
        <v>0</v>
      </c>
      <c r="AZ518" s="7">
        <f>SUMPRODUCT(N(Tabela176[Código]=Tabela3[[#This Row],[PAPEL]]),Tabela176[Fechamento])</f>
        <v>0</v>
      </c>
      <c r="BA518" s="7">
        <f>SUMPRODUCT(N(Tabela1768[Código]=Tabela3[[#This Row],[PAPEL]]),Tabela1768[Fechamento])</f>
        <v>0</v>
      </c>
      <c r="BB518" s="7">
        <f>SUMPRODUCT(N(Tabela17683[Código]=Tabela3[[#This Row],[PAPEL]]),Tabela17683[Fechamento])</f>
        <v>4</v>
      </c>
    </row>
    <row r="519" spans="1:54" hidden="1" x14ac:dyDescent="0.2">
      <c r="A519" s="3" t="s">
        <v>1709</v>
      </c>
      <c r="B519" s="58" t="s">
        <v>1676</v>
      </c>
      <c r="C519" s="16" t="str">
        <f>LEFT(Tabela3[PAPEL],LEN(Tabela3[PAPEL])-(LEN(Tabela3[PAPEL])-4))</f>
        <v>MWET</v>
      </c>
      <c r="D519" s="16">
        <v>3</v>
      </c>
      <c r="E519" s="5">
        <v>47147375.020000003</v>
      </c>
      <c r="F519" s="56">
        <v>13720024</v>
      </c>
      <c r="G519" s="81">
        <v>0.25</v>
      </c>
      <c r="H519" s="87"/>
      <c r="J519" s="18">
        <v>0.1</v>
      </c>
      <c r="K519" s="16"/>
      <c r="L519" s="87"/>
      <c r="M519" s="54"/>
      <c r="N519" s="54"/>
      <c r="O519" s="54"/>
      <c r="P519" s="91">
        <v>-10141000</v>
      </c>
      <c r="Q519" s="73">
        <v>4196000</v>
      </c>
      <c r="R519" s="73">
        <f>IF(Tabela3[[#This Row],[Ativo || Passivo]]&gt;0,Tabela3[[#This Row],[Ativo || Passivo]]-Tabela3[[#This Row],[Patrimônio Líquido]],0)</f>
        <v>0</v>
      </c>
      <c r="S519" s="73">
        <f>Tabela3[[#This Row],[Cotação]]*Tabela3[[#This Row],[Total Ações]]</f>
        <v>32516456.880000003</v>
      </c>
      <c r="T519" s="37">
        <f>IF(Tabela3[[#This Row],[Passivo Circulante]]&gt;0,Tabela3[[#This Row],[Ativo Circulante]]/Tabela3[[#This Row],[Passivo Circulante]],0)</f>
        <v>0</v>
      </c>
      <c r="U519" s="37">
        <f>SUMPRODUCT(N(Tabela3[Liquidez Corrente]&gt;0),N(RIGHT(Tabela3[PAPEL],LEN(Tabela3[PAPEL])-(LEN(Tabela3[PAPEL])-1))="3"),Tabela3[Liquidez Corrente])/SUMPRODUCT(N(Tabela3[Liquidez Corrente]&gt;0),N(RIGHT(Tabela3[PAPEL],LEN(Tabela3[PAPEL])-(LEN(Tabela3[PAPEL])-1))="3"))</f>
        <v>2.3226552862769188</v>
      </c>
      <c r="V519" s="18">
        <f>IF(Tabela3[[#This Row],[Lucro Líquido]]&gt;0,Tabela3[[#This Row],[Lucro Líquido]]/Tabela3[[#This Row],[Patrimônio Líquido]],0)</f>
        <v>-0.41376590079873782</v>
      </c>
      <c r="W519" s="18">
        <f>SUMPRODUCT(N(Tabela3[Rentabilidade s/ PL]&gt;0),N(RIGHT(Tabela3[PAPEL],LEN(Tabela3[PAPEL])-(LEN(Tabela3[PAPEL])-1))="3"),Tabela3[Rentabilidade s/ PL])/SUMPRODUCT(N(Tabela3[Rentabilidade s/ PL]&gt;0),N(RIGHT(Tabela3[PAPEL],LEN(Tabela3[PAPEL])-(LEN(Tabela3[PAPEL])-1))="3"))</f>
        <v>0.12415240428708312</v>
      </c>
      <c r="X519" s="18">
        <f>IF(Tabela3[[#This Row],[Dívida]]&gt;0,Tabela3[[#This Row],[Dívida]]/Tabela3[[#This Row],[Patrimônio Líquido]],0)</f>
        <v>0</v>
      </c>
      <c r="Y519" s="18">
        <f>SUMPRODUCT(N(Tabela3[Dívida / PL]&gt;0),N(RIGHT(Tabela3[PAPEL],LEN(Tabela3[PAPEL])-(LEN(Tabela3[PAPEL])-1))="3"),Tabela3[Dívida / PL])/SUMPRODUCT(N(Tabela3[Dívida / PL]&gt;0),N(RIGHT(Tabela3[PAPEL],LEN(Tabela3[PAPEL])-(LEN(Tabela3[PAPEL])-1))="3"))</f>
        <v>2.1818980847816913</v>
      </c>
      <c r="Z519" s="7">
        <f>Tabela3[[#This Row],[Capital Social]]*20%</f>
        <v>9429475.0040000007</v>
      </c>
      <c r="AA519" s="47">
        <f>IF((Tabela3[Lucro Líquido]*5%)&gt;Tabela3[Teto R. Legal],Tabela3[Teto R. Legal],Tabela3[Lucro Líquido]*5%)</f>
        <v>209800</v>
      </c>
      <c r="AB519" s="47">
        <f>IF(Tabela3[Lucro Líquido]&lt;0,0,Tabela3[Lucro Líquido]-Tabela3[Reserva Legal])</f>
        <v>3986200</v>
      </c>
      <c r="AC519" s="47">
        <f>Tabela3[[#This Row],[Lucro Distribuir]]*Tabela3[%Div]</f>
        <v>996550</v>
      </c>
      <c r="AD519" s="56">
        <f>SUMPRODUCT(N(Tabela3[Nome]=Tabela3[[#This Row],[Nome]]),Tabela3[Ações])</f>
        <v>20580036</v>
      </c>
      <c r="AE519" s="85">
        <f>Tabela3[Capital Social]/Tabela3[Total Ações]</f>
        <v>2.2909277233528651</v>
      </c>
      <c r="AF519" s="85">
        <f>Tabela3[[#This Row],[Lucro Líquido]]/Tabela3[[#This Row],[Total Ações]]</f>
        <v>0.20388691253990032</v>
      </c>
      <c r="AG519" s="85">
        <f>IF(AND(Tabela3[Lucro Distribuir]&gt;0,Tabela3[Ações]&gt;0),(Tabela3[25 % Div])/SUMPRODUCT(N(Tabela3[Nome]=Tabela3[[#This Row],[Nome]]),N(Tabela3[%Div]&gt;0),Tabela3[Ações]),0)*IF(SUMPRODUCT(N(Tabela3[Nome]=Tabela3[[#This Row],[Nome]]),Tabela3[% Pref. / ON])&gt;0,IF(Tabela3[[#This Row],[% Pref. / ON]]=0,0.9688861974,1.0657748186),1)</f>
        <v>5.1608165091442497E-2</v>
      </c>
      <c r="AH519" s="85">
        <f>IF(Tabela3[% PNA (PL)]&gt;0,Tabela3[Patrimônio Líquido]*Tabela3[% PNA (PL)]/Tabela3[Total Ações],IF(AND((Tabela3[25 % Div])&gt;SUMPRODUCT(N(Tabela3[Nome]=Tabela3[[#This Row],[Nome]]),Tabela3[Patrimônio Líquido]*Tabela3[% PNA (PL)]/Tabela3[Total Ações]*Tabela3[Ações]),SUMPRODUCT(N(Tabela3[Nome]=Tabela3[[#This Row],[Nome]]),N(Tabela3[% PNA (PL)]&gt;0))),((Tabela3[25 % Div])-SUMPRODUCT(N(Tabela3[Nome]=Tabela3[[#This Row],[Nome]]),Tabela3[Patrimônio Líquido]*Tabela3[% PNA (PL)]/Tabela3[Total Ações]*Tabela3[Ações]))/SUMPRODUCT(N(Tabela3[Nome]=Tabela3[[#This Row],[Nome]]),N(Tabela3[% PNA (PL)]=0),Tabela3[Ações]),0))</f>
        <v>0</v>
      </c>
      <c r="AI519" s="77">
        <f>IF(IF(Tabela3[%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(CS)]=0),Tabela3[Ações]),0))*Tabela3[[#This Row],[Ações]]&gt;Tabela3[[#This Row],[Lucro Distribuir]],Tabela3[[#This Row],[Lucro Distribuir]]/Tabela3[[#This Row],[Ações]],IF(Tabela3[% PNA (CS)]&gt;0,Tabela3[Capital Social]*Tabela3[% PNA (CS)]/Tabela3[Total Ações],IF(AND((Tabela3[25 % Div])&gt;SUMPRODUCT(N(Tabela3[Nome]=Tabela3[[#This Row],[Nome]]),Tabela3[Capital Social]*Tabela3[% PNA (CS)]/Tabela3[Total Ações]*Tabela3[Ações]),SUMPRODUCT(N(Tabela3[Nome]=Tabela3[[#This Row],[Nome]]),N(Tabela3[% PNA (CS)]&gt;0))),((Tabela3[25 % Div])-SUMPRODUCT(N(Tabela3[Nome]=Tabela3[[#This Row],[Nome]]),Tabela3[Capital Social]*Tabela3[% PNA (CS)]/Tabela3[Total Ações]*Tabela3[Ações]))/SUMPRODUCT(N(Tabela3[Nome]=Tabela3[[#This Row],[Nome]]),N(Tabela3[% PNA (CS)]=0),Tabela3[Ações]),0)))</f>
        <v>0</v>
      </c>
      <c r="AJ519" s="85">
        <f>IF(OR(SUMPRODUCT(N(Tabela3[Nome]=Tabela3[[#This Row],[Nome]]),N(Tabela3[% PNA (CS)]&gt;0),Tabela3[Div PNA (CS)])&gt;SUMPRODUCT(N(Tabela3[Nome]=Tabela3[[#This Row],[Nome]]),N(Tabela3[% PNA (CS)]&gt;0),Tabela3[Div. Mínimo]),   SUMPRODUCT(N(Tabela3[Nome]=Tabela3[[#This Row],[Nome]]),N(Tabela3[% PNA (PL)]&gt;0),Tabela3[Div PNA (PL)])&gt;SUMPRODUCT(N(Tabela3[Nome]=Tabela3[[#This Row],[Nome]]),N(Tabela3[% PNA (PL)]&gt;0),Tabela3[Div. Mínimo])),   IF(SUMPRODUCT(N(Tabela3[Nome]=Tabela3[[#This Row],[Nome]]),N(Tabela3[% PNA (CS)]&gt;0),Tabela3[Div PNA (CS)])&gt;SUMPRODUCT(N(Tabela3[Nome]=Tabela3[[#This Row],[Nome]]),N(Tabela3[% PNA (PL)]&gt;0),Tabela3[Div PNA (PL)]),  Tabela3[Div PNA (CS)],  Tabela3[Div PNA (PL)]  ),   Tabela3[Div. Mínimo])</f>
        <v>5.1608165091442497E-2</v>
      </c>
      <c r="AK519" s="7">
        <f>Tabela3[Div Base]*Tabela3[Ações]</f>
        <v>708065.2636505533</v>
      </c>
      <c r="AL519" s="121">
        <f>SUMPRODUCT(N(Tabela3[Nome]=Tabela3[[#This Row],[Nome]]),Tabela3[Div Base]*Tabela3[Ações])</f>
        <v>1029913.1103235433</v>
      </c>
      <c r="AM519" s="5">
        <f>Tabela3[Patrimônio Líquido]/Tabela3[Total Ações]</f>
        <v>-0.49275909915803839</v>
      </c>
      <c r="AN519" s="52">
        <f>MAX(Tabela3[[#This Row],[Cotação 1]:[Cotação 5]])</f>
        <v>1.58</v>
      </c>
      <c r="AO519" s="53">
        <f>Tabela3[Cotação]/Tabela3[VPA]</f>
        <v>-3.2064349551326301</v>
      </c>
      <c r="AP519" s="37">
        <f>IF(Tabela3[[#This Row],[Lucro/Ação]]&gt;0,Tabela3[[#This Row],[Cotação]]/(Tabela3[[#This Row],[Lucro/Ação]]/Tabela3[Ref]*4),0)</f>
        <v>5.812045438512869</v>
      </c>
      <c r="AQ519" s="85">
        <f>Tabela3[Lucro Distribuir]/Tabela3[Total Ações]</f>
        <v>0.19369256691290529</v>
      </c>
      <c r="AR519" s="85">
        <f>IF(Tabela3[Unit ON]&gt;0,SUMPRODUCT(N(Tabela3[Nome]=Tabela3[[#This Row],[Nome]]),N(RIGHT(Tabela3[PAPEL],1)="3"),Tabela3[Div Base])*Tabela3[Unit ON]+SUMPRODUCT(N(Tabela3[Nome]=Tabela3[[#This Row],[Nome]]),N(RIGHT(Tabela3[PAPEL],1)="4"),Tabela3[Div Base])*Tabela3[Unit PN],Tabela3[Div Base])</f>
        <v>5.1608165091442497E-2</v>
      </c>
      <c r="AS519" s="10" t="str">
        <f>IF(AND(Tabela3[% A.A.]&gt;=6%,SUMPRODUCT(N(Tabela3[Nome]=Tabela3[[#This Row],[Nome]]),Tabela3[PL])&gt;0,Tabela3[Rentabilidade s/ PL]&gt;=Tabela3[Rentabilidade s/ PL Média]),"Sim","Não")</f>
        <v>Não</v>
      </c>
      <c r="AT519" s="22">
        <f>IF(Tabela3[Cotação]&gt;0,Tabela3[[#This Row],[Lucro]]/Tabela3[[#This Row],[Cotação]],0)</f>
        <v>3.2663395627495248E-2</v>
      </c>
      <c r="AU519" s="22">
        <f>((1+Tabela3[[#This Row],[% Yield]])^(1/(3*Tabela3[[#This Row],[Ref]])))^(12)-1</f>
        <v>4.3786584592154565E-2</v>
      </c>
      <c r="AV519" s="10">
        <f>IF(Tabela3[Cotação]&gt;0,($BD$1/Tabela3[[#This Row],[Cotação]]-MOD($BD$1/Tabela3[[#This Row],[Cotação]],100)),)</f>
        <v>0</v>
      </c>
      <c r="AW519" s="7">
        <f>Tabela3[[#This Row],[Ativos]]*Tabela3[Lucro]</f>
        <v>0</v>
      </c>
      <c r="AX519" s="7">
        <f>SUMPRODUCT(N(Tabela1[Código]=Tabela3[[#This Row],[PAPEL]]),Tabela1[Fechamento])</f>
        <v>0</v>
      </c>
      <c r="AY519" s="7">
        <f>SUMPRODUCT(N(Tabela17[Código]=Tabela3[[#This Row],[PAPEL]]),Tabela17[Fechamento])</f>
        <v>0</v>
      </c>
      <c r="AZ519" s="7">
        <f>SUMPRODUCT(N(Tabela176[Código]=Tabela3[[#This Row],[PAPEL]]),Tabela176[Fechamento])</f>
        <v>0</v>
      </c>
      <c r="BA519" s="7">
        <f>SUMPRODUCT(N(Tabela1768[Código]=Tabela3[[#This Row],[PAPEL]]),Tabela1768[Fechamento])</f>
        <v>0</v>
      </c>
      <c r="BB519" s="7">
        <f>SUMPRODUCT(N(Tabela17683[Código]=Tabela3[[#This Row],[PAPEL]]),Tabela17683[Fechamento])</f>
        <v>1.58</v>
      </c>
    </row>
    <row r="520" spans="1:54" ht="15" x14ac:dyDescent="0.25">
      <c r="A520" s="3">
        <f>SUBTOTAL(103,Tabela3[Classificação Setorial])</f>
        <v>13</v>
      </c>
      <c r="C520"/>
      <c r="D520"/>
      <c r="E520"/>
      <c r="F520"/>
      <c r="G520"/>
      <c r="H520"/>
      <c r="I520"/>
      <c r="J520"/>
      <c r="K520"/>
      <c r="L520"/>
      <c r="M520" s="138"/>
      <c r="N520" s="138"/>
      <c r="O520" s="138"/>
      <c r="P520" s="3"/>
      <c r="Q520" s="3"/>
      <c r="R520" s="3"/>
      <c r="S520" s="7"/>
      <c r="T520" s="37"/>
      <c r="U520" s="37"/>
      <c r="V520" s="22"/>
      <c r="W520" s="22"/>
      <c r="X520" s="22"/>
      <c r="Y520" s="22"/>
      <c r="AM520" s="7"/>
      <c r="AN520" s="31"/>
      <c r="AP520"/>
      <c r="AW520" s="7"/>
      <c r="AY520" s="7"/>
    </row>
  </sheetData>
  <hyperlinks>
    <hyperlink ref="B305" r:id="rId1"/>
    <hyperlink ref="B295" r:id="rId2"/>
    <hyperlink ref="B111" r:id="rId3" display="PINE4"/>
    <hyperlink ref="B307" r:id="rId4"/>
    <hyperlink ref="B306" r:id="rId5"/>
    <hyperlink ref="B80" r:id="rId6"/>
    <hyperlink ref="B79" r:id="rId7"/>
    <hyperlink ref="B78" r:id="rId8"/>
    <hyperlink ref="B218" r:id="rId9" display="BRKM3"/>
    <hyperlink ref="B217" r:id="rId10" display="BRKM3"/>
    <hyperlink ref="B270" r:id="rId11"/>
    <hyperlink ref="B269" r:id="rId12"/>
    <hyperlink ref="B94" r:id="rId13"/>
    <hyperlink ref="B93" r:id="rId14"/>
    <hyperlink ref="B266" r:id="rId15" display="BRGE3"/>
    <hyperlink ref="B265" r:id="rId16" display="BRGE3"/>
    <hyperlink ref="B264" r:id="rId17" display="BRGE3"/>
    <hyperlink ref="B263" r:id="rId18" display="BRGE3"/>
    <hyperlink ref="B262" r:id="rId19"/>
    <hyperlink ref="B261" r:id="rId20"/>
    <hyperlink ref="B260" r:id="rId21"/>
    <hyperlink ref="B211" r:id="rId22" display="CPLE3"/>
    <hyperlink ref="B210" r:id="rId23" display="CPLE3"/>
    <hyperlink ref="B209" r:id="rId24"/>
    <hyperlink ref="B117" r:id="rId25" display="BNBR4"/>
    <hyperlink ref="B118" r:id="rId26"/>
    <hyperlink ref="B101" r:id="rId27"/>
    <hyperlink ref="B204" r:id="rId28"/>
    <hyperlink ref="B76" r:id="rId29"/>
    <hyperlink ref="B66" r:id="rId30" display="GTDP4B"/>
    <hyperlink ref="B276" r:id="rId31" display="CEBR3"/>
    <hyperlink ref="B275" r:id="rId32" display="CEBR3"/>
    <hyperlink ref="B274" r:id="rId33"/>
    <hyperlink ref="B128" r:id="rId34" display="MERC4"/>
    <hyperlink ref="B29" r:id="rId35" display="CMIG4"/>
    <hyperlink ref="B197" r:id="rId36" display="CESP3"/>
    <hyperlink ref="B196" r:id="rId37" display="CESP3"/>
    <hyperlink ref="B141" r:id="rId38" display="ELPL4"/>
    <hyperlink ref="B61" r:id="rId39" display="PATI4"/>
    <hyperlink ref="B285" r:id="rId40"/>
    <hyperlink ref="B65" r:id="rId41"/>
    <hyperlink ref="B5" r:id="rId42"/>
    <hyperlink ref="B232" r:id="rId43"/>
    <hyperlink ref="B43" r:id="rId44"/>
    <hyperlink ref="B243" r:id="rId45"/>
    <hyperlink ref="B242" r:id="rId46"/>
    <hyperlink ref="B129" r:id="rId47"/>
    <hyperlink ref="B226" r:id="rId48"/>
    <hyperlink ref="B234" r:id="rId49"/>
    <hyperlink ref="B46" r:id="rId50"/>
    <hyperlink ref="B321" r:id="rId51"/>
    <hyperlink ref="B271" r:id="rId52"/>
    <hyperlink ref="B52" r:id="rId53"/>
    <hyperlink ref="B328" r:id="rId54"/>
    <hyperlink ref="B213" r:id="rId55"/>
    <hyperlink ref="B122" r:id="rId56"/>
    <hyperlink ref="B67" r:id="rId57"/>
    <hyperlink ref="B28" r:id="rId58"/>
    <hyperlink ref="B195" r:id="rId59"/>
    <hyperlink ref="B142" r:id="rId60"/>
    <hyperlink ref="B205" r:id="rId61"/>
    <hyperlink ref="B228" r:id="rId62"/>
    <hyperlink ref="B194" r:id="rId63"/>
    <hyperlink ref="B324" r:id="rId64" display="HBTS5"/>
    <hyperlink ref="B171" r:id="rId65"/>
    <hyperlink ref="B170" r:id="rId66"/>
    <hyperlink ref="B96" r:id="rId67"/>
    <hyperlink ref="B107" r:id="rId68"/>
    <hyperlink ref="B282" r:id="rId69"/>
    <hyperlink ref="B229" r:id="rId70"/>
    <hyperlink ref="B97" r:id="rId71"/>
    <hyperlink ref="B108" r:id="rId72"/>
    <hyperlink ref="B344" r:id="rId73"/>
    <hyperlink ref="B216" r:id="rId74"/>
    <hyperlink ref="B15" r:id="rId75"/>
    <hyperlink ref="B337" r:id="rId76"/>
    <hyperlink ref="B336" r:id="rId77"/>
    <hyperlink ref="B256" r:id="rId78"/>
    <hyperlink ref="B255" r:id="rId79"/>
    <hyperlink ref="B254" r:id="rId80"/>
    <hyperlink ref="B112" r:id="rId81"/>
    <hyperlink ref="B138" r:id="rId82"/>
    <hyperlink ref="B4" r:id="rId83"/>
    <hyperlink ref="B156" r:id="rId84"/>
    <hyperlink ref="B215" r:id="rId85"/>
    <hyperlink ref="B180" r:id="rId86"/>
    <hyperlink ref="B288" r:id="rId87"/>
    <hyperlink ref="B199" r:id="rId88"/>
    <hyperlink ref="B102" r:id="rId89"/>
    <hyperlink ref="B146" r:id="rId90"/>
    <hyperlink ref="B250" r:id="rId91"/>
    <hyperlink ref="B233" r:id="rId92" display="SULA11"/>
    <hyperlink ref="B206" r:id="rId93"/>
    <hyperlink ref="B162" r:id="rId94"/>
    <hyperlink ref="B231" r:id="rId95"/>
    <hyperlink ref="B230" r:id="rId96"/>
    <hyperlink ref="B8" r:id="rId97"/>
    <hyperlink ref="B99" r:id="rId98"/>
    <hyperlink ref="B100" r:id="rId99"/>
    <hyperlink ref="B59" r:id="rId100"/>
    <hyperlink ref="B60" r:id="rId101"/>
    <hyperlink ref="B132" r:id="rId102"/>
    <hyperlink ref="B168" r:id="rId103"/>
    <hyperlink ref="B169" r:id="rId104"/>
    <hyperlink ref="B50" r:id="rId105"/>
    <hyperlink ref="B51" r:id="rId106"/>
    <hyperlink ref="B318" r:id="rId107"/>
    <hyperlink ref="B319" r:id="rId108"/>
    <hyperlink ref="B95:B98" r:id="rId109" display="ENGI11"/>
    <hyperlink ref="B109:B110" r:id="rId110" display="GETI3"/>
    <hyperlink ref="B37" r:id="rId111"/>
    <hyperlink ref="B35" r:id="rId112"/>
    <hyperlink ref="B96:B98" r:id="rId113" display="CSRN3"/>
    <hyperlink ref="B189" r:id="rId114"/>
    <hyperlink ref="B190" r:id="rId115"/>
    <hyperlink ref="B515" r:id="rId116"/>
    <hyperlink ref="B61:B63" r:id="rId117" display="CEEB3"/>
    <hyperlink ref="B68:B70" r:id="rId118" display="CEPE3"/>
    <hyperlink ref="B89:B91" r:id="rId119" display="COCE3"/>
    <hyperlink ref="B165:B170" r:id="rId120" display="ENMA3B"/>
    <hyperlink ref="B158" r:id="rId121"/>
    <hyperlink ref="B183:B184" r:id="rId122" display="GEPA3"/>
    <hyperlink ref="B292" r:id="rId123"/>
    <hyperlink ref="B124:B125" r:id="rId124" display="EMAE3"/>
    <hyperlink ref="B404" r:id="rId125"/>
    <hyperlink ref="B251" r:id="rId126"/>
    <hyperlink ref="B32" r:id="rId127"/>
    <hyperlink ref="B207:B208" r:id="rId128" display="TRPL3"/>
    <hyperlink ref="B53" r:id="rId129"/>
    <hyperlink ref="B109" r:id="rId130"/>
    <hyperlink ref="B466" r:id="rId131" display="EKTR3"/>
    <hyperlink ref="B314" r:id="rId132"/>
    <hyperlink ref="B315" r:id="rId133" display="CASN3"/>
    <hyperlink ref="B186" r:id="rId134"/>
    <hyperlink ref="B159" r:id="rId135"/>
    <hyperlink ref="B160" r:id="rId136" display="SAPR3"/>
    <hyperlink ref="B56" r:id="rId137"/>
    <hyperlink ref="B57" r:id="rId138" display="CGAS3"/>
    <hyperlink ref="B25" r:id="rId139"/>
    <hyperlink ref="B433" r:id="rId140"/>
    <hyperlink ref="B284" r:id="rId141" display="EBTP4"/>
    <hyperlink ref="B447" r:id="rId142"/>
    <hyperlink ref="B448" r:id="rId143" display="MLFT3"/>
    <hyperlink ref="B436" r:id="rId144"/>
    <hyperlink ref="B437" r:id="rId145" display="LFFE3"/>
    <hyperlink ref="B208" r:id="rId146"/>
    <hyperlink ref="B207" r:id="rId147" display="DAYC4"/>
    <hyperlink ref="B422" r:id="rId148"/>
    <hyperlink ref="B423" r:id="rId149" display="IDVL3"/>
    <hyperlink ref="B359" r:id="rId150"/>
    <hyperlink ref="B360" r:id="rId151" display="BMEB3"/>
    <hyperlink ref="B363" r:id="rId152"/>
    <hyperlink ref="B364" r:id="rId153" display="BPMN3"/>
    <hyperlink ref="B474" r:id="rId154"/>
    <hyperlink ref="B302" r:id="rId155" display="SANB11"/>
    <hyperlink ref="B303" r:id="rId156" display="SANB11"/>
    <hyperlink ref="B327" r:id="rId157"/>
    <hyperlink ref="B326" r:id="rId158" display="SFSA4"/>
    <hyperlink ref="B105" r:id="rId159"/>
    <hyperlink ref="B106" r:id="rId160" display="ITUB3"/>
    <hyperlink ref="B184" r:id="rId161"/>
    <hyperlink ref="B183" r:id="rId162" display="PRBC4"/>
    <hyperlink ref="B54" r:id="rId163"/>
    <hyperlink ref="B55" r:id="rId164" display="ITSA3"/>
    <hyperlink ref="B340" r:id="rId165"/>
    <hyperlink ref="B139" r:id="rId166"/>
    <hyperlink ref="B493" r:id="rId167"/>
    <hyperlink ref="B494" r:id="rId168" display="TELB3"/>
    <hyperlink ref="B191" r:id="rId169"/>
    <hyperlink ref="B34" r:id="rId170"/>
    <hyperlink ref="B193" r:id="rId171"/>
    <hyperlink ref="B434" r:id="rId172"/>
    <hyperlink ref="B463" r:id="rId173"/>
    <hyperlink ref="B459" r:id="rId174"/>
    <hyperlink ref="B247" r:id="rId175"/>
    <hyperlink ref="B248" r:id="rId176" display="PETR3"/>
    <hyperlink ref="B470" r:id="rId177"/>
    <hyperlink ref="B471" r:id="rId178"/>
    <hyperlink ref="B460" r:id="rId179"/>
    <hyperlink ref="B258" r:id="rId180"/>
    <hyperlink ref="B259" r:id="rId181" display="FESA3"/>
    <hyperlink ref="B120" r:id="rId182"/>
    <hyperlink ref="B506" r:id="rId183"/>
    <hyperlink ref="B507" r:id="rId184" display="USIM3"/>
    <hyperlink ref="B508" r:id="rId185" display="USIM3"/>
    <hyperlink ref="B272" r:id="rId186"/>
    <hyperlink ref="B273" r:id="rId187" display="GGBR3"/>
    <hyperlink ref="B289" r:id="rId188"/>
    <hyperlink ref="B290" r:id="rId189"/>
    <hyperlink ref="B408" r:id="rId190"/>
    <hyperlink ref="B409" r:id="rId191" display="FBMC3"/>
    <hyperlink ref="B445" r:id="rId192"/>
    <hyperlink ref="B446" r:id="rId193" display="MGEL3"/>
    <hyperlink ref="B345" r:id="rId194"/>
    <hyperlink ref="B346" r:id="rId195"/>
    <hyperlink ref="B179" r:id="rId196" display="TKNO4"/>
    <hyperlink ref="B329" r:id="rId197"/>
    <hyperlink ref="B499" r:id="rId198"/>
    <hyperlink ref="B500" r:id="rId199" display="TIBR3"/>
    <hyperlink ref="B501" r:id="rId200" display="TIBR3"/>
    <hyperlink ref="B187" r:id="rId201"/>
    <hyperlink ref="B188" r:id="rId202" display="ELEK3"/>
    <hyperlink ref="B418" r:id="rId203"/>
    <hyperlink ref="B468" r:id="rId204"/>
    <hyperlink ref="B410" r:id="rId205"/>
    <hyperlink ref="B458" r:id="rId206"/>
    <hyperlink ref="B374" r:id="rId207"/>
    <hyperlink ref="B161" r:id="rId208" display="VALE5"/>
    <hyperlink ref="B449" r:id="rId209"/>
    <hyperlink ref="B479" r:id="rId210"/>
    <hyperlink ref="B480" r:id="rId211" display="SNSY3"/>
    <hyperlink ref="B481" r:id="rId212" display="SNSY3"/>
    <hyperlink ref="B244" r:id="rId213"/>
    <hyperlink ref="B245" r:id="rId214" display="RANI3"/>
    <hyperlink ref="B452" r:id="rId215"/>
    <hyperlink ref="B453" r:id="rId216" display="MSPA3"/>
    <hyperlink ref="B411" r:id="rId217"/>
    <hyperlink ref="B435" r:id="rId218"/>
    <hyperlink ref="B240" r:id="rId219" display="KLBN11"/>
    <hyperlink ref="B241" r:id="rId220" display="KLBN11"/>
    <hyperlink ref="B488" r:id="rId221"/>
    <hyperlink ref="B489" r:id="rId222" display="SUZB3"/>
    <hyperlink ref="B490" r:id="rId223" display="SUZB3"/>
    <hyperlink ref="B212" r:id="rId224" display="EUCA4"/>
    <hyperlink ref="B198" r:id="rId225" display="PTPA4"/>
    <hyperlink ref="B454" r:id="rId226"/>
    <hyperlink ref="B455" r:id="rId227" display="MTIG3"/>
    <hyperlink ref="B347" r:id="rId228"/>
    <hyperlink ref="B348" r:id="rId229" display="PEAB3"/>
    <hyperlink ref="B27" r:id="rId230"/>
    <hyperlink ref="B164" r:id="rId231" display="SULA11"/>
    <hyperlink ref="B163" r:id="rId232"/>
    <hyperlink ref="B367" r:id="rId233"/>
    <hyperlink ref="B368" r:id="rId234" display="BTTL3"/>
    <hyperlink ref="B323" r:id="rId235"/>
    <hyperlink ref="B322" r:id="rId236" display="HBTS5"/>
    <hyperlink ref="B393" r:id="rId237"/>
    <hyperlink ref="B394" r:id="rId238" display="DOCA3"/>
    <hyperlink ref="B235" r:id="rId239"/>
    <hyperlink ref="B236" r:id="rId240" display="JBDU3"/>
    <hyperlink ref="B350" r:id="rId241"/>
    <hyperlink ref="B383" r:id="rId242"/>
    <hyperlink ref="B384" r:id="rId243" display="CORR3"/>
    <hyperlink ref="B419" r:id="rId244"/>
    <hyperlink ref="B227" r:id="rId245" display="MULT3"/>
    <hyperlink ref="B224" r:id="rId246"/>
    <hyperlink ref="B291" r:id="rId247"/>
    <hyperlink ref="B283" r:id="rId248"/>
    <hyperlink ref="B38" r:id="rId249"/>
    <hyperlink ref="B325" r:id="rId250"/>
    <hyperlink ref="B155" r:id="rId251"/>
    <hyperlink ref="B357" r:id="rId252"/>
    <hyperlink ref="B6" r:id="rId253"/>
    <hyperlink ref="B361" r:id="rId254"/>
    <hyperlink ref="B362" r:id="rId255" display="BOBR3"/>
    <hyperlink ref="B7" r:id="rId256"/>
    <hyperlink ref="B39" r:id="rId257"/>
    <hyperlink ref="B40" r:id="rId258" display="LAME3"/>
    <hyperlink ref="B366" r:id="rId259"/>
    <hyperlink ref="B301" r:id="rId260"/>
    <hyperlink ref="B298" r:id="rId261"/>
    <hyperlink ref="B308" r:id="rId262"/>
    <hyperlink ref="B69" r:id="rId263"/>
    <hyperlink ref="B70" r:id="rId264" display="PNVL3"/>
    <hyperlink ref="B253" r:id="rId265" display="PFMR3"/>
    <hyperlink ref="B136" r:id="rId266"/>
    <hyperlink ref="B137" r:id="rId267" display="PCAR3"/>
    <hyperlink ref="B113" r:id="rId268"/>
    <hyperlink ref="B185" r:id="rId269"/>
    <hyperlink ref="B381" r:id="rId270"/>
    <hyperlink ref="B382" r:id="rId271" display="CLAN3"/>
    <hyperlink ref="B450" r:id="rId272"/>
    <hyperlink ref="B11" r:id="rId273"/>
    <hyperlink ref="B12" r:id="rId274" display="BAUH3"/>
    <hyperlink ref="B356" r:id="rId275"/>
    <hyperlink ref="B451" r:id="rId276"/>
    <hyperlink ref="B425" r:id="rId277"/>
    <hyperlink ref="B426" r:id="rId278" display="IGUA3"/>
    <hyperlink ref="B427" r:id="rId279" display="IGUA3"/>
    <hyperlink ref="B320" r:id="rId280"/>
    <hyperlink ref="B279" r:id="rId281"/>
    <hyperlink ref="B280" r:id="rId282" display="JOPA3"/>
    <hyperlink ref="B95" r:id="rId283"/>
    <hyperlink ref="B365" r:id="rId284"/>
    <hyperlink ref="B509" r:id="rId285"/>
    <hyperlink ref="B143" r:id="rId286"/>
    <hyperlink ref="B249" r:id="rId287"/>
    <hyperlink ref="B16" r:id="rId288"/>
    <hyperlink ref="B351" r:id="rId289"/>
    <hyperlink ref="B352" r:id="rId290" display="AHEB3"/>
    <hyperlink ref="B353" r:id="rId291" display="AHEB3"/>
    <hyperlink ref="B478" r:id="rId292"/>
    <hyperlink ref="B257" r:id="rId293"/>
    <hyperlink ref="B221" r:id="rId294"/>
    <hyperlink ref="B17" r:id="rId295"/>
    <hyperlink ref="B18" r:id="rId296" display="WHRL3"/>
    <hyperlink ref="B19" r:id="rId297"/>
    <hyperlink ref="B31" r:id="rId298" display="BMTO3"/>
    <hyperlink ref="B124" r:id="rId299"/>
    <hyperlink ref="B22" r:id="rId300"/>
    <hyperlink ref="B23" r:id="rId301" display="VVAR11"/>
    <hyperlink ref="B24" r:id="rId302" display="VVAR11"/>
    <hyperlink ref="B424" r:id="rId303"/>
    <hyperlink ref="B26" r:id="rId304"/>
    <hyperlink ref="B293" r:id="rId305"/>
    <hyperlink ref="B294" r:id="rId306" display="CEDO3"/>
    <hyperlink ref="B502" r:id="rId307"/>
    <hyperlink ref="B503" r:id="rId308" display="TOYB3"/>
    <hyperlink ref="B406" r:id="rId309"/>
    <hyperlink ref="B407" r:id="rId310" display="ESTR3"/>
    <hyperlink ref="B456" r:id="rId311"/>
    <hyperlink ref="B457" r:id="rId312" display="NAFG3"/>
    <hyperlink ref="B420" r:id="rId313"/>
    <hyperlink ref="B421" r:id="rId314" display="HETA3"/>
    <hyperlink ref="B389" r:id="rId315"/>
    <hyperlink ref="B390" r:id="rId316" display="CTNM3"/>
    <hyperlink ref="B125" r:id="rId317"/>
    <hyperlink ref="B126" r:id="rId318" display="CTSA3"/>
    <hyperlink ref="B127" r:id="rId319" display="CTSA3"/>
    <hyperlink ref="B219" r:id="rId320"/>
    <hyperlink ref="B220" r:id="rId321" display="DOHL3"/>
    <hyperlink ref="B397" r:id="rId322"/>
    <hyperlink ref="B398" r:id="rId323" display="ECPR3"/>
    <hyperlink ref="B387" r:id="rId324"/>
    <hyperlink ref="B388" r:id="rId325" display="CTKA3"/>
    <hyperlink ref="B316" r:id="rId326"/>
    <hyperlink ref="B317" r:id="rId327" display="PTNT3"/>
    <hyperlink ref="B514" r:id="rId328"/>
    <hyperlink ref="B477" r:id="rId329"/>
    <hyperlink ref="B495" r:id="rId330"/>
    <hyperlink ref="B496" r:id="rId331" display="TENE3"/>
    <hyperlink ref="B497" r:id="rId332" display="TENE3"/>
    <hyperlink ref="B498" r:id="rId333" display="TENE3"/>
    <hyperlink ref="B103" r:id="rId334"/>
    <hyperlink ref="B104" r:id="rId335" display="ALPA3"/>
    <hyperlink ref="B267" r:id="rId336"/>
    <hyperlink ref="B268" r:id="rId337" display="CAMB3"/>
    <hyperlink ref="B33" r:id="rId338"/>
    <hyperlink ref="B513" r:id="rId339"/>
    <hyperlink ref="B214" r:id="rId340"/>
    <hyperlink ref="B333" r:id="rId341"/>
    <hyperlink ref="B286" r:id="rId342"/>
    <hyperlink ref="B287" r:id="rId343" display="NETC3"/>
    <hyperlink ref="B330" r:id="rId344"/>
    <hyperlink ref="B331" r:id="rId345" display="ABRE11"/>
    <hyperlink ref="B332" r:id="rId346" display="ABRE11"/>
    <hyperlink ref="B342" r:id="rId347"/>
    <hyperlink ref="B343" r:id="rId348" display="SLED3"/>
    <hyperlink ref="B430" r:id="rId349"/>
    <hyperlink ref="B41" r:id="rId350"/>
    <hyperlink ref="B440" r:id="rId351"/>
    <hyperlink ref="B68" r:id="rId352"/>
    <hyperlink ref="B166" r:id="rId353"/>
    <hyperlink ref="B167" r:id="rId354" display="CGRA3"/>
    <hyperlink ref="B89" r:id="rId355"/>
    <hyperlink ref="B90" r:id="rId356" display="GUAR3"/>
    <hyperlink ref="B296" r:id="rId357"/>
    <hyperlink ref="B297" r:id="rId358" display="LHER3"/>
    <hyperlink ref="B91" r:id="rId359"/>
    <hyperlink ref="B192" r:id="rId360"/>
    <hyperlink ref="B482" r:id="rId361"/>
    <hyperlink ref="B483" r:id="rId362" display="SPRI3"/>
    <hyperlink ref="B484" r:id="rId363" display="SPRI3"/>
    <hyperlink ref="B358" r:id="rId364"/>
    <hyperlink ref="B2" r:id="rId365"/>
    <hyperlink ref="B3" r:id="rId366" display="CALI3"/>
    <hyperlink ref="B385" r:id="rId367"/>
    <hyperlink ref="B154" r:id="rId368"/>
    <hyperlink ref="B119" r:id="rId369"/>
    <hyperlink ref="B153" r:id="rId370"/>
    <hyperlink ref="B36" r:id="rId371"/>
    <hyperlink ref="B415" r:id="rId372"/>
    <hyperlink ref="B58" r:id="rId373"/>
    <hyperlink ref="B281" r:id="rId374"/>
    <hyperlink ref="B304" r:id="rId375"/>
    <hyperlink ref="B172" r:id="rId376"/>
    <hyperlink ref="B461" r:id="rId377"/>
    <hyperlink ref="B225" r:id="rId378"/>
    <hyperlink ref="B313" r:id="rId379"/>
    <hyperlink ref="B475" r:id="rId380"/>
    <hyperlink ref="B476" r:id="rId381" display="SGEN3"/>
    <hyperlink ref="B121" r:id="rId382"/>
    <hyperlink ref="B252" r:id="rId383"/>
    <hyperlink ref="B510" r:id="rId384"/>
    <hyperlink ref="B181" r:id="rId385"/>
    <hyperlink ref="B182" r:id="rId386" display="AZEV3"/>
    <hyperlink ref="B438" r:id="rId387"/>
    <hyperlink ref="B439" r:id="rId388" display="LIXC3"/>
    <hyperlink ref="B486" r:id="rId389"/>
    <hyperlink ref="B487" r:id="rId390" display="SULT3"/>
    <hyperlink ref="B442" r:id="rId391"/>
    <hyperlink ref="B443" r:id="rId392" display="MEND3"/>
    <hyperlink ref="B444" r:id="rId393" display="MEND3"/>
    <hyperlink ref="B237" r:id="rId394"/>
    <hyperlink ref="B238" r:id="rId395" display="SOND3"/>
    <hyperlink ref="B239" r:id="rId396" display="SOND3"/>
    <hyperlink ref="B491" r:id="rId397"/>
    <hyperlink ref="B492" r:id="rId398" display="TCNO3"/>
    <hyperlink ref="B201" r:id="rId399"/>
    <hyperlink ref="B64" r:id="rId400"/>
    <hyperlink ref="B386" r:id="rId401"/>
    <hyperlink ref="B202" r:id="rId402" display="CTAX11"/>
    <hyperlink ref="B203" r:id="rId403" display="CTAX11"/>
    <hyperlink ref="B369" r:id="rId404"/>
    <hyperlink ref="B395" r:id="rId405"/>
    <hyperlink ref="B396" r:id="rId406" display="DTCY3"/>
    <hyperlink ref="B110" r:id="rId407"/>
    <hyperlink ref="B114" r:id="rId408"/>
    <hyperlink ref="B42" r:id="rId409"/>
    <hyperlink ref="B20" r:id="rId410"/>
    <hyperlink ref="B349" r:id="rId411"/>
    <hyperlink ref="B92" r:id="rId412"/>
    <hyperlink ref="B428" r:id="rId413"/>
    <hyperlink ref="B429" r:id="rId414" display="IMBI3"/>
    <hyperlink ref="B441" r:id="rId415"/>
    <hyperlink ref="B485" r:id="rId416"/>
    <hyperlink ref="B44" r:id="rId417" display="STBP11"/>
    <hyperlink ref="B45" r:id="rId418" display="STBP11"/>
    <hyperlink ref="B416" r:id="rId419"/>
    <hyperlink ref="B417" r:id="rId420" display="GOLL3"/>
    <hyperlink ref="B339" r:id="rId421"/>
    <hyperlink ref="B511" r:id="rId422"/>
    <hyperlink ref="B512" r:id="rId423" display="VSPT3"/>
    <hyperlink ref="B338" r:id="rId424"/>
    <hyperlink ref="B222" r:id="rId425"/>
    <hyperlink ref="B223" r:id="rId426" display="LUXM3"/>
    <hyperlink ref="B200" r:id="rId427"/>
    <hyperlink ref="B147" r:id="rId428"/>
    <hyperlink ref="B299" r:id="rId429"/>
    <hyperlink ref="B300" r:id="rId430" display="SGAS3"/>
    <hyperlink ref="B414" r:id="rId431"/>
    <hyperlink ref="B412" r:id="rId432"/>
    <hyperlink ref="B413" r:id="rId433" display="FJTA3"/>
    <hyperlink ref="B130" r:id="rId434"/>
    <hyperlink ref="B131" r:id="rId435" display="EALT3"/>
    <hyperlink ref="B177" r:id="rId436"/>
    <hyperlink ref="B178" r:id="rId437" display="MTSA3"/>
    <hyperlink ref="B77" r:id="rId438" display="BALM3"/>
    <hyperlink ref="B30" r:id="rId439"/>
    <hyperlink ref="B21" r:id="rId440"/>
    <hyperlink ref="B517" r:id="rId441" display="HAGA3"/>
    <hyperlink ref="B516" r:id="rId442"/>
    <hyperlink ref="B373" r:id="rId443" display="CCHI3"/>
    <hyperlink ref="B372" r:id="rId444"/>
    <hyperlink ref="B81" r:id="rId445"/>
    <hyperlink ref="B354" r:id="rId446"/>
    <hyperlink ref="B355" r:id="rId447" display="BDLL3"/>
    <hyperlink ref="B341" r:id="rId448"/>
    <hyperlink ref="B431" r:id="rId449"/>
    <hyperlink ref="B432" r:id="rId450" display="INEP3"/>
    <hyperlink ref="B140" r:id="rId451"/>
    <hyperlink ref="B115" r:id="rId452"/>
    <hyperlink ref="B116" r:id="rId453" display="SHUL3"/>
    <hyperlink ref="B98" r:id="rId454"/>
    <hyperlink ref="B309" r:id="rId455"/>
    <hyperlink ref="B370" r:id="rId456"/>
    <hyperlink ref="B371" r:id="rId457" display="CBMA3"/>
    <hyperlink ref="B157" r:id="rId458"/>
    <hyperlink ref="B391" r:id="rId459"/>
    <hyperlink ref="B392" r:id="rId460" display="DHBI3"/>
    <hyperlink ref="B165" r:id="rId461"/>
    <hyperlink ref="B173" r:id="rId462"/>
    <hyperlink ref="B123" r:id="rId463"/>
    <hyperlink ref="B87" r:id="rId464"/>
    <hyperlink ref="B88" r:id="rId465" display="POMO3"/>
    <hyperlink ref="B472" r:id="rId466"/>
    <hyperlink ref="B473" r:id="rId467" display="RSUL3"/>
    <hyperlink ref="B462" r:id="rId468"/>
    <hyperlink ref="B85" r:id="rId469"/>
    <hyperlink ref="B86" r:id="rId470" display="RAPT3"/>
    <hyperlink ref="B464" r:id="rId471"/>
    <hyperlink ref="B465" r:id="rId472" display="RCSL3"/>
    <hyperlink ref="B246" r:id="rId473"/>
    <hyperlink ref="B518" r:id="rId474"/>
    <hyperlink ref="B519" r:id="rId475" display="MWET3"/>
    <hyperlink ref="B13" r:id="rId476"/>
    <hyperlink ref="B14" r:id="rId477" display="GETI3"/>
    <hyperlink ref="B47" r:id="rId478"/>
    <hyperlink ref="B48" r:id="rId479" display="CSRN3"/>
    <hyperlink ref="B49" r:id="rId480" display="CSRN3"/>
    <hyperlink ref="B71" r:id="rId481"/>
    <hyperlink ref="B72" r:id="rId482" display="EKTR3"/>
    <hyperlink ref="B73" r:id="rId483"/>
    <hyperlink ref="B74" r:id="rId484" display="CEEB3"/>
    <hyperlink ref="B75" r:id="rId485" display="CEEB3"/>
    <hyperlink ref="B82" r:id="rId486"/>
    <hyperlink ref="B83" r:id="rId487" display="AFLU3"/>
    <hyperlink ref="B84" r:id="rId488" display="AFLU3"/>
  </hyperlinks>
  <pageMargins left="0.7" right="0.7" top="0.75" bottom="0.75" header="0.3" footer="0.3"/>
  <pageSetup paperSize="9" orientation="portrait" r:id="rId489"/>
  <tableParts count="1">
    <tablePart r:id="rId49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1:V330"/>
  <sheetViews>
    <sheetView topLeftCell="O1" workbookViewId="0">
      <selection activeCell="H2" sqref="H2"/>
    </sheetView>
  </sheetViews>
  <sheetFormatPr defaultRowHeight="11.25" x14ac:dyDescent="0.2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 x14ac:dyDescent="0.2">
      <c r="A1" s="3" t="s">
        <v>42</v>
      </c>
      <c r="C1" s="3" t="s">
        <v>424</v>
      </c>
    </row>
    <row r="2" spans="1:22" x14ac:dyDescent="0.2">
      <c r="A2" s="3" t="s">
        <v>43</v>
      </c>
      <c r="C2" s="3" t="s">
        <v>46</v>
      </c>
    </row>
    <row r="3" spans="1:22" x14ac:dyDescent="0.2">
      <c r="A3" s="3" t="s">
        <v>44</v>
      </c>
    </row>
    <row r="4" spans="1:22" x14ac:dyDescent="0.2">
      <c r="A4" s="3" t="s">
        <v>45</v>
      </c>
    </row>
    <row r="6" spans="1:22" x14ac:dyDescent="0.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 x14ac:dyDescent="0.2">
      <c r="A7" s="33" t="str">
        <f>IF(Tabela1[[#This Row],[Código]]="IBOV","^BVSP",IF(Tabela1[[#This Row],[Código]]="","",CONCATENATE(LEFT(Tabela1[[#This Row],[Código]],6),".SA")))</f>
        <v>ABCB4.SA</v>
      </c>
      <c r="C7" s="3" t="s">
        <v>102</v>
      </c>
      <c r="D7" s="3" t="s">
        <v>1718</v>
      </c>
      <c r="E7" s="3" t="s">
        <v>989</v>
      </c>
      <c r="F7" s="3" t="s">
        <v>1186</v>
      </c>
      <c r="G7" s="3" t="s">
        <v>1225</v>
      </c>
      <c r="H7" s="20">
        <v>41689</v>
      </c>
      <c r="J7" s="3">
        <f>IF($A7="",0,VALUE(CONCATENATE(LEFT(D7,LEN(D7)-3),",",RIGHT(D7,2))))</f>
        <v>11.62</v>
      </c>
      <c r="K7" s="3">
        <f t="shared" ref="K7:M22" si="0">IF($A7="",0,VALUE(CONCATENATE(LEFT(E7,LEN(E7)-3),",",RIGHT(E7,2))))</f>
        <v>11.68</v>
      </c>
      <c r="L7" s="3">
        <f t="shared" si="0"/>
        <v>11.72</v>
      </c>
      <c r="M7" s="3">
        <f t="shared" si="0"/>
        <v>11.4</v>
      </c>
      <c r="P7" s="14" t="s">
        <v>22</v>
      </c>
      <c r="Q7" s="10" t="str">
        <f t="shared" ref="Q7:Q38" si="1">IF(A7="","",C7)</f>
        <v xml:space="preserve">ABC BRASIL  -PN  </v>
      </c>
      <c r="R7" s="20">
        <f t="shared" ref="R7:R38" si="2">IF(A7="","",H7)</f>
        <v>41689</v>
      </c>
      <c r="S7" s="5">
        <f t="shared" ref="S7:S38" si="3">J7</f>
        <v>11.62</v>
      </c>
      <c r="T7" s="5">
        <f t="shared" ref="T7:T38" si="4">K7</f>
        <v>11.68</v>
      </c>
      <c r="U7" s="5">
        <f t="shared" ref="U7:U38" si="5">L7</f>
        <v>11.72</v>
      </c>
      <c r="V7" s="5">
        <f t="shared" ref="V7:V38" si="6">M7</f>
        <v>11.4</v>
      </c>
    </row>
    <row r="8" spans="1:22" x14ac:dyDescent="0.2">
      <c r="A8" s="33" t="str">
        <f>IF(Tabela1[[#This Row],[Código]]="IBOV","^BVSP",IF(Tabela1[[#This Row],[Código]]="","",CONCATENATE(LEFT(Tabela1[[#This Row],[Código]],6),".SA")))</f>
        <v>AELP3.SA</v>
      </c>
      <c r="C8" s="3" t="s">
        <v>103</v>
      </c>
      <c r="D8" s="3" t="s">
        <v>1352</v>
      </c>
      <c r="E8" s="3" t="s">
        <v>1352</v>
      </c>
      <c r="F8" s="3" t="s">
        <v>1352</v>
      </c>
      <c r="G8" s="3" t="s">
        <v>1352</v>
      </c>
      <c r="H8" s="20">
        <v>41689</v>
      </c>
      <c r="J8" s="3">
        <f t="shared" ref="J8:M71" si="7">IF($A8="",0,VALUE(CONCATENATE(LEFT(D8,LEN(D8)-3),",",RIGHT(D8,2))))</f>
        <v>7.17</v>
      </c>
      <c r="K8" s="3">
        <f t="shared" si="0"/>
        <v>7.17</v>
      </c>
      <c r="L8" s="3">
        <f t="shared" si="0"/>
        <v>7.17</v>
      </c>
      <c r="M8" s="3">
        <f t="shared" si="0"/>
        <v>7.17</v>
      </c>
      <c r="P8" s="14" t="s">
        <v>67</v>
      </c>
      <c r="Q8" s="10" t="str">
        <f t="shared" si="1"/>
        <v>AES ELPA    -ON</v>
      </c>
      <c r="R8" s="20">
        <f t="shared" si="2"/>
        <v>41689</v>
      </c>
      <c r="S8" s="5">
        <f t="shared" si="3"/>
        <v>7.17</v>
      </c>
      <c r="T8" s="5">
        <f t="shared" si="4"/>
        <v>7.17</v>
      </c>
      <c r="U8" s="5">
        <f t="shared" si="5"/>
        <v>7.17</v>
      </c>
      <c r="V8" s="5">
        <f t="shared" si="6"/>
        <v>7.17</v>
      </c>
    </row>
    <row r="9" spans="1:22" x14ac:dyDescent="0.2">
      <c r="A9" s="33" t="str">
        <f>IF(Tabela1[[#This Row],[Código]]="IBOV","^BVSP",IF(Tabela1[[#This Row],[Código]]="","",CONCATENATE(LEFT(Tabela1[[#This Row],[Código]],6),".SA")))</f>
        <v>BAZA3.SA</v>
      </c>
      <c r="C9" s="3" t="s">
        <v>104</v>
      </c>
      <c r="D9" s="3" t="s">
        <v>1095</v>
      </c>
      <c r="E9" s="3" t="s">
        <v>1095</v>
      </c>
      <c r="F9" s="3" t="s">
        <v>1095</v>
      </c>
      <c r="G9" s="3" t="s">
        <v>1095</v>
      </c>
      <c r="H9" s="20">
        <v>41689</v>
      </c>
      <c r="J9" s="3">
        <f t="shared" si="7"/>
        <v>0.3</v>
      </c>
      <c r="K9" s="3">
        <f t="shared" si="0"/>
        <v>0.3</v>
      </c>
      <c r="L9" s="3">
        <f t="shared" si="0"/>
        <v>0.3</v>
      </c>
      <c r="M9" s="3">
        <f t="shared" si="0"/>
        <v>0.3</v>
      </c>
      <c r="P9" s="15" t="s">
        <v>62</v>
      </c>
      <c r="Q9" s="10" t="str">
        <f t="shared" si="1"/>
        <v>AMAZONIA    -ON</v>
      </c>
      <c r="R9" s="20">
        <f t="shared" si="2"/>
        <v>41689</v>
      </c>
      <c r="S9" s="5">
        <f t="shared" si="3"/>
        <v>0.3</v>
      </c>
      <c r="T9" s="5">
        <f t="shared" si="4"/>
        <v>0.3</v>
      </c>
      <c r="U9" s="5">
        <f t="shared" si="5"/>
        <v>0.3</v>
      </c>
      <c r="V9" s="5">
        <f t="shared" si="6"/>
        <v>0.3</v>
      </c>
    </row>
    <row r="10" spans="1:22" x14ac:dyDescent="0.2">
      <c r="A10" s="33" t="str">
        <f>IF(Tabela1[[#This Row],[Código]]="IBOV","^BVSP",IF(Tabela1[[#This Row],[Código]]="","",CONCATENATE(LEFT(Tabela1[[#This Row],[Código]],6),".SA")))</f>
        <v>BBAS3.SA</v>
      </c>
      <c r="C10" s="3" t="s">
        <v>105</v>
      </c>
      <c r="D10" s="3" t="s">
        <v>1652</v>
      </c>
      <c r="E10" s="3" t="s">
        <v>1251</v>
      </c>
      <c r="F10" s="3" t="s">
        <v>1719</v>
      </c>
      <c r="G10" s="3" t="s">
        <v>1185</v>
      </c>
      <c r="H10" s="20">
        <v>41689</v>
      </c>
      <c r="J10" s="3">
        <f t="shared" si="7"/>
        <v>19.8</v>
      </c>
      <c r="K10" s="3">
        <f t="shared" si="0"/>
        <v>19.649999999999999</v>
      </c>
      <c r="L10" s="3">
        <f t="shared" si="0"/>
        <v>19.87</v>
      </c>
      <c r="M10" s="3">
        <f t="shared" si="0"/>
        <v>19.309999999999999</v>
      </c>
      <c r="P10" s="15" t="s">
        <v>24</v>
      </c>
      <c r="Q10" s="10" t="str">
        <f t="shared" si="1"/>
        <v xml:space="preserve">BRASIL      -ON  </v>
      </c>
      <c r="R10" s="20">
        <f t="shared" si="2"/>
        <v>41689</v>
      </c>
      <c r="S10" s="5">
        <f t="shared" si="3"/>
        <v>19.8</v>
      </c>
      <c r="T10" s="5">
        <f t="shared" si="4"/>
        <v>19.649999999999999</v>
      </c>
      <c r="U10" s="5">
        <f t="shared" si="5"/>
        <v>19.87</v>
      </c>
      <c r="V10" s="5">
        <f t="shared" si="6"/>
        <v>19.309999999999999</v>
      </c>
    </row>
    <row r="11" spans="1:22" x14ac:dyDescent="0.2">
      <c r="A11" s="33" t="str">
        <f>IF(Tabela1[[#This Row],[Código]]="IBOV","^BVSP",IF(Tabela1[[#This Row],[Código]]="","",CONCATENATE(LEFT(Tabela1[[#This Row],[Código]],6),".SA")))</f>
        <v>BBDC3.SA</v>
      </c>
      <c r="C11" s="3" t="s">
        <v>201</v>
      </c>
      <c r="D11" s="3" t="s">
        <v>1720</v>
      </c>
      <c r="E11" s="3" t="s">
        <v>1902</v>
      </c>
      <c r="F11" s="3" t="s">
        <v>1903</v>
      </c>
      <c r="G11" s="3" t="s">
        <v>1721</v>
      </c>
      <c r="H11" s="20">
        <v>41689</v>
      </c>
      <c r="J11" s="3">
        <f t="shared" si="7"/>
        <v>27.91</v>
      </c>
      <c r="K11" s="3">
        <f t="shared" si="0"/>
        <v>28.49</v>
      </c>
      <c r="L11" s="3">
        <f t="shared" si="0"/>
        <v>28.58</v>
      </c>
      <c r="M11" s="3">
        <f t="shared" si="0"/>
        <v>27.63</v>
      </c>
      <c r="P11" s="14" t="s">
        <v>199</v>
      </c>
      <c r="Q11" s="10" t="str">
        <f t="shared" si="1"/>
        <v xml:space="preserve">BRADESCO    -ON  </v>
      </c>
      <c r="R11" s="20">
        <f t="shared" si="2"/>
        <v>41689</v>
      </c>
      <c r="S11" s="5">
        <f t="shared" si="3"/>
        <v>27.91</v>
      </c>
      <c r="T11" s="5">
        <f t="shared" si="4"/>
        <v>28.49</v>
      </c>
      <c r="U11" s="5">
        <f t="shared" si="5"/>
        <v>28.58</v>
      </c>
      <c r="V11" s="5">
        <f t="shared" si="6"/>
        <v>27.63</v>
      </c>
    </row>
    <row r="12" spans="1:22" x14ac:dyDescent="0.2">
      <c r="A12" s="33" t="str">
        <f>IF(Tabela1[[#This Row],[Código]]="IBOV","^BVSP",IF(Tabela1[[#This Row],[Código]]="","",CONCATENATE(LEFT(Tabela1[[#This Row],[Código]],6),".SA")))</f>
        <v>BBDC4.SA</v>
      </c>
      <c r="C12" s="3" t="s">
        <v>202</v>
      </c>
      <c r="D12" s="3" t="s">
        <v>1722</v>
      </c>
      <c r="E12" s="3" t="s">
        <v>1904</v>
      </c>
      <c r="F12" s="3" t="s">
        <v>1905</v>
      </c>
      <c r="G12" s="3" t="s">
        <v>1723</v>
      </c>
      <c r="H12" s="20">
        <v>41689</v>
      </c>
      <c r="J12" s="3">
        <f t="shared" si="7"/>
        <v>26.24</v>
      </c>
      <c r="K12" s="3">
        <f t="shared" si="0"/>
        <v>26.81</v>
      </c>
      <c r="L12" s="3">
        <f t="shared" si="0"/>
        <v>26.93</v>
      </c>
      <c r="M12" s="3">
        <f t="shared" si="0"/>
        <v>25.85</v>
      </c>
      <c r="P12" s="14" t="s">
        <v>200</v>
      </c>
      <c r="Q12" s="10" t="str">
        <f t="shared" si="1"/>
        <v xml:space="preserve">BRADESCO    -PN  </v>
      </c>
      <c r="R12" s="51">
        <f t="shared" si="2"/>
        <v>41689</v>
      </c>
      <c r="S12" s="5">
        <f t="shared" si="3"/>
        <v>26.24</v>
      </c>
      <c r="T12" s="5">
        <f t="shared" si="4"/>
        <v>26.81</v>
      </c>
      <c r="U12" s="5">
        <f t="shared" si="5"/>
        <v>26.93</v>
      </c>
      <c r="V12" s="5">
        <f t="shared" si="6"/>
        <v>25.85</v>
      </c>
    </row>
    <row r="13" spans="1:22" x14ac:dyDescent="0.2">
      <c r="A13" s="33" t="str">
        <f>IF(Tabela1[[#This Row],[Código]]="IBOV","^BVSP",IF(Tabela1[[#This Row],[Código]]="","",CONCATENATE(LEFT(Tabela1[[#This Row],[Código]],6),".SA")))</f>
        <v>BEES3.SA</v>
      </c>
      <c r="C13" s="3" t="s">
        <v>658</v>
      </c>
      <c r="D13" s="3" t="s">
        <v>708</v>
      </c>
      <c r="E13" s="3" t="s">
        <v>708</v>
      </c>
      <c r="F13" s="3" t="s">
        <v>385</v>
      </c>
      <c r="G13" s="3" t="s">
        <v>708</v>
      </c>
      <c r="H13" s="20">
        <v>41689</v>
      </c>
      <c r="J13" s="3">
        <f t="shared" si="7"/>
        <v>0.45</v>
      </c>
      <c r="K13" s="3">
        <f t="shared" si="0"/>
        <v>0.45</v>
      </c>
      <c r="L13" s="3">
        <f t="shared" si="0"/>
        <v>0.46</v>
      </c>
      <c r="M13" s="3">
        <f t="shared" si="0"/>
        <v>0.45</v>
      </c>
      <c r="P13" s="15" t="s">
        <v>58</v>
      </c>
      <c r="Q13" s="10" t="str">
        <f t="shared" si="1"/>
        <v>BANESTES    -ON</v>
      </c>
      <c r="R13" s="51">
        <f t="shared" si="2"/>
        <v>41689</v>
      </c>
      <c r="S13" s="5">
        <f t="shared" si="3"/>
        <v>0.45</v>
      </c>
      <c r="T13" s="5">
        <f t="shared" si="4"/>
        <v>0.45</v>
      </c>
      <c r="U13" s="5">
        <f t="shared" si="5"/>
        <v>0.46</v>
      </c>
      <c r="V13" s="5">
        <f t="shared" si="6"/>
        <v>0.45</v>
      </c>
    </row>
    <row r="14" spans="1:22" x14ac:dyDescent="0.2">
      <c r="A14" s="33" t="str">
        <f>IF(Tabela1[[#This Row],[Código]]="IBOV","^BVSP",IF(Tabela1[[#This Row],[Código]]="","",CONCATENATE(LEFT(Tabela1[[#This Row],[Código]],6),".SA")))</f>
        <v>BEES4.SA</v>
      </c>
      <c r="C14" s="3" t="s">
        <v>659</v>
      </c>
      <c r="D14" s="3" t="s">
        <v>941</v>
      </c>
      <c r="E14" s="3" t="s">
        <v>941</v>
      </c>
      <c r="F14" s="3" t="s">
        <v>941</v>
      </c>
      <c r="G14" s="3" t="s">
        <v>941</v>
      </c>
      <c r="H14" s="20">
        <v>41689</v>
      </c>
      <c r="J14" s="3">
        <f t="shared" si="7"/>
        <v>0.42</v>
      </c>
      <c r="K14" s="3">
        <f t="shared" si="0"/>
        <v>0.42</v>
      </c>
      <c r="L14" s="3">
        <f t="shared" si="0"/>
        <v>0.42</v>
      </c>
      <c r="M14" s="3">
        <f t="shared" si="0"/>
        <v>0.42</v>
      </c>
      <c r="P14" s="15" t="s">
        <v>59</v>
      </c>
      <c r="Q14" s="10" t="str">
        <f t="shared" si="1"/>
        <v>BANESTES    -PN</v>
      </c>
      <c r="R14" s="20">
        <f t="shared" si="2"/>
        <v>41689</v>
      </c>
      <c r="S14" s="5">
        <f t="shared" si="3"/>
        <v>0.42</v>
      </c>
      <c r="T14" s="5">
        <f t="shared" si="4"/>
        <v>0.42</v>
      </c>
      <c r="U14" s="5">
        <f t="shared" si="5"/>
        <v>0.42</v>
      </c>
      <c r="V14" s="5">
        <f t="shared" si="6"/>
        <v>0.42</v>
      </c>
    </row>
    <row r="15" spans="1:22" x14ac:dyDescent="0.2">
      <c r="A15" s="33" t="str">
        <f>IF(Tabela1[[#This Row],[Código]]="IBOV","^BVSP",IF(Tabela1[[#This Row],[Código]]="","",CONCATENATE(LEFT(Tabela1[[#This Row],[Código]],6),".SA")))</f>
        <v>BGIP3.SA</v>
      </c>
      <c r="C15" s="3" t="s">
        <v>406</v>
      </c>
      <c r="D15" s="3" t="s">
        <v>403</v>
      </c>
      <c r="E15" s="3" t="s">
        <v>404</v>
      </c>
      <c r="F15" s="3" t="s">
        <v>404</v>
      </c>
      <c r="G15" s="3" t="s">
        <v>403</v>
      </c>
      <c r="H15" s="20">
        <v>41689</v>
      </c>
      <c r="J15" s="3">
        <f t="shared" si="7"/>
        <v>43.24</v>
      </c>
      <c r="K15" s="3">
        <f t="shared" si="0"/>
        <v>43.25</v>
      </c>
      <c r="L15" s="3">
        <f t="shared" si="0"/>
        <v>43.25</v>
      </c>
      <c r="M15" s="3">
        <f t="shared" si="0"/>
        <v>43.24</v>
      </c>
      <c r="P15" s="10" t="s">
        <v>203</v>
      </c>
      <c r="Q15" s="10" t="str">
        <f t="shared" si="1"/>
        <v>BANESE      -ON</v>
      </c>
      <c r="R15" s="51">
        <f t="shared" si="2"/>
        <v>41689</v>
      </c>
      <c r="S15" s="5">
        <f t="shared" si="3"/>
        <v>43.24</v>
      </c>
      <c r="T15" s="5">
        <f t="shared" si="4"/>
        <v>43.25</v>
      </c>
      <c r="U15" s="5">
        <f t="shared" si="5"/>
        <v>43.25</v>
      </c>
      <c r="V15" s="5">
        <f t="shared" si="6"/>
        <v>43.24</v>
      </c>
    </row>
    <row r="16" spans="1:22" x14ac:dyDescent="0.2">
      <c r="A16" s="33" t="str">
        <f>IF(Tabela1[[#This Row],[Código]]="IBOV","^BVSP",IF(Tabela1[[#This Row],[Código]]="","",CONCATENATE(LEFT(Tabela1[[#This Row],[Código]],6),".SA")))</f>
        <v>BGIP4.SA</v>
      </c>
      <c r="C16" s="3" t="s">
        <v>407</v>
      </c>
      <c r="D16" s="3" t="s">
        <v>942</v>
      </c>
      <c r="E16" s="3" t="s">
        <v>942</v>
      </c>
      <c r="F16" s="3" t="s">
        <v>942</v>
      </c>
      <c r="G16" s="3" t="s">
        <v>942</v>
      </c>
      <c r="H16" s="20">
        <v>41689</v>
      </c>
      <c r="J16" s="3">
        <f t="shared" si="7"/>
        <v>41.5</v>
      </c>
      <c r="K16" s="3">
        <f t="shared" si="0"/>
        <v>41.5</v>
      </c>
      <c r="L16" s="3">
        <f t="shared" si="0"/>
        <v>41.5</v>
      </c>
      <c r="M16" s="3">
        <f t="shared" si="0"/>
        <v>41.5</v>
      </c>
      <c r="P16" s="15" t="s">
        <v>204</v>
      </c>
      <c r="Q16" s="10" t="str">
        <f t="shared" si="1"/>
        <v>BANESE      -PN</v>
      </c>
      <c r="R16" s="51">
        <f t="shared" si="2"/>
        <v>41689</v>
      </c>
      <c r="S16" s="5">
        <f t="shared" si="3"/>
        <v>41.5</v>
      </c>
      <c r="T16" s="5">
        <f t="shared" si="4"/>
        <v>41.5</v>
      </c>
      <c r="U16" s="5">
        <f t="shared" si="5"/>
        <v>41.5</v>
      </c>
      <c r="V16" s="5">
        <f t="shared" si="6"/>
        <v>41.5</v>
      </c>
    </row>
    <row r="17" spans="1:22" x14ac:dyDescent="0.2">
      <c r="A17" s="33" t="str">
        <f>IF(Tabela1[[#This Row],[Código]]="IBOV","^BVSP",IF(Tabela1[[#This Row],[Código]]="","",CONCATENATE(LEFT(Tabela1[[#This Row],[Código]],6),".SA")))</f>
        <v>BICB3.SA</v>
      </c>
      <c r="C17" s="3" t="s">
        <v>210</v>
      </c>
      <c r="D17" s="3" t="s">
        <v>780</v>
      </c>
      <c r="E17" s="3" t="s">
        <v>780</v>
      </c>
      <c r="F17" s="3" t="s">
        <v>780</v>
      </c>
      <c r="G17" s="3" t="s">
        <v>780</v>
      </c>
      <c r="H17" s="20">
        <v>41689</v>
      </c>
      <c r="J17" s="3">
        <f t="shared" si="7"/>
        <v>7.21</v>
      </c>
      <c r="K17" s="3">
        <f t="shared" si="0"/>
        <v>7.21</v>
      </c>
      <c r="L17" s="3">
        <f t="shared" si="0"/>
        <v>7.21</v>
      </c>
      <c r="M17" s="3">
        <f t="shared" si="0"/>
        <v>7.21</v>
      </c>
      <c r="P17" s="14" t="s">
        <v>209</v>
      </c>
      <c r="Q17" s="10" t="str">
        <f t="shared" si="1"/>
        <v xml:space="preserve">BICBANCO    -ON  </v>
      </c>
      <c r="R17" s="51">
        <f t="shared" si="2"/>
        <v>41689</v>
      </c>
      <c r="S17" s="5">
        <f t="shared" si="3"/>
        <v>7.21</v>
      </c>
      <c r="T17" s="5">
        <f t="shared" si="4"/>
        <v>7.21</v>
      </c>
      <c r="U17" s="5">
        <f t="shared" si="5"/>
        <v>7.21</v>
      </c>
      <c r="V17" s="5">
        <f t="shared" si="6"/>
        <v>7.21</v>
      </c>
    </row>
    <row r="18" spans="1:22" x14ac:dyDescent="0.2">
      <c r="A18" s="33" t="str">
        <f>IF(Tabela1[[#This Row],[Código]]="IBOV","^BVSP",IF(Tabela1[[#This Row],[Código]]="","",CONCATENATE(LEFT(Tabela1[[#This Row],[Código]],6),".SA")))</f>
        <v>BICB4.SA</v>
      </c>
      <c r="C18" s="3" t="s">
        <v>107</v>
      </c>
      <c r="D18" s="3" t="s">
        <v>780</v>
      </c>
      <c r="E18" s="3" t="s">
        <v>976</v>
      </c>
      <c r="F18" s="3" t="s">
        <v>1906</v>
      </c>
      <c r="G18" s="3" t="s">
        <v>702</v>
      </c>
      <c r="H18" s="20">
        <v>41689</v>
      </c>
      <c r="J18" s="3">
        <f t="shared" si="7"/>
        <v>7.21</v>
      </c>
      <c r="K18" s="3">
        <f t="shared" si="0"/>
        <v>7.2</v>
      </c>
      <c r="L18" s="3">
        <f t="shared" si="0"/>
        <v>7.22</v>
      </c>
      <c r="M18" s="3">
        <f t="shared" si="0"/>
        <v>7.11</v>
      </c>
      <c r="P18" s="14" t="s">
        <v>10</v>
      </c>
      <c r="Q18" s="10" t="str">
        <f t="shared" si="1"/>
        <v xml:space="preserve">BICBANCO    -PN  </v>
      </c>
      <c r="R18" s="51">
        <f t="shared" si="2"/>
        <v>41689</v>
      </c>
      <c r="S18" s="5">
        <f t="shared" si="3"/>
        <v>7.21</v>
      </c>
      <c r="T18" s="5">
        <f t="shared" si="4"/>
        <v>7.2</v>
      </c>
      <c r="U18" s="5">
        <f t="shared" si="5"/>
        <v>7.22</v>
      </c>
      <c r="V18" s="5">
        <f t="shared" si="6"/>
        <v>7.11</v>
      </c>
    </row>
    <row r="19" spans="1:22" x14ac:dyDescent="0.2">
      <c r="A19" s="33" t="str">
        <f>IF(Tabela1[[#This Row],[Código]]="IBOV","^BVSP",IF(Tabela1[[#This Row],[Código]]="","",CONCATENATE(LEFT(Tabela1[[#This Row],[Código]],6),".SA")))</f>
        <v>BMIN3.SA</v>
      </c>
      <c r="C19" s="3" t="s">
        <v>212</v>
      </c>
      <c r="D19" s="3" t="s">
        <v>482</v>
      </c>
      <c r="E19" s="3" t="s">
        <v>482</v>
      </c>
      <c r="F19" s="3" t="s">
        <v>482</v>
      </c>
      <c r="G19" s="3" t="s">
        <v>482</v>
      </c>
      <c r="H19" s="20">
        <v>41689</v>
      </c>
      <c r="J19" s="3">
        <f t="shared" si="7"/>
        <v>1</v>
      </c>
      <c r="K19" s="3">
        <f t="shared" si="0"/>
        <v>1</v>
      </c>
      <c r="L19" s="3">
        <f t="shared" si="0"/>
        <v>1</v>
      </c>
      <c r="M19" s="3">
        <f t="shared" si="0"/>
        <v>1</v>
      </c>
      <c r="P19" s="14" t="s">
        <v>211</v>
      </c>
      <c r="Q19" s="10" t="str">
        <f t="shared" si="1"/>
        <v>MERC INVEST -ON</v>
      </c>
      <c r="R19" s="51">
        <f t="shared" si="2"/>
        <v>41689</v>
      </c>
      <c r="S19" s="5">
        <f t="shared" si="3"/>
        <v>1</v>
      </c>
      <c r="T19" s="5">
        <f t="shared" si="4"/>
        <v>1</v>
      </c>
      <c r="U19" s="5">
        <f t="shared" si="5"/>
        <v>1</v>
      </c>
      <c r="V19" s="5">
        <f t="shared" si="6"/>
        <v>1</v>
      </c>
    </row>
    <row r="20" spans="1:22" x14ac:dyDescent="0.2">
      <c r="A20" s="33" t="str">
        <f>IF(Tabela1[[#This Row],[Código]]="IBOV","^BVSP",IF(Tabela1[[#This Row],[Código]]="","",CONCATENATE(LEFT(Tabela1[[#This Row],[Código]],6),".SA")))</f>
        <v>BMIN4.SA</v>
      </c>
      <c r="C20" s="3" t="s">
        <v>108</v>
      </c>
      <c r="D20" s="3" t="s">
        <v>742</v>
      </c>
      <c r="E20" s="3" t="s">
        <v>735</v>
      </c>
      <c r="F20" s="3" t="s">
        <v>735</v>
      </c>
      <c r="G20" s="3" t="s">
        <v>1053</v>
      </c>
      <c r="H20" s="20">
        <v>41689</v>
      </c>
      <c r="J20" s="3">
        <f t="shared" si="7"/>
        <v>0.23</v>
      </c>
      <c r="K20" s="3">
        <f t="shared" si="0"/>
        <v>0.24</v>
      </c>
      <c r="L20" s="3">
        <f t="shared" si="0"/>
        <v>0.24</v>
      </c>
      <c r="M20" s="3">
        <f t="shared" si="0"/>
        <v>0.22</v>
      </c>
      <c r="P20" s="14" t="s">
        <v>61</v>
      </c>
      <c r="Q20" s="10" t="str">
        <f t="shared" si="1"/>
        <v>MERC INVEST -PN</v>
      </c>
      <c r="R20" s="20">
        <f t="shared" si="2"/>
        <v>41689</v>
      </c>
      <c r="S20" s="5">
        <f t="shared" si="3"/>
        <v>0.23</v>
      </c>
      <c r="T20" s="5">
        <f t="shared" si="4"/>
        <v>0.24</v>
      </c>
      <c r="U20" s="5">
        <f t="shared" si="5"/>
        <v>0.24</v>
      </c>
      <c r="V20" s="5">
        <f t="shared" si="6"/>
        <v>0.22</v>
      </c>
    </row>
    <row r="21" spans="1:22" x14ac:dyDescent="0.2">
      <c r="A21" s="33" t="str">
        <f>IF(Tabela1[[#This Row],[Código]]="IBOV","^BVSP",IF(Tabela1[[#This Row],[Código]]="","",CONCATENATE(LEFT(Tabela1[[#This Row],[Código]],6),".SA")))</f>
        <v>BNBR3.SA</v>
      </c>
      <c r="C21" s="3" t="s">
        <v>215</v>
      </c>
      <c r="D21" s="3" t="s">
        <v>434</v>
      </c>
      <c r="E21" s="3" t="s">
        <v>434</v>
      </c>
      <c r="F21" s="3" t="s">
        <v>434</v>
      </c>
      <c r="G21" s="3" t="s">
        <v>434</v>
      </c>
      <c r="H21" s="20">
        <v>41689</v>
      </c>
      <c r="J21" s="3">
        <f t="shared" si="7"/>
        <v>27</v>
      </c>
      <c r="K21" s="3">
        <f t="shared" si="0"/>
        <v>27</v>
      </c>
      <c r="L21" s="3">
        <f t="shared" si="0"/>
        <v>27</v>
      </c>
      <c r="M21" s="3">
        <f t="shared" si="0"/>
        <v>27</v>
      </c>
      <c r="P21" s="15" t="s">
        <v>213</v>
      </c>
      <c r="Q21" s="10" t="str">
        <f t="shared" si="1"/>
        <v>NORD BRASIL -ON</v>
      </c>
      <c r="R21" s="51">
        <f t="shared" si="2"/>
        <v>41689</v>
      </c>
      <c r="S21" s="5">
        <f t="shared" si="3"/>
        <v>27</v>
      </c>
      <c r="T21" s="5">
        <f t="shared" si="4"/>
        <v>27</v>
      </c>
      <c r="U21" s="5">
        <f t="shared" si="5"/>
        <v>27</v>
      </c>
      <c r="V21" s="5">
        <f t="shared" si="6"/>
        <v>27</v>
      </c>
    </row>
    <row r="22" spans="1:22" x14ac:dyDescent="0.2">
      <c r="A22" s="33" t="str">
        <f>IF(Tabela1[[#This Row],[Código]]="IBOV","^BVSP",IF(Tabela1[[#This Row],[Código]]="","",CONCATENATE(LEFT(Tabela1[[#This Row],[Código]],6),".SA")))</f>
        <v>BNBR4.SA</v>
      </c>
      <c r="C22" s="3" t="s">
        <v>216</v>
      </c>
      <c r="D22" s="3" t="s">
        <v>1907</v>
      </c>
      <c r="E22" s="3" t="s">
        <v>1907</v>
      </c>
      <c r="F22" s="3" t="s">
        <v>1907</v>
      </c>
      <c r="G22" s="3" t="s">
        <v>1907</v>
      </c>
      <c r="H22" s="20">
        <v>41689</v>
      </c>
      <c r="J22" s="3">
        <f t="shared" si="7"/>
        <v>27.01</v>
      </c>
      <c r="K22" s="3">
        <f t="shared" si="0"/>
        <v>27.01</v>
      </c>
      <c r="L22" s="3">
        <f t="shared" si="0"/>
        <v>27.01</v>
      </c>
      <c r="M22" s="3">
        <f t="shared" si="0"/>
        <v>27.01</v>
      </c>
      <c r="P22" s="14" t="s">
        <v>214</v>
      </c>
      <c r="Q22" s="10" t="str">
        <f t="shared" si="1"/>
        <v>NORD BRASIL -PN</v>
      </c>
      <c r="R22" s="51">
        <f t="shared" si="2"/>
        <v>41689</v>
      </c>
      <c r="S22" s="5">
        <f t="shared" si="3"/>
        <v>27.01</v>
      </c>
      <c r="T22" s="5">
        <f t="shared" si="4"/>
        <v>27.01</v>
      </c>
      <c r="U22" s="5">
        <f t="shared" si="5"/>
        <v>27.01</v>
      </c>
      <c r="V22" s="5">
        <f t="shared" si="6"/>
        <v>27.01</v>
      </c>
    </row>
    <row r="23" spans="1:22" x14ac:dyDescent="0.2">
      <c r="A23" s="33" t="str">
        <f>IF(Tabela1[[#This Row],[Código]]="IBOV","^BVSP",IF(Tabela1[[#This Row],[Código]]="","",CONCATENATE(LEFT(Tabela1[[#This Row],[Código]],6),".SA")))</f>
        <v>BRGE11.SA</v>
      </c>
      <c r="C23" s="3" t="s">
        <v>781</v>
      </c>
      <c r="D23" s="3" t="s">
        <v>977</v>
      </c>
      <c r="E23" s="3" t="s">
        <v>977</v>
      </c>
      <c r="F23" s="3" t="s">
        <v>977</v>
      </c>
      <c r="G23" s="3" t="s">
        <v>977</v>
      </c>
      <c r="H23" s="20">
        <v>41689</v>
      </c>
      <c r="J23" s="3">
        <f t="shared" si="7"/>
        <v>3.87</v>
      </c>
      <c r="K23" s="3">
        <f t="shared" si="7"/>
        <v>3.87</v>
      </c>
      <c r="L23" s="3">
        <f t="shared" si="7"/>
        <v>3.87</v>
      </c>
      <c r="M23" s="3">
        <f t="shared" si="7"/>
        <v>3.87</v>
      </c>
      <c r="P23" s="43" t="s">
        <v>223</v>
      </c>
      <c r="Q23" s="10" t="str">
        <f t="shared" si="1"/>
        <v>ALFA CONSORC-PNE</v>
      </c>
      <c r="R23" s="51">
        <f t="shared" si="2"/>
        <v>41689</v>
      </c>
      <c r="S23" s="5">
        <f t="shared" si="3"/>
        <v>3.87</v>
      </c>
      <c r="T23" s="5">
        <f t="shared" si="4"/>
        <v>3.87</v>
      </c>
      <c r="U23" s="5">
        <f t="shared" si="5"/>
        <v>3.87</v>
      </c>
      <c r="V23" s="5">
        <f t="shared" si="6"/>
        <v>3.87</v>
      </c>
    </row>
    <row r="24" spans="1:22" x14ac:dyDescent="0.2">
      <c r="A24" s="33" t="str">
        <f>IF(Tabela1[[#This Row],[Código]]="IBOV","^BVSP",IF(Tabela1[[#This Row],[Código]]="","",CONCATENATE(LEFT(Tabela1[[#This Row],[Código]],6),".SA")))</f>
        <v>BRGE12.SA</v>
      </c>
      <c r="C24" s="3" t="s">
        <v>228</v>
      </c>
      <c r="D24" s="3" t="s">
        <v>1190</v>
      </c>
      <c r="E24" s="3" t="s">
        <v>1190</v>
      </c>
      <c r="F24" s="3" t="s">
        <v>1190</v>
      </c>
      <c r="G24" s="3" t="s">
        <v>1190</v>
      </c>
      <c r="H24" s="20">
        <v>41689</v>
      </c>
      <c r="J24" s="3">
        <f t="shared" si="7"/>
        <v>3.81</v>
      </c>
      <c r="K24" s="3">
        <f t="shared" si="7"/>
        <v>3.81</v>
      </c>
      <c r="L24" s="3">
        <f t="shared" si="7"/>
        <v>3.81</v>
      </c>
      <c r="M24" s="3">
        <f t="shared" si="7"/>
        <v>3.81</v>
      </c>
      <c r="P24" s="10" t="s">
        <v>224</v>
      </c>
      <c r="Q24" s="10" t="str">
        <f t="shared" si="1"/>
        <v>ALFA CONSORC-PNF</v>
      </c>
      <c r="R24" s="51">
        <f t="shared" si="2"/>
        <v>41689</v>
      </c>
      <c r="S24" s="5">
        <f t="shared" si="3"/>
        <v>3.81</v>
      </c>
      <c r="T24" s="5">
        <f t="shared" si="4"/>
        <v>3.81</v>
      </c>
      <c r="U24" s="5">
        <f t="shared" si="5"/>
        <v>3.81</v>
      </c>
      <c r="V24" s="5">
        <f t="shared" si="6"/>
        <v>3.81</v>
      </c>
    </row>
    <row r="25" spans="1:22" x14ac:dyDescent="0.2">
      <c r="A25" s="33" t="str">
        <f>IF(Tabela1[[#This Row],[Código]]="IBOV","^BVSP",IF(Tabela1[[#This Row],[Código]]="","",CONCATENATE(LEFT(Tabela1[[#This Row],[Código]],6),".SA")))</f>
        <v>BRGE3.SA</v>
      </c>
      <c r="C25" s="3" t="s">
        <v>225</v>
      </c>
      <c r="D25" s="3" t="s">
        <v>977</v>
      </c>
      <c r="E25" s="3" t="s">
        <v>977</v>
      </c>
      <c r="F25" s="3" t="s">
        <v>977</v>
      </c>
      <c r="G25" s="3" t="s">
        <v>977</v>
      </c>
      <c r="H25" s="20">
        <v>41689</v>
      </c>
      <c r="J25" s="3">
        <f t="shared" si="7"/>
        <v>3.87</v>
      </c>
      <c r="K25" s="3">
        <f t="shared" si="7"/>
        <v>3.87</v>
      </c>
      <c r="L25" s="3">
        <f t="shared" si="7"/>
        <v>3.87</v>
      </c>
      <c r="M25" s="3">
        <f t="shared" si="7"/>
        <v>3.87</v>
      </c>
      <c r="P25" s="15" t="s">
        <v>219</v>
      </c>
      <c r="Q25" s="10" t="str">
        <f t="shared" si="1"/>
        <v>ALFA CONSORC-ON</v>
      </c>
      <c r="R25" s="20">
        <f t="shared" si="2"/>
        <v>41689</v>
      </c>
      <c r="S25" s="5">
        <f t="shared" si="3"/>
        <v>3.87</v>
      </c>
      <c r="T25" s="5">
        <f t="shared" si="4"/>
        <v>3.87</v>
      </c>
      <c r="U25" s="5">
        <f t="shared" si="5"/>
        <v>3.87</v>
      </c>
      <c r="V25" s="5">
        <f t="shared" si="6"/>
        <v>3.87</v>
      </c>
    </row>
    <row r="26" spans="1:22" x14ac:dyDescent="0.2">
      <c r="A26" s="33" t="str">
        <f>IF(Tabela1[[#This Row],[Código]]="IBOV","^BVSP",IF(Tabela1[[#This Row],[Código]]="","",CONCATENATE(LEFT(Tabela1[[#This Row],[Código]],6),".SA")))</f>
        <v>BRGE5.SA</v>
      </c>
      <c r="C26" s="3" t="s">
        <v>782</v>
      </c>
      <c r="D26" s="3" t="s">
        <v>446</v>
      </c>
      <c r="E26" s="3" t="s">
        <v>226</v>
      </c>
      <c r="F26" s="3" t="s">
        <v>226</v>
      </c>
      <c r="G26" s="3" t="s">
        <v>226</v>
      </c>
      <c r="H26" s="20">
        <v>41689</v>
      </c>
      <c r="J26" s="3" t="e">
        <f t="shared" si="7"/>
        <v>#VALUE!</v>
      </c>
      <c r="K26" s="3">
        <f t="shared" si="7"/>
        <v>3.27</v>
      </c>
      <c r="L26" s="3">
        <f t="shared" si="7"/>
        <v>3.27</v>
      </c>
      <c r="M26" s="3">
        <f t="shared" si="7"/>
        <v>3.27</v>
      </c>
      <c r="P26" s="10" t="s">
        <v>220</v>
      </c>
      <c r="Q26" s="10" t="str">
        <f t="shared" si="1"/>
        <v>ALFA CONSORC-PNA</v>
      </c>
      <c r="R26" s="20">
        <f t="shared" si="2"/>
        <v>41689</v>
      </c>
      <c r="S26" s="5" t="e">
        <f t="shared" si="3"/>
        <v>#VALUE!</v>
      </c>
      <c r="T26" s="5">
        <f t="shared" si="4"/>
        <v>3.27</v>
      </c>
      <c r="U26" s="5">
        <f t="shared" si="5"/>
        <v>3.27</v>
      </c>
      <c r="V26" s="5">
        <f t="shared" si="6"/>
        <v>3.27</v>
      </c>
    </row>
    <row r="27" spans="1:22" x14ac:dyDescent="0.2">
      <c r="A27" s="33" t="str">
        <f>IF(Tabela1[[#This Row],[Código]]="IBOV","^BVSP",IF(Tabela1[[#This Row],[Código]]="","",CONCATENATE(LEFT(Tabela1[[#This Row],[Código]],6),".SA")))</f>
        <v>BRGE6.SA</v>
      </c>
      <c r="C27" s="3" t="s">
        <v>783</v>
      </c>
      <c r="D27" s="3" t="s">
        <v>784</v>
      </c>
      <c r="E27" s="3" t="s">
        <v>784</v>
      </c>
      <c r="F27" s="3" t="s">
        <v>784</v>
      </c>
      <c r="G27" s="3" t="s">
        <v>784</v>
      </c>
      <c r="H27" s="20">
        <v>41689</v>
      </c>
      <c r="J27" s="3">
        <f t="shared" si="7"/>
        <v>5.96</v>
      </c>
      <c r="K27" s="3">
        <f t="shared" si="7"/>
        <v>5.96</v>
      </c>
      <c r="L27" s="3">
        <f t="shared" si="7"/>
        <v>5.96</v>
      </c>
      <c r="M27" s="3">
        <f t="shared" si="7"/>
        <v>5.96</v>
      </c>
      <c r="P27" s="15" t="s">
        <v>77</v>
      </c>
      <c r="Q27" s="10" t="str">
        <f t="shared" si="1"/>
        <v>ALFA CONSORC-PNB</v>
      </c>
      <c r="R27" s="20">
        <f t="shared" si="2"/>
        <v>41689</v>
      </c>
      <c r="S27" s="5">
        <f t="shared" si="3"/>
        <v>5.96</v>
      </c>
      <c r="T27" s="5">
        <f t="shared" si="4"/>
        <v>5.96</v>
      </c>
      <c r="U27" s="5">
        <f t="shared" si="5"/>
        <v>5.96</v>
      </c>
      <c r="V27" s="5">
        <f t="shared" si="6"/>
        <v>5.96</v>
      </c>
    </row>
    <row r="28" spans="1:22" x14ac:dyDescent="0.2">
      <c r="A28" s="33" t="str">
        <f>IF(Tabela1[[#This Row],[Código]]="IBOV","^BVSP",IF(Tabela1[[#This Row],[Código]]="","",CONCATENATE(LEFT(Tabela1[[#This Row],[Código]],6),".SA")))</f>
        <v>BRGE7.SA</v>
      </c>
      <c r="C28" s="3" t="s">
        <v>785</v>
      </c>
      <c r="D28" s="3" t="s">
        <v>446</v>
      </c>
      <c r="E28" s="3" t="s">
        <v>227</v>
      </c>
      <c r="F28" s="3" t="s">
        <v>227</v>
      </c>
      <c r="G28" s="3" t="s">
        <v>227</v>
      </c>
      <c r="H28" s="20">
        <v>41689</v>
      </c>
      <c r="J28" s="3" t="e">
        <f t="shared" si="7"/>
        <v>#VALUE!</v>
      </c>
      <c r="K28" s="3">
        <f t="shared" si="7"/>
        <v>3.6</v>
      </c>
      <c r="L28" s="3">
        <f t="shared" si="7"/>
        <v>3.6</v>
      </c>
      <c r="M28" s="3">
        <f t="shared" si="7"/>
        <v>3.6</v>
      </c>
      <c r="P28" s="43" t="s">
        <v>221</v>
      </c>
      <c r="Q28" s="10" t="str">
        <f t="shared" si="1"/>
        <v>ALFA CONSORC-PNC</v>
      </c>
      <c r="R28" s="20">
        <f t="shared" si="2"/>
        <v>41689</v>
      </c>
      <c r="S28" s="5" t="e">
        <f t="shared" si="3"/>
        <v>#VALUE!</v>
      </c>
      <c r="T28" s="5">
        <f t="shared" si="4"/>
        <v>3.6</v>
      </c>
      <c r="U28" s="5">
        <f t="shared" si="5"/>
        <v>3.6</v>
      </c>
      <c r="V28" s="5">
        <f t="shared" si="6"/>
        <v>3.6</v>
      </c>
    </row>
    <row r="29" spans="1:22" x14ac:dyDescent="0.2">
      <c r="A29" s="33" t="str">
        <f>IF(Tabela1[[#This Row],[Código]]="IBOV","^BVSP",IF(Tabela1[[#This Row],[Código]]="","",CONCATENATE(LEFT(Tabela1[[#This Row],[Código]],6),".SA")))</f>
        <v>BRGE8.SA</v>
      </c>
      <c r="C29" s="3" t="s">
        <v>786</v>
      </c>
      <c r="D29" s="3" t="s">
        <v>787</v>
      </c>
      <c r="E29" s="3" t="s">
        <v>787</v>
      </c>
      <c r="F29" s="3" t="s">
        <v>787</v>
      </c>
      <c r="G29" s="3" t="s">
        <v>787</v>
      </c>
      <c r="H29" s="20">
        <v>41689</v>
      </c>
      <c r="J29" s="3">
        <f>IF($A29="",0,VALUE(CONCATENATE(LEFT(D29,LEN(D29)-3),",",RIGHT(D29,2))))</f>
        <v>3.78</v>
      </c>
      <c r="K29" s="3">
        <f t="shared" si="7"/>
        <v>3.78</v>
      </c>
      <c r="L29" s="3">
        <f t="shared" si="7"/>
        <v>3.78</v>
      </c>
      <c r="M29" s="3">
        <f t="shared" si="7"/>
        <v>3.78</v>
      </c>
      <c r="P29" s="15" t="s">
        <v>222</v>
      </c>
      <c r="Q29" s="10" t="str">
        <f t="shared" si="1"/>
        <v>ALFA CONSORC-PND</v>
      </c>
      <c r="R29" s="20">
        <f t="shared" si="2"/>
        <v>41689</v>
      </c>
      <c r="S29" s="5">
        <f t="shared" si="3"/>
        <v>3.78</v>
      </c>
      <c r="T29" s="5">
        <f t="shared" si="4"/>
        <v>3.78</v>
      </c>
      <c r="U29" s="5">
        <f t="shared" si="5"/>
        <v>3.78</v>
      </c>
      <c r="V29" s="5">
        <f t="shared" si="6"/>
        <v>3.78</v>
      </c>
    </row>
    <row r="30" spans="1:22" x14ac:dyDescent="0.2">
      <c r="A30" s="33" t="str">
        <f>IF(Tabela1[[#This Row],[Código]]="IBOV","^BVSP",IF(Tabela1[[#This Row],[Código]]="","",CONCATENATE(LEFT(Tabela1[[#This Row],[Código]],6),".SA")))</f>
        <v>BRIV3.SA</v>
      </c>
      <c r="C30" s="3" t="s">
        <v>788</v>
      </c>
      <c r="D30" s="3" t="s">
        <v>748</v>
      </c>
      <c r="E30" s="3" t="s">
        <v>748</v>
      </c>
      <c r="F30" s="3" t="s">
        <v>748</v>
      </c>
      <c r="G30" s="3" t="s">
        <v>748</v>
      </c>
      <c r="H30" s="20">
        <v>41689</v>
      </c>
      <c r="J30" s="3">
        <f t="shared" si="7"/>
        <v>6.61</v>
      </c>
      <c r="K30" s="3">
        <f t="shared" si="7"/>
        <v>6.61</v>
      </c>
      <c r="L30" s="3">
        <f t="shared" si="7"/>
        <v>6.61</v>
      </c>
      <c r="M30" s="3">
        <f t="shared" si="7"/>
        <v>6.61</v>
      </c>
      <c r="P30" s="14" t="s">
        <v>197</v>
      </c>
      <c r="Q30" s="10" t="str">
        <f t="shared" si="1"/>
        <v>ALFA INVEST -ON</v>
      </c>
      <c r="R30" s="20">
        <f t="shared" si="2"/>
        <v>41689</v>
      </c>
      <c r="S30" s="5">
        <f t="shared" si="3"/>
        <v>6.61</v>
      </c>
      <c r="T30" s="5">
        <f t="shared" si="4"/>
        <v>6.61</v>
      </c>
      <c r="U30" s="5">
        <f t="shared" si="5"/>
        <v>6.61</v>
      </c>
      <c r="V30" s="5">
        <f t="shared" si="6"/>
        <v>6.61</v>
      </c>
    </row>
    <row r="31" spans="1:22" x14ac:dyDescent="0.2">
      <c r="A31" s="33" t="str">
        <f>IF(Tabela1[[#This Row],[Código]]="IBOV","^BVSP",IF(Tabela1[[#This Row],[Código]]="","",CONCATENATE(LEFT(Tabela1[[#This Row],[Código]],6),".SA")))</f>
        <v>BRIV4.SA</v>
      </c>
      <c r="C31" s="3" t="s">
        <v>789</v>
      </c>
      <c r="D31" s="3" t="s">
        <v>1556</v>
      </c>
      <c r="E31" s="3" t="s">
        <v>1556</v>
      </c>
      <c r="F31" s="3" t="s">
        <v>1556</v>
      </c>
      <c r="G31" s="3" t="s">
        <v>1556</v>
      </c>
      <c r="H31" s="20">
        <v>41689</v>
      </c>
      <c r="J31" s="3">
        <f t="shared" si="7"/>
        <v>5.72</v>
      </c>
      <c r="K31" s="3">
        <f t="shared" si="7"/>
        <v>5.72</v>
      </c>
      <c r="L31" s="3">
        <f t="shared" si="7"/>
        <v>5.72</v>
      </c>
      <c r="M31" s="3">
        <f t="shared" si="7"/>
        <v>5.72</v>
      </c>
      <c r="P31" s="10" t="s">
        <v>198</v>
      </c>
      <c r="Q31" s="10" t="str">
        <f t="shared" si="1"/>
        <v>ALFA INVEST -PN</v>
      </c>
      <c r="R31" s="20">
        <f t="shared" si="2"/>
        <v>41689</v>
      </c>
      <c r="S31" s="5">
        <f t="shared" si="3"/>
        <v>5.72</v>
      </c>
      <c r="T31" s="5">
        <f t="shared" si="4"/>
        <v>5.72</v>
      </c>
      <c r="U31" s="5">
        <f t="shared" si="5"/>
        <v>5.72</v>
      </c>
      <c r="V31" s="5">
        <f t="shared" si="6"/>
        <v>5.72</v>
      </c>
    </row>
    <row r="32" spans="1:22" x14ac:dyDescent="0.2">
      <c r="A32" s="33" t="str">
        <f>IF(Tabela1[[#This Row],[Código]]="IBOV","^BVSP",IF(Tabela1[[#This Row],[Código]]="","",CONCATENATE(LEFT(Tabela1[[#This Row],[Código]],6),".SA")))</f>
        <v>BRSR3.SA</v>
      </c>
      <c r="C32" s="3" t="s">
        <v>207</v>
      </c>
      <c r="D32" s="3" t="s">
        <v>412</v>
      </c>
      <c r="E32" s="3" t="s">
        <v>412</v>
      </c>
      <c r="F32" s="3" t="s">
        <v>412</v>
      </c>
      <c r="G32" s="3" t="s">
        <v>412</v>
      </c>
      <c r="H32" s="20">
        <v>41689</v>
      </c>
      <c r="J32" s="3">
        <f t="shared" si="7"/>
        <v>12.2</v>
      </c>
      <c r="K32" s="3">
        <f t="shared" si="7"/>
        <v>12.2</v>
      </c>
      <c r="L32" s="3">
        <f t="shared" si="7"/>
        <v>12.2</v>
      </c>
      <c r="M32" s="3">
        <f t="shared" si="7"/>
        <v>12.2</v>
      </c>
      <c r="P32" s="15" t="s">
        <v>205</v>
      </c>
      <c r="Q32" s="10" t="str">
        <f t="shared" si="1"/>
        <v xml:space="preserve">BANRISUL    -ON  </v>
      </c>
      <c r="R32" s="20">
        <f t="shared" si="2"/>
        <v>41689</v>
      </c>
      <c r="S32" s="5">
        <f t="shared" si="3"/>
        <v>12.2</v>
      </c>
      <c r="T32" s="5">
        <f t="shared" si="4"/>
        <v>12.2</v>
      </c>
      <c r="U32" s="5">
        <f t="shared" si="5"/>
        <v>12.2</v>
      </c>
      <c r="V32" s="5">
        <f t="shared" si="6"/>
        <v>12.2</v>
      </c>
    </row>
    <row r="33" spans="1:22" x14ac:dyDescent="0.2">
      <c r="A33" s="33" t="str">
        <f>IF(Tabela1[[#This Row],[Código]]="IBOV","^BVSP",IF(Tabela1[[#This Row],[Código]]="","",CONCATENATE(LEFT(Tabela1[[#This Row],[Código]],6),".SA")))</f>
        <v>BRSR5.SA</v>
      </c>
      <c r="C33" s="3" t="s">
        <v>208</v>
      </c>
      <c r="D33" s="3" t="s">
        <v>995</v>
      </c>
      <c r="E33" s="3" t="s">
        <v>1775</v>
      </c>
      <c r="F33" s="3" t="s">
        <v>1775</v>
      </c>
      <c r="G33" s="3" t="s">
        <v>995</v>
      </c>
      <c r="H33" s="20">
        <v>41689</v>
      </c>
      <c r="J33" s="3">
        <f t="shared" si="7"/>
        <v>10.9</v>
      </c>
      <c r="K33" s="3">
        <f t="shared" si="7"/>
        <v>10.91</v>
      </c>
      <c r="L33" s="3">
        <f t="shared" si="7"/>
        <v>10.91</v>
      </c>
      <c r="M33" s="3">
        <f t="shared" si="7"/>
        <v>10.9</v>
      </c>
      <c r="P33" s="15" t="s">
        <v>206</v>
      </c>
      <c r="Q33" s="10" t="str">
        <f t="shared" si="1"/>
        <v xml:space="preserve">BANRISUL    -PNA </v>
      </c>
      <c r="R33" s="51">
        <f t="shared" si="2"/>
        <v>41689</v>
      </c>
      <c r="S33" s="5">
        <f t="shared" si="3"/>
        <v>10.9</v>
      </c>
      <c r="T33" s="5">
        <f t="shared" si="4"/>
        <v>10.91</v>
      </c>
      <c r="U33" s="5">
        <f t="shared" si="5"/>
        <v>10.91</v>
      </c>
      <c r="V33" s="5">
        <f t="shared" si="6"/>
        <v>10.9</v>
      </c>
    </row>
    <row r="34" spans="1:22" x14ac:dyDescent="0.2">
      <c r="A34" s="33" t="str">
        <f>IF(Tabela1[[#This Row],[Código]]="IBOV","^BVSP",IF(Tabela1[[#This Row],[Código]]="","",CONCATENATE(LEFT(Tabela1[[#This Row],[Código]],6),".SA")))</f>
        <v>BRSR6.SA</v>
      </c>
      <c r="C34" s="3" t="s">
        <v>109</v>
      </c>
      <c r="D34" s="3" t="s">
        <v>1569</v>
      </c>
      <c r="E34" s="3" t="s">
        <v>1908</v>
      </c>
      <c r="F34" s="3" t="s">
        <v>1908</v>
      </c>
      <c r="G34" s="3" t="s">
        <v>1569</v>
      </c>
      <c r="H34" s="20">
        <v>41689</v>
      </c>
      <c r="J34" s="3">
        <f t="shared" si="7"/>
        <v>10.7</v>
      </c>
      <c r="K34" s="3">
        <f t="shared" si="7"/>
        <v>11.07</v>
      </c>
      <c r="L34" s="3">
        <f t="shared" si="7"/>
        <v>11.07</v>
      </c>
      <c r="M34" s="3">
        <f t="shared" si="7"/>
        <v>10.7</v>
      </c>
      <c r="P34" s="10" t="s">
        <v>23</v>
      </c>
      <c r="Q34" s="10" t="str">
        <f t="shared" si="1"/>
        <v xml:space="preserve">BANRISUL    -PNB </v>
      </c>
      <c r="R34" s="20">
        <f t="shared" si="2"/>
        <v>41689</v>
      </c>
      <c r="S34" s="5">
        <f t="shared" si="3"/>
        <v>10.7</v>
      </c>
      <c r="T34" s="5">
        <f t="shared" si="4"/>
        <v>11.07</v>
      </c>
      <c r="U34" s="5">
        <f t="shared" si="5"/>
        <v>11.07</v>
      </c>
      <c r="V34" s="5">
        <f t="shared" si="6"/>
        <v>10.7</v>
      </c>
    </row>
    <row r="35" spans="1:22" x14ac:dyDescent="0.2">
      <c r="A35" s="33" t="str">
        <f>IF(Tabela1[[#This Row],[Código]]="IBOV","^BVSP",IF(Tabela1[[#This Row],[Código]]="","",CONCATENATE(LEFT(Tabela1[[#This Row],[Código]],6),".SA")))</f>
        <v>BSLI3.SA</v>
      </c>
      <c r="C35" s="3" t="s">
        <v>1020</v>
      </c>
      <c r="D35" s="3" t="s">
        <v>1189</v>
      </c>
      <c r="E35" s="3" t="s">
        <v>1189</v>
      </c>
      <c r="F35" s="3" t="s">
        <v>1189</v>
      </c>
      <c r="G35" s="3" t="s">
        <v>1189</v>
      </c>
      <c r="H35" s="20">
        <v>41689</v>
      </c>
      <c r="J35" s="3">
        <f t="shared" si="7"/>
        <v>26.75</v>
      </c>
      <c r="K35" s="3">
        <f t="shared" si="7"/>
        <v>26.75</v>
      </c>
      <c r="L35" s="3">
        <f t="shared" si="7"/>
        <v>26.75</v>
      </c>
      <c r="M35" s="3">
        <f t="shared" si="7"/>
        <v>26.75</v>
      </c>
      <c r="P35" s="15" t="s">
        <v>217</v>
      </c>
      <c r="Q35" s="10" t="str">
        <f t="shared" si="1"/>
        <v>BRB BANCO   -ON</v>
      </c>
      <c r="R35" s="20">
        <f t="shared" si="2"/>
        <v>41689</v>
      </c>
      <c r="S35" s="5">
        <f t="shared" si="3"/>
        <v>26.75</v>
      </c>
      <c r="T35" s="5">
        <f t="shared" si="4"/>
        <v>26.75</v>
      </c>
      <c r="U35" s="5">
        <f t="shared" si="5"/>
        <v>26.75</v>
      </c>
      <c r="V35" s="5">
        <f t="shared" si="6"/>
        <v>26.75</v>
      </c>
    </row>
    <row r="36" spans="1:22" x14ac:dyDescent="0.2">
      <c r="A36" s="33" t="str">
        <f>IF(Tabela1[[#This Row],[Código]]="IBOV","^BVSP",IF(Tabela1[[#This Row],[Código]]="","",CONCATENATE(LEFT(Tabela1[[#This Row],[Código]],6),".SA")))</f>
        <v>BSLI4.SA</v>
      </c>
      <c r="C36" s="3" t="s">
        <v>1021</v>
      </c>
      <c r="D36" s="3" t="s">
        <v>638</v>
      </c>
      <c r="E36" s="3" t="s">
        <v>638</v>
      </c>
      <c r="F36" s="3" t="s">
        <v>638</v>
      </c>
      <c r="G36" s="3" t="s">
        <v>638</v>
      </c>
      <c r="H36" s="20">
        <v>41689</v>
      </c>
      <c r="J36" s="3">
        <f t="shared" si="7"/>
        <v>28</v>
      </c>
      <c r="K36" s="3">
        <f t="shared" si="7"/>
        <v>28</v>
      </c>
      <c r="L36" s="3">
        <f t="shared" si="7"/>
        <v>28</v>
      </c>
      <c r="M36" s="3">
        <f t="shared" si="7"/>
        <v>28</v>
      </c>
      <c r="P36" s="14" t="s">
        <v>218</v>
      </c>
      <c r="Q36" s="10" t="str">
        <f t="shared" si="1"/>
        <v>BRB BANCO   -PN</v>
      </c>
      <c r="R36" s="51">
        <f t="shared" si="2"/>
        <v>41689</v>
      </c>
      <c r="S36" s="5">
        <f t="shared" si="3"/>
        <v>28</v>
      </c>
      <c r="T36" s="5">
        <f t="shared" si="4"/>
        <v>28</v>
      </c>
      <c r="U36" s="5">
        <f t="shared" si="5"/>
        <v>28</v>
      </c>
      <c r="V36" s="5">
        <f t="shared" si="6"/>
        <v>28</v>
      </c>
    </row>
    <row r="37" spans="1:22" x14ac:dyDescent="0.2">
      <c r="A37" s="33" t="str">
        <f>IF(Tabela1[[#This Row],[Código]]="IBOV","^BVSP",IF(Tabela1[[#This Row],[Código]]="","",CONCATENATE(LEFT(Tabela1[[#This Row],[Código]],6),".SA")))</f>
        <v>CASN3.SA</v>
      </c>
      <c r="C37" s="3" t="s">
        <v>180</v>
      </c>
      <c r="D37" s="3" t="s">
        <v>446</v>
      </c>
      <c r="E37" s="3" t="s">
        <v>159</v>
      </c>
      <c r="F37" s="3" t="s">
        <v>159</v>
      </c>
      <c r="G37" s="3" t="s">
        <v>159</v>
      </c>
      <c r="H37" s="20">
        <v>41689</v>
      </c>
      <c r="J37" s="3" t="e">
        <f t="shared" si="7"/>
        <v>#VALUE!</v>
      </c>
      <c r="K37" s="3">
        <f t="shared" si="7"/>
        <v>4.12</v>
      </c>
      <c r="L37" s="3">
        <f t="shared" si="7"/>
        <v>4.12</v>
      </c>
      <c r="M37" s="3">
        <f t="shared" si="7"/>
        <v>4.12</v>
      </c>
      <c r="P37" s="14" t="s">
        <v>179</v>
      </c>
      <c r="Q37" s="10" t="str">
        <f t="shared" si="1"/>
        <v>CASAN       -ON</v>
      </c>
      <c r="R37" s="51">
        <f t="shared" si="2"/>
        <v>41689</v>
      </c>
      <c r="S37" s="5" t="e">
        <f t="shared" si="3"/>
        <v>#VALUE!</v>
      </c>
      <c r="T37" s="5">
        <f t="shared" si="4"/>
        <v>4.12</v>
      </c>
      <c r="U37" s="5">
        <f t="shared" si="5"/>
        <v>4.12</v>
      </c>
      <c r="V37" s="5">
        <f t="shared" si="6"/>
        <v>4.12</v>
      </c>
    </row>
    <row r="38" spans="1:22" x14ac:dyDescent="0.2">
      <c r="A38" s="33" t="str">
        <f>IF(Tabela1[[#This Row],[Código]]="IBOV","^BVSP",IF(Tabela1[[#This Row],[Código]]="","",CONCATENATE(LEFT(Tabela1[[#This Row],[Código]],6),".SA")))</f>
        <v>CEBR3.SA</v>
      </c>
      <c r="C38" s="3" t="s">
        <v>110</v>
      </c>
      <c r="D38" s="3" t="s">
        <v>777</v>
      </c>
      <c r="E38" s="3" t="s">
        <v>777</v>
      </c>
      <c r="F38" s="3" t="s">
        <v>777</v>
      </c>
      <c r="G38" s="3" t="s">
        <v>777</v>
      </c>
      <c r="H38" s="20">
        <v>41689</v>
      </c>
      <c r="J38" s="3">
        <f t="shared" si="7"/>
        <v>16</v>
      </c>
      <c r="K38" s="3">
        <f t="shared" si="7"/>
        <v>16</v>
      </c>
      <c r="L38" s="3">
        <f t="shared" si="7"/>
        <v>16</v>
      </c>
      <c r="M38" s="3">
        <f t="shared" si="7"/>
        <v>16</v>
      </c>
      <c r="P38" s="14" t="s">
        <v>90</v>
      </c>
      <c r="Q38" s="10" t="str">
        <f t="shared" si="1"/>
        <v>CEB         -ON</v>
      </c>
      <c r="R38" s="51">
        <f t="shared" si="2"/>
        <v>41689</v>
      </c>
      <c r="S38" s="5">
        <f t="shared" si="3"/>
        <v>16</v>
      </c>
      <c r="T38" s="5">
        <f t="shared" si="4"/>
        <v>16</v>
      </c>
      <c r="U38" s="5">
        <f t="shared" si="5"/>
        <v>16</v>
      </c>
      <c r="V38" s="5">
        <f t="shared" si="6"/>
        <v>16</v>
      </c>
    </row>
    <row r="39" spans="1:22" x14ac:dyDescent="0.2">
      <c r="A39" s="33" t="str">
        <f>IF(Tabela1[[#This Row],[Código]]="IBOV","^BVSP",IF(Tabela1[[#This Row],[Código]]="","",CONCATENATE(LEFT(Tabela1[[#This Row],[Código]],6),".SA")))</f>
        <v>CEBR5.SA</v>
      </c>
      <c r="C39" s="3" t="s">
        <v>111</v>
      </c>
      <c r="D39" s="3" t="s">
        <v>776</v>
      </c>
      <c r="E39" s="3" t="s">
        <v>776</v>
      </c>
      <c r="F39" s="3" t="s">
        <v>776</v>
      </c>
      <c r="G39" s="3" t="s">
        <v>776</v>
      </c>
      <c r="H39" s="20">
        <v>41689</v>
      </c>
      <c r="J39" s="3">
        <f t="shared" si="7"/>
        <v>23</v>
      </c>
      <c r="K39" s="3">
        <f t="shared" si="7"/>
        <v>23</v>
      </c>
      <c r="L39" s="3">
        <f t="shared" si="7"/>
        <v>23</v>
      </c>
      <c r="M39" s="3">
        <f t="shared" si="7"/>
        <v>23</v>
      </c>
      <c r="P39" s="14" t="s">
        <v>91</v>
      </c>
      <c r="Q39" s="10" t="str">
        <f t="shared" ref="Q39:Q70" si="8">IF(A39="","",C39)</f>
        <v>CEB         -PNA</v>
      </c>
      <c r="R39" s="51">
        <f t="shared" ref="R39:R70" si="9">IF(A39="","",H39)</f>
        <v>41689</v>
      </c>
      <c r="S39" s="5">
        <f t="shared" ref="S39:S70" si="10">J39</f>
        <v>23</v>
      </c>
      <c r="T39" s="5">
        <f t="shared" ref="T39:T70" si="11">K39</f>
        <v>23</v>
      </c>
      <c r="U39" s="5">
        <f t="shared" ref="U39:U70" si="12">L39</f>
        <v>23</v>
      </c>
      <c r="V39" s="5">
        <f t="shared" ref="V39:V70" si="13">M39</f>
        <v>23</v>
      </c>
    </row>
    <row r="40" spans="1:22" x14ac:dyDescent="0.2">
      <c r="A40" s="33" t="str">
        <f>IF(Tabela1[[#This Row],[Código]]="IBOV","^BVSP",IF(Tabela1[[#This Row],[Código]]="","",CONCATENATE(LEFT(Tabela1[[#This Row],[Código]],6),".SA")))</f>
        <v>CEBR6.SA</v>
      </c>
      <c r="C40" s="3" t="s">
        <v>112</v>
      </c>
      <c r="D40" s="3" t="s">
        <v>790</v>
      </c>
      <c r="E40" s="3" t="s">
        <v>791</v>
      </c>
      <c r="F40" s="3" t="s">
        <v>791</v>
      </c>
      <c r="G40" s="3" t="s">
        <v>790</v>
      </c>
      <c r="H40" s="20">
        <v>41689</v>
      </c>
      <c r="J40" s="3">
        <f t="shared" si="7"/>
        <v>17.09</v>
      </c>
      <c r="K40" s="3">
        <f t="shared" si="7"/>
        <v>17.600000000000001</v>
      </c>
      <c r="L40" s="3">
        <f t="shared" si="7"/>
        <v>17.600000000000001</v>
      </c>
      <c r="M40" s="3">
        <f t="shared" si="7"/>
        <v>17.09</v>
      </c>
      <c r="P40" s="14" t="s">
        <v>69</v>
      </c>
      <c r="Q40" s="10" t="str">
        <f t="shared" si="8"/>
        <v>CEB         -PNB</v>
      </c>
      <c r="R40" s="20">
        <f t="shared" si="9"/>
        <v>41689</v>
      </c>
      <c r="S40" s="5">
        <f t="shared" si="10"/>
        <v>17.09</v>
      </c>
      <c r="T40" s="5">
        <f t="shared" si="11"/>
        <v>17.600000000000001</v>
      </c>
      <c r="U40" s="5">
        <f t="shared" si="12"/>
        <v>17.600000000000001</v>
      </c>
      <c r="V40" s="5">
        <f t="shared" si="13"/>
        <v>17.09</v>
      </c>
    </row>
    <row r="41" spans="1:22" x14ac:dyDescent="0.2">
      <c r="A41" s="33" t="str">
        <f>IF(Tabela1[[#This Row],[Código]]="IBOV","^BVSP",IF(Tabela1[[#This Row],[Código]]="","",CONCATENATE(LEFT(Tabela1[[#This Row],[Código]],6),".SA")))</f>
        <v>CEEB3.SA</v>
      </c>
      <c r="C41" s="3" t="s">
        <v>660</v>
      </c>
      <c r="D41" s="3" t="s">
        <v>1742</v>
      </c>
      <c r="E41" s="3" t="s">
        <v>1742</v>
      </c>
      <c r="F41" s="3" t="s">
        <v>1742</v>
      </c>
      <c r="G41" s="3" t="s">
        <v>1742</v>
      </c>
      <c r="H41" s="20">
        <v>41689</v>
      </c>
      <c r="J41" s="3">
        <f t="shared" si="7"/>
        <v>29</v>
      </c>
      <c r="K41" s="3">
        <f t="shared" si="7"/>
        <v>29</v>
      </c>
      <c r="L41" s="3">
        <f t="shared" si="7"/>
        <v>29</v>
      </c>
      <c r="M41" s="3">
        <f t="shared" si="7"/>
        <v>29</v>
      </c>
      <c r="P41" s="14" t="s">
        <v>88</v>
      </c>
      <c r="Q41" s="10" t="str">
        <f t="shared" si="8"/>
        <v>COELBA      -ON</v>
      </c>
      <c r="R41" s="46">
        <f t="shared" si="9"/>
        <v>41689</v>
      </c>
      <c r="S41" s="6">
        <f t="shared" si="10"/>
        <v>29</v>
      </c>
      <c r="T41" s="6">
        <f t="shared" si="11"/>
        <v>29</v>
      </c>
      <c r="U41" s="6">
        <f t="shared" si="12"/>
        <v>29</v>
      </c>
      <c r="V41" s="6">
        <f t="shared" si="13"/>
        <v>29</v>
      </c>
    </row>
    <row r="42" spans="1:22" x14ac:dyDescent="0.2">
      <c r="A42" s="33" t="str">
        <f>IF(Tabela1[[#This Row],[Código]]="IBOV","^BVSP",IF(Tabela1[[#This Row],[Código]]="","",CONCATENATE(LEFT(Tabela1[[#This Row],[Código]],6),".SA")))</f>
        <v>CEEB5.SA</v>
      </c>
      <c r="C42" s="3" t="s">
        <v>661</v>
      </c>
      <c r="D42" s="3" t="s">
        <v>113</v>
      </c>
      <c r="E42" s="3" t="s">
        <v>113</v>
      </c>
      <c r="F42" s="3" t="s">
        <v>113</v>
      </c>
      <c r="G42" s="3" t="s">
        <v>113</v>
      </c>
      <c r="H42" s="20">
        <v>41689</v>
      </c>
      <c r="J42" s="3">
        <f t="shared" si="7"/>
        <v>32.01</v>
      </c>
      <c r="K42" s="3">
        <f t="shared" si="7"/>
        <v>32.01</v>
      </c>
      <c r="L42" s="3">
        <f t="shared" si="7"/>
        <v>32.01</v>
      </c>
      <c r="M42" s="3">
        <f t="shared" si="7"/>
        <v>32.01</v>
      </c>
      <c r="P42" s="14" t="s">
        <v>89</v>
      </c>
      <c r="Q42" s="10" t="str">
        <f t="shared" si="8"/>
        <v>COELBA      -PNA</v>
      </c>
      <c r="R42" s="51">
        <f t="shared" si="9"/>
        <v>41689</v>
      </c>
      <c r="S42" s="5">
        <f t="shared" si="10"/>
        <v>32.01</v>
      </c>
      <c r="T42" s="5">
        <f t="shared" si="11"/>
        <v>32.01</v>
      </c>
      <c r="U42" s="5">
        <f t="shared" si="12"/>
        <v>32.01</v>
      </c>
      <c r="V42" s="5">
        <f t="shared" si="13"/>
        <v>32.01</v>
      </c>
    </row>
    <row r="43" spans="1:22" x14ac:dyDescent="0.2">
      <c r="A43" s="33" t="str">
        <f>IF(Tabela1[[#This Row],[Código]]="IBOV","^BVSP",IF(Tabela1[[#This Row],[Código]]="","",CONCATENATE(LEFT(Tabela1[[#This Row],[Código]],6),".SA")))</f>
        <v>CEPE5.SA</v>
      </c>
      <c r="C43" s="3" t="s">
        <v>114</v>
      </c>
      <c r="D43" s="3" t="s">
        <v>1192</v>
      </c>
      <c r="E43" s="3" t="s">
        <v>1192</v>
      </c>
      <c r="F43" s="3" t="s">
        <v>1192</v>
      </c>
      <c r="G43" s="3" t="s">
        <v>1192</v>
      </c>
      <c r="H43" s="20">
        <v>41689</v>
      </c>
      <c r="J43" s="3">
        <f t="shared" si="7"/>
        <v>17.899999999999999</v>
      </c>
      <c r="K43" s="3">
        <f t="shared" si="7"/>
        <v>17.899999999999999</v>
      </c>
      <c r="L43" s="3">
        <f t="shared" si="7"/>
        <v>17.899999999999999</v>
      </c>
      <c r="M43" s="3">
        <f t="shared" si="7"/>
        <v>17.899999999999999</v>
      </c>
      <c r="P43" s="14" t="s">
        <v>70</v>
      </c>
      <c r="Q43" s="10" t="str">
        <f t="shared" si="8"/>
        <v>CELPE       -PNA</v>
      </c>
      <c r="R43" s="51">
        <f t="shared" si="9"/>
        <v>41689</v>
      </c>
      <c r="S43" s="5">
        <f t="shared" si="10"/>
        <v>17.899999999999999</v>
      </c>
      <c r="T43" s="5">
        <f t="shared" si="11"/>
        <v>17.899999999999999</v>
      </c>
      <c r="U43" s="5">
        <f t="shared" si="12"/>
        <v>17.899999999999999</v>
      </c>
      <c r="V43" s="5">
        <f t="shared" si="13"/>
        <v>17.899999999999999</v>
      </c>
    </row>
    <row r="44" spans="1:22" x14ac:dyDescent="0.2">
      <c r="A44" s="33" t="str">
        <f>IF(Tabela1[[#This Row],[Código]]="IBOV","^BVSP",IF(Tabela1[[#This Row],[Código]]="","",CONCATENATE(LEFT(Tabela1[[#This Row],[Código]],6),".SA")))</f>
        <v>CEPE6.SA</v>
      </c>
      <c r="C44" s="3" t="s">
        <v>115</v>
      </c>
      <c r="D44" s="3" t="s">
        <v>792</v>
      </c>
      <c r="E44" s="3" t="s">
        <v>792</v>
      </c>
      <c r="F44" s="3" t="s">
        <v>792</v>
      </c>
      <c r="G44" s="3" t="s">
        <v>792</v>
      </c>
      <c r="H44" s="20">
        <v>41689</v>
      </c>
      <c r="J44" s="3">
        <f t="shared" si="7"/>
        <v>18.11</v>
      </c>
      <c r="K44" s="3">
        <f t="shared" si="7"/>
        <v>18.11</v>
      </c>
      <c r="L44" s="3">
        <f t="shared" si="7"/>
        <v>18.11</v>
      </c>
      <c r="M44" s="3">
        <f t="shared" si="7"/>
        <v>18.11</v>
      </c>
      <c r="P44" s="14" t="s">
        <v>92</v>
      </c>
      <c r="Q44" s="10" t="str">
        <f t="shared" si="8"/>
        <v>CELPE       -PNB</v>
      </c>
      <c r="R44" s="20">
        <f t="shared" si="9"/>
        <v>41689</v>
      </c>
      <c r="S44" s="5">
        <f t="shared" si="10"/>
        <v>18.11</v>
      </c>
      <c r="T44" s="5">
        <f t="shared" si="11"/>
        <v>18.11</v>
      </c>
      <c r="U44" s="5">
        <f t="shared" si="12"/>
        <v>18.11</v>
      </c>
      <c r="V44" s="5">
        <f t="shared" si="13"/>
        <v>18.11</v>
      </c>
    </row>
    <row r="45" spans="1:22" x14ac:dyDescent="0.2">
      <c r="A45" s="33" t="str">
        <f>IF(Tabela1[[#This Row],[Código]]="IBOV","^BVSP",IF(Tabela1[[#This Row],[Código]]="","",CONCATENATE(LEFT(Tabela1[[#This Row],[Código]],6),".SA")))</f>
        <v>CESP3.SA</v>
      </c>
      <c r="C45" s="3" t="s">
        <v>116</v>
      </c>
      <c r="D45" s="3" t="s">
        <v>1724</v>
      </c>
      <c r="E45" s="3" t="s">
        <v>1909</v>
      </c>
      <c r="F45" s="3" t="s">
        <v>1724</v>
      </c>
      <c r="G45" s="3" t="s">
        <v>982</v>
      </c>
      <c r="H45" s="20">
        <v>41689</v>
      </c>
      <c r="J45" s="3">
        <f t="shared" si="7"/>
        <v>19.3</v>
      </c>
      <c r="K45" s="3">
        <f t="shared" si="7"/>
        <v>19.25</v>
      </c>
      <c r="L45" s="3">
        <f t="shared" si="7"/>
        <v>19.3</v>
      </c>
      <c r="M45" s="3">
        <f t="shared" si="7"/>
        <v>19.2</v>
      </c>
      <c r="P45" s="14" t="s">
        <v>72</v>
      </c>
      <c r="Q45" s="10" t="str">
        <f t="shared" si="8"/>
        <v xml:space="preserve">CESP        -ON  </v>
      </c>
      <c r="R45" s="46">
        <f t="shared" si="9"/>
        <v>41689</v>
      </c>
      <c r="S45" s="6">
        <f t="shared" si="10"/>
        <v>19.3</v>
      </c>
      <c r="T45" s="6">
        <f t="shared" si="11"/>
        <v>19.25</v>
      </c>
      <c r="U45" s="6">
        <f t="shared" si="12"/>
        <v>19.3</v>
      </c>
      <c r="V45" s="6">
        <f t="shared" si="13"/>
        <v>19.2</v>
      </c>
    </row>
    <row r="46" spans="1:22" x14ac:dyDescent="0.2">
      <c r="A46" s="33" t="str">
        <f>IF(Tabela1[[#This Row],[Código]]="IBOV","^BVSP",IF(Tabela1[[#This Row],[Código]]="","",CONCATENATE(LEFT(Tabela1[[#This Row],[Código]],6),".SA")))</f>
        <v>CESP5.SA</v>
      </c>
      <c r="C46" s="3" t="s">
        <v>117</v>
      </c>
      <c r="D46" s="3" t="s">
        <v>1557</v>
      </c>
      <c r="E46" s="3" t="s">
        <v>1068</v>
      </c>
      <c r="F46" s="3" t="s">
        <v>1068</v>
      </c>
      <c r="G46" s="3" t="s">
        <v>1557</v>
      </c>
      <c r="H46" s="20">
        <v>41689</v>
      </c>
      <c r="J46" s="3">
        <f t="shared" si="7"/>
        <v>22.28</v>
      </c>
      <c r="K46" s="3">
        <f t="shared" si="7"/>
        <v>22.29</v>
      </c>
      <c r="L46" s="3">
        <f t="shared" si="7"/>
        <v>22.29</v>
      </c>
      <c r="M46" s="3">
        <f t="shared" si="7"/>
        <v>22.28</v>
      </c>
      <c r="P46" s="14" t="s">
        <v>86</v>
      </c>
      <c r="Q46" s="10" t="str">
        <f t="shared" si="8"/>
        <v xml:space="preserve">CESP        -PNA </v>
      </c>
      <c r="R46" s="46">
        <f t="shared" si="9"/>
        <v>41689</v>
      </c>
      <c r="S46" s="6">
        <f t="shared" si="10"/>
        <v>22.28</v>
      </c>
      <c r="T46" s="6">
        <f t="shared" si="11"/>
        <v>22.29</v>
      </c>
      <c r="U46" s="6">
        <f t="shared" si="12"/>
        <v>22.29</v>
      </c>
      <c r="V46" s="6">
        <f t="shared" si="13"/>
        <v>22.28</v>
      </c>
    </row>
    <row r="47" spans="1:22" x14ac:dyDescent="0.2">
      <c r="A47" s="33" t="str">
        <f>IF(Tabela1[[#This Row],[Código]]="IBOV","^BVSP",IF(Tabela1[[#This Row],[Código]]="","",CONCATENATE(LEFT(Tabela1[[#This Row],[Código]],6),".SA")))</f>
        <v>CESP6.SA</v>
      </c>
      <c r="C47" s="3" t="s">
        <v>118</v>
      </c>
      <c r="D47" s="3" t="s">
        <v>1725</v>
      </c>
      <c r="E47" s="3" t="s">
        <v>1848</v>
      </c>
      <c r="F47" s="3" t="s">
        <v>1910</v>
      </c>
      <c r="G47" s="3" t="s">
        <v>1725</v>
      </c>
      <c r="H47" s="20">
        <v>41689</v>
      </c>
      <c r="J47" s="3">
        <f t="shared" si="7"/>
        <v>20.76</v>
      </c>
      <c r="K47" s="3">
        <f t="shared" si="7"/>
        <v>22.17</v>
      </c>
      <c r="L47" s="3">
        <f t="shared" si="7"/>
        <v>22.31</v>
      </c>
      <c r="M47" s="3">
        <f t="shared" si="7"/>
        <v>20.76</v>
      </c>
      <c r="P47" s="14" t="s">
        <v>87</v>
      </c>
      <c r="Q47" s="10" t="str">
        <f t="shared" si="8"/>
        <v xml:space="preserve">CESP        -PNB </v>
      </c>
      <c r="R47" s="20">
        <f t="shared" si="9"/>
        <v>41689</v>
      </c>
      <c r="S47" s="5">
        <f t="shared" si="10"/>
        <v>20.76</v>
      </c>
      <c r="T47" s="5">
        <f t="shared" si="11"/>
        <v>22.17</v>
      </c>
      <c r="U47" s="5">
        <f t="shared" si="12"/>
        <v>22.31</v>
      </c>
      <c r="V47" s="5">
        <f t="shared" si="13"/>
        <v>20.76</v>
      </c>
    </row>
    <row r="48" spans="1:22" x14ac:dyDescent="0.2">
      <c r="A48" s="33" t="str">
        <f>IF(Tabela1[[#This Row],[Código]]="IBOV","^BVSP",IF(Tabela1[[#This Row],[Código]]="","",CONCATENATE(LEFT(Tabela1[[#This Row],[Código]],6),".SA")))</f>
        <v>CLSC4.SA</v>
      </c>
      <c r="C48" s="3" t="s">
        <v>119</v>
      </c>
      <c r="D48" s="3" t="s">
        <v>1726</v>
      </c>
      <c r="E48" s="3" t="s">
        <v>1196</v>
      </c>
      <c r="F48" s="3" t="s">
        <v>1196</v>
      </c>
      <c r="G48" s="3" t="s">
        <v>1726</v>
      </c>
      <c r="H48" s="20">
        <v>41689</v>
      </c>
      <c r="J48" s="3">
        <f t="shared" si="7"/>
        <v>15.62</v>
      </c>
      <c r="K48" s="3">
        <f t="shared" si="7"/>
        <v>15.9</v>
      </c>
      <c r="L48" s="3">
        <f t="shared" si="7"/>
        <v>15.9</v>
      </c>
      <c r="M48" s="3">
        <f t="shared" si="7"/>
        <v>15.62</v>
      </c>
      <c r="P48" s="14" t="s">
        <v>71</v>
      </c>
      <c r="Q48" s="10" t="str">
        <f t="shared" si="8"/>
        <v xml:space="preserve">CELESC      -PN  </v>
      </c>
      <c r="R48" s="20">
        <f t="shared" si="9"/>
        <v>41689</v>
      </c>
      <c r="S48" s="5">
        <f t="shared" si="10"/>
        <v>15.62</v>
      </c>
      <c r="T48" s="5">
        <f t="shared" si="11"/>
        <v>15.9</v>
      </c>
      <c r="U48" s="5">
        <f t="shared" si="12"/>
        <v>15.9</v>
      </c>
      <c r="V48" s="5">
        <f t="shared" si="13"/>
        <v>15.62</v>
      </c>
    </row>
    <row r="49" spans="1:22" x14ac:dyDescent="0.2">
      <c r="A49" s="33" t="str">
        <f>IF(Tabela1[[#This Row],[Código]]="IBOV","^BVSP",IF(Tabela1[[#This Row],[Código]]="","",CONCATENATE(LEFT(Tabela1[[#This Row],[Código]],6),".SA")))</f>
        <v>CMIG3.SA</v>
      </c>
      <c r="C49" s="3" t="s">
        <v>120</v>
      </c>
      <c r="D49" s="3" t="s">
        <v>1558</v>
      </c>
      <c r="E49" s="3" t="s">
        <v>1911</v>
      </c>
      <c r="F49" s="3" t="s">
        <v>1430</v>
      </c>
      <c r="G49" s="3" t="s">
        <v>1558</v>
      </c>
      <c r="H49" s="20">
        <v>41689</v>
      </c>
      <c r="J49" s="3">
        <f t="shared" si="7"/>
        <v>12.54</v>
      </c>
      <c r="K49" s="3">
        <f t="shared" si="7"/>
        <v>12.85</v>
      </c>
      <c r="L49" s="3">
        <f t="shared" si="7"/>
        <v>13.1</v>
      </c>
      <c r="M49" s="3">
        <f t="shared" si="7"/>
        <v>12.54</v>
      </c>
      <c r="P49" s="26" t="s">
        <v>31</v>
      </c>
      <c r="Q49" s="10" t="str">
        <f t="shared" si="8"/>
        <v xml:space="preserve">CEMIG       -ON  </v>
      </c>
      <c r="R49" s="20">
        <f t="shared" si="9"/>
        <v>41689</v>
      </c>
      <c r="S49" s="5">
        <f t="shared" si="10"/>
        <v>12.54</v>
      </c>
      <c r="T49" s="5">
        <f t="shared" si="11"/>
        <v>12.85</v>
      </c>
      <c r="U49" s="5">
        <f t="shared" si="12"/>
        <v>13.1</v>
      </c>
      <c r="V49" s="5">
        <f t="shared" si="13"/>
        <v>12.54</v>
      </c>
    </row>
    <row r="50" spans="1:22" x14ac:dyDescent="0.2">
      <c r="A50" s="33" t="str">
        <f>IF(Tabela1[[#This Row],[Código]]="IBOV","^BVSP",IF(Tabela1[[#This Row],[Código]]="","",CONCATENATE(LEFT(Tabela1[[#This Row],[Código]],6),".SA")))</f>
        <v>CMIG4.SA</v>
      </c>
      <c r="C50" s="3" t="s">
        <v>121</v>
      </c>
      <c r="D50" s="3" t="s">
        <v>1067</v>
      </c>
      <c r="E50" s="3" t="s">
        <v>1030</v>
      </c>
      <c r="F50" s="3" t="s">
        <v>1727</v>
      </c>
      <c r="G50" s="3" t="s">
        <v>1728</v>
      </c>
      <c r="H50" s="20">
        <v>41689</v>
      </c>
      <c r="J50" s="3">
        <f t="shared" si="7"/>
        <v>12.51</v>
      </c>
      <c r="K50" s="3">
        <f t="shared" si="7"/>
        <v>12.68</v>
      </c>
      <c r="L50" s="3">
        <f t="shared" si="7"/>
        <v>12.92</v>
      </c>
      <c r="M50" s="3">
        <f t="shared" si="7"/>
        <v>12.41</v>
      </c>
      <c r="P50" s="26" t="s">
        <v>30</v>
      </c>
      <c r="Q50" s="10" t="str">
        <f t="shared" si="8"/>
        <v xml:space="preserve">CEMIG       -PN  </v>
      </c>
      <c r="R50" s="46">
        <f t="shared" si="9"/>
        <v>41689</v>
      </c>
      <c r="S50" s="6">
        <f t="shared" si="10"/>
        <v>12.51</v>
      </c>
      <c r="T50" s="6">
        <f t="shared" si="11"/>
        <v>12.68</v>
      </c>
      <c r="U50" s="6">
        <f t="shared" si="12"/>
        <v>12.92</v>
      </c>
      <c r="V50" s="6">
        <f t="shared" si="13"/>
        <v>12.41</v>
      </c>
    </row>
    <row r="51" spans="1:22" x14ac:dyDescent="0.2">
      <c r="A51" s="33" t="str">
        <f>IF(Tabela1[[#This Row],[Código]]="IBOV","^BVSP",IF(Tabela1[[#This Row],[Código]]="","",CONCATENATE(LEFT(Tabela1[[#This Row],[Código]],6),".SA")))</f>
        <v>COCE3.SA</v>
      </c>
      <c r="C51" s="3" t="s">
        <v>122</v>
      </c>
      <c r="D51" s="3" t="s">
        <v>1729</v>
      </c>
      <c r="E51" s="3" t="s">
        <v>1912</v>
      </c>
      <c r="F51" s="3" t="s">
        <v>1912</v>
      </c>
      <c r="G51" s="3" t="s">
        <v>1729</v>
      </c>
      <c r="H51" s="20">
        <v>41689</v>
      </c>
      <c r="J51" s="3">
        <f t="shared" si="7"/>
        <v>48.5</v>
      </c>
      <c r="K51" s="3">
        <f t="shared" si="7"/>
        <v>48.65</v>
      </c>
      <c r="L51" s="3">
        <f t="shared" si="7"/>
        <v>48.65</v>
      </c>
      <c r="M51" s="3">
        <f t="shared" si="7"/>
        <v>48.5</v>
      </c>
      <c r="P51" s="14" t="s">
        <v>93</v>
      </c>
      <c r="Q51" s="10" t="str">
        <f t="shared" si="8"/>
        <v>COELCE      -ON</v>
      </c>
      <c r="R51" s="46">
        <f t="shared" si="9"/>
        <v>41689</v>
      </c>
      <c r="S51" s="6">
        <f t="shared" si="10"/>
        <v>48.5</v>
      </c>
      <c r="T51" s="6">
        <f t="shared" si="11"/>
        <v>48.65</v>
      </c>
      <c r="U51" s="6">
        <f t="shared" si="12"/>
        <v>48.65</v>
      </c>
      <c r="V51" s="6">
        <f t="shared" si="13"/>
        <v>48.5</v>
      </c>
    </row>
    <row r="52" spans="1:22" x14ac:dyDescent="0.2">
      <c r="A52" s="33" t="str">
        <f>IF(Tabela1[[#This Row],[Código]]="IBOV","^BVSP",IF(Tabela1[[#This Row],[Código]]="","",CONCATENATE(LEFT(Tabela1[[#This Row],[Código]],6),".SA")))</f>
        <v>COCE5.SA</v>
      </c>
      <c r="C52" s="3" t="s">
        <v>123</v>
      </c>
      <c r="D52" s="3" t="s">
        <v>1730</v>
      </c>
      <c r="E52" s="3" t="s">
        <v>1583</v>
      </c>
      <c r="F52" s="3" t="s">
        <v>1731</v>
      </c>
      <c r="G52" s="3" t="s">
        <v>1913</v>
      </c>
      <c r="H52" s="20">
        <v>41689</v>
      </c>
      <c r="J52" s="3">
        <f t="shared" si="7"/>
        <v>38.4</v>
      </c>
      <c r="K52" s="3">
        <f t="shared" si="7"/>
        <v>38.49</v>
      </c>
      <c r="L52" s="3">
        <f t="shared" si="7"/>
        <v>38.75</v>
      </c>
      <c r="M52" s="3">
        <f t="shared" si="7"/>
        <v>37.520000000000003</v>
      </c>
      <c r="P52" s="10" t="s">
        <v>81</v>
      </c>
      <c r="Q52" s="10" t="str">
        <f t="shared" si="8"/>
        <v>COELCE      -PNA</v>
      </c>
      <c r="R52" s="51">
        <f t="shared" si="9"/>
        <v>41689</v>
      </c>
      <c r="S52" s="5">
        <f t="shared" si="10"/>
        <v>38.4</v>
      </c>
      <c r="T52" s="5">
        <f t="shared" si="11"/>
        <v>38.49</v>
      </c>
      <c r="U52" s="5">
        <f t="shared" si="12"/>
        <v>38.75</v>
      </c>
      <c r="V52" s="5">
        <f t="shared" si="13"/>
        <v>37.520000000000003</v>
      </c>
    </row>
    <row r="53" spans="1:22" x14ac:dyDescent="0.2">
      <c r="A53" s="33" t="str">
        <f>IF(Tabela1[[#This Row],[Código]]="IBOV","^BVSP",IF(Tabela1[[#This Row],[Código]]="","",CONCATENATE(LEFT(Tabela1[[#This Row],[Código]],6),".SA")))</f>
        <v>CPFE3.SA</v>
      </c>
      <c r="C53" s="3" t="s">
        <v>124</v>
      </c>
      <c r="D53" s="3" t="s">
        <v>1250</v>
      </c>
      <c r="E53" s="3" t="s">
        <v>1914</v>
      </c>
      <c r="F53" s="3" t="s">
        <v>1573</v>
      </c>
      <c r="G53" s="3" t="s">
        <v>1250</v>
      </c>
      <c r="H53" s="20">
        <v>41689</v>
      </c>
      <c r="J53" s="3">
        <f t="shared" si="7"/>
        <v>15.28</v>
      </c>
      <c r="K53" s="3">
        <f t="shared" si="7"/>
        <v>16.18</v>
      </c>
      <c r="L53" s="3">
        <f t="shared" si="7"/>
        <v>16.350000000000001</v>
      </c>
      <c r="M53" s="3">
        <f t="shared" si="7"/>
        <v>15.28</v>
      </c>
      <c r="P53" s="26" t="s">
        <v>32</v>
      </c>
      <c r="Q53" s="10" t="str">
        <f t="shared" si="8"/>
        <v xml:space="preserve">CPFL ENERGIA-ON  </v>
      </c>
      <c r="R53" s="51">
        <f t="shared" si="9"/>
        <v>41689</v>
      </c>
      <c r="S53" s="5">
        <f t="shared" si="10"/>
        <v>15.28</v>
      </c>
      <c r="T53" s="5">
        <f t="shared" si="11"/>
        <v>16.18</v>
      </c>
      <c r="U53" s="5">
        <f t="shared" si="12"/>
        <v>16.350000000000001</v>
      </c>
      <c r="V53" s="5">
        <f t="shared" si="13"/>
        <v>15.28</v>
      </c>
    </row>
    <row r="54" spans="1:22" x14ac:dyDescent="0.2">
      <c r="A54" s="33" t="str">
        <f>IF(Tabela1[[#This Row],[Código]]="IBOV","^BVSP",IF(Tabela1[[#This Row],[Código]]="","",CONCATENATE(LEFT(Tabela1[[#This Row],[Código]],6),".SA")))</f>
        <v>CPLE3.SA</v>
      </c>
      <c r="C54" s="3" t="s">
        <v>125</v>
      </c>
      <c r="D54" s="3" t="s">
        <v>1048</v>
      </c>
      <c r="E54" s="3" t="s">
        <v>1915</v>
      </c>
      <c r="F54" s="3" t="s">
        <v>1038</v>
      </c>
      <c r="G54" s="3" t="s">
        <v>1048</v>
      </c>
      <c r="H54" s="20">
        <v>41689</v>
      </c>
      <c r="J54" s="3">
        <f t="shared" si="7"/>
        <v>17.05</v>
      </c>
      <c r="K54" s="3">
        <f t="shared" si="7"/>
        <v>17.54</v>
      </c>
      <c r="L54" s="3">
        <f t="shared" si="7"/>
        <v>17.559999999999999</v>
      </c>
      <c r="M54" s="3">
        <f t="shared" si="7"/>
        <v>17.05</v>
      </c>
      <c r="P54" s="26" t="s">
        <v>34</v>
      </c>
      <c r="Q54" s="10" t="str">
        <f t="shared" si="8"/>
        <v xml:space="preserve">COPEL       -ON  </v>
      </c>
      <c r="R54" s="51">
        <f t="shared" si="9"/>
        <v>41689</v>
      </c>
      <c r="S54" s="5">
        <f t="shared" si="10"/>
        <v>17.05</v>
      </c>
      <c r="T54" s="5">
        <f t="shared" si="11"/>
        <v>17.54</v>
      </c>
      <c r="U54" s="5">
        <f t="shared" si="12"/>
        <v>17.559999999999999</v>
      </c>
      <c r="V54" s="5">
        <f t="shared" si="13"/>
        <v>17.05</v>
      </c>
    </row>
    <row r="55" spans="1:22" x14ac:dyDescent="0.2">
      <c r="A55" s="33" t="str">
        <f>IF(Tabela1[[#This Row],[Código]]="IBOV","^BVSP",IF(Tabela1[[#This Row],[Código]]="","",CONCATENATE(LEFT(Tabela1[[#This Row],[Código]],6),".SA")))</f>
        <v>CPLE5.SA</v>
      </c>
      <c r="C55" s="3" t="s">
        <v>126</v>
      </c>
      <c r="D55" s="3" t="s">
        <v>446</v>
      </c>
      <c r="E55" s="3" t="s">
        <v>127</v>
      </c>
      <c r="F55" s="3" t="s">
        <v>127</v>
      </c>
      <c r="G55" s="3" t="s">
        <v>127</v>
      </c>
      <c r="H55" s="20">
        <v>41689</v>
      </c>
      <c r="J55" s="3" t="e">
        <f t="shared" si="7"/>
        <v>#VALUE!</v>
      </c>
      <c r="K55" s="3">
        <f t="shared" si="7"/>
        <v>30</v>
      </c>
      <c r="L55" s="3">
        <f t="shared" si="7"/>
        <v>30</v>
      </c>
      <c r="M55" s="3">
        <f t="shared" si="7"/>
        <v>30</v>
      </c>
      <c r="P55" s="14" t="s">
        <v>99</v>
      </c>
      <c r="Q55" s="10" t="str">
        <f t="shared" si="8"/>
        <v xml:space="preserve">COPEL       -PNA </v>
      </c>
      <c r="R55" s="20">
        <f t="shared" si="9"/>
        <v>41689</v>
      </c>
      <c r="S55" s="5" t="e">
        <f t="shared" si="10"/>
        <v>#VALUE!</v>
      </c>
      <c r="T55" s="5">
        <f t="shared" si="11"/>
        <v>30</v>
      </c>
      <c r="U55" s="5">
        <f t="shared" si="12"/>
        <v>30</v>
      </c>
      <c r="V55" s="5">
        <f t="shared" si="13"/>
        <v>30</v>
      </c>
    </row>
    <row r="56" spans="1:22" x14ac:dyDescent="0.2">
      <c r="A56" s="33" t="str">
        <f>IF(Tabela1[[#This Row],[Código]]="IBOV","^BVSP",IF(Tabela1[[#This Row],[Código]]="","",CONCATENATE(LEFT(Tabela1[[#This Row],[Código]],6),".SA")))</f>
        <v>CPLE6.SA</v>
      </c>
      <c r="C56" s="3" t="s">
        <v>128</v>
      </c>
      <c r="D56" s="3" t="s">
        <v>1733</v>
      </c>
      <c r="E56" s="3" t="s">
        <v>1916</v>
      </c>
      <c r="F56" s="3" t="s">
        <v>1277</v>
      </c>
      <c r="G56" s="3" t="s">
        <v>1733</v>
      </c>
      <c r="H56" s="20">
        <v>41689</v>
      </c>
      <c r="J56" s="3">
        <f t="shared" si="7"/>
        <v>23.56</v>
      </c>
      <c r="K56" s="3">
        <f t="shared" si="7"/>
        <v>24.14</v>
      </c>
      <c r="L56" s="3">
        <f t="shared" si="7"/>
        <v>24.35</v>
      </c>
      <c r="M56" s="3">
        <f t="shared" si="7"/>
        <v>23.56</v>
      </c>
      <c r="P56" s="14" t="s">
        <v>100</v>
      </c>
      <c r="Q56" s="10" t="str">
        <f t="shared" si="8"/>
        <v xml:space="preserve">COPEL       -PNB </v>
      </c>
      <c r="R56" s="51">
        <f t="shared" si="9"/>
        <v>41689</v>
      </c>
      <c r="S56" s="5">
        <f t="shared" si="10"/>
        <v>23.56</v>
      </c>
      <c r="T56" s="5">
        <f t="shared" si="11"/>
        <v>24.14</v>
      </c>
      <c r="U56" s="5">
        <f t="shared" si="12"/>
        <v>24.35</v>
      </c>
      <c r="V56" s="5">
        <f t="shared" si="13"/>
        <v>23.56</v>
      </c>
    </row>
    <row r="57" spans="1:22" x14ac:dyDescent="0.2">
      <c r="A57" s="33" t="str">
        <f>IF(Tabela1[[#This Row],[Código]]="IBOV","^BVSP",IF(Tabela1[[#This Row],[Código]]="","",CONCATENATE(LEFT(Tabela1[[#This Row],[Código]],6),".SA")))</f>
        <v>CSMG3.SA</v>
      </c>
      <c r="C57" s="3" t="s">
        <v>182</v>
      </c>
      <c r="D57" s="3" t="s">
        <v>127</v>
      </c>
      <c r="E57" s="3" t="s">
        <v>1917</v>
      </c>
      <c r="F57" s="3" t="s">
        <v>1291</v>
      </c>
      <c r="G57" s="3" t="s">
        <v>127</v>
      </c>
      <c r="H57" s="20">
        <v>41689</v>
      </c>
      <c r="J57" s="3">
        <f t="shared" si="7"/>
        <v>30</v>
      </c>
      <c r="K57" s="3">
        <f t="shared" si="7"/>
        <v>31.43</v>
      </c>
      <c r="L57" s="3">
        <f t="shared" si="7"/>
        <v>31.75</v>
      </c>
      <c r="M57" s="3">
        <f t="shared" si="7"/>
        <v>30</v>
      </c>
      <c r="P57" s="14" t="s">
        <v>181</v>
      </c>
      <c r="Q57" s="10" t="str">
        <f t="shared" si="8"/>
        <v xml:space="preserve">COPASA      -ON  </v>
      </c>
      <c r="R57" s="20">
        <f t="shared" si="9"/>
        <v>41689</v>
      </c>
      <c r="S57" s="5">
        <f t="shared" si="10"/>
        <v>30</v>
      </c>
      <c r="T57" s="5">
        <f t="shared" si="11"/>
        <v>31.43</v>
      </c>
      <c r="U57" s="5">
        <f t="shared" si="12"/>
        <v>31.75</v>
      </c>
      <c r="V57" s="5">
        <f t="shared" si="13"/>
        <v>30</v>
      </c>
    </row>
    <row r="58" spans="1:22" x14ac:dyDescent="0.2">
      <c r="A58" s="33" t="str">
        <f>IF(Tabela1[[#This Row],[Código]]="IBOV","^BVSP",IF(Tabela1[[#This Row],[Código]]="","",CONCATENATE(LEFT(Tabela1[[#This Row],[Código]],6),".SA")))</f>
        <v>CSRN3.SA</v>
      </c>
      <c r="C58" s="3" t="s">
        <v>662</v>
      </c>
      <c r="D58" s="3" t="s">
        <v>342</v>
      </c>
      <c r="E58" s="3" t="s">
        <v>342</v>
      </c>
      <c r="F58" s="3" t="s">
        <v>342</v>
      </c>
      <c r="G58" s="3" t="s">
        <v>342</v>
      </c>
      <c r="H58" s="20">
        <v>41689</v>
      </c>
      <c r="J58" s="3">
        <f t="shared" si="7"/>
        <v>9.5</v>
      </c>
      <c r="K58" s="3">
        <f t="shared" si="7"/>
        <v>9.5</v>
      </c>
      <c r="L58" s="3">
        <f t="shared" si="7"/>
        <v>9.5</v>
      </c>
      <c r="M58" s="3">
        <f t="shared" si="7"/>
        <v>9.5</v>
      </c>
      <c r="P58" s="14" t="s">
        <v>95</v>
      </c>
      <c r="Q58" s="10" t="str">
        <f t="shared" si="8"/>
        <v>COSERN      -ON</v>
      </c>
      <c r="R58" s="51">
        <f t="shared" si="9"/>
        <v>41689</v>
      </c>
      <c r="S58" s="5">
        <f t="shared" si="10"/>
        <v>9.5</v>
      </c>
      <c r="T58" s="5">
        <f t="shared" si="11"/>
        <v>9.5</v>
      </c>
      <c r="U58" s="5">
        <f t="shared" si="12"/>
        <v>9.5</v>
      </c>
      <c r="V58" s="5">
        <f t="shared" si="13"/>
        <v>9.5</v>
      </c>
    </row>
    <row r="59" spans="1:22" x14ac:dyDescent="0.2">
      <c r="A59" s="33" t="str">
        <f>IF(Tabela1[[#This Row],[Código]]="IBOV","^BVSP",IF(Tabela1[[#This Row],[Código]]="","",CONCATENATE(LEFT(Tabela1[[#This Row],[Código]],6),".SA")))</f>
        <v>CSRN5.SA</v>
      </c>
      <c r="C59" s="3" t="s">
        <v>663</v>
      </c>
      <c r="D59" s="3" t="s">
        <v>129</v>
      </c>
      <c r="E59" s="3" t="s">
        <v>129</v>
      </c>
      <c r="F59" s="3" t="s">
        <v>129</v>
      </c>
      <c r="G59" s="3" t="s">
        <v>129</v>
      </c>
      <c r="H59" s="20">
        <v>41689</v>
      </c>
      <c r="J59" s="3">
        <f t="shared" si="7"/>
        <v>10.119999999999999</v>
      </c>
      <c r="K59" s="3">
        <f t="shared" si="7"/>
        <v>10.119999999999999</v>
      </c>
      <c r="L59" s="3">
        <f t="shared" si="7"/>
        <v>10.119999999999999</v>
      </c>
      <c r="M59" s="3">
        <f t="shared" si="7"/>
        <v>10.119999999999999</v>
      </c>
      <c r="P59" s="14" t="s">
        <v>96</v>
      </c>
      <c r="Q59" s="10" t="str">
        <f t="shared" si="8"/>
        <v>COSERN      -PNA</v>
      </c>
      <c r="R59" s="51">
        <f t="shared" si="9"/>
        <v>41689</v>
      </c>
      <c r="S59" s="5">
        <f t="shared" si="10"/>
        <v>10.119999999999999</v>
      </c>
      <c r="T59" s="5">
        <f t="shared" si="11"/>
        <v>10.119999999999999</v>
      </c>
      <c r="U59" s="5">
        <f t="shared" si="12"/>
        <v>10.119999999999999</v>
      </c>
      <c r="V59" s="5">
        <f t="shared" si="13"/>
        <v>10.119999999999999</v>
      </c>
    </row>
    <row r="60" spans="1:22" x14ac:dyDescent="0.2">
      <c r="A60" s="33" t="str">
        <f>IF(Tabela1[[#This Row],[Código]]="IBOV","^BVSP",IF(Tabela1[[#This Row],[Código]]="","",CONCATENATE(LEFT(Tabela1[[#This Row],[Código]],6),".SA")))</f>
        <v>CSRN6.SA</v>
      </c>
      <c r="C60" s="3" t="s">
        <v>664</v>
      </c>
      <c r="D60" s="3" t="s">
        <v>106</v>
      </c>
      <c r="E60" s="3" t="s">
        <v>106</v>
      </c>
      <c r="F60" s="3" t="s">
        <v>106</v>
      </c>
      <c r="G60" s="3" t="s">
        <v>106</v>
      </c>
      <c r="H60" s="20">
        <v>41689</v>
      </c>
      <c r="J60" s="3">
        <f t="shared" si="7"/>
        <v>9</v>
      </c>
      <c r="K60" s="3">
        <f t="shared" si="7"/>
        <v>9</v>
      </c>
      <c r="L60" s="3">
        <f t="shared" si="7"/>
        <v>9</v>
      </c>
      <c r="M60" s="3">
        <f t="shared" si="7"/>
        <v>9</v>
      </c>
      <c r="P60" s="14" t="s">
        <v>68</v>
      </c>
      <c r="Q60" s="10" t="str">
        <f t="shared" si="8"/>
        <v>COSERN      -PNB</v>
      </c>
      <c r="R60" s="51">
        <f t="shared" si="9"/>
        <v>41689</v>
      </c>
      <c r="S60" s="5">
        <f t="shared" si="10"/>
        <v>9</v>
      </c>
      <c r="T60" s="5">
        <f t="shared" si="11"/>
        <v>9</v>
      </c>
      <c r="U60" s="5">
        <f t="shared" si="12"/>
        <v>9</v>
      </c>
      <c r="V60" s="5">
        <f t="shared" si="13"/>
        <v>9</v>
      </c>
    </row>
    <row r="61" spans="1:22" x14ac:dyDescent="0.2">
      <c r="A61" s="33" t="str">
        <f>IF(Tabela1[[#This Row],[Código]]="IBOV","^BVSP",IF(Tabela1[[#This Row],[Código]]="","",CONCATENATE(LEFT(Tabela1[[#This Row],[Código]],6),".SA")))</f>
        <v>DAYC4.SA</v>
      </c>
      <c r="C61" s="3" t="s">
        <v>130</v>
      </c>
      <c r="D61" s="3" t="s">
        <v>1735</v>
      </c>
      <c r="E61" s="3" t="s">
        <v>1578</v>
      </c>
      <c r="F61" s="3" t="s">
        <v>1776</v>
      </c>
      <c r="G61" s="3" t="s">
        <v>1276</v>
      </c>
      <c r="H61" s="20">
        <v>41689</v>
      </c>
      <c r="J61" s="3">
        <f t="shared" si="7"/>
        <v>8.07</v>
      </c>
      <c r="K61" s="3">
        <f t="shared" si="7"/>
        <v>8.06</v>
      </c>
      <c r="L61" s="3">
        <f t="shared" si="7"/>
        <v>8.09</v>
      </c>
      <c r="M61" s="3">
        <f t="shared" si="7"/>
        <v>7.87</v>
      </c>
      <c r="P61" s="10" t="s">
        <v>15</v>
      </c>
      <c r="Q61" s="10" t="str">
        <f t="shared" si="8"/>
        <v xml:space="preserve">DAYCOVAL    -PN  </v>
      </c>
      <c r="R61" s="51">
        <f t="shared" si="9"/>
        <v>41689</v>
      </c>
      <c r="S61" s="5">
        <f t="shared" si="10"/>
        <v>8.07</v>
      </c>
      <c r="T61" s="5">
        <f t="shared" si="11"/>
        <v>8.06</v>
      </c>
      <c r="U61" s="5">
        <f t="shared" si="12"/>
        <v>8.09</v>
      </c>
      <c r="V61" s="5">
        <f t="shared" si="13"/>
        <v>7.87</v>
      </c>
    </row>
    <row r="62" spans="1:22" x14ac:dyDescent="0.2">
      <c r="A62" s="33" t="str">
        <f>IF(Tabela1[[#This Row],[Código]]="IBOV","^BVSP",IF(Tabela1[[#This Row],[Código]]="","",CONCATENATE(LEFT(Tabela1[[#This Row],[Código]],6),".SA")))</f>
        <v>EEEL3.SA</v>
      </c>
      <c r="C62" s="3" t="s">
        <v>131</v>
      </c>
      <c r="D62" s="3" t="s">
        <v>1005</v>
      </c>
      <c r="E62" s="3" t="s">
        <v>1559</v>
      </c>
      <c r="F62" s="3" t="s">
        <v>1559</v>
      </c>
      <c r="G62" s="3" t="s">
        <v>1005</v>
      </c>
      <c r="H62" s="20">
        <v>41689</v>
      </c>
      <c r="J62" s="3">
        <f t="shared" si="7"/>
        <v>1.41</v>
      </c>
      <c r="K62" s="3">
        <f t="shared" si="7"/>
        <v>1.44</v>
      </c>
      <c r="L62" s="3">
        <f t="shared" si="7"/>
        <v>1.44</v>
      </c>
      <c r="M62" s="3">
        <f t="shared" si="7"/>
        <v>1.41</v>
      </c>
      <c r="P62" s="14" t="s">
        <v>97</v>
      </c>
      <c r="Q62" s="10" t="str">
        <f t="shared" si="8"/>
        <v xml:space="preserve">CEEE-GT     -ON  </v>
      </c>
      <c r="R62" s="51">
        <f t="shared" si="9"/>
        <v>41689</v>
      </c>
      <c r="S62" s="5">
        <f t="shared" si="10"/>
        <v>1.41</v>
      </c>
      <c r="T62" s="5">
        <f t="shared" si="11"/>
        <v>1.44</v>
      </c>
      <c r="U62" s="5">
        <f t="shared" si="12"/>
        <v>1.44</v>
      </c>
      <c r="V62" s="5">
        <f t="shared" si="13"/>
        <v>1.41</v>
      </c>
    </row>
    <row r="63" spans="1:22" x14ac:dyDescent="0.2">
      <c r="A63" s="33" t="str">
        <f>IF(Tabela1[[#This Row],[Código]]="IBOV","^BVSP",IF(Tabela1[[#This Row],[Código]]="","",CONCATENATE(LEFT(Tabela1[[#This Row],[Código]],6),".SA")))</f>
        <v>EEEL4.SA</v>
      </c>
      <c r="C63" s="3" t="s">
        <v>132</v>
      </c>
      <c r="D63" s="3" t="s">
        <v>793</v>
      </c>
      <c r="E63" s="3" t="s">
        <v>793</v>
      </c>
      <c r="F63" s="3" t="s">
        <v>793</v>
      </c>
      <c r="G63" s="3" t="s">
        <v>793</v>
      </c>
      <c r="H63" s="20">
        <v>41689</v>
      </c>
      <c r="J63" s="3">
        <f t="shared" si="7"/>
        <v>1.79</v>
      </c>
      <c r="K63" s="3">
        <f t="shared" si="7"/>
        <v>1.79</v>
      </c>
      <c r="L63" s="3">
        <f t="shared" si="7"/>
        <v>1.79</v>
      </c>
      <c r="M63" s="3">
        <f t="shared" si="7"/>
        <v>1.79</v>
      </c>
      <c r="P63" s="14" t="s">
        <v>98</v>
      </c>
      <c r="Q63" s="10" t="str">
        <f t="shared" si="8"/>
        <v xml:space="preserve">CEEE-GT     -PN  </v>
      </c>
      <c r="R63" s="51">
        <f t="shared" si="9"/>
        <v>41689</v>
      </c>
      <c r="S63" s="5">
        <f t="shared" si="10"/>
        <v>1.79</v>
      </c>
      <c r="T63" s="5">
        <f t="shared" si="11"/>
        <v>1.79</v>
      </c>
      <c r="U63" s="5">
        <f t="shared" si="12"/>
        <v>1.79</v>
      </c>
      <c r="V63" s="5">
        <f t="shared" si="13"/>
        <v>1.79</v>
      </c>
    </row>
    <row r="64" spans="1:22" x14ac:dyDescent="0.2">
      <c r="A64" s="33" t="str">
        <f>IF(Tabela1[[#This Row],[Código]]="IBOV","^BVSP",IF(Tabela1[[#This Row],[Código]]="","",CONCATENATE(LEFT(Tabela1[[#This Row],[Código]],6),".SA")))</f>
        <v>ELET3.SA</v>
      </c>
      <c r="C64" s="3" t="s">
        <v>133</v>
      </c>
      <c r="D64" s="3" t="s">
        <v>1560</v>
      </c>
      <c r="E64" s="3" t="s">
        <v>1896</v>
      </c>
      <c r="F64" s="3" t="s">
        <v>1918</v>
      </c>
      <c r="G64" s="3" t="s">
        <v>1285</v>
      </c>
      <c r="H64" s="20">
        <v>41689</v>
      </c>
      <c r="J64" s="3">
        <f t="shared" si="7"/>
        <v>4.57</v>
      </c>
      <c r="K64" s="3">
        <f t="shared" si="7"/>
        <v>4.74</v>
      </c>
      <c r="L64" s="3">
        <f t="shared" si="7"/>
        <v>4.7699999999999996</v>
      </c>
      <c r="M64" s="3">
        <f t="shared" si="7"/>
        <v>4.55</v>
      </c>
      <c r="P64" s="15" t="s">
        <v>2</v>
      </c>
      <c r="Q64" s="10" t="str">
        <f t="shared" si="8"/>
        <v xml:space="preserve">ELETROBRAS  -ON  </v>
      </c>
      <c r="R64" s="51">
        <f t="shared" si="9"/>
        <v>41689</v>
      </c>
      <c r="S64" s="5">
        <f t="shared" si="10"/>
        <v>4.57</v>
      </c>
      <c r="T64" s="5">
        <f t="shared" si="11"/>
        <v>4.74</v>
      </c>
      <c r="U64" s="5">
        <f t="shared" si="12"/>
        <v>4.7699999999999996</v>
      </c>
      <c r="V64" s="5">
        <f t="shared" si="13"/>
        <v>4.55</v>
      </c>
    </row>
    <row r="65" spans="1:22" x14ac:dyDescent="0.2">
      <c r="A65" s="33" t="str">
        <f>IF(Tabela1[[#This Row],[Código]]="IBOV","^BVSP",IF(Tabela1[[#This Row],[Código]]="","",CONCATENATE(LEFT(Tabela1[[#This Row],[Código]],6),".SA")))</f>
        <v>ELET6.SA</v>
      </c>
      <c r="C65" s="3" t="s">
        <v>134</v>
      </c>
      <c r="D65" s="3" t="s">
        <v>1562</v>
      </c>
      <c r="E65" s="3" t="s">
        <v>1200</v>
      </c>
      <c r="F65" s="3" t="s">
        <v>1261</v>
      </c>
      <c r="G65" s="3" t="s">
        <v>1736</v>
      </c>
      <c r="H65" s="20">
        <v>41689</v>
      </c>
      <c r="J65" s="3">
        <f t="shared" si="7"/>
        <v>8.5299999999999994</v>
      </c>
      <c r="K65" s="3">
        <f t="shared" si="7"/>
        <v>8.74</v>
      </c>
      <c r="L65" s="3">
        <f t="shared" si="7"/>
        <v>8.75</v>
      </c>
      <c r="M65" s="3">
        <f t="shared" si="7"/>
        <v>8.4499999999999993</v>
      </c>
      <c r="P65" s="26" t="s">
        <v>27</v>
      </c>
      <c r="Q65" s="10" t="str">
        <f t="shared" si="8"/>
        <v xml:space="preserve">ELETROBRAS  -PNB </v>
      </c>
      <c r="R65" s="51">
        <f t="shared" si="9"/>
        <v>41689</v>
      </c>
      <c r="S65" s="5">
        <f t="shared" si="10"/>
        <v>8.5299999999999994</v>
      </c>
      <c r="T65" s="5">
        <f t="shared" si="11"/>
        <v>8.74</v>
      </c>
      <c r="U65" s="5">
        <f t="shared" si="12"/>
        <v>8.75</v>
      </c>
      <c r="V65" s="5">
        <f t="shared" si="13"/>
        <v>8.4499999999999993</v>
      </c>
    </row>
    <row r="66" spans="1:22" x14ac:dyDescent="0.2">
      <c r="A66" s="33" t="str">
        <f>IF(Tabela1[[#This Row],[Código]]="IBOV","^BVSP",IF(Tabela1[[#This Row],[Código]]="","",CONCATENATE(LEFT(Tabela1[[#This Row],[Código]],6),".SA")))</f>
        <v>ELPL3.SA</v>
      </c>
      <c r="C66" s="3" t="s">
        <v>168</v>
      </c>
      <c r="D66" s="3" t="s">
        <v>740</v>
      </c>
      <c r="E66" s="3" t="s">
        <v>740</v>
      </c>
      <c r="F66" s="3" t="s">
        <v>740</v>
      </c>
      <c r="G66" s="3" t="s">
        <v>740</v>
      </c>
      <c r="H66" s="20">
        <v>41689</v>
      </c>
      <c r="J66" s="3">
        <f t="shared" si="7"/>
        <v>10.3</v>
      </c>
      <c r="K66" s="3">
        <f t="shared" si="7"/>
        <v>10.3</v>
      </c>
      <c r="L66" s="3">
        <f t="shared" si="7"/>
        <v>10.3</v>
      </c>
      <c r="M66" s="3">
        <f t="shared" si="7"/>
        <v>10.3</v>
      </c>
      <c r="P66" s="14" t="s">
        <v>167</v>
      </c>
      <c r="Q66" s="10" t="str">
        <f t="shared" si="8"/>
        <v xml:space="preserve">ELETROPAULO -ON  </v>
      </c>
      <c r="R66" s="51">
        <f t="shared" si="9"/>
        <v>41689</v>
      </c>
      <c r="S66" s="5">
        <f t="shared" si="10"/>
        <v>10.3</v>
      </c>
      <c r="T66" s="5">
        <f t="shared" si="11"/>
        <v>10.3</v>
      </c>
      <c r="U66" s="5">
        <f t="shared" si="12"/>
        <v>10.3</v>
      </c>
      <c r="V66" s="5">
        <f t="shared" si="13"/>
        <v>10.3</v>
      </c>
    </row>
    <row r="67" spans="1:22" x14ac:dyDescent="0.2">
      <c r="A67" s="33" t="str">
        <f>IF(Tabela1[[#This Row],[Código]]="IBOV","^BVSP",IF(Tabela1[[#This Row],[Código]]="","",CONCATENATE(LEFT(Tabela1[[#This Row],[Código]],6),".SA")))</f>
        <v>ELPL4.SA</v>
      </c>
      <c r="C67" s="3" t="s">
        <v>135</v>
      </c>
      <c r="D67" s="3" t="s">
        <v>1276</v>
      </c>
      <c r="E67" s="3" t="s">
        <v>1776</v>
      </c>
      <c r="F67" s="3" t="s">
        <v>1230</v>
      </c>
      <c r="G67" s="3" t="s">
        <v>1205</v>
      </c>
      <c r="H67" s="20">
        <v>41689</v>
      </c>
      <c r="J67" s="3">
        <f t="shared" si="7"/>
        <v>7.87</v>
      </c>
      <c r="K67" s="3">
        <f t="shared" si="7"/>
        <v>8.09</v>
      </c>
      <c r="L67" s="3">
        <f t="shared" si="7"/>
        <v>8.1999999999999993</v>
      </c>
      <c r="M67" s="3">
        <f t="shared" si="7"/>
        <v>7.78</v>
      </c>
      <c r="P67" s="43" t="s">
        <v>1</v>
      </c>
      <c r="Q67" s="10" t="str">
        <f t="shared" si="8"/>
        <v xml:space="preserve">ELETROPAULO -PN  </v>
      </c>
      <c r="R67" s="51">
        <f t="shared" si="9"/>
        <v>41689</v>
      </c>
      <c r="S67" s="5">
        <f t="shared" si="10"/>
        <v>7.87</v>
      </c>
      <c r="T67" s="5">
        <f t="shared" si="11"/>
        <v>8.09</v>
      </c>
      <c r="U67" s="5">
        <f t="shared" si="12"/>
        <v>8.1999999999999993</v>
      </c>
      <c r="V67" s="5">
        <f t="shared" si="13"/>
        <v>7.78</v>
      </c>
    </row>
    <row r="68" spans="1:22" x14ac:dyDescent="0.2">
      <c r="A68" s="33" t="str">
        <f>IF(Tabela1[[#This Row],[Código]]="IBOV","^BVSP",IF(Tabela1[[#This Row],[Código]]="","",CONCATENATE(LEFT(Tabela1[[#This Row],[Código]],6),".SA")))</f>
        <v>EMAE4.SA</v>
      </c>
      <c r="C68" s="3" t="s">
        <v>170</v>
      </c>
      <c r="D68" s="3" t="s">
        <v>772</v>
      </c>
      <c r="E68" s="3" t="s">
        <v>772</v>
      </c>
      <c r="F68" s="3" t="s">
        <v>772</v>
      </c>
      <c r="G68" s="3" t="s">
        <v>773</v>
      </c>
      <c r="H68" s="20">
        <v>41689</v>
      </c>
      <c r="J68" s="3">
        <f t="shared" si="7"/>
        <v>5.5</v>
      </c>
      <c r="K68" s="3">
        <f t="shared" si="7"/>
        <v>5.5</v>
      </c>
      <c r="L68" s="3">
        <f t="shared" si="7"/>
        <v>5.5</v>
      </c>
      <c r="M68" s="3">
        <f t="shared" si="7"/>
        <v>5.04</v>
      </c>
      <c r="P68" s="14" t="s">
        <v>169</v>
      </c>
      <c r="Q68" s="10" t="str">
        <f t="shared" si="8"/>
        <v>EMAE        -PN</v>
      </c>
      <c r="R68" s="46">
        <f t="shared" si="9"/>
        <v>41689</v>
      </c>
      <c r="S68" s="6">
        <f t="shared" si="10"/>
        <v>5.5</v>
      </c>
      <c r="T68" s="6">
        <f t="shared" si="11"/>
        <v>5.5</v>
      </c>
      <c r="U68" s="6">
        <f t="shared" si="12"/>
        <v>5.5</v>
      </c>
      <c r="V68" s="6">
        <f t="shared" si="13"/>
        <v>5.04</v>
      </c>
    </row>
    <row r="69" spans="1:22" x14ac:dyDescent="0.2">
      <c r="A69" s="33" t="str">
        <f>IF(Tabela1[[#This Row],[Código]]="IBOV","^BVSP",IF(Tabela1[[#This Row],[Código]]="","",CONCATENATE(LEFT(Tabela1[[#This Row],[Código]],6),".SA")))</f>
        <v>ENBR3.SA</v>
      </c>
      <c r="C69" s="3" t="s">
        <v>137</v>
      </c>
      <c r="D69" s="3" t="s">
        <v>1373</v>
      </c>
      <c r="E69" s="3" t="s">
        <v>1919</v>
      </c>
      <c r="F69" s="3" t="s">
        <v>1593</v>
      </c>
      <c r="G69" s="3" t="s">
        <v>1373</v>
      </c>
      <c r="H69" s="20">
        <v>41689</v>
      </c>
      <c r="J69" s="3">
        <f t="shared" si="7"/>
        <v>8.3800000000000008</v>
      </c>
      <c r="K69" s="3">
        <f t="shared" si="7"/>
        <v>8.67</v>
      </c>
      <c r="L69" s="3">
        <f t="shared" si="7"/>
        <v>8.84</v>
      </c>
      <c r="M69" s="3">
        <f t="shared" si="7"/>
        <v>8.3800000000000008</v>
      </c>
      <c r="P69" s="14" t="s">
        <v>28</v>
      </c>
      <c r="Q69" s="10" t="str">
        <f t="shared" si="8"/>
        <v xml:space="preserve">ENERGIAS BR -ON  </v>
      </c>
      <c r="R69" s="51">
        <f t="shared" si="9"/>
        <v>41689</v>
      </c>
      <c r="S69" s="5">
        <f t="shared" si="10"/>
        <v>8.3800000000000008</v>
      </c>
      <c r="T69" s="5">
        <f t="shared" si="11"/>
        <v>8.67</v>
      </c>
      <c r="U69" s="5">
        <f t="shared" si="12"/>
        <v>8.84</v>
      </c>
      <c r="V69" s="5">
        <f t="shared" si="13"/>
        <v>8.3800000000000008</v>
      </c>
    </row>
    <row r="70" spans="1:22" x14ac:dyDescent="0.2">
      <c r="A70" s="33" t="str">
        <f>IF(Tabela1[[#This Row],[Código]]="IBOV","^BVSP",IF(Tabela1[[#This Row],[Código]]="","",CONCATENATE(LEFT(Tabela1[[#This Row],[Código]],6),".SA")))</f>
        <v>ENGI11.SA</v>
      </c>
      <c r="C70" s="3" t="s">
        <v>138</v>
      </c>
      <c r="D70" s="3" t="s">
        <v>960</v>
      </c>
      <c r="E70" s="3" t="s">
        <v>960</v>
      </c>
      <c r="F70" s="3" t="s">
        <v>960</v>
      </c>
      <c r="G70" s="3" t="s">
        <v>960</v>
      </c>
      <c r="H70" s="20">
        <v>41689</v>
      </c>
      <c r="J70" s="3">
        <f t="shared" si="7"/>
        <v>12</v>
      </c>
      <c r="K70" s="3">
        <f t="shared" si="7"/>
        <v>12</v>
      </c>
      <c r="L70" s="3">
        <f t="shared" si="7"/>
        <v>12</v>
      </c>
      <c r="M70" s="3">
        <f t="shared" si="7"/>
        <v>12</v>
      </c>
      <c r="P70" s="14" t="s">
        <v>85</v>
      </c>
      <c r="Q70" s="10" t="str">
        <f t="shared" si="8"/>
        <v>ENERGISA    -UNT</v>
      </c>
      <c r="R70" s="51">
        <f t="shared" si="9"/>
        <v>41689</v>
      </c>
      <c r="S70" s="5">
        <f t="shared" si="10"/>
        <v>12</v>
      </c>
      <c r="T70" s="5">
        <f t="shared" si="11"/>
        <v>12</v>
      </c>
      <c r="U70" s="5">
        <f t="shared" si="12"/>
        <v>12</v>
      </c>
      <c r="V70" s="5">
        <f t="shared" si="13"/>
        <v>12</v>
      </c>
    </row>
    <row r="71" spans="1:22" x14ac:dyDescent="0.2">
      <c r="A71" s="33" t="str">
        <f>IF(Tabela1[[#This Row],[Código]]="IBOV","^BVSP",IF(Tabela1[[#This Row],[Código]]="","",CONCATENATE(LEFT(Tabela1[[#This Row],[Código]],6),".SA")))</f>
        <v>ENGI3.SA</v>
      </c>
      <c r="C71" s="3" t="s">
        <v>172</v>
      </c>
      <c r="D71" s="3" t="s">
        <v>996</v>
      </c>
      <c r="E71" s="3" t="s">
        <v>996</v>
      </c>
      <c r="F71" s="3" t="s">
        <v>996</v>
      </c>
      <c r="G71" s="3" t="s">
        <v>996</v>
      </c>
      <c r="H71" s="20">
        <v>41689</v>
      </c>
      <c r="J71" s="3">
        <f t="shared" si="7"/>
        <v>2.75</v>
      </c>
      <c r="K71" s="3">
        <f t="shared" si="7"/>
        <v>2.75</v>
      </c>
      <c r="L71" s="3">
        <f t="shared" si="7"/>
        <v>2.75</v>
      </c>
      <c r="M71" s="3">
        <f t="shared" si="7"/>
        <v>2.75</v>
      </c>
      <c r="P71" s="14" t="s">
        <v>171</v>
      </c>
      <c r="Q71" s="10" t="str">
        <f t="shared" ref="Q71:Q102" si="14">IF(A71="","",C71)</f>
        <v>ENERGISA    -ON</v>
      </c>
      <c r="R71" s="51">
        <f t="shared" ref="R71:R102" si="15">IF(A71="","",H71)</f>
        <v>41689</v>
      </c>
      <c r="S71" s="5">
        <f t="shared" ref="S71:S102" si="16">J71</f>
        <v>2.75</v>
      </c>
      <c r="T71" s="5">
        <f t="shared" ref="T71:T102" si="17">K71</f>
        <v>2.75</v>
      </c>
      <c r="U71" s="5">
        <f t="shared" ref="U71:U102" si="18">L71</f>
        <v>2.75</v>
      </c>
      <c r="V71" s="5">
        <f t="shared" ref="V71:V102" si="19">M71</f>
        <v>2.75</v>
      </c>
    </row>
    <row r="72" spans="1:22" x14ac:dyDescent="0.2">
      <c r="A72" s="33" t="str">
        <f>IF(Tabela1[[#This Row],[Código]]="IBOV","^BVSP",IF(Tabela1[[#This Row],[Código]]="","",CONCATENATE(LEFT(Tabela1[[#This Row],[Código]],6),".SA")))</f>
        <v>ENGI4.SA</v>
      </c>
      <c r="C72" s="3" t="s">
        <v>139</v>
      </c>
      <c r="D72" s="3" t="s">
        <v>686</v>
      </c>
      <c r="E72" s="3" t="s">
        <v>686</v>
      </c>
      <c r="F72" s="3" t="s">
        <v>686</v>
      </c>
      <c r="G72" s="3" t="s">
        <v>686</v>
      </c>
      <c r="H72" s="20">
        <v>41689</v>
      </c>
      <c r="J72" s="3">
        <f t="shared" ref="J72:M135" si="20">IF($A72="",0,VALUE(CONCATENATE(LEFT(D72,LEN(D72)-3),",",RIGHT(D72,2))))</f>
        <v>2</v>
      </c>
      <c r="K72" s="3">
        <f t="shared" si="20"/>
        <v>2</v>
      </c>
      <c r="L72" s="3">
        <f t="shared" si="20"/>
        <v>2</v>
      </c>
      <c r="M72" s="3">
        <f t="shared" si="20"/>
        <v>2</v>
      </c>
      <c r="P72" s="14" t="s">
        <v>64</v>
      </c>
      <c r="Q72" s="10" t="str">
        <f t="shared" si="14"/>
        <v>ENERGISA    -PN</v>
      </c>
      <c r="R72" s="46">
        <f t="shared" si="15"/>
        <v>41689</v>
      </c>
      <c r="S72" s="6">
        <f t="shared" si="16"/>
        <v>2</v>
      </c>
      <c r="T72" s="6">
        <f t="shared" si="17"/>
        <v>2</v>
      </c>
      <c r="U72" s="5">
        <f t="shared" si="18"/>
        <v>2</v>
      </c>
      <c r="V72" s="5">
        <f t="shared" si="19"/>
        <v>2</v>
      </c>
    </row>
    <row r="73" spans="1:22" x14ac:dyDescent="0.2">
      <c r="A73" s="33" t="str">
        <f>IF(Tabela1[[#This Row],[Código]]="IBOV","^BVSP",IF(Tabela1[[#This Row],[Código]]="","",CONCATENATE(LEFT(Tabela1[[#This Row],[Código]],6),".SA")))</f>
        <v>ENMA3B.SA</v>
      </c>
      <c r="C73" s="3" t="s">
        <v>140</v>
      </c>
      <c r="D73" s="3" t="s">
        <v>1563</v>
      </c>
      <c r="E73" s="3" t="s">
        <v>1563</v>
      </c>
      <c r="F73" s="3" t="s">
        <v>1563</v>
      </c>
      <c r="G73" s="3" t="s">
        <v>1563</v>
      </c>
      <c r="H73" s="20">
        <v>41689</v>
      </c>
      <c r="J73" s="3">
        <f t="shared" si="20"/>
        <v>14.8</v>
      </c>
      <c r="K73" s="3">
        <f t="shared" si="20"/>
        <v>14.8</v>
      </c>
      <c r="L73" s="3">
        <f t="shared" si="20"/>
        <v>14.8</v>
      </c>
      <c r="M73" s="3">
        <f t="shared" si="20"/>
        <v>14.8</v>
      </c>
      <c r="P73" s="14" t="s">
        <v>94</v>
      </c>
      <c r="Q73" s="10" t="str">
        <f t="shared" si="14"/>
        <v xml:space="preserve">CEMAR       -ON  </v>
      </c>
      <c r="R73" s="51">
        <f t="shared" si="15"/>
        <v>41689</v>
      </c>
      <c r="S73" s="5">
        <f t="shared" si="16"/>
        <v>14.8</v>
      </c>
      <c r="T73" s="5">
        <f t="shared" si="17"/>
        <v>14.8</v>
      </c>
      <c r="U73" s="5">
        <f t="shared" si="18"/>
        <v>14.8</v>
      </c>
      <c r="V73" s="5">
        <f t="shared" si="19"/>
        <v>14.8</v>
      </c>
    </row>
    <row r="74" spans="1:22" x14ac:dyDescent="0.2">
      <c r="A74" s="33" t="str">
        <f>IF(Tabela1[[#This Row],[Código]]="IBOV","^BVSP",IF(Tabela1[[#This Row],[Código]]="","",CONCATENATE(LEFT(Tabela1[[#This Row],[Código]],6),".SA")))</f>
        <v>EQTL3.SA</v>
      </c>
      <c r="C74" s="3" t="s">
        <v>141</v>
      </c>
      <c r="D74" s="3" t="s">
        <v>1737</v>
      </c>
      <c r="E74" s="3" t="s">
        <v>1704</v>
      </c>
      <c r="F74" s="3" t="s">
        <v>1920</v>
      </c>
      <c r="G74" s="3" t="s">
        <v>1737</v>
      </c>
      <c r="H74" s="20">
        <v>41689</v>
      </c>
      <c r="J74" s="3">
        <f t="shared" si="20"/>
        <v>18.61</v>
      </c>
      <c r="K74" s="3">
        <f t="shared" si="20"/>
        <v>19.739999999999998</v>
      </c>
      <c r="L74" s="3">
        <f t="shared" si="20"/>
        <v>20.03</v>
      </c>
      <c r="M74" s="3">
        <f t="shared" si="20"/>
        <v>18.61</v>
      </c>
      <c r="P74" s="26" t="s">
        <v>35</v>
      </c>
      <c r="Q74" s="10" t="str">
        <f t="shared" si="14"/>
        <v xml:space="preserve">EQUATORIAL  -ON  </v>
      </c>
      <c r="R74" s="51">
        <f t="shared" si="15"/>
        <v>41689</v>
      </c>
      <c r="S74" s="5">
        <f t="shared" si="16"/>
        <v>18.61</v>
      </c>
      <c r="T74" s="5">
        <f t="shared" si="17"/>
        <v>19.739999999999998</v>
      </c>
      <c r="U74" s="5">
        <f t="shared" si="18"/>
        <v>20.03</v>
      </c>
      <c r="V74" s="5">
        <f t="shared" si="19"/>
        <v>18.61</v>
      </c>
    </row>
    <row r="75" spans="1:22" x14ac:dyDescent="0.2">
      <c r="A75" s="33" t="str">
        <f>IF(Tabela1[[#This Row],[Código]]="IBOV","^BVSP",IF(Tabela1[[#This Row],[Código]]="","",CONCATENATE(LEFT(Tabela1[[#This Row],[Código]],6),".SA")))</f>
        <v>FESA3.SA</v>
      </c>
      <c r="C75" s="3" t="s">
        <v>238</v>
      </c>
      <c r="D75" s="3" t="s">
        <v>235</v>
      </c>
      <c r="E75" s="3" t="s">
        <v>235</v>
      </c>
      <c r="F75" s="3" t="s">
        <v>235</v>
      </c>
      <c r="G75" s="3" t="s">
        <v>235</v>
      </c>
      <c r="H75" s="20">
        <v>41689</v>
      </c>
      <c r="J75" s="3">
        <f t="shared" si="20"/>
        <v>19</v>
      </c>
      <c r="K75" s="3">
        <f t="shared" si="20"/>
        <v>19</v>
      </c>
      <c r="L75" s="3">
        <f t="shared" si="20"/>
        <v>19</v>
      </c>
      <c r="M75" s="3">
        <f t="shared" si="20"/>
        <v>19</v>
      </c>
      <c r="P75" s="14" t="s">
        <v>236</v>
      </c>
      <c r="Q75" s="10" t="str">
        <f t="shared" si="14"/>
        <v xml:space="preserve">FERBASA     -ON  </v>
      </c>
      <c r="R75" s="51">
        <f t="shared" si="15"/>
        <v>41689</v>
      </c>
      <c r="S75" s="5">
        <f t="shared" si="16"/>
        <v>19</v>
      </c>
      <c r="T75" s="5">
        <f t="shared" si="17"/>
        <v>19</v>
      </c>
      <c r="U75" s="5">
        <f t="shared" si="18"/>
        <v>19</v>
      </c>
      <c r="V75" s="5">
        <f t="shared" si="19"/>
        <v>19</v>
      </c>
    </row>
    <row r="76" spans="1:22" x14ac:dyDescent="0.2">
      <c r="A76" s="33" t="str">
        <f>IF(Tabela1[[#This Row],[Código]]="IBOV","^BVSP",IF(Tabela1[[#This Row],[Código]]="","",CONCATENATE(LEFT(Tabela1[[#This Row],[Código]],6),".SA")))</f>
        <v>FESA4.SA</v>
      </c>
      <c r="C76" s="3" t="s">
        <v>237</v>
      </c>
      <c r="D76" s="3" t="s">
        <v>945</v>
      </c>
      <c r="E76" s="3" t="s">
        <v>412</v>
      </c>
      <c r="F76" s="3" t="s">
        <v>945</v>
      </c>
      <c r="G76" s="3" t="s">
        <v>1203</v>
      </c>
      <c r="H76" s="20">
        <v>41689</v>
      </c>
      <c r="J76" s="3">
        <f t="shared" si="20"/>
        <v>12.5</v>
      </c>
      <c r="K76" s="3">
        <f t="shared" si="20"/>
        <v>12.2</v>
      </c>
      <c r="L76" s="3">
        <f t="shared" si="20"/>
        <v>12.5</v>
      </c>
      <c r="M76" s="3">
        <f t="shared" si="20"/>
        <v>12.12</v>
      </c>
      <c r="P76" s="15" t="s">
        <v>79</v>
      </c>
      <c r="Q76" s="10" t="str">
        <f t="shared" si="14"/>
        <v xml:space="preserve">FERBASA     -PN  </v>
      </c>
      <c r="R76" s="51">
        <f t="shared" si="15"/>
        <v>41689</v>
      </c>
      <c r="S76" s="5">
        <f t="shared" si="16"/>
        <v>12.5</v>
      </c>
      <c r="T76" s="5">
        <f t="shared" si="17"/>
        <v>12.2</v>
      </c>
      <c r="U76" s="5">
        <f t="shared" si="18"/>
        <v>12.5</v>
      </c>
      <c r="V76" s="5">
        <f t="shared" si="19"/>
        <v>12.12</v>
      </c>
    </row>
    <row r="77" spans="1:22" x14ac:dyDescent="0.2">
      <c r="A77" s="33" t="str">
        <f>IF(Tabela1[[#This Row],[Código]]="IBOV","^BVSP",IF(Tabela1[[#This Row],[Código]]="","",CONCATENATE(LEFT(Tabela1[[#This Row],[Código]],6),".SA")))</f>
        <v>GEPA3.SA</v>
      </c>
      <c r="C77" s="3" t="s">
        <v>344</v>
      </c>
      <c r="D77" s="3" t="s">
        <v>163</v>
      </c>
      <c r="E77" s="3" t="s">
        <v>163</v>
      </c>
      <c r="F77" s="3" t="s">
        <v>163</v>
      </c>
      <c r="G77" s="3" t="s">
        <v>163</v>
      </c>
      <c r="H77" s="20">
        <v>41689</v>
      </c>
      <c r="J77" s="3">
        <f t="shared" si="20"/>
        <v>62.04</v>
      </c>
      <c r="K77" s="3">
        <f t="shared" si="20"/>
        <v>62.04</v>
      </c>
      <c r="L77" s="3">
        <f t="shared" si="20"/>
        <v>62.04</v>
      </c>
      <c r="M77" s="3">
        <f t="shared" si="20"/>
        <v>62.04</v>
      </c>
      <c r="P77" s="14" t="s">
        <v>162</v>
      </c>
      <c r="Q77" s="10" t="str">
        <f t="shared" si="14"/>
        <v>GER PARANAP -ON</v>
      </c>
      <c r="R77" s="51">
        <f t="shared" si="15"/>
        <v>41689</v>
      </c>
      <c r="S77" s="5">
        <f t="shared" si="16"/>
        <v>62.04</v>
      </c>
      <c r="T77" s="5">
        <f t="shared" si="17"/>
        <v>62.04</v>
      </c>
      <c r="U77" s="5">
        <f t="shared" si="18"/>
        <v>62.04</v>
      </c>
      <c r="V77" s="5">
        <f t="shared" si="19"/>
        <v>62.04</v>
      </c>
    </row>
    <row r="78" spans="1:22" x14ac:dyDescent="0.2">
      <c r="A78" s="33" t="str">
        <f>IF(Tabela1[[#This Row],[Código]]="IBOV","^BVSP",IF(Tabela1[[#This Row],[Código]]="","",CONCATENATE(LEFT(Tabela1[[#This Row],[Código]],6),".SA")))</f>
        <v>GEPA4.SA</v>
      </c>
      <c r="C78" s="3" t="s">
        <v>345</v>
      </c>
      <c r="D78" s="3" t="s">
        <v>1921</v>
      </c>
      <c r="E78" s="3" t="s">
        <v>1922</v>
      </c>
      <c r="F78" s="3" t="s">
        <v>1921</v>
      </c>
      <c r="G78" s="3" t="s">
        <v>1922</v>
      </c>
      <c r="H78" s="20">
        <v>41689</v>
      </c>
      <c r="J78" s="3">
        <f t="shared" si="20"/>
        <v>58.5</v>
      </c>
      <c r="K78" s="3">
        <f t="shared" si="20"/>
        <v>57</v>
      </c>
      <c r="L78" s="3">
        <f t="shared" si="20"/>
        <v>58.5</v>
      </c>
      <c r="M78" s="3">
        <f t="shared" si="20"/>
        <v>57</v>
      </c>
      <c r="P78" s="26" t="s">
        <v>38</v>
      </c>
      <c r="Q78" s="10" t="str">
        <f t="shared" si="14"/>
        <v>GER PARANAP -PN</v>
      </c>
      <c r="R78" s="51">
        <f t="shared" si="15"/>
        <v>41689</v>
      </c>
      <c r="S78" s="5">
        <f t="shared" si="16"/>
        <v>58.5</v>
      </c>
      <c r="T78" s="5">
        <f t="shared" si="17"/>
        <v>57</v>
      </c>
      <c r="U78" s="5">
        <f t="shared" si="18"/>
        <v>58.5</v>
      </c>
      <c r="V78" s="5">
        <f t="shared" si="19"/>
        <v>57</v>
      </c>
    </row>
    <row r="79" spans="1:22" x14ac:dyDescent="0.2">
      <c r="A79" s="33" t="str">
        <f>IF(Tabela1[[#This Row],[Código]]="IBOV","^BVSP",IF(Tabela1[[#This Row],[Código]]="","",CONCATENATE(LEFT(Tabela1[[#This Row],[Código]],6),".SA")))</f>
        <v>GETI3.SA</v>
      </c>
      <c r="C79" s="3" t="s">
        <v>142</v>
      </c>
      <c r="D79" s="3" t="s">
        <v>1564</v>
      </c>
      <c r="E79" s="3" t="s">
        <v>1923</v>
      </c>
      <c r="F79" s="3" t="s">
        <v>1924</v>
      </c>
      <c r="G79" s="3" t="s">
        <v>1565</v>
      </c>
      <c r="H79" s="20">
        <v>41689</v>
      </c>
      <c r="J79" s="3">
        <f t="shared" si="20"/>
        <v>14.4</v>
      </c>
      <c r="K79" s="3">
        <f t="shared" si="20"/>
        <v>14.49</v>
      </c>
      <c r="L79" s="3">
        <f t="shared" si="20"/>
        <v>14.84</v>
      </c>
      <c r="M79" s="3">
        <f t="shared" si="20"/>
        <v>14.26</v>
      </c>
      <c r="P79" s="26" t="s">
        <v>29</v>
      </c>
      <c r="Q79" s="10" t="str">
        <f t="shared" si="14"/>
        <v>AES TIETE   -ON</v>
      </c>
      <c r="R79" s="51">
        <f t="shared" si="15"/>
        <v>41689</v>
      </c>
      <c r="S79" s="5">
        <f t="shared" si="16"/>
        <v>14.4</v>
      </c>
      <c r="T79" s="5">
        <f t="shared" si="17"/>
        <v>14.49</v>
      </c>
      <c r="U79" s="5">
        <f t="shared" si="18"/>
        <v>14.84</v>
      </c>
      <c r="V79" s="5">
        <f t="shared" si="19"/>
        <v>14.26</v>
      </c>
    </row>
    <row r="80" spans="1:22" x14ac:dyDescent="0.2">
      <c r="A80" s="33" t="str">
        <f>IF(Tabela1[[#This Row],[Código]]="IBOV","^BVSP",IF(Tabela1[[#This Row],[Código]]="","",CONCATENATE(LEFT(Tabela1[[#This Row],[Código]],6),".SA")))</f>
        <v>GETI4.SA</v>
      </c>
      <c r="C80" s="3" t="s">
        <v>143</v>
      </c>
      <c r="D80" s="3" t="s">
        <v>1303</v>
      </c>
      <c r="E80" s="3" t="s">
        <v>1925</v>
      </c>
      <c r="F80" s="3" t="s">
        <v>1039</v>
      </c>
      <c r="G80" s="3" t="s">
        <v>1732</v>
      </c>
      <c r="H80" s="20">
        <v>41689</v>
      </c>
      <c r="J80" s="3">
        <f t="shared" si="20"/>
        <v>16.12</v>
      </c>
      <c r="K80" s="3">
        <f t="shared" si="20"/>
        <v>16.61</v>
      </c>
      <c r="L80" s="3">
        <f t="shared" si="20"/>
        <v>16.97</v>
      </c>
      <c r="M80" s="3">
        <f t="shared" si="20"/>
        <v>16.100000000000001</v>
      </c>
      <c r="P80" s="26" t="s">
        <v>33</v>
      </c>
      <c r="Q80" s="10" t="str">
        <f t="shared" si="14"/>
        <v>AES TIETE   -PN</v>
      </c>
      <c r="R80" s="51">
        <f t="shared" si="15"/>
        <v>41689</v>
      </c>
      <c r="S80" s="5">
        <f t="shared" si="16"/>
        <v>16.12</v>
      </c>
      <c r="T80" s="5">
        <f t="shared" si="17"/>
        <v>16.61</v>
      </c>
      <c r="U80" s="5">
        <f t="shared" si="18"/>
        <v>16.97</v>
      </c>
      <c r="V80" s="5">
        <f t="shared" si="19"/>
        <v>16.100000000000001</v>
      </c>
    </row>
    <row r="81" spans="1:22" x14ac:dyDescent="0.2">
      <c r="A81" s="33" t="str">
        <f>IF(Tabela1[[#This Row],[Código]]="IBOV","^BVSP",IF(Tabela1[[#This Row],[Código]]="","",CONCATENATE(LEFT(Tabela1[[#This Row],[Código]],6),".SA")))</f>
        <v>GTDP3B.SA</v>
      </c>
      <c r="C81" s="3" t="s">
        <v>175</v>
      </c>
      <c r="D81" s="3" t="s">
        <v>1926</v>
      </c>
      <c r="E81" s="3" t="s">
        <v>1926</v>
      </c>
      <c r="F81" s="3" t="s">
        <v>1926</v>
      </c>
      <c r="G81" s="3" t="s">
        <v>1926</v>
      </c>
      <c r="H81" s="20">
        <v>41689</v>
      </c>
      <c r="J81" s="3">
        <f t="shared" si="20"/>
        <v>0.09</v>
      </c>
      <c r="K81" s="3">
        <f t="shared" si="20"/>
        <v>0.09</v>
      </c>
      <c r="L81" s="3">
        <f t="shared" si="20"/>
        <v>0.09</v>
      </c>
      <c r="M81" s="3">
        <f t="shared" si="20"/>
        <v>0.09</v>
      </c>
      <c r="P81" s="14" t="s">
        <v>173</v>
      </c>
      <c r="Q81" s="10" t="str">
        <f t="shared" si="14"/>
        <v xml:space="preserve">GTD PART    -ON  </v>
      </c>
      <c r="R81" s="51">
        <f t="shared" si="15"/>
        <v>41689</v>
      </c>
      <c r="S81" s="5">
        <f t="shared" si="16"/>
        <v>0.09</v>
      </c>
      <c r="T81" s="5">
        <f t="shared" si="17"/>
        <v>0.09</v>
      </c>
      <c r="U81" s="5">
        <f t="shared" si="18"/>
        <v>0.09</v>
      </c>
      <c r="V81" s="5">
        <f t="shared" si="19"/>
        <v>0.09</v>
      </c>
    </row>
    <row r="82" spans="1:22" x14ac:dyDescent="0.2">
      <c r="A82" s="33" t="str">
        <f>IF(Tabela1[[#This Row],[Código]]="IBOV","^BVSP",IF(Tabela1[[#This Row],[Código]]="","",CONCATENATE(LEFT(Tabela1[[#This Row],[Código]],6),".SA")))</f>
        <v>GTDP4B.SA</v>
      </c>
      <c r="C82" s="3" t="s">
        <v>176</v>
      </c>
      <c r="D82" s="3" t="s">
        <v>794</v>
      </c>
      <c r="E82" s="3" t="s">
        <v>1926</v>
      </c>
      <c r="F82" s="3" t="s">
        <v>794</v>
      </c>
      <c r="G82" s="3" t="s">
        <v>1926</v>
      </c>
      <c r="H82" s="20">
        <v>41689</v>
      </c>
      <c r="J82" s="3">
        <f t="shared" si="20"/>
        <v>0.1</v>
      </c>
      <c r="K82" s="3">
        <f t="shared" si="20"/>
        <v>0.09</v>
      </c>
      <c r="L82" s="3">
        <f t="shared" si="20"/>
        <v>0.1</v>
      </c>
      <c r="M82" s="3">
        <f t="shared" si="20"/>
        <v>0.09</v>
      </c>
      <c r="P82" s="14" t="s">
        <v>174</v>
      </c>
      <c r="Q82" s="10" t="str">
        <f t="shared" si="14"/>
        <v xml:space="preserve">GTD PART    -PN  </v>
      </c>
      <c r="R82" s="51">
        <f t="shared" si="15"/>
        <v>41689</v>
      </c>
      <c r="S82" s="5">
        <f t="shared" si="16"/>
        <v>0.1</v>
      </c>
      <c r="T82" s="5">
        <f t="shared" si="17"/>
        <v>0.09</v>
      </c>
      <c r="U82" s="5">
        <f t="shared" si="18"/>
        <v>0.1</v>
      </c>
      <c r="V82" s="5">
        <f t="shared" si="19"/>
        <v>0.09</v>
      </c>
    </row>
    <row r="83" spans="1:22" x14ac:dyDescent="0.2">
      <c r="A83" s="33" t="str">
        <f>IF(Tabela1[[#This Row],[Código]]="IBOV","^BVSP",IF(Tabela1[[#This Row],[Código]]="","",CONCATENATE(LEFT(Tabela1[[#This Row],[Código]],6),".SA")))</f>
        <v>ITSA3.SA</v>
      </c>
      <c r="C83" s="3" t="s">
        <v>232</v>
      </c>
      <c r="D83" s="3" t="s">
        <v>1738</v>
      </c>
      <c r="E83" s="3" t="s">
        <v>1739</v>
      </c>
      <c r="F83" s="3" t="s">
        <v>1738</v>
      </c>
      <c r="G83" s="3" t="s">
        <v>106</v>
      </c>
      <c r="H83" s="20">
        <v>41689</v>
      </c>
      <c r="J83" s="3">
        <f t="shared" si="20"/>
        <v>9.25</v>
      </c>
      <c r="K83" s="3">
        <f t="shared" si="20"/>
        <v>9.1300000000000008</v>
      </c>
      <c r="L83" s="3">
        <f t="shared" si="20"/>
        <v>9.25</v>
      </c>
      <c r="M83" s="3">
        <f t="shared" si="20"/>
        <v>9</v>
      </c>
      <c r="P83" s="15" t="s">
        <v>231</v>
      </c>
      <c r="Q83" s="10" t="str">
        <f t="shared" si="14"/>
        <v xml:space="preserve">ITAUSA      -ON  </v>
      </c>
      <c r="R83" s="51">
        <f t="shared" si="15"/>
        <v>41689</v>
      </c>
      <c r="S83" s="5">
        <f t="shared" si="16"/>
        <v>9.25</v>
      </c>
      <c r="T83" s="5">
        <f t="shared" si="17"/>
        <v>9.1300000000000008</v>
      </c>
      <c r="U83" s="5">
        <f t="shared" si="18"/>
        <v>9.25</v>
      </c>
      <c r="V83" s="5">
        <f t="shared" si="19"/>
        <v>9</v>
      </c>
    </row>
    <row r="84" spans="1:22" x14ac:dyDescent="0.2">
      <c r="A84" s="33" t="str">
        <f>IF(Tabela1[[#This Row],[Código]]="IBOV","^BVSP",IF(Tabela1[[#This Row],[Código]]="","",CONCATENATE(LEFT(Tabela1[[#This Row],[Código]],6),".SA")))</f>
        <v>ITSA4.SA</v>
      </c>
      <c r="C84" s="3" t="s">
        <v>144</v>
      </c>
      <c r="D84" s="3" t="s">
        <v>1740</v>
      </c>
      <c r="E84" s="3" t="s">
        <v>1620</v>
      </c>
      <c r="F84" s="3" t="s">
        <v>1510</v>
      </c>
      <c r="G84" s="3" t="s">
        <v>1230</v>
      </c>
      <c r="H84" s="45">
        <v>41689</v>
      </c>
      <c r="J84" s="3">
        <f t="shared" si="20"/>
        <v>8.31</v>
      </c>
      <c r="K84" s="3">
        <f t="shared" si="20"/>
        <v>8.41</v>
      </c>
      <c r="L84" s="3">
        <f t="shared" si="20"/>
        <v>8.44</v>
      </c>
      <c r="M84" s="3">
        <f t="shared" si="20"/>
        <v>8.1999999999999993</v>
      </c>
      <c r="P84" s="15" t="s">
        <v>16</v>
      </c>
      <c r="Q84" s="10" t="str">
        <f t="shared" si="14"/>
        <v xml:space="preserve">ITAUSA      -PN  </v>
      </c>
      <c r="R84" s="51">
        <f t="shared" si="15"/>
        <v>41689</v>
      </c>
      <c r="S84" s="5">
        <f t="shared" si="16"/>
        <v>8.31</v>
      </c>
      <c r="T84" s="5">
        <f t="shared" si="17"/>
        <v>8.41</v>
      </c>
      <c r="U84" s="5">
        <f t="shared" si="18"/>
        <v>8.44</v>
      </c>
      <c r="V84" s="5">
        <f t="shared" si="19"/>
        <v>8.1999999999999993</v>
      </c>
    </row>
    <row r="85" spans="1:22" x14ac:dyDescent="0.2">
      <c r="A85" s="33" t="str">
        <f>IF(Tabela1[[#This Row],[Código]]="IBOV","^BVSP",IF(Tabela1[[#This Row],[Código]]="","",CONCATENATE(LEFT(Tabela1[[#This Row],[Código]],6),".SA")))</f>
        <v>ITUB3.SA</v>
      </c>
      <c r="C85" s="3" t="s">
        <v>230</v>
      </c>
      <c r="D85" s="3" t="s">
        <v>1741</v>
      </c>
      <c r="E85" s="3" t="s">
        <v>1029</v>
      </c>
      <c r="F85" s="3" t="s">
        <v>1927</v>
      </c>
      <c r="G85" s="3" t="s">
        <v>1703</v>
      </c>
      <c r="H85" s="45">
        <v>41689</v>
      </c>
      <c r="J85" s="3">
        <f t="shared" si="20"/>
        <v>28.5</v>
      </c>
      <c r="K85" s="3">
        <f t="shared" si="20"/>
        <v>29.08</v>
      </c>
      <c r="L85" s="3">
        <f t="shared" si="20"/>
        <v>29.19</v>
      </c>
      <c r="M85" s="3">
        <f t="shared" si="20"/>
        <v>28.19</v>
      </c>
      <c r="P85" s="10" t="s">
        <v>229</v>
      </c>
      <c r="Q85" s="10" t="str">
        <f t="shared" si="14"/>
        <v xml:space="preserve">ITAUUNIBANCO-ON  </v>
      </c>
      <c r="R85" s="51">
        <f t="shared" si="15"/>
        <v>41689</v>
      </c>
      <c r="S85" s="5">
        <f t="shared" si="16"/>
        <v>28.5</v>
      </c>
      <c r="T85" s="5">
        <f t="shared" si="17"/>
        <v>29.08</v>
      </c>
      <c r="U85" s="5">
        <f t="shared" si="18"/>
        <v>29.19</v>
      </c>
      <c r="V85" s="5">
        <f t="shared" si="19"/>
        <v>28.19</v>
      </c>
    </row>
    <row r="86" spans="1:22" x14ac:dyDescent="0.2">
      <c r="A86" s="33" t="str">
        <f>IF(Tabela1[[#This Row],[Código]]="IBOV","^BVSP",IF(Tabela1[[#This Row],[Código]]="","",CONCATENATE(LEFT(Tabela1[[#This Row],[Código]],6),".SA")))</f>
        <v>ITUB4.SA</v>
      </c>
      <c r="C86" s="3" t="s">
        <v>145</v>
      </c>
      <c r="D86" s="3" t="s">
        <v>1743</v>
      </c>
      <c r="E86" s="3" t="s">
        <v>1238</v>
      </c>
      <c r="F86" s="3" t="s">
        <v>1239</v>
      </c>
      <c r="G86" s="3" t="s">
        <v>1745</v>
      </c>
      <c r="H86" s="45">
        <v>41689</v>
      </c>
      <c r="J86" s="3">
        <f t="shared" si="20"/>
        <v>30.49</v>
      </c>
      <c r="K86" s="3">
        <f t="shared" si="20"/>
        <v>31.04</v>
      </c>
      <c r="L86" s="3">
        <f t="shared" si="20"/>
        <v>31.11</v>
      </c>
      <c r="M86" s="3">
        <f t="shared" si="20"/>
        <v>30.25</v>
      </c>
      <c r="P86" s="10" t="s">
        <v>80</v>
      </c>
      <c r="Q86" s="10" t="str">
        <f t="shared" si="14"/>
        <v xml:space="preserve">ITAUUNIBANCO-PN  </v>
      </c>
      <c r="R86" s="51">
        <f t="shared" si="15"/>
        <v>41689</v>
      </c>
      <c r="S86" s="5">
        <f t="shared" si="16"/>
        <v>30.49</v>
      </c>
      <c r="T86" s="5">
        <f t="shared" si="17"/>
        <v>31.04</v>
      </c>
      <c r="U86" s="5">
        <f t="shared" si="18"/>
        <v>31.11</v>
      </c>
      <c r="V86" s="5">
        <f t="shared" si="19"/>
        <v>30.25</v>
      </c>
    </row>
    <row r="87" spans="1:22" x14ac:dyDescent="0.2">
      <c r="A87" s="33" t="str">
        <f>IF(Tabela1[[#This Row],[Código]]="IBOV","^BVSP",IF(Tabela1[[#This Row],[Código]]="","",CONCATENATE(LEFT(Tabela1[[#This Row],[Código]],6),".SA")))</f>
        <v>KLBN3.SA</v>
      </c>
      <c r="C87" s="3" t="s">
        <v>188</v>
      </c>
      <c r="D87" s="3" t="s">
        <v>795</v>
      </c>
      <c r="E87" s="3" t="s">
        <v>795</v>
      </c>
      <c r="F87" s="3" t="s">
        <v>795</v>
      </c>
      <c r="G87" s="3" t="s">
        <v>795</v>
      </c>
      <c r="H87" s="45">
        <v>41689</v>
      </c>
      <c r="J87" s="3">
        <f t="shared" si="20"/>
        <v>12.52</v>
      </c>
      <c r="K87" s="3">
        <f t="shared" si="20"/>
        <v>12.52</v>
      </c>
      <c r="L87" s="3">
        <f t="shared" si="20"/>
        <v>12.52</v>
      </c>
      <c r="M87" s="3">
        <f t="shared" si="20"/>
        <v>12.52</v>
      </c>
      <c r="P87" s="15" t="s">
        <v>187</v>
      </c>
      <c r="Q87" s="10" t="str">
        <f t="shared" si="14"/>
        <v xml:space="preserve">KLABIN S/A  -ON  </v>
      </c>
      <c r="R87" s="51">
        <f t="shared" si="15"/>
        <v>41689</v>
      </c>
      <c r="S87" s="5">
        <f t="shared" si="16"/>
        <v>12.52</v>
      </c>
      <c r="T87" s="5">
        <f t="shared" si="17"/>
        <v>12.52</v>
      </c>
      <c r="U87" s="5">
        <f t="shared" si="18"/>
        <v>12.52</v>
      </c>
      <c r="V87" s="5">
        <f t="shared" si="19"/>
        <v>12.52</v>
      </c>
    </row>
    <row r="88" spans="1:22" x14ac:dyDescent="0.2">
      <c r="A88" s="33" t="str">
        <f>IF(Tabela1[[#This Row],[Código]]="IBOV","^BVSP",IF(Tabela1[[#This Row],[Código]]="","",CONCATENATE(LEFT(Tabela1[[#This Row],[Código]],6),".SA")))</f>
        <v>KLBN4.SA</v>
      </c>
      <c r="C88" s="3" t="s">
        <v>146</v>
      </c>
      <c r="D88" s="3" t="s">
        <v>1746</v>
      </c>
      <c r="E88" s="3" t="s">
        <v>1816</v>
      </c>
      <c r="F88" s="3" t="s">
        <v>1794</v>
      </c>
      <c r="G88" s="3" t="s">
        <v>1040</v>
      </c>
      <c r="H88" s="45">
        <v>41689</v>
      </c>
      <c r="J88" s="3">
        <f t="shared" si="20"/>
        <v>11.94</v>
      </c>
      <c r="K88" s="3">
        <f t="shared" si="20"/>
        <v>12.04</v>
      </c>
      <c r="L88" s="3">
        <f t="shared" si="20"/>
        <v>12.08</v>
      </c>
      <c r="M88" s="3">
        <f t="shared" si="20"/>
        <v>11.83</v>
      </c>
      <c r="P88" s="15" t="s">
        <v>54</v>
      </c>
      <c r="Q88" s="10" t="str">
        <f t="shared" si="14"/>
        <v xml:space="preserve">KLABIN S/A  -PN  </v>
      </c>
      <c r="R88" s="51">
        <f t="shared" si="15"/>
        <v>41689</v>
      </c>
      <c r="S88" s="5">
        <f t="shared" si="16"/>
        <v>11.94</v>
      </c>
      <c r="T88" s="5">
        <f t="shared" si="17"/>
        <v>12.04</v>
      </c>
      <c r="U88" s="5">
        <f t="shared" si="18"/>
        <v>12.08</v>
      </c>
      <c r="V88" s="5">
        <f t="shared" si="19"/>
        <v>11.83</v>
      </c>
    </row>
    <row r="89" spans="1:22" x14ac:dyDescent="0.2">
      <c r="A89" s="33" t="str">
        <f>IF(Tabela1[[#This Row],[Código]]="IBOV","^BVSP",IF(Tabela1[[#This Row],[Código]]="","",CONCATENATE(LEFT(Tabela1[[#This Row],[Código]],6),".SA")))</f>
        <v>LIGT3.SA</v>
      </c>
      <c r="C89" s="3" t="s">
        <v>147</v>
      </c>
      <c r="D89" s="3" t="s">
        <v>1259</v>
      </c>
      <c r="E89" s="3" t="s">
        <v>1928</v>
      </c>
      <c r="F89" s="3" t="s">
        <v>1929</v>
      </c>
      <c r="G89" s="3" t="s">
        <v>1259</v>
      </c>
      <c r="H89" s="45">
        <v>41689</v>
      </c>
      <c r="J89" s="3">
        <f t="shared" si="20"/>
        <v>15.15</v>
      </c>
      <c r="K89" s="3">
        <f t="shared" si="20"/>
        <v>15.58</v>
      </c>
      <c r="L89" s="3">
        <f t="shared" si="20"/>
        <v>15.86</v>
      </c>
      <c r="M89" s="3">
        <f t="shared" si="20"/>
        <v>15.15</v>
      </c>
      <c r="P89" s="43" t="s">
        <v>55</v>
      </c>
      <c r="Q89" s="10" t="str">
        <f t="shared" si="14"/>
        <v xml:space="preserve">LIGHT S/A   -ON  </v>
      </c>
      <c r="R89" s="51">
        <f t="shared" si="15"/>
        <v>41689</v>
      </c>
      <c r="S89" s="5">
        <f t="shared" si="16"/>
        <v>15.15</v>
      </c>
      <c r="T89" s="5">
        <f t="shared" si="17"/>
        <v>15.58</v>
      </c>
      <c r="U89" s="5">
        <f t="shared" si="18"/>
        <v>15.86</v>
      </c>
      <c r="V89" s="5">
        <f t="shared" si="19"/>
        <v>15.15</v>
      </c>
    </row>
    <row r="90" spans="1:22" x14ac:dyDescent="0.2">
      <c r="A90" s="33" t="str">
        <f>IF(Tabela1[[#This Row],[Código]]="IBOV","^BVSP",IF(Tabela1[[#This Row],[Código]]="","",CONCATENATE(LEFT(Tabela1[[#This Row],[Código]],6),".SA")))</f>
        <v>LIPR3.SA</v>
      </c>
      <c r="C90" s="3" t="s">
        <v>165</v>
      </c>
      <c r="D90" s="3" t="s">
        <v>166</v>
      </c>
      <c r="E90" s="3" t="s">
        <v>343</v>
      </c>
      <c r="F90" s="3" t="s">
        <v>343</v>
      </c>
      <c r="G90" s="3" t="s">
        <v>166</v>
      </c>
      <c r="H90" s="45">
        <v>41689</v>
      </c>
      <c r="J90" s="3">
        <f t="shared" si="20"/>
        <v>49.45</v>
      </c>
      <c r="K90" s="3">
        <f t="shared" si="20"/>
        <v>49.6</v>
      </c>
      <c r="L90" s="3">
        <f t="shared" si="20"/>
        <v>49.6</v>
      </c>
      <c r="M90" s="3">
        <f t="shared" si="20"/>
        <v>49.45</v>
      </c>
      <c r="P90" s="14" t="s">
        <v>164</v>
      </c>
      <c r="Q90" s="10" t="str">
        <f t="shared" si="14"/>
        <v>ELETROPAR   -ON</v>
      </c>
      <c r="R90" s="51">
        <f t="shared" si="15"/>
        <v>41689</v>
      </c>
      <c r="S90" s="5">
        <f t="shared" si="16"/>
        <v>49.45</v>
      </c>
      <c r="T90" s="5">
        <f t="shared" si="17"/>
        <v>49.6</v>
      </c>
      <c r="U90" s="5">
        <f t="shared" si="18"/>
        <v>49.6</v>
      </c>
      <c r="V90" s="5">
        <f t="shared" si="19"/>
        <v>49.45</v>
      </c>
    </row>
    <row r="91" spans="1:22" x14ac:dyDescent="0.2">
      <c r="A91" s="33" t="str">
        <f>IF(Tabela1[[#This Row],[Código]]="IBOV","^BVSP",IF(Tabela1[[#This Row],[Código]]="","",CONCATENATE(LEFT(Tabela1[[#This Row],[Código]],6),".SA")))</f>
        <v>PINE4.SA</v>
      </c>
      <c r="C91" s="3" t="s">
        <v>148</v>
      </c>
      <c r="D91" s="3" t="s">
        <v>1246</v>
      </c>
      <c r="E91" s="61" t="s">
        <v>1568</v>
      </c>
      <c r="F91" s="61" t="s">
        <v>1246</v>
      </c>
      <c r="G91" s="3" t="s">
        <v>1747</v>
      </c>
      <c r="H91" s="45">
        <v>41689</v>
      </c>
      <c r="J91" s="3">
        <f t="shared" si="20"/>
        <v>7.5</v>
      </c>
      <c r="K91" s="3">
        <f t="shared" si="20"/>
        <v>7.36</v>
      </c>
      <c r="L91" s="3">
        <f t="shared" si="20"/>
        <v>7.5</v>
      </c>
      <c r="M91" s="3">
        <f t="shared" si="20"/>
        <v>7.26</v>
      </c>
      <c r="P91" s="10" t="s">
        <v>74</v>
      </c>
      <c r="Q91" s="10" t="str">
        <f t="shared" si="14"/>
        <v xml:space="preserve">PINE        -PN  </v>
      </c>
      <c r="R91" s="51">
        <f t="shared" si="15"/>
        <v>41689</v>
      </c>
      <c r="S91" s="5">
        <f t="shared" si="16"/>
        <v>7.5</v>
      </c>
      <c r="T91" s="5">
        <f t="shared" si="17"/>
        <v>7.36</v>
      </c>
      <c r="U91" s="5">
        <f t="shared" si="18"/>
        <v>7.5</v>
      </c>
      <c r="V91" s="5">
        <f t="shared" si="19"/>
        <v>7.26</v>
      </c>
    </row>
    <row r="92" spans="1:22" x14ac:dyDescent="0.2">
      <c r="A92" s="33" t="str">
        <f>IF(Tabela1[[#This Row],[Código]]="IBOV","^BVSP",IF(Tabela1[[#This Row],[Código]]="","",CONCATENATE(LEFT(Tabela1[[#This Row],[Código]],6),".SA")))</f>
        <v>PRBC4.SA</v>
      </c>
      <c r="C92" s="3" t="s">
        <v>149</v>
      </c>
      <c r="D92" s="3" t="s">
        <v>1191</v>
      </c>
      <c r="E92" s="3" t="s">
        <v>1930</v>
      </c>
      <c r="F92" s="3" t="s">
        <v>1930</v>
      </c>
      <c r="G92" s="3" t="s">
        <v>1191</v>
      </c>
      <c r="H92" s="45">
        <v>41689</v>
      </c>
      <c r="J92" s="3">
        <f t="shared" si="20"/>
        <v>10.78</v>
      </c>
      <c r="K92" s="3">
        <f t="shared" si="20"/>
        <v>10.79</v>
      </c>
      <c r="L92" s="3">
        <f t="shared" si="20"/>
        <v>10.79</v>
      </c>
      <c r="M92" s="3">
        <f t="shared" si="20"/>
        <v>10.78</v>
      </c>
      <c r="P92" s="16" t="s">
        <v>82</v>
      </c>
      <c r="Q92" s="10" t="str">
        <f t="shared" si="14"/>
        <v xml:space="preserve">PARANA      -PN  </v>
      </c>
      <c r="R92" s="51">
        <f t="shared" si="15"/>
        <v>41689</v>
      </c>
      <c r="S92" s="5">
        <f t="shared" si="16"/>
        <v>10.78</v>
      </c>
      <c r="T92" s="5">
        <f t="shared" si="17"/>
        <v>10.79</v>
      </c>
      <c r="U92" s="5">
        <f t="shared" si="18"/>
        <v>10.79</v>
      </c>
      <c r="V92" s="5">
        <f t="shared" si="19"/>
        <v>10.78</v>
      </c>
    </row>
    <row r="93" spans="1:22" x14ac:dyDescent="0.2">
      <c r="A93" s="33" t="str">
        <f>IF(Tabela1[[#This Row],[Código]]="IBOV","^BVSP",IF(Tabela1[[#This Row],[Código]]="","",CONCATENATE(LEFT(Tabela1[[#This Row],[Código]],6),".SA")))</f>
        <v>PSSA3.SA</v>
      </c>
      <c r="C93" s="3" t="s">
        <v>234</v>
      </c>
      <c r="D93" s="3" t="s">
        <v>1748</v>
      </c>
      <c r="E93" s="3" t="s">
        <v>1931</v>
      </c>
      <c r="F93" s="3" t="s">
        <v>1932</v>
      </c>
      <c r="G93" s="3" t="s">
        <v>1748</v>
      </c>
      <c r="H93" s="45">
        <v>41689</v>
      </c>
      <c r="J93" s="3">
        <f t="shared" si="20"/>
        <v>28.92</v>
      </c>
      <c r="K93" s="3">
        <f t="shared" si="20"/>
        <v>29.68</v>
      </c>
      <c r="L93" s="3">
        <f t="shared" si="20"/>
        <v>29.92</v>
      </c>
      <c r="M93" s="3">
        <f t="shared" si="20"/>
        <v>28.92</v>
      </c>
      <c r="P93" s="16" t="s">
        <v>233</v>
      </c>
      <c r="Q93" s="10" t="str">
        <f t="shared" si="14"/>
        <v xml:space="preserve">PORTO SEGURO-ON  </v>
      </c>
      <c r="R93" s="51">
        <f t="shared" si="15"/>
        <v>41689</v>
      </c>
      <c r="S93" s="5">
        <f t="shared" si="16"/>
        <v>28.92</v>
      </c>
      <c r="T93" s="5">
        <f t="shared" si="17"/>
        <v>29.68</v>
      </c>
      <c r="U93" s="5">
        <f t="shared" si="18"/>
        <v>29.92</v>
      </c>
      <c r="V93" s="5">
        <f t="shared" si="19"/>
        <v>28.92</v>
      </c>
    </row>
    <row r="94" spans="1:22" x14ac:dyDescent="0.2">
      <c r="A94" s="33" t="str">
        <f>IF(Tabela1[[#This Row],[Código]]="IBOV","^BVSP",IF(Tabela1[[#This Row],[Código]]="","",CONCATENATE(LEFT(Tabela1[[#This Row],[Código]],6),".SA")))</f>
        <v>RANI3.SA</v>
      </c>
      <c r="C94" s="3" t="s">
        <v>1032</v>
      </c>
      <c r="D94" s="3" t="s">
        <v>1208</v>
      </c>
      <c r="E94" s="3" t="s">
        <v>1267</v>
      </c>
      <c r="F94" s="3" t="s">
        <v>1208</v>
      </c>
      <c r="G94" s="3" t="s">
        <v>1933</v>
      </c>
      <c r="H94" s="45">
        <v>41689</v>
      </c>
      <c r="J94" s="3">
        <f t="shared" si="20"/>
        <v>3.2</v>
      </c>
      <c r="K94" s="3">
        <f t="shared" si="20"/>
        <v>3.14</v>
      </c>
      <c r="L94" s="3">
        <f t="shared" si="20"/>
        <v>3.2</v>
      </c>
      <c r="M94" s="3">
        <f t="shared" si="20"/>
        <v>3.13</v>
      </c>
      <c r="P94" s="14" t="s">
        <v>185</v>
      </c>
      <c r="Q94" s="10" t="str">
        <f t="shared" si="14"/>
        <v>CELUL IRANI -ON</v>
      </c>
      <c r="R94" s="51">
        <f t="shared" si="15"/>
        <v>41689</v>
      </c>
      <c r="S94" s="5">
        <f t="shared" si="16"/>
        <v>3.2</v>
      </c>
      <c r="T94" s="5">
        <f t="shared" si="17"/>
        <v>3.14</v>
      </c>
      <c r="U94" s="5">
        <f t="shared" si="18"/>
        <v>3.2</v>
      </c>
      <c r="V94" s="5">
        <f t="shared" si="19"/>
        <v>3.13</v>
      </c>
    </row>
    <row r="95" spans="1:22" x14ac:dyDescent="0.2">
      <c r="A95" s="33" t="str">
        <f>IF(Tabela1[[#This Row],[Código]]="IBOV","^BVSP",IF(Tabela1[[#This Row],[Código]]="","",CONCATENATE(LEFT(Tabela1[[#This Row],[Código]],6),".SA")))</f>
        <v>RANI4.SA</v>
      </c>
      <c r="C95" s="3" t="s">
        <v>1033</v>
      </c>
      <c r="D95" s="3" t="s">
        <v>944</v>
      </c>
      <c r="E95" s="3" t="s">
        <v>460</v>
      </c>
      <c r="F95" s="3" t="s">
        <v>944</v>
      </c>
      <c r="G95" s="3" t="s">
        <v>460</v>
      </c>
      <c r="H95" s="45">
        <v>41689</v>
      </c>
      <c r="J95" s="3">
        <f t="shared" si="20"/>
        <v>3.68</v>
      </c>
      <c r="K95" s="3">
        <f t="shared" si="20"/>
        <v>3.5</v>
      </c>
      <c r="L95" s="3">
        <f t="shared" si="20"/>
        <v>3.68</v>
      </c>
      <c r="M95" s="3">
        <f t="shared" si="20"/>
        <v>3.5</v>
      </c>
      <c r="P95" s="14" t="s">
        <v>186</v>
      </c>
      <c r="Q95" s="10" t="str">
        <f t="shared" si="14"/>
        <v>CELUL IRANI -PN</v>
      </c>
      <c r="R95" s="51">
        <f t="shared" si="15"/>
        <v>41689</v>
      </c>
      <c r="S95" s="5">
        <f t="shared" si="16"/>
        <v>3.68</v>
      </c>
      <c r="T95" s="5">
        <f t="shared" si="17"/>
        <v>3.5</v>
      </c>
      <c r="U95" s="5">
        <f t="shared" si="18"/>
        <v>3.68</v>
      </c>
      <c r="V95" s="5">
        <f t="shared" si="19"/>
        <v>3.5</v>
      </c>
    </row>
    <row r="96" spans="1:22" x14ac:dyDescent="0.2">
      <c r="A96" s="33" t="str">
        <f>IF(Tabela1[[#This Row],[Código]]="IBOV","^BVSP",IF(Tabela1[[#This Row],[Código]]="","",CONCATENATE(LEFT(Tabela1[[#This Row],[Código]],6),".SA")))</f>
        <v>RDTR3.SA</v>
      </c>
      <c r="C96" s="3" t="s">
        <v>150</v>
      </c>
      <c r="D96" s="3" t="s">
        <v>1570</v>
      </c>
      <c r="E96" s="3" t="s">
        <v>741</v>
      </c>
      <c r="F96" s="3" t="s">
        <v>1209</v>
      </c>
      <c r="G96" s="3" t="s">
        <v>1570</v>
      </c>
      <c r="H96" s="51">
        <v>41689</v>
      </c>
      <c r="J96" s="3">
        <f t="shared" si="20"/>
        <v>4.9400000000000004</v>
      </c>
      <c r="K96" s="3">
        <f t="shared" si="20"/>
        <v>5</v>
      </c>
      <c r="L96" s="3">
        <f t="shared" si="20"/>
        <v>5.0999999999999996</v>
      </c>
      <c r="M96" s="3">
        <f t="shared" si="20"/>
        <v>4.9400000000000004</v>
      </c>
      <c r="P96" s="14" t="s">
        <v>65</v>
      </c>
      <c r="Q96" s="10" t="str">
        <f t="shared" si="14"/>
        <v>REDENTOR    -ON</v>
      </c>
      <c r="R96" s="51">
        <f t="shared" si="15"/>
        <v>41689</v>
      </c>
      <c r="S96" s="5">
        <f t="shared" si="16"/>
        <v>4.9400000000000004</v>
      </c>
      <c r="T96" s="5">
        <f t="shared" si="17"/>
        <v>5</v>
      </c>
      <c r="U96" s="5">
        <f t="shared" si="18"/>
        <v>5.0999999999999996</v>
      </c>
      <c r="V96" s="5">
        <f t="shared" si="19"/>
        <v>4.9400000000000004</v>
      </c>
    </row>
    <row r="97" spans="1:22" x14ac:dyDescent="0.2">
      <c r="A97" s="33" t="str">
        <f>IF(Tabela1[[#This Row],[Código]]="IBOV","^BVSP",IF(Tabela1[[#This Row],[Código]]="","",CONCATENATE(LEFT(Tabela1[[#This Row],[Código]],6),".SA")))</f>
        <v>RPAD3.SA</v>
      </c>
      <c r="C97" s="3" t="s">
        <v>194</v>
      </c>
      <c r="D97" s="3" t="s">
        <v>195</v>
      </c>
      <c r="E97" s="3" t="s">
        <v>195</v>
      </c>
      <c r="F97" s="3" t="s">
        <v>195</v>
      </c>
      <c r="G97" s="3" t="s">
        <v>195</v>
      </c>
      <c r="H97" s="51">
        <v>41689</v>
      </c>
      <c r="J97" s="3">
        <f t="shared" si="20"/>
        <v>3.08</v>
      </c>
      <c r="K97" s="3">
        <f t="shared" si="20"/>
        <v>3.08</v>
      </c>
      <c r="L97" s="3">
        <f t="shared" si="20"/>
        <v>3.08</v>
      </c>
      <c r="M97" s="3">
        <f t="shared" si="20"/>
        <v>3.08</v>
      </c>
      <c r="P97" s="15" t="s">
        <v>192</v>
      </c>
      <c r="Q97" s="10" t="str">
        <f t="shared" si="14"/>
        <v>ALFA HOLDING-ON</v>
      </c>
      <c r="R97" s="51">
        <f t="shared" si="15"/>
        <v>41689</v>
      </c>
      <c r="S97" s="5">
        <f t="shared" si="16"/>
        <v>3.08</v>
      </c>
      <c r="T97" s="5">
        <f t="shared" si="17"/>
        <v>3.08</v>
      </c>
      <c r="U97" s="5">
        <f t="shared" si="18"/>
        <v>3.08</v>
      </c>
      <c r="V97" s="5">
        <f t="shared" si="19"/>
        <v>3.08</v>
      </c>
    </row>
    <row r="98" spans="1:22" x14ac:dyDescent="0.2">
      <c r="A98" s="33" t="str">
        <f>IF(Tabela1[[#This Row],[Código]]="IBOV","^BVSP",IF(Tabela1[[#This Row],[Código]]="","",CONCATENATE(LEFT(Tabela1[[#This Row],[Código]],6),".SA")))</f>
        <v>RPAD5.SA</v>
      </c>
      <c r="C98" s="3" t="s">
        <v>797</v>
      </c>
      <c r="D98" s="3" t="s">
        <v>1227</v>
      </c>
      <c r="E98" s="3" t="s">
        <v>1227</v>
      </c>
      <c r="F98" s="3" t="s">
        <v>1227</v>
      </c>
      <c r="G98" s="3" t="s">
        <v>1227</v>
      </c>
      <c r="H98" s="51">
        <v>41689</v>
      </c>
      <c r="J98" s="3">
        <f t="shared" si="20"/>
        <v>5.75</v>
      </c>
      <c r="K98" s="3">
        <f t="shared" si="20"/>
        <v>5.75</v>
      </c>
      <c r="L98" s="3">
        <f t="shared" si="20"/>
        <v>5.75</v>
      </c>
      <c r="M98" s="3">
        <f t="shared" si="20"/>
        <v>5.75</v>
      </c>
      <c r="P98" s="15" t="s">
        <v>76</v>
      </c>
      <c r="Q98" s="10" t="str">
        <f t="shared" si="14"/>
        <v>ALFA HOLDING-PNA</v>
      </c>
      <c r="R98" s="51">
        <f t="shared" si="15"/>
        <v>41689</v>
      </c>
      <c r="S98" s="5">
        <f t="shared" si="16"/>
        <v>5.75</v>
      </c>
      <c r="T98" s="5">
        <f t="shared" si="17"/>
        <v>5.75</v>
      </c>
      <c r="U98" s="5">
        <f t="shared" si="18"/>
        <v>5.75</v>
      </c>
      <c r="V98" s="5">
        <f t="shared" si="19"/>
        <v>5.75</v>
      </c>
    </row>
    <row r="99" spans="1:22" x14ac:dyDescent="0.2">
      <c r="A99" s="33" t="str">
        <f>IF(Tabela1[[#This Row],[Código]]="IBOV","^BVSP",IF(Tabela1[[#This Row],[Código]]="","",CONCATENATE(LEFT(Tabela1[[#This Row],[Código]],6),".SA")))</f>
        <v>RPAD6.SA</v>
      </c>
      <c r="C99" s="3" t="s">
        <v>196</v>
      </c>
      <c r="D99" s="3" t="s">
        <v>980</v>
      </c>
      <c r="E99" s="3" t="s">
        <v>980</v>
      </c>
      <c r="F99" s="3" t="s">
        <v>980</v>
      </c>
      <c r="G99" s="3" t="s">
        <v>980</v>
      </c>
      <c r="H99" s="51">
        <v>41689</v>
      </c>
      <c r="J99" s="3">
        <f t="shared" si="20"/>
        <v>2.23</v>
      </c>
      <c r="K99" s="3">
        <f t="shared" si="20"/>
        <v>2.23</v>
      </c>
      <c r="L99" s="3">
        <f t="shared" si="20"/>
        <v>2.23</v>
      </c>
      <c r="M99" s="3">
        <f t="shared" si="20"/>
        <v>2.23</v>
      </c>
      <c r="P99" s="15" t="s">
        <v>193</v>
      </c>
      <c r="Q99" s="10" t="str">
        <f t="shared" si="14"/>
        <v>ALFA HOLDING-PNB</v>
      </c>
      <c r="R99" s="51">
        <f t="shared" si="15"/>
        <v>41689</v>
      </c>
      <c r="S99" s="5">
        <f t="shared" si="16"/>
        <v>2.23</v>
      </c>
      <c r="T99" s="5">
        <f t="shared" si="17"/>
        <v>2.23</v>
      </c>
      <c r="U99" s="5">
        <f t="shared" si="18"/>
        <v>2.23</v>
      </c>
      <c r="V99" s="5">
        <f t="shared" si="19"/>
        <v>2.23</v>
      </c>
    </row>
    <row r="100" spans="1:22" x14ac:dyDescent="0.2">
      <c r="A100" s="33" t="str">
        <f>IF(Tabela1[[#This Row],[Código]]="IBOV","^BVSP",IF(Tabela1[[#This Row],[Código]]="","",CONCATENATE(LEFT(Tabela1[[#This Row],[Código]],6),".SA")))</f>
        <v>SAPR3.SA</v>
      </c>
      <c r="C100" s="3" t="s">
        <v>665</v>
      </c>
      <c r="D100" s="3" t="s">
        <v>184</v>
      </c>
      <c r="E100" s="3" t="s">
        <v>184</v>
      </c>
      <c r="F100" s="3" t="s">
        <v>184</v>
      </c>
      <c r="G100" s="3" t="s">
        <v>184</v>
      </c>
      <c r="H100" s="51">
        <v>41689</v>
      </c>
      <c r="J100" s="3">
        <f t="shared" si="20"/>
        <v>8.19</v>
      </c>
      <c r="K100" s="3">
        <f t="shared" si="20"/>
        <v>8.19</v>
      </c>
      <c r="L100" s="3">
        <f t="shared" si="20"/>
        <v>8.19</v>
      </c>
      <c r="M100" s="3">
        <f t="shared" si="20"/>
        <v>8.19</v>
      </c>
      <c r="P100" s="14" t="s">
        <v>183</v>
      </c>
      <c r="Q100" s="10" t="str">
        <f t="shared" si="14"/>
        <v>SANEPAR     -ON</v>
      </c>
      <c r="R100" s="51">
        <f t="shared" si="15"/>
        <v>41689</v>
      </c>
      <c r="S100" s="5">
        <f t="shared" si="16"/>
        <v>8.19</v>
      </c>
      <c r="T100" s="5">
        <f t="shared" si="17"/>
        <v>8.19</v>
      </c>
      <c r="U100" s="5">
        <f t="shared" si="18"/>
        <v>8.19</v>
      </c>
      <c r="V100" s="5">
        <f t="shared" si="19"/>
        <v>8.19</v>
      </c>
    </row>
    <row r="101" spans="1:22" x14ac:dyDescent="0.2">
      <c r="A101" s="33" t="str">
        <f>IF(Tabela1[[#This Row],[Código]]="IBOV","^BVSP",IF(Tabela1[[#This Row],[Código]]="","",CONCATENATE(LEFT(Tabela1[[#This Row],[Código]],6),".SA")))</f>
        <v>SAPR4.SA</v>
      </c>
      <c r="C101" s="3" t="s">
        <v>666</v>
      </c>
      <c r="D101" s="3" t="s">
        <v>1272</v>
      </c>
      <c r="E101" s="3" t="s">
        <v>1209</v>
      </c>
      <c r="F101" s="3" t="s">
        <v>979</v>
      </c>
      <c r="G101" s="3" t="s">
        <v>1272</v>
      </c>
      <c r="H101" s="51">
        <v>41689</v>
      </c>
      <c r="J101" s="3">
        <f t="shared" si="20"/>
        <v>4.83</v>
      </c>
      <c r="K101" s="3">
        <f t="shared" si="20"/>
        <v>5.0999999999999996</v>
      </c>
      <c r="L101" s="3">
        <f t="shared" si="20"/>
        <v>5.3</v>
      </c>
      <c r="M101" s="3">
        <f t="shared" si="20"/>
        <v>4.83</v>
      </c>
      <c r="P101" s="14" t="s">
        <v>66</v>
      </c>
      <c r="Q101" s="10" t="str">
        <f t="shared" si="14"/>
        <v>SANEPAR     -PN</v>
      </c>
      <c r="R101" s="51">
        <f t="shared" si="15"/>
        <v>41689</v>
      </c>
      <c r="S101" s="5">
        <f t="shared" si="16"/>
        <v>4.83</v>
      </c>
      <c r="T101" s="5">
        <f t="shared" si="17"/>
        <v>5.0999999999999996</v>
      </c>
      <c r="U101" s="5">
        <f t="shared" si="18"/>
        <v>5.3</v>
      </c>
      <c r="V101" s="5">
        <f t="shared" si="19"/>
        <v>4.83</v>
      </c>
    </row>
    <row r="102" spans="1:22" x14ac:dyDescent="0.2">
      <c r="A102" s="33" t="str">
        <f>IF(Tabela1[[#This Row],[Código]]="IBOV","^BVSP",IF(Tabela1[[#This Row],[Código]]="","",CONCATENATE(LEFT(Tabela1[[#This Row],[Código]],6),".SA")))</f>
        <v>SBSP3.SA</v>
      </c>
      <c r="C102" s="3" t="s">
        <v>151</v>
      </c>
      <c r="D102" s="3" t="s">
        <v>1749</v>
      </c>
      <c r="E102" s="3" t="s">
        <v>1934</v>
      </c>
      <c r="F102" s="3" t="s">
        <v>1750</v>
      </c>
      <c r="G102" s="3" t="s">
        <v>1751</v>
      </c>
      <c r="H102" s="51">
        <v>41689</v>
      </c>
      <c r="J102" s="3">
        <f t="shared" si="20"/>
        <v>20.95</v>
      </c>
      <c r="K102" s="3">
        <f t="shared" si="20"/>
        <v>21.15</v>
      </c>
      <c r="L102" s="3">
        <f t="shared" si="20"/>
        <v>21.44</v>
      </c>
      <c r="M102" s="3">
        <f t="shared" si="20"/>
        <v>20.84</v>
      </c>
      <c r="P102" s="14" t="s">
        <v>36</v>
      </c>
      <c r="Q102" s="10" t="str">
        <f t="shared" si="14"/>
        <v xml:space="preserve">SABESP      -ON  </v>
      </c>
      <c r="R102" s="51">
        <f t="shared" si="15"/>
        <v>41689</v>
      </c>
      <c r="S102" s="5">
        <f t="shared" si="16"/>
        <v>20.95</v>
      </c>
      <c r="T102" s="5">
        <f t="shared" si="17"/>
        <v>21.15</v>
      </c>
      <c r="U102" s="5">
        <f t="shared" si="18"/>
        <v>21.44</v>
      </c>
      <c r="V102" s="5">
        <f t="shared" si="19"/>
        <v>20.84</v>
      </c>
    </row>
    <row r="103" spans="1:22" x14ac:dyDescent="0.2">
      <c r="A103" s="33" t="str">
        <f>IF(Tabela1[[#This Row],[Código]]="IBOV","^BVSP",IF(Tabela1[[#This Row],[Código]]="","",CONCATENATE(LEFT(Tabela1[[#This Row],[Código]],6),".SA")))</f>
        <v>SFSA4.SA</v>
      </c>
      <c r="C103" s="3" t="s">
        <v>152</v>
      </c>
      <c r="D103" s="3" t="s">
        <v>1060</v>
      </c>
      <c r="E103" s="3" t="s">
        <v>1571</v>
      </c>
      <c r="F103" s="3" t="s">
        <v>1571</v>
      </c>
      <c r="G103" s="3" t="s">
        <v>996</v>
      </c>
      <c r="H103" s="51">
        <v>41689</v>
      </c>
      <c r="J103" s="3">
        <f t="shared" si="20"/>
        <v>2.76</v>
      </c>
      <c r="K103" s="3">
        <f t="shared" si="20"/>
        <v>2.82</v>
      </c>
      <c r="L103" s="3">
        <f t="shared" si="20"/>
        <v>2.82</v>
      </c>
      <c r="M103" s="3">
        <f t="shared" si="20"/>
        <v>2.75</v>
      </c>
      <c r="P103" s="15" t="s">
        <v>75</v>
      </c>
      <c r="Q103" s="10" t="str">
        <f t="shared" ref="Q103:Q112" si="21">IF(A103="","",C103)</f>
        <v xml:space="preserve">SOFISA      -PN  </v>
      </c>
      <c r="R103" s="51">
        <f t="shared" ref="R103:R112" si="22">IF(A103="","",H103)</f>
        <v>41689</v>
      </c>
      <c r="S103" s="5">
        <f t="shared" ref="S103:S112" si="23">J103</f>
        <v>2.76</v>
      </c>
      <c r="T103" s="5">
        <f t="shared" ref="T103:T112" si="24">K103</f>
        <v>2.82</v>
      </c>
      <c r="U103" s="5">
        <f t="shared" ref="U103:U112" si="25">L103</f>
        <v>2.82</v>
      </c>
      <c r="V103" s="5">
        <f t="shared" ref="V103:V112" si="26">M103</f>
        <v>2.75</v>
      </c>
    </row>
    <row r="104" spans="1:22" x14ac:dyDescent="0.2">
      <c r="A104" s="33" t="str">
        <f>IF(Tabela1[[#This Row],[Código]]="IBOV","^BVSP",IF(Tabela1[[#This Row],[Código]]="","",CONCATENATE(LEFT(Tabela1[[#This Row],[Código]],6),".SA")))</f>
        <v>SUZB5.SA</v>
      </c>
      <c r="C104" s="3" t="s">
        <v>153</v>
      </c>
      <c r="D104" s="3" t="s">
        <v>1593</v>
      </c>
      <c r="E104" s="3" t="s">
        <v>1260</v>
      </c>
      <c r="F104" s="3" t="s">
        <v>106</v>
      </c>
      <c r="G104" s="3" t="s">
        <v>1753</v>
      </c>
      <c r="H104" s="51">
        <v>41689</v>
      </c>
      <c r="J104" s="3">
        <f t="shared" si="20"/>
        <v>8.84</v>
      </c>
      <c r="K104" s="3">
        <f t="shared" si="20"/>
        <v>8.9</v>
      </c>
      <c r="L104" s="3">
        <f t="shared" si="20"/>
        <v>9</v>
      </c>
      <c r="M104" s="3">
        <f t="shared" si="20"/>
        <v>8.82</v>
      </c>
      <c r="P104" s="15" t="s">
        <v>18</v>
      </c>
      <c r="Q104" s="10" t="str">
        <f t="shared" si="21"/>
        <v xml:space="preserve">SUZANO PAPEL-PNA </v>
      </c>
      <c r="R104" s="51">
        <f t="shared" si="22"/>
        <v>41689</v>
      </c>
      <c r="S104" s="5">
        <f t="shared" si="23"/>
        <v>8.84</v>
      </c>
      <c r="T104" s="5">
        <f t="shared" si="24"/>
        <v>8.9</v>
      </c>
      <c r="U104" s="5">
        <f t="shared" si="25"/>
        <v>9</v>
      </c>
      <c r="V104" s="5">
        <f t="shared" si="26"/>
        <v>8.82</v>
      </c>
    </row>
    <row r="105" spans="1:22" x14ac:dyDescent="0.2">
      <c r="A105" s="33" t="str">
        <f>IF(Tabela1[[#This Row],[Código]]="IBOV","^BVSP",IF(Tabela1[[#This Row],[Código]]="","",CONCATENATE(LEFT(Tabela1[[#This Row],[Código]],6),".SA")))</f>
        <v>SUZB6.SA</v>
      </c>
      <c r="C105" s="3" t="s">
        <v>191</v>
      </c>
      <c r="D105" s="3" t="s">
        <v>1572</v>
      </c>
      <c r="E105" s="3" t="s">
        <v>1572</v>
      </c>
      <c r="F105" s="3" t="s">
        <v>1572</v>
      </c>
      <c r="G105" s="3" t="s">
        <v>1572</v>
      </c>
      <c r="H105" s="51">
        <v>41689</v>
      </c>
      <c r="J105" s="3">
        <f t="shared" si="20"/>
        <v>7.8</v>
      </c>
      <c r="K105" s="3">
        <f t="shared" si="20"/>
        <v>7.8</v>
      </c>
      <c r="L105" s="3">
        <f t="shared" si="20"/>
        <v>7.8</v>
      </c>
      <c r="M105" s="3">
        <f t="shared" si="20"/>
        <v>7.8</v>
      </c>
      <c r="P105" s="15" t="s">
        <v>189</v>
      </c>
      <c r="Q105" s="10" t="str">
        <f t="shared" si="21"/>
        <v xml:space="preserve">SUZANO PAPEL-PNB </v>
      </c>
      <c r="R105" s="51">
        <f t="shared" si="22"/>
        <v>41689</v>
      </c>
      <c r="S105" s="5">
        <f t="shared" si="23"/>
        <v>7.8</v>
      </c>
      <c r="T105" s="5">
        <f t="shared" si="24"/>
        <v>7.8</v>
      </c>
      <c r="U105" s="5">
        <f t="shared" si="25"/>
        <v>7.8</v>
      </c>
      <c r="V105" s="5">
        <f t="shared" si="26"/>
        <v>7.8</v>
      </c>
    </row>
    <row r="106" spans="1:22" x14ac:dyDescent="0.2">
      <c r="A106" s="33" t="str">
        <f>IF(Tabela1[[#This Row],[Código]]="IBOV","^BVSP",IF(Tabela1[[#This Row],[Código]]="","",CONCATENATE(LEFT(Tabela1[[#This Row],[Código]],6),".SA")))</f>
        <v>TAEE11.SA</v>
      </c>
      <c r="C106" s="3" t="s">
        <v>154</v>
      </c>
      <c r="D106" s="3" t="s">
        <v>1035</v>
      </c>
      <c r="E106" s="3" t="s">
        <v>1935</v>
      </c>
      <c r="F106" s="3" t="s">
        <v>1936</v>
      </c>
      <c r="G106" s="3" t="s">
        <v>1544</v>
      </c>
      <c r="H106" s="51">
        <v>41689</v>
      </c>
      <c r="J106" s="3">
        <f t="shared" si="20"/>
        <v>17.21</v>
      </c>
      <c r="K106" s="3">
        <f t="shared" si="20"/>
        <v>17.48</v>
      </c>
      <c r="L106" s="3">
        <f t="shared" si="20"/>
        <v>17.66</v>
      </c>
      <c r="M106" s="3">
        <f t="shared" si="20"/>
        <v>17.059999999999999</v>
      </c>
      <c r="P106" s="14" t="s">
        <v>56</v>
      </c>
      <c r="Q106" s="10" t="str">
        <f t="shared" si="21"/>
        <v xml:space="preserve">TAESA       -UNT </v>
      </c>
      <c r="R106" s="51">
        <f t="shared" si="22"/>
        <v>41689</v>
      </c>
      <c r="S106" s="5">
        <f t="shared" si="23"/>
        <v>17.21</v>
      </c>
      <c r="T106" s="5">
        <f t="shared" si="24"/>
        <v>17.48</v>
      </c>
      <c r="U106" s="5">
        <f t="shared" si="25"/>
        <v>17.66</v>
      </c>
      <c r="V106" s="5">
        <f t="shared" si="26"/>
        <v>17.059999999999999</v>
      </c>
    </row>
    <row r="107" spans="1:22" x14ac:dyDescent="0.2">
      <c r="A107" s="33" t="str">
        <f>IF(Tabela1[[#This Row],[Código]]="IBOV","^BVSP",IF(Tabela1[[#This Row],[Código]]="","",CONCATENATE(LEFT(Tabela1[[#This Row],[Código]],6),".SA")))</f>
        <v>TBLE3.SA</v>
      </c>
      <c r="C107" s="3" t="s">
        <v>178</v>
      </c>
      <c r="D107" s="3" t="s">
        <v>1754</v>
      </c>
      <c r="E107" s="3" t="s">
        <v>1937</v>
      </c>
      <c r="F107" s="3" t="s">
        <v>1938</v>
      </c>
      <c r="G107" s="3" t="s">
        <v>1754</v>
      </c>
      <c r="H107" s="51">
        <v>41689</v>
      </c>
      <c r="J107" s="3">
        <f t="shared" si="20"/>
        <v>32.14</v>
      </c>
      <c r="K107" s="3">
        <f t="shared" si="20"/>
        <v>33.89</v>
      </c>
      <c r="L107" s="3">
        <f t="shared" si="20"/>
        <v>34.07</v>
      </c>
      <c r="M107" s="3">
        <f t="shared" si="20"/>
        <v>32.14</v>
      </c>
      <c r="P107" s="14" t="s">
        <v>177</v>
      </c>
      <c r="Q107" s="10" t="str">
        <f t="shared" si="21"/>
        <v xml:space="preserve">TRACTEBEL   -ON  </v>
      </c>
      <c r="R107" s="51">
        <f t="shared" si="22"/>
        <v>41689</v>
      </c>
      <c r="S107" s="5">
        <f t="shared" si="23"/>
        <v>32.14</v>
      </c>
      <c r="T107" s="5">
        <f t="shared" si="24"/>
        <v>33.89</v>
      </c>
      <c r="U107" s="5">
        <f t="shared" si="25"/>
        <v>34.07</v>
      </c>
      <c r="V107" s="5">
        <f t="shared" si="26"/>
        <v>32.14</v>
      </c>
    </row>
    <row r="108" spans="1:22" x14ac:dyDescent="0.2">
      <c r="A108" s="33" t="str">
        <f>IF(Tabela1[[#This Row],[Código]]="IBOV","^BVSP",IF(Tabela1[[#This Row],[Código]]="","",CONCATENATE(LEFT(Tabela1[[#This Row],[Código]],6),".SA")))</f>
        <v>TRPL3.SA</v>
      </c>
      <c r="C108" s="3" t="s">
        <v>160</v>
      </c>
      <c r="D108" s="3" t="s">
        <v>749</v>
      </c>
      <c r="E108" s="3" t="s">
        <v>749</v>
      </c>
      <c r="F108" s="3" t="s">
        <v>749</v>
      </c>
      <c r="G108" s="3" t="s">
        <v>749</v>
      </c>
      <c r="H108" s="51">
        <v>41689</v>
      </c>
      <c r="J108" s="3">
        <f t="shared" si="20"/>
        <v>45.8</v>
      </c>
      <c r="K108" s="3">
        <f t="shared" si="20"/>
        <v>45.8</v>
      </c>
      <c r="L108" s="3">
        <f t="shared" si="20"/>
        <v>45.8</v>
      </c>
      <c r="M108" s="3">
        <f t="shared" si="20"/>
        <v>45.8</v>
      </c>
      <c r="P108" s="14" t="s">
        <v>157</v>
      </c>
      <c r="Q108" s="10" t="str">
        <f t="shared" si="21"/>
        <v xml:space="preserve">TRAN PAULIST-ON  </v>
      </c>
      <c r="R108" s="51">
        <f t="shared" si="22"/>
        <v>41689</v>
      </c>
      <c r="S108" s="5">
        <f t="shared" si="23"/>
        <v>45.8</v>
      </c>
      <c r="T108" s="5">
        <f t="shared" si="24"/>
        <v>45.8</v>
      </c>
      <c r="U108" s="5">
        <f t="shared" si="25"/>
        <v>45.8</v>
      </c>
      <c r="V108" s="5">
        <f t="shared" si="26"/>
        <v>45.8</v>
      </c>
    </row>
    <row r="109" spans="1:22" x14ac:dyDescent="0.2">
      <c r="A109" s="33" t="str">
        <f>IF(Tabela1[[#This Row],[Código]]="IBOV","^BVSP",IF(Tabela1[[#This Row],[Código]]="","",CONCATENATE(LEFT(Tabela1[[#This Row],[Código]],6),".SA")))</f>
        <v>TRPL4.SA</v>
      </c>
      <c r="C109" s="3" t="s">
        <v>161</v>
      </c>
      <c r="D109" s="3" t="s">
        <v>1755</v>
      </c>
      <c r="E109" s="3" t="s">
        <v>1734</v>
      </c>
      <c r="F109" s="3" t="s">
        <v>1160</v>
      </c>
      <c r="G109" s="3" t="s">
        <v>1756</v>
      </c>
      <c r="H109" s="51">
        <v>41689</v>
      </c>
      <c r="J109" s="3">
        <f t="shared" si="20"/>
        <v>24.48</v>
      </c>
      <c r="K109" s="3">
        <f t="shared" si="20"/>
        <v>24.18</v>
      </c>
      <c r="L109" s="3">
        <f t="shared" si="20"/>
        <v>24.98</v>
      </c>
      <c r="M109" s="3">
        <f t="shared" si="20"/>
        <v>23.77</v>
      </c>
      <c r="P109" s="14" t="s">
        <v>158</v>
      </c>
      <c r="Q109" s="10" t="str">
        <f t="shared" si="21"/>
        <v xml:space="preserve">TRAN PAULIST-PN  </v>
      </c>
      <c r="R109" s="51">
        <f t="shared" si="22"/>
        <v>41689</v>
      </c>
      <c r="S109" s="5">
        <f t="shared" si="23"/>
        <v>24.48</v>
      </c>
      <c r="T109" s="5">
        <f t="shared" si="24"/>
        <v>24.18</v>
      </c>
      <c r="U109" s="5">
        <f t="shared" si="25"/>
        <v>24.98</v>
      </c>
      <c r="V109" s="5">
        <f t="shared" si="26"/>
        <v>23.77</v>
      </c>
    </row>
    <row r="110" spans="1:22" x14ac:dyDescent="0.2">
      <c r="A110" s="33" t="str">
        <f>IF(Tabela1[[#This Row],[Código]]="IBOV","^BVSP",IF(Tabela1[[#This Row],[Código]]="","",CONCATENATE(LEFT(Tabela1[[#This Row],[Código]],6),".SA")))</f>
        <v>UNIP5.SA</v>
      </c>
      <c r="C110" s="3" t="s">
        <v>155</v>
      </c>
      <c r="D110" s="3" t="s">
        <v>966</v>
      </c>
      <c r="E110" s="3" t="s">
        <v>966</v>
      </c>
      <c r="F110" s="3" t="s">
        <v>966</v>
      </c>
      <c r="G110" s="3" t="s">
        <v>966</v>
      </c>
      <c r="H110" s="51">
        <v>41689</v>
      </c>
      <c r="J110" s="3">
        <f t="shared" si="20"/>
        <v>0.6</v>
      </c>
      <c r="K110" s="3">
        <f t="shared" si="20"/>
        <v>0.6</v>
      </c>
      <c r="L110" s="3">
        <f t="shared" si="20"/>
        <v>0.6</v>
      </c>
      <c r="M110" s="3">
        <f t="shared" si="20"/>
        <v>0.6</v>
      </c>
      <c r="P110" s="15" t="s">
        <v>73</v>
      </c>
      <c r="Q110" s="10" t="str">
        <f t="shared" si="21"/>
        <v>UNIPAR      -PNA</v>
      </c>
      <c r="R110" s="51">
        <f t="shared" si="22"/>
        <v>41689</v>
      </c>
      <c r="S110" s="5">
        <f t="shared" si="23"/>
        <v>0.6</v>
      </c>
      <c r="T110" s="5">
        <f t="shared" si="24"/>
        <v>0.6</v>
      </c>
      <c r="U110" s="5">
        <f t="shared" si="25"/>
        <v>0.6</v>
      </c>
      <c r="V110" s="5">
        <f t="shared" si="26"/>
        <v>0.6</v>
      </c>
    </row>
    <row r="111" spans="1:22" x14ac:dyDescent="0.2">
      <c r="A111" s="33" t="str">
        <f>IF(Tabela1[[#This Row],[Código]]="IBOV","^BVSP",IF(Tabela1[[#This Row],[Código]]="","",CONCATENATE(LEFT(Tabela1[[#This Row],[Código]],6),".SA")))</f>
        <v>UNIP6.SA</v>
      </c>
      <c r="C111" s="3" t="s">
        <v>156</v>
      </c>
      <c r="D111" s="3" t="s">
        <v>1554</v>
      </c>
      <c r="E111" s="3" t="s">
        <v>708</v>
      </c>
      <c r="F111" s="3" t="s">
        <v>708</v>
      </c>
      <c r="G111" s="3" t="s">
        <v>747</v>
      </c>
      <c r="H111" s="51">
        <v>41689</v>
      </c>
      <c r="J111" s="3">
        <f t="shared" si="20"/>
        <v>0.44</v>
      </c>
      <c r="K111" s="3">
        <f t="shared" si="20"/>
        <v>0.45</v>
      </c>
      <c r="L111" s="3">
        <f t="shared" si="20"/>
        <v>0.45</v>
      </c>
      <c r="M111" s="3">
        <f t="shared" si="20"/>
        <v>0.43</v>
      </c>
      <c r="P111" s="14" t="s">
        <v>39</v>
      </c>
      <c r="Q111" s="10" t="str">
        <f t="shared" si="21"/>
        <v>UNIPAR      -PNB</v>
      </c>
      <c r="R111" s="51">
        <f t="shared" si="22"/>
        <v>41689</v>
      </c>
      <c r="S111" s="5">
        <f t="shared" si="23"/>
        <v>0.44</v>
      </c>
      <c r="T111" s="5">
        <f t="shared" si="24"/>
        <v>0.45</v>
      </c>
      <c r="U111" s="5">
        <f t="shared" si="25"/>
        <v>0.45</v>
      </c>
      <c r="V111" s="5">
        <f t="shared" si="26"/>
        <v>0.43</v>
      </c>
    </row>
    <row r="112" spans="1:22" x14ac:dyDescent="0.2">
      <c r="A112" s="33" t="str">
        <f>IF(Tabela1[[#This Row],[Código]]="IBOV","^BVSP",IF(Tabela1[[#This Row],[Código]]="","",CONCATENATE(LEFT(Tabela1[[#This Row],[Código]],6),".SA")))</f>
        <v>PATI3.SA</v>
      </c>
      <c r="C112" s="3" t="s">
        <v>425</v>
      </c>
      <c r="D112" s="3" t="s">
        <v>415</v>
      </c>
      <c r="E112" s="3" t="s">
        <v>415</v>
      </c>
      <c r="F112" s="3" t="s">
        <v>415</v>
      </c>
      <c r="G112" s="3" t="s">
        <v>415</v>
      </c>
      <c r="H112" s="51">
        <v>41689</v>
      </c>
      <c r="J112" s="3">
        <f t="shared" ref="J112:J121" si="27">IF($A112="",0,VALUE(CONCATENATE(LEFT(D112,LEN(D112)-3),",",RIGHT(D112,2))))</f>
        <v>20</v>
      </c>
      <c r="K112" s="3">
        <f t="shared" si="20"/>
        <v>20</v>
      </c>
      <c r="L112" s="3">
        <f t="shared" si="20"/>
        <v>20</v>
      </c>
      <c r="M112" s="3">
        <f t="shared" si="20"/>
        <v>20</v>
      </c>
      <c r="P112" s="3" t="s">
        <v>422</v>
      </c>
      <c r="Q112" s="10" t="str">
        <f t="shared" si="21"/>
        <v>PANATLANTICA-ON</v>
      </c>
      <c r="R112" s="51">
        <f t="shared" si="22"/>
        <v>41689</v>
      </c>
      <c r="S112" s="5">
        <f t="shared" si="23"/>
        <v>20</v>
      </c>
      <c r="T112" s="5">
        <f t="shared" si="24"/>
        <v>20</v>
      </c>
      <c r="U112" s="5">
        <f t="shared" si="25"/>
        <v>20</v>
      </c>
      <c r="V112" s="5">
        <f t="shared" si="26"/>
        <v>20</v>
      </c>
    </row>
    <row r="113" spans="1:22" x14ac:dyDescent="0.2">
      <c r="A113" s="33"/>
      <c r="C113" s="3" t="s">
        <v>101</v>
      </c>
      <c r="H113" s="51"/>
      <c r="J113" s="3">
        <f t="shared" si="27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8">IF(A117="","",C117)</f>
        <v/>
      </c>
      <c r="R113" s="51" t="str">
        <f t="shared" ref="R113:R131" si="29">IF(A117="","",H117)</f>
        <v/>
      </c>
      <c r="S113" s="5">
        <f t="shared" ref="S113:S131" si="30">J117</f>
        <v>0</v>
      </c>
      <c r="T113" s="5">
        <f t="shared" ref="T113:T131" si="31">K117</f>
        <v>0</v>
      </c>
      <c r="U113" s="5">
        <f t="shared" ref="U113:U131" si="32">L117</f>
        <v>0</v>
      </c>
      <c r="V113" s="5">
        <f t="shared" ref="V113:V131" si="33">M117</f>
        <v>0</v>
      </c>
    </row>
    <row r="114" spans="1:22" x14ac:dyDescent="0.2">
      <c r="A114" s="33"/>
      <c r="J114" s="3">
        <f t="shared" si="27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8"/>
        <v/>
      </c>
      <c r="R114" s="51" t="str">
        <f t="shared" si="29"/>
        <v/>
      </c>
      <c r="S114" s="5">
        <f t="shared" si="30"/>
        <v>0</v>
      </c>
      <c r="T114" s="5">
        <f t="shared" si="31"/>
        <v>0</v>
      </c>
      <c r="U114" s="5">
        <f t="shared" si="32"/>
        <v>0</v>
      </c>
      <c r="V114" s="5">
        <f t="shared" si="33"/>
        <v>0</v>
      </c>
    </row>
    <row r="115" spans="1:22" x14ac:dyDescent="0.2">
      <c r="A115" s="33"/>
      <c r="J115" s="3">
        <f t="shared" si="27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8"/>
        <v/>
      </c>
      <c r="R115" s="51" t="str">
        <f t="shared" si="29"/>
        <v/>
      </c>
      <c r="S115" s="5">
        <f t="shared" si="30"/>
        <v>0</v>
      </c>
      <c r="T115" s="5">
        <f t="shared" si="31"/>
        <v>0</v>
      </c>
      <c r="U115" s="5">
        <f t="shared" si="32"/>
        <v>0</v>
      </c>
      <c r="V115" s="5">
        <f t="shared" si="33"/>
        <v>0</v>
      </c>
    </row>
    <row r="116" spans="1:22" x14ac:dyDescent="0.2">
      <c r="A116" s="33"/>
      <c r="J116" s="3">
        <f t="shared" si="27"/>
        <v>0</v>
      </c>
      <c r="K116" s="3">
        <f t="shared" ref="K116:M172" si="34">IF($A116="",0,VALUE(CONCATENATE(LEFT(E116,LEN(E116)-3),",",RIGHT(E116,2))))</f>
        <v>0</v>
      </c>
      <c r="L116" s="3">
        <f t="shared" si="34"/>
        <v>0</v>
      </c>
      <c r="M116" s="3">
        <f t="shared" si="34"/>
        <v>0</v>
      </c>
      <c r="Q116" s="10" t="str">
        <f t="shared" si="28"/>
        <v/>
      </c>
      <c r="R116" s="51" t="str">
        <f t="shared" si="29"/>
        <v/>
      </c>
      <c r="S116" s="5">
        <f t="shared" si="30"/>
        <v>0</v>
      </c>
      <c r="T116" s="5">
        <f t="shared" si="31"/>
        <v>0</v>
      </c>
      <c r="U116" s="5">
        <f t="shared" si="32"/>
        <v>0</v>
      </c>
      <c r="V116" s="5">
        <f t="shared" si="33"/>
        <v>0</v>
      </c>
    </row>
    <row r="117" spans="1:22" x14ac:dyDescent="0.2">
      <c r="A117" s="33"/>
      <c r="J117" s="3">
        <f t="shared" si="27"/>
        <v>0</v>
      </c>
      <c r="K117" s="3">
        <f t="shared" si="34"/>
        <v>0</v>
      </c>
      <c r="L117" s="3">
        <f t="shared" si="34"/>
        <v>0</v>
      </c>
      <c r="M117" s="3">
        <f t="shared" si="34"/>
        <v>0</v>
      </c>
      <c r="Q117" s="10" t="e">
        <f t="shared" si="28"/>
        <v>#VALUE!</v>
      </c>
      <c r="R117" s="51" t="e">
        <f t="shared" si="29"/>
        <v>#VALUE!</v>
      </c>
      <c r="S117" s="5" t="e">
        <f t="shared" si="30"/>
        <v>#VALUE!</v>
      </c>
      <c r="T117" s="5" t="e">
        <f t="shared" si="31"/>
        <v>#VALUE!</v>
      </c>
      <c r="U117" s="5" t="e">
        <f t="shared" si="32"/>
        <v>#VALUE!</v>
      </c>
      <c r="V117" s="5" t="e">
        <f t="shared" si="33"/>
        <v>#VALUE!</v>
      </c>
    </row>
    <row r="118" spans="1:22" x14ac:dyDescent="0.2">
      <c r="A118" s="33"/>
      <c r="J118" s="3">
        <f t="shared" si="27"/>
        <v>0</v>
      </c>
      <c r="K118" s="3">
        <f t="shared" si="34"/>
        <v>0</v>
      </c>
      <c r="L118" s="3">
        <f t="shared" si="34"/>
        <v>0</v>
      </c>
      <c r="M118" s="3">
        <f t="shared" si="34"/>
        <v>0</v>
      </c>
      <c r="Q118" s="10" t="e">
        <f t="shared" si="28"/>
        <v>#VALUE!</v>
      </c>
      <c r="R118" s="51" t="e">
        <f t="shared" si="29"/>
        <v>#VALUE!</v>
      </c>
      <c r="S118" s="5" t="e">
        <f t="shared" si="30"/>
        <v>#VALUE!</v>
      </c>
      <c r="T118" s="5" t="e">
        <f t="shared" si="31"/>
        <v>#VALUE!</v>
      </c>
      <c r="U118" s="5" t="e">
        <f t="shared" si="32"/>
        <v>#VALUE!</v>
      </c>
      <c r="V118" s="5" t="e">
        <f t="shared" si="33"/>
        <v>#VALUE!</v>
      </c>
    </row>
    <row r="119" spans="1:22" x14ac:dyDescent="0.2">
      <c r="A119" s="33"/>
      <c r="J119" s="3">
        <f t="shared" si="27"/>
        <v>0</v>
      </c>
      <c r="K119" s="3">
        <f t="shared" si="34"/>
        <v>0</v>
      </c>
      <c r="L119" s="3">
        <f t="shared" si="34"/>
        <v>0</v>
      </c>
      <c r="M119" s="3">
        <f t="shared" si="34"/>
        <v>0</v>
      </c>
      <c r="Q119" s="10" t="e">
        <f t="shared" si="28"/>
        <v>#VALUE!</v>
      </c>
      <c r="R119" s="51" t="e">
        <f t="shared" si="29"/>
        <v>#VALUE!</v>
      </c>
      <c r="S119" s="5" t="e">
        <f t="shared" si="30"/>
        <v>#VALUE!</v>
      </c>
      <c r="T119" s="5" t="e">
        <f t="shared" si="31"/>
        <v>#VALUE!</v>
      </c>
      <c r="U119" s="5" t="e">
        <f t="shared" si="32"/>
        <v>#VALUE!</v>
      </c>
      <c r="V119" s="5" t="e">
        <f t="shared" si="33"/>
        <v>#VALUE!</v>
      </c>
    </row>
    <row r="120" spans="1:22" x14ac:dyDescent="0.2">
      <c r="A120" s="33"/>
      <c r="J120" s="3">
        <f t="shared" si="27"/>
        <v>0</v>
      </c>
      <c r="K120" s="3">
        <f t="shared" si="34"/>
        <v>0</v>
      </c>
      <c r="L120" s="3">
        <f t="shared" si="34"/>
        <v>0</v>
      </c>
      <c r="M120" s="3">
        <f t="shared" si="34"/>
        <v>0</v>
      </c>
      <c r="Q120" s="10" t="e">
        <f t="shared" si="28"/>
        <v>#VALUE!</v>
      </c>
      <c r="R120" s="51" t="e">
        <f t="shared" si="29"/>
        <v>#VALUE!</v>
      </c>
      <c r="S120" s="5" t="e">
        <f t="shared" si="30"/>
        <v>#VALUE!</v>
      </c>
      <c r="T120" s="5" t="e">
        <f t="shared" si="31"/>
        <v>#VALUE!</v>
      </c>
      <c r="U120" s="5" t="e">
        <f t="shared" si="32"/>
        <v>#VALUE!</v>
      </c>
      <c r="V120" s="5" t="e">
        <f t="shared" si="33"/>
        <v>#VALUE!</v>
      </c>
    </row>
    <row r="121" spans="1:22" x14ac:dyDescent="0.2">
      <c r="A121" s="33" t="e">
        <f>IF(Tabela1[[#This Row],[Código]]="IBOV","^BVSP",IF(Tabela1[[#This Row],[Código]]="","",CONCATENATE(LEFT(Tabela1[[#This Row],[Código]],6),".SA")))</f>
        <v>#VALUE!</v>
      </c>
      <c r="J121" s="3" t="e">
        <f t="shared" si="27"/>
        <v>#VALUE!</v>
      </c>
      <c r="K121" s="3" t="e">
        <f t="shared" si="34"/>
        <v>#VALUE!</v>
      </c>
      <c r="L121" s="3" t="e">
        <f t="shared" si="34"/>
        <v>#VALUE!</v>
      </c>
      <c r="M121" s="3" t="e">
        <f t="shared" si="34"/>
        <v>#VALUE!</v>
      </c>
      <c r="Q121" s="10" t="e">
        <f t="shared" si="28"/>
        <v>#VALUE!</v>
      </c>
      <c r="R121" s="51" t="e">
        <f t="shared" si="29"/>
        <v>#VALUE!</v>
      </c>
      <c r="S121" s="5" t="e">
        <f t="shared" si="30"/>
        <v>#VALUE!</v>
      </c>
      <c r="T121" s="5" t="e">
        <f t="shared" si="31"/>
        <v>#VALUE!</v>
      </c>
      <c r="U121" s="5" t="e">
        <f t="shared" si="32"/>
        <v>#VALUE!</v>
      </c>
      <c r="V121" s="5" t="e">
        <f t="shared" si="33"/>
        <v>#VALUE!</v>
      </c>
    </row>
    <row r="122" spans="1:22" x14ac:dyDescent="0.2">
      <c r="A122" s="33" t="e">
        <f>IF(Tabela1[[#This Row],[Código]]="IBOV","^BVSP",IF(Tabela1[[#This Row],[Código]]="","",CONCATENATE(LEFT(Tabela1[[#This Row],[Código]],6),".SA")))</f>
        <v>#VALUE!</v>
      </c>
      <c r="J122" s="3" t="e">
        <f t="shared" si="20"/>
        <v>#VALUE!</v>
      </c>
      <c r="K122" s="3" t="e">
        <f t="shared" si="34"/>
        <v>#VALUE!</v>
      </c>
      <c r="L122" s="3" t="e">
        <f t="shared" si="34"/>
        <v>#VALUE!</v>
      </c>
      <c r="M122" s="3" t="e">
        <f t="shared" si="34"/>
        <v>#VALUE!</v>
      </c>
      <c r="Q122" s="10" t="e">
        <f t="shared" si="28"/>
        <v>#VALUE!</v>
      </c>
      <c r="R122" s="51" t="e">
        <f t="shared" si="29"/>
        <v>#VALUE!</v>
      </c>
      <c r="S122" s="5" t="e">
        <f t="shared" si="30"/>
        <v>#VALUE!</v>
      </c>
      <c r="T122" s="5" t="e">
        <f t="shared" si="31"/>
        <v>#VALUE!</v>
      </c>
      <c r="U122" s="5" t="e">
        <f t="shared" si="32"/>
        <v>#VALUE!</v>
      </c>
      <c r="V122" s="5" t="e">
        <f t="shared" si="33"/>
        <v>#VALUE!</v>
      </c>
    </row>
    <row r="123" spans="1:22" x14ac:dyDescent="0.2">
      <c r="A123" s="33" t="e">
        <f>IF(Tabela1[[#This Row],[Código]]="IBOV","^BVSP",IF(Tabela1[[#This Row],[Código]]="","",CONCATENATE(LEFT(Tabela1[[#This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34"/>
        <v>#VALUE!</v>
      </c>
      <c r="L123" s="3" t="e">
        <f t="shared" si="34"/>
        <v>#VALUE!</v>
      </c>
      <c r="M123" s="3" t="e">
        <f t="shared" si="34"/>
        <v>#VALUE!</v>
      </c>
      <c r="Q123" s="10" t="e">
        <f t="shared" si="28"/>
        <v>#VALUE!</v>
      </c>
      <c r="R123" s="51" t="e">
        <f t="shared" si="29"/>
        <v>#VALUE!</v>
      </c>
      <c r="S123" s="5" t="e">
        <f t="shared" si="30"/>
        <v>#VALUE!</v>
      </c>
      <c r="T123" s="5" t="e">
        <f t="shared" si="31"/>
        <v>#VALUE!</v>
      </c>
      <c r="U123" s="5" t="e">
        <f t="shared" si="32"/>
        <v>#VALUE!</v>
      </c>
      <c r="V123" s="5" t="e">
        <f t="shared" si="33"/>
        <v>#VALUE!</v>
      </c>
    </row>
    <row r="124" spans="1:22" x14ac:dyDescent="0.2">
      <c r="A124" s="33" t="e">
        <f>IF(Tabela1[[#This Row],[Código]]="IBOV","^BVSP",IF(Tabela1[[#This Row],[Código]]="","",CONCATENATE(LEFT(Tabela1[[#This Row],[Código]],6),".SA")))</f>
        <v>#VALUE!</v>
      </c>
      <c r="J124" s="3" t="e">
        <f t="shared" si="20"/>
        <v>#VALUE!</v>
      </c>
      <c r="K124" s="3" t="e">
        <f t="shared" si="34"/>
        <v>#VALUE!</v>
      </c>
      <c r="L124" s="3" t="e">
        <f t="shared" si="34"/>
        <v>#VALUE!</v>
      </c>
      <c r="M124" s="3" t="e">
        <f t="shared" si="34"/>
        <v>#VALUE!</v>
      </c>
      <c r="Q124" s="10" t="e">
        <f t="shared" si="28"/>
        <v>#VALUE!</v>
      </c>
      <c r="R124" s="51" t="e">
        <f t="shared" si="29"/>
        <v>#VALUE!</v>
      </c>
      <c r="S124" s="5" t="e">
        <f t="shared" si="30"/>
        <v>#VALUE!</v>
      </c>
      <c r="T124" s="5" t="e">
        <f t="shared" si="31"/>
        <v>#VALUE!</v>
      </c>
      <c r="U124" s="5" t="e">
        <f t="shared" si="32"/>
        <v>#VALUE!</v>
      </c>
      <c r="V124" s="5" t="e">
        <f t="shared" si="33"/>
        <v>#VALUE!</v>
      </c>
    </row>
    <row r="125" spans="1:22" x14ac:dyDescent="0.2">
      <c r="A125" s="33" t="e">
        <f>IF(Tabela1[[#This Row],[Código]]="IBOV","^BVSP",IF(Tabela1[[#This Row],[Código]]="","",CONCATENATE(LEFT(Tabela1[[#This Row],[Código]],6),".SA")))</f>
        <v>#VALUE!</v>
      </c>
      <c r="J125" s="3" t="e">
        <f t="shared" si="20"/>
        <v>#VALUE!</v>
      </c>
      <c r="K125" s="3" t="e">
        <f t="shared" si="34"/>
        <v>#VALUE!</v>
      </c>
      <c r="L125" s="3" t="e">
        <f t="shared" si="34"/>
        <v>#VALUE!</v>
      </c>
      <c r="M125" s="3" t="e">
        <f t="shared" si="34"/>
        <v>#VALUE!</v>
      </c>
      <c r="Q125" s="10" t="e">
        <f t="shared" si="28"/>
        <v>#VALUE!</v>
      </c>
      <c r="R125" s="51" t="e">
        <f t="shared" si="29"/>
        <v>#VALUE!</v>
      </c>
      <c r="S125" s="5" t="e">
        <f t="shared" si="30"/>
        <v>#VALUE!</v>
      </c>
      <c r="T125" s="5" t="e">
        <f t="shared" si="31"/>
        <v>#VALUE!</v>
      </c>
      <c r="U125" s="5" t="e">
        <f t="shared" si="32"/>
        <v>#VALUE!</v>
      </c>
      <c r="V125" s="5" t="e">
        <f t="shared" si="33"/>
        <v>#VALUE!</v>
      </c>
    </row>
    <row r="126" spans="1:22" x14ac:dyDescent="0.2">
      <c r="A126" s="33" t="e">
        <f>IF(Tabela1[[#This Row],[Código]]="IBOV","^BVSP",IF(Tabela1[[#This Row],[Código]]="","",CONCATENATE(LEFT(Tabela1[[#This Row],[Código]],6),".SA")))</f>
        <v>#VALUE!</v>
      </c>
      <c r="J126" s="3" t="e">
        <f t="shared" si="20"/>
        <v>#VALUE!</v>
      </c>
      <c r="K126" s="3" t="e">
        <f t="shared" si="34"/>
        <v>#VALUE!</v>
      </c>
      <c r="L126" s="3" t="e">
        <f t="shared" si="34"/>
        <v>#VALUE!</v>
      </c>
      <c r="M126" s="3" t="e">
        <f t="shared" si="34"/>
        <v>#VALUE!</v>
      </c>
      <c r="Q126" s="10" t="e">
        <f t="shared" si="28"/>
        <v>#VALUE!</v>
      </c>
      <c r="R126" s="51" t="e">
        <f t="shared" si="29"/>
        <v>#VALUE!</v>
      </c>
      <c r="S126" s="5" t="e">
        <f t="shared" si="30"/>
        <v>#VALUE!</v>
      </c>
      <c r="T126" s="5" t="e">
        <f t="shared" si="31"/>
        <v>#VALUE!</v>
      </c>
      <c r="U126" s="5" t="e">
        <f t="shared" si="32"/>
        <v>#VALUE!</v>
      </c>
      <c r="V126" s="5" t="e">
        <f t="shared" si="33"/>
        <v>#VALUE!</v>
      </c>
    </row>
    <row r="127" spans="1:22" x14ac:dyDescent="0.2">
      <c r="A127" s="33" t="e">
        <f>IF(Tabela1[[#This Row],[Código]]="IBOV","^BVSP",IF(Tabela1[[#This Row],[Código]]="","",CONCATENATE(LEFT(Tabela1[[#This Row],[Código]],6),".SA")))</f>
        <v>#VALUE!</v>
      </c>
      <c r="J127" s="3" t="e">
        <f t="shared" si="20"/>
        <v>#VALUE!</v>
      </c>
      <c r="K127" s="3" t="e">
        <f t="shared" si="34"/>
        <v>#VALUE!</v>
      </c>
      <c r="L127" s="3" t="e">
        <f t="shared" si="34"/>
        <v>#VALUE!</v>
      </c>
      <c r="M127" s="3" t="e">
        <f t="shared" si="34"/>
        <v>#VALUE!</v>
      </c>
      <c r="Q127" s="10" t="e">
        <f t="shared" si="28"/>
        <v>#VALUE!</v>
      </c>
      <c r="R127" s="51" t="e">
        <f t="shared" si="29"/>
        <v>#VALUE!</v>
      </c>
      <c r="S127" s="5" t="e">
        <f t="shared" si="30"/>
        <v>#VALUE!</v>
      </c>
      <c r="T127" s="5" t="e">
        <f t="shared" si="31"/>
        <v>#VALUE!</v>
      </c>
      <c r="U127" s="5" t="e">
        <f t="shared" si="32"/>
        <v>#VALUE!</v>
      </c>
      <c r="V127" s="5" t="e">
        <f t="shared" si="33"/>
        <v>#VALUE!</v>
      </c>
    </row>
    <row r="128" spans="1:22" x14ac:dyDescent="0.2">
      <c r="A128" s="33" t="e">
        <f>IF(Tabela1[[#This Row],[Código]]="IBOV","^BVSP",IF(Tabela1[[#This Row],[Código]]="","",CONCATENATE(LEFT(Tabela1[[#This Row],[Código]],6),".SA")))</f>
        <v>#VALUE!</v>
      </c>
      <c r="J128" s="3" t="e">
        <f t="shared" si="20"/>
        <v>#VALUE!</v>
      </c>
      <c r="K128" s="3" t="e">
        <f t="shared" si="34"/>
        <v>#VALUE!</v>
      </c>
      <c r="L128" s="3" t="e">
        <f t="shared" si="34"/>
        <v>#VALUE!</v>
      </c>
      <c r="M128" s="3" t="e">
        <f t="shared" si="34"/>
        <v>#VALUE!</v>
      </c>
      <c r="Q128" s="10" t="e">
        <f t="shared" si="28"/>
        <v>#VALUE!</v>
      </c>
      <c r="R128" s="51" t="e">
        <f t="shared" si="29"/>
        <v>#VALUE!</v>
      </c>
      <c r="S128" s="5" t="e">
        <f t="shared" si="30"/>
        <v>#VALUE!</v>
      </c>
      <c r="T128" s="5" t="e">
        <f t="shared" si="31"/>
        <v>#VALUE!</v>
      </c>
      <c r="U128" s="5" t="e">
        <f t="shared" si="32"/>
        <v>#VALUE!</v>
      </c>
      <c r="V128" s="5" t="e">
        <f t="shared" si="33"/>
        <v>#VALUE!</v>
      </c>
    </row>
    <row r="129" spans="1:22" x14ac:dyDescent="0.2">
      <c r="A129" s="33" t="e">
        <f>IF(Tabela1[[#This Row],[Código]]="IBOV","^BVSP",IF(Tabela1[[#This Row],[Código]]="","",CONCATENATE(LEFT(Tabela1[[#This Row],[Código]],6),".SA")))</f>
        <v>#VALUE!</v>
      </c>
      <c r="J129" s="3" t="e">
        <f t="shared" si="20"/>
        <v>#VALUE!</v>
      </c>
      <c r="K129" s="3" t="e">
        <f t="shared" si="34"/>
        <v>#VALUE!</v>
      </c>
      <c r="L129" s="3" t="e">
        <f t="shared" si="34"/>
        <v>#VALUE!</v>
      </c>
      <c r="M129" s="3" t="e">
        <f t="shared" si="34"/>
        <v>#VALUE!</v>
      </c>
      <c r="P129" s="4"/>
      <c r="Q129" s="10" t="e">
        <f t="shared" si="28"/>
        <v>#VALUE!</v>
      </c>
      <c r="R129" s="51" t="e">
        <f t="shared" si="29"/>
        <v>#VALUE!</v>
      </c>
      <c r="S129" s="5" t="e">
        <f t="shared" si="30"/>
        <v>#VALUE!</v>
      </c>
      <c r="T129" s="5" t="e">
        <f t="shared" si="31"/>
        <v>#VALUE!</v>
      </c>
      <c r="U129" s="5" t="e">
        <f t="shared" si="32"/>
        <v>#VALUE!</v>
      </c>
      <c r="V129" s="5" t="e">
        <f t="shared" si="33"/>
        <v>#VALUE!</v>
      </c>
    </row>
    <row r="130" spans="1:22" x14ac:dyDescent="0.2">
      <c r="A130" s="33" t="e">
        <f>IF(Tabela1[[#This Row],[Código]]="IBOV","^BVSP",IF(Tabela1[[#This Row],[Código]]="","",CONCATENATE(LEFT(Tabela1[[#This Row],[Código]],6),".SA")))</f>
        <v>#VALUE!</v>
      </c>
      <c r="J130" s="3" t="e">
        <f t="shared" si="20"/>
        <v>#VALUE!</v>
      </c>
      <c r="K130" s="3" t="e">
        <f t="shared" si="34"/>
        <v>#VALUE!</v>
      </c>
      <c r="L130" s="3" t="e">
        <f t="shared" si="34"/>
        <v>#VALUE!</v>
      </c>
      <c r="M130" s="3" t="e">
        <f t="shared" si="34"/>
        <v>#VALUE!</v>
      </c>
      <c r="P130" s="10"/>
      <c r="Q130" s="10" t="str">
        <f t="shared" si="28"/>
        <v/>
      </c>
      <c r="R130" s="51" t="str">
        <f t="shared" si="29"/>
        <v/>
      </c>
      <c r="S130" s="5">
        <f t="shared" si="30"/>
        <v>0</v>
      </c>
      <c r="T130" s="5">
        <f t="shared" si="31"/>
        <v>0</v>
      </c>
      <c r="U130" s="5">
        <f t="shared" si="32"/>
        <v>0</v>
      </c>
      <c r="V130" s="5">
        <f t="shared" si="33"/>
        <v>0</v>
      </c>
    </row>
    <row r="131" spans="1:22" x14ac:dyDescent="0.2">
      <c r="A131" s="33" t="e">
        <f>IF(Tabela1[[#This Row],[Código]]="IBOV","^BVSP",IF(Tabela1[[#This Row],[Código]]="","",CONCATENATE(LEFT(Tabela1[[#This Row],[Código]],6),".SA")))</f>
        <v>#VALUE!</v>
      </c>
      <c r="J131" s="3" t="e">
        <f t="shared" si="20"/>
        <v>#VALUE!</v>
      </c>
      <c r="K131" s="3" t="e">
        <f t="shared" si="34"/>
        <v>#VALUE!</v>
      </c>
      <c r="L131" s="3" t="e">
        <f t="shared" si="34"/>
        <v>#VALUE!</v>
      </c>
      <c r="M131" s="3" t="e">
        <f t="shared" si="34"/>
        <v>#VALUE!</v>
      </c>
      <c r="Q131" s="10" t="str">
        <f t="shared" si="28"/>
        <v/>
      </c>
      <c r="R131" s="51" t="str">
        <f t="shared" si="29"/>
        <v/>
      </c>
      <c r="S131" s="5">
        <f t="shared" si="30"/>
        <v>0</v>
      </c>
      <c r="T131" s="5">
        <f t="shared" si="31"/>
        <v>0</v>
      </c>
      <c r="U131" s="5">
        <f t="shared" si="32"/>
        <v>0</v>
      </c>
      <c r="V131" s="5">
        <f t="shared" si="33"/>
        <v>0</v>
      </c>
    </row>
    <row r="132" spans="1:22" x14ac:dyDescent="0.2">
      <c r="A132" s="33" t="e">
        <f>IF(Tabela1[[#This Row],[Código]]="IBOV","^BVSP",IF(Tabela1[[#This Row],[Código]]="","",CONCATENATE(LEFT(Tabela1[[#This Row],[Código]],6),".SA")))</f>
        <v>#VALUE!</v>
      </c>
      <c r="J132" s="3" t="e">
        <f t="shared" si="20"/>
        <v>#VALUE!</v>
      </c>
      <c r="K132" s="3" t="e">
        <f t="shared" si="34"/>
        <v>#VALUE!</v>
      </c>
      <c r="L132" s="3" t="e">
        <f t="shared" si="34"/>
        <v>#VALUE!</v>
      </c>
      <c r="M132" s="3" t="e">
        <f t="shared" si="34"/>
        <v>#VALUE!</v>
      </c>
      <c r="P132" s="3" t="str">
        <f>IF([1]Patrimonio!C143="","",[1]Patrimonio!C143)</f>
        <v/>
      </c>
      <c r="Q132" s="3" t="str">
        <f t="shared" ref="Q132:Q144" si="35">IF(A148="","",C149)</f>
        <v/>
      </c>
      <c r="R132" s="20" t="str">
        <f t="shared" ref="R132:R158" si="36">IF(A148="","",H148)</f>
        <v/>
      </c>
      <c r="S132" s="5">
        <f t="shared" ref="S132:V135" si="37">J148</f>
        <v>0</v>
      </c>
      <c r="T132" s="5">
        <f t="shared" si="37"/>
        <v>0</v>
      </c>
      <c r="U132" s="5">
        <f t="shared" si="37"/>
        <v>0</v>
      </c>
      <c r="V132" s="5">
        <f t="shared" si="37"/>
        <v>0</v>
      </c>
    </row>
    <row r="133" spans="1:22" x14ac:dyDescent="0.2">
      <c r="A133" s="33" t="e">
        <f>IF(Tabela1[[#This Row],[Código]]="IBOV","^BVSP",IF(Tabela1[[#This Row],[Código]]="","",CONCATENATE(LEFT(Tabela1[[#This Row],[Código]],6),".SA")))</f>
        <v>#VALUE!</v>
      </c>
      <c r="J133" s="3" t="e">
        <f t="shared" si="20"/>
        <v>#VALUE!</v>
      </c>
      <c r="K133" s="3" t="e">
        <f t="shared" si="34"/>
        <v>#VALUE!</v>
      </c>
      <c r="L133" s="3" t="e">
        <f t="shared" si="34"/>
        <v>#VALUE!</v>
      </c>
      <c r="M133" s="3" t="e">
        <f t="shared" si="34"/>
        <v>#VALUE!</v>
      </c>
      <c r="P133" s="3" t="str">
        <f>IF([1]Patrimonio!C144="","",[1]Patrimonio!C144)</f>
        <v/>
      </c>
      <c r="Q133" s="3" t="str">
        <f t="shared" si="35"/>
        <v/>
      </c>
      <c r="R133" s="20" t="str">
        <f t="shared" si="36"/>
        <v/>
      </c>
      <c r="S133" s="5">
        <f t="shared" si="37"/>
        <v>0</v>
      </c>
      <c r="T133" s="5">
        <f t="shared" si="37"/>
        <v>0</v>
      </c>
      <c r="U133" s="5">
        <f t="shared" si="37"/>
        <v>0</v>
      </c>
      <c r="V133" s="5">
        <f t="shared" si="37"/>
        <v>0</v>
      </c>
    </row>
    <row r="134" spans="1:22" x14ac:dyDescent="0.2">
      <c r="A134" s="33"/>
      <c r="J134" s="3">
        <f t="shared" si="20"/>
        <v>0</v>
      </c>
      <c r="K134" s="3">
        <f t="shared" si="34"/>
        <v>0</v>
      </c>
      <c r="L134" s="3">
        <f t="shared" si="34"/>
        <v>0</v>
      </c>
      <c r="M134" s="3">
        <f t="shared" si="34"/>
        <v>0</v>
      </c>
      <c r="P134" s="3" t="str">
        <f>IF([1]Patrimonio!C145="","",[1]Patrimonio!C145)</f>
        <v/>
      </c>
      <c r="Q134" s="3" t="str">
        <f t="shared" si="35"/>
        <v/>
      </c>
      <c r="R134" s="20" t="str">
        <f t="shared" si="36"/>
        <v/>
      </c>
      <c r="S134" s="5">
        <f t="shared" si="37"/>
        <v>0</v>
      </c>
      <c r="T134" s="5">
        <f t="shared" si="37"/>
        <v>0</v>
      </c>
      <c r="U134" s="5">
        <f t="shared" si="37"/>
        <v>0</v>
      </c>
      <c r="V134" s="5">
        <f t="shared" si="37"/>
        <v>0</v>
      </c>
    </row>
    <row r="135" spans="1:22" x14ac:dyDescent="0.2">
      <c r="A135" s="33"/>
      <c r="J135" s="3">
        <f t="shared" si="20"/>
        <v>0</v>
      </c>
      <c r="K135" s="3">
        <f t="shared" si="34"/>
        <v>0</v>
      </c>
      <c r="L135" s="3">
        <f t="shared" si="34"/>
        <v>0</v>
      </c>
      <c r="M135" s="3">
        <f t="shared" si="34"/>
        <v>0</v>
      </c>
      <c r="P135" s="3" t="str">
        <f>IF([1]Patrimonio!C146="","",[1]Patrimonio!C146)</f>
        <v/>
      </c>
      <c r="Q135" s="3" t="str">
        <f t="shared" si="35"/>
        <v/>
      </c>
      <c r="R135" s="20" t="str">
        <f t="shared" si="36"/>
        <v/>
      </c>
      <c r="S135" s="5">
        <f t="shared" si="37"/>
        <v>0</v>
      </c>
      <c r="T135" s="5">
        <f t="shared" si="37"/>
        <v>0</v>
      </c>
      <c r="U135" s="5">
        <f t="shared" si="37"/>
        <v>0</v>
      </c>
      <c r="V135" s="5">
        <f t="shared" si="37"/>
        <v>0</v>
      </c>
    </row>
    <row r="136" spans="1:22" x14ac:dyDescent="0.2">
      <c r="A136" s="33"/>
      <c r="J136" s="3">
        <f t="shared" ref="J136:J172" si="38">IF($A136="",0,VALUE(CONCATENATE(LEFT(D136,LEN(D136)-3),",",RIGHT(D136,2))))</f>
        <v>0</v>
      </c>
      <c r="K136" s="3">
        <f t="shared" si="34"/>
        <v>0</v>
      </c>
      <c r="L136" s="3">
        <f t="shared" si="34"/>
        <v>0</v>
      </c>
      <c r="M136" s="3">
        <f t="shared" si="34"/>
        <v>0</v>
      </c>
      <c r="P136" s="3" t="str">
        <f>IF([1]Patrimonio!C147="","",[1]Patrimonio!C147)</f>
        <v/>
      </c>
      <c r="Q136" s="3" t="str">
        <f t="shared" si="35"/>
        <v/>
      </c>
      <c r="R136" s="20" t="str">
        <f t="shared" si="36"/>
        <v/>
      </c>
      <c r="S136" s="5">
        <f t="shared" ref="S136:V158" si="39">J152</f>
        <v>0</v>
      </c>
      <c r="T136" s="5">
        <f t="shared" si="39"/>
        <v>0</v>
      </c>
      <c r="U136" s="5">
        <f t="shared" si="39"/>
        <v>0</v>
      </c>
      <c r="V136" s="5">
        <f t="shared" si="39"/>
        <v>0</v>
      </c>
    </row>
    <row r="137" spans="1:22" x14ac:dyDescent="0.2">
      <c r="A137" s="33"/>
      <c r="J137" s="3">
        <f t="shared" si="38"/>
        <v>0</v>
      </c>
      <c r="K137" s="3">
        <f t="shared" si="34"/>
        <v>0</v>
      </c>
      <c r="L137" s="3">
        <f t="shared" si="34"/>
        <v>0</v>
      </c>
      <c r="M137" s="3">
        <f t="shared" si="34"/>
        <v>0</v>
      </c>
      <c r="P137" s="3" t="str">
        <f>IF([1]Patrimonio!C148="","",[1]Patrimonio!C148)</f>
        <v/>
      </c>
      <c r="Q137" s="3" t="str">
        <f t="shared" si="35"/>
        <v/>
      </c>
      <c r="R137" s="20" t="str">
        <f t="shared" si="36"/>
        <v/>
      </c>
      <c r="S137" s="5">
        <f t="shared" si="39"/>
        <v>0</v>
      </c>
      <c r="T137" s="5">
        <f t="shared" si="39"/>
        <v>0</v>
      </c>
      <c r="U137" s="5">
        <f t="shared" si="39"/>
        <v>0</v>
      </c>
      <c r="V137" s="5">
        <f t="shared" si="39"/>
        <v>0</v>
      </c>
    </row>
    <row r="138" spans="1:22" x14ac:dyDescent="0.2">
      <c r="A138" s="33"/>
      <c r="J138" s="3">
        <f t="shared" si="38"/>
        <v>0</v>
      </c>
      <c r="K138" s="3">
        <f t="shared" si="34"/>
        <v>0</v>
      </c>
      <c r="L138" s="3">
        <f t="shared" si="34"/>
        <v>0</v>
      </c>
      <c r="M138" s="3">
        <f t="shared" si="34"/>
        <v>0</v>
      </c>
      <c r="P138" s="3" t="str">
        <f>IF([1]Patrimonio!C149="","",[1]Patrimonio!C149)</f>
        <v/>
      </c>
      <c r="Q138" s="3" t="str">
        <f t="shared" si="35"/>
        <v/>
      </c>
      <c r="R138" s="20" t="str">
        <f t="shared" si="36"/>
        <v/>
      </c>
      <c r="S138" s="5">
        <f t="shared" si="39"/>
        <v>0</v>
      </c>
      <c r="T138" s="5">
        <f t="shared" si="39"/>
        <v>0</v>
      </c>
      <c r="U138" s="5">
        <f t="shared" si="39"/>
        <v>0</v>
      </c>
      <c r="V138" s="5">
        <f t="shared" si="39"/>
        <v>0</v>
      </c>
    </row>
    <row r="139" spans="1:22" x14ac:dyDescent="0.2">
      <c r="A139" s="33"/>
      <c r="J139" s="3">
        <f t="shared" si="38"/>
        <v>0</v>
      </c>
      <c r="K139" s="3">
        <f t="shared" si="34"/>
        <v>0</v>
      </c>
      <c r="L139" s="3">
        <f t="shared" si="34"/>
        <v>0</v>
      </c>
      <c r="M139" s="3">
        <f t="shared" si="34"/>
        <v>0</v>
      </c>
      <c r="P139" s="3" t="str">
        <f>IF([1]Patrimonio!C150="","",[1]Patrimonio!C150)</f>
        <v/>
      </c>
      <c r="Q139" s="3" t="str">
        <f t="shared" si="35"/>
        <v/>
      </c>
      <c r="R139" s="20" t="str">
        <f t="shared" si="36"/>
        <v/>
      </c>
      <c r="S139" s="5">
        <f t="shared" si="39"/>
        <v>0</v>
      </c>
      <c r="T139" s="5">
        <f t="shared" si="39"/>
        <v>0</v>
      </c>
      <c r="U139" s="5">
        <f t="shared" si="39"/>
        <v>0</v>
      </c>
      <c r="V139" s="5">
        <f t="shared" si="39"/>
        <v>0</v>
      </c>
    </row>
    <row r="140" spans="1:22" x14ac:dyDescent="0.2">
      <c r="A140" s="33"/>
      <c r="J140" s="3">
        <f t="shared" si="38"/>
        <v>0</v>
      </c>
      <c r="K140" s="3">
        <f t="shared" si="34"/>
        <v>0</v>
      </c>
      <c r="L140" s="3">
        <f t="shared" si="34"/>
        <v>0</v>
      </c>
      <c r="M140" s="3">
        <f t="shared" si="34"/>
        <v>0</v>
      </c>
      <c r="P140" s="3" t="str">
        <f>IF([1]Patrimonio!C151="","",[1]Patrimonio!C151)</f>
        <v/>
      </c>
      <c r="Q140" s="3" t="str">
        <f t="shared" si="35"/>
        <v/>
      </c>
      <c r="R140" s="20" t="str">
        <f t="shared" si="36"/>
        <v/>
      </c>
      <c r="S140" s="5">
        <f t="shared" si="39"/>
        <v>0</v>
      </c>
      <c r="T140" s="5">
        <f t="shared" si="39"/>
        <v>0</v>
      </c>
      <c r="U140" s="5">
        <f t="shared" si="39"/>
        <v>0</v>
      </c>
      <c r="V140" s="5">
        <f t="shared" si="39"/>
        <v>0</v>
      </c>
    </row>
    <row r="141" spans="1:22" x14ac:dyDescent="0.2">
      <c r="A141" s="33"/>
      <c r="J141" s="3">
        <f t="shared" si="38"/>
        <v>0</v>
      </c>
      <c r="K141" s="3">
        <f t="shared" si="34"/>
        <v>0</v>
      </c>
      <c r="L141" s="3">
        <f t="shared" si="34"/>
        <v>0</v>
      </c>
      <c r="M141" s="3">
        <f t="shared" si="34"/>
        <v>0</v>
      </c>
      <c r="P141" s="3" t="str">
        <f>IF([1]Patrimonio!C152="","",[1]Patrimonio!C152)</f>
        <v/>
      </c>
      <c r="Q141" s="3" t="str">
        <f t="shared" si="35"/>
        <v/>
      </c>
      <c r="R141" s="20" t="str">
        <f t="shared" si="36"/>
        <v/>
      </c>
      <c r="S141" s="5">
        <f t="shared" si="39"/>
        <v>0</v>
      </c>
      <c r="T141" s="5">
        <f t="shared" si="39"/>
        <v>0</v>
      </c>
      <c r="U141" s="5">
        <f t="shared" si="39"/>
        <v>0</v>
      </c>
      <c r="V141" s="5">
        <f t="shared" si="39"/>
        <v>0</v>
      </c>
    </row>
    <row r="142" spans="1:22" x14ac:dyDescent="0.2">
      <c r="A142" s="33"/>
      <c r="J142" s="3">
        <f t="shared" si="38"/>
        <v>0</v>
      </c>
      <c r="K142" s="3">
        <f t="shared" si="34"/>
        <v>0</v>
      </c>
      <c r="L142" s="3">
        <f t="shared" si="34"/>
        <v>0</v>
      </c>
      <c r="M142" s="3">
        <f t="shared" si="34"/>
        <v>0</v>
      </c>
      <c r="P142" s="3" t="str">
        <f>IF([1]Patrimonio!C153="","",[1]Patrimonio!C153)</f>
        <v/>
      </c>
      <c r="Q142" s="3" t="str">
        <f t="shared" si="35"/>
        <v/>
      </c>
      <c r="R142" s="20" t="str">
        <f t="shared" si="36"/>
        <v/>
      </c>
      <c r="S142" s="5">
        <f t="shared" si="39"/>
        <v>0</v>
      </c>
      <c r="T142" s="5">
        <f t="shared" si="39"/>
        <v>0</v>
      </c>
      <c r="U142" s="5">
        <f t="shared" si="39"/>
        <v>0</v>
      </c>
      <c r="V142" s="5">
        <f t="shared" si="39"/>
        <v>0</v>
      </c>
    </row>
    <row r="143" spans="1:22" x14ac:dyDescent="0.2">
      <c r="A143" s="33"/>
      <c r="J143" s="3">
        <f t="shared" si="38"/>
        <v>0</v>
      </c>
      <c r="K143" s="3">
        <f t="shared" si="34"/>
        <v>0</v>
      </c>
      <c r="L143" s="3">
        <f t="shared" si="34"/>
        <v>0</v>
      </c>
      <c r="M143" s="3">
        <f t="shared" si="34"/>
        <v>0</v>
      </c>
      <c r="P143" s="3" t="str">
        <f>IF([1]Patrimonio!C154="","",[1]Patrimonio!C154)</f>
        <v/>
      </c>
      <c r="Q143" s="3" t="str">
        <f t="shared" si="35"/>
        <v/>
      </c>
      <c r="R143" s="20" t="str">
        <f t="shared" si="36"/>
        <v/>
      </c>
      <c r="S143" s="5">
        <f t="shared" si="39"/>
        <v>0</v>
      </c>
      <c r="T143" s="5">
        <f t="shared" si="39"/>
        <v>0</v>
      </c>
      <c r="U143" s="5">
        <f t="shared" si="39"/>
        <v>0</v>
      </c>
      <c r="V143" s="5">
        <f t="shared" si="39"/>
        <v>0</v>
      </c>
    </row>
    <row r="144" spans="1:22" x14ac:dyDescent="0.2">
      <c r="A144" s="33"/>
      <c r="J144" s="3">
        <f t="shared" si="38"/>
        <v>0</v>
      </c>
      <c r="K144" s="3">
        <f t="shared" si="34"/>
        <v>0</v>
      </c>
      <c r="L144" s="3">
        <f t="shared" si="34"/>
        <v>0</v>
      </c>
      <c r="M144" s="3">
        <f t="shared" si="34"/>
        <v>0</v>
      </c>
      <c r="P144" s="3" t="str">
        <f>IF([1]Patrimonio!C155="","",[1]Patrimonio!C155)</f>
        <v/>
      </c>
      <c r="Q144" s="3" t="str">
        <f t="shared" si="35"/>
        <v/>
      </c>
      <c r="R144" s="20" t="str">
        <f t="shared" si="36"/>
        <v/>
      </c>
      <c r="S144" s="5">
        <f t="shared" si="39"/>
        <v>0</v>
      </c>
      <c r="T144" s="5">
        <f t="shared" si="39"/>
        <v>0</v>
      </c>
      <c r="U144" s="5">
        <f t="shared" si="39"/>
        <v>0</v>
      </c>
      <c r="V144" s="5">
        <f t="shared" si="39"/>
        <v>0</v>
      </c>
    </row>
    <row r="145" spans="1:22" x14ac:dyDescent="0.2">
      <c r="A145" s="33"/>
      <c r="J145" s="3">
        <f t="shared" si="38"/>
        <v>0</v>
      </c>
      <c r="K145" s="3">
        <f t="shared" si="34"/>
        <v>0</v>
      </c>
      <c r="L145" s="3">
        <f t="shared" si="34"/>
        <v>0</v>
      </c>
      <c r="M145" s="3">
        <f t="shared" si="34"/>
        <v>0</v>
      </c>
      <c r="P145" s="3" t="str">
        <f>IF([1]Patrimonio!C156="","",[1]Patrimonio!C156)</f>
        <v/>
      </c>
      <c r="Q145" s="3" t="str">
        <f t="shared" ref="Q145:Q158" si="40">IF(A161="","",C162)</f>
        <v/>
      </c>
      <c r="R145" s="20" t="str">
        <f t="shared" si="36"/>
        <v/>
      </c>
      <c r="S145" s="5">
        <f t="shared" si="39"/>
        <v>0</v>
      </c>
      <c r="T145" s="5">
        <f t="shared" si="39"/>
        <v>0</v>
      </c>
      <c r="U145" s="5">
        <f t="shared" si="39"/>
        <v>0</v>
      </c>
      <c r="V145" s="5">
        <f t="shared" si="39"/>
        <v>0</v>
      </c>
    </row>
    <row r="146" spans="1:22" x14ac:dyDescent="0.2">
      <c r="A146" s="33"/>
      <c r="J146" s="3">
        <f t="shared" si="38"/>
        <v>0</v>
      </c>
      <c r="K146" s="3">
        <f t="shared" si="34"/>
        <v>0</v>
      </c>
      <c r="L146" s="3">
        <f t="shared" si="34"/>
        <v>0</v>
      </c>
      <c r="M146" s="3">
        <f t="shared" si="34"/>
        <v>0</v>
      </c>
      <c r="P146" s="3" t="str">
        <f>IF([1]Patrimonio!C157="","",[1]Patrimonio!C157)</f>
        <v/>
      </c>
      <c r="Q146" s="3" t="str">
        <f t="shared" si="40"/>
        <v/>
      </c>
      <c r="R146" s="20" t="str">
        <f t="shared" si="36"/>
        <v/>
      </c>
      <c r="S146" s="5">
        <f t="shared" si="39"/>
        <v>0</v>
      </c>
      <c r="T146" s="5">
        <f t="shared" si="39"/>
        <v>0</v>
      </c>
      <c r="U146" s="5">
        <f t="shared" si="39"/>
        <v>0</v>
      </c>
      <c r="V146" s="5">
        <f t="shared" si="39"/>
        <v>0</v>
      </c>
    </row>
    <row r="147" spans="1:22" x14ac:dyDescent="0.2">
      <c r="A147" s="33"/>
      <c r="J147" s="3">
        <f t="shared" si="38"/>
        <v>0</v>
      </c>
      <c r="K147" s="3">
        <f t="shared" si="34"/>
        <v>0</v>
      </c>
      <c r="L147" s="3">
        <f t="shared" si="34"/>
        <v>0</v>
      </c>
      <c r="M147" s="3">
        <f t="shared" si="34"/>
        <v>0</v>
      </c>
      <c r="P147" s="3" t="str">
        <f>IF([1]Patrimonio!C158="","",[1]Patrimonio!C158)</f>
        <v/>
      </c>
      <c r="Q147" s="3" t="str">
        <f t="shared" si="40"/>
        <v/>
      </c>
      <c r="R147" s="20" t="str">
        <f t="shared" si="36"/>
        <v/>
      </c>
      <c r="S147" s="5">
        <f t="shared" si="39"/>
        <v>0</v>
      </c>
      <c r="T147" s="5">
        <f t="shared" si="39"/>
        <v>0</v>
      </c>
      <c r="U147" s="5">
        <f t="shared" si="39"/>
        <v>0</v>
      </c>
      <c r="V147" s="5">
        <f t="shared" si="39"/>
        <v>0</v>
      </c>
    </row>
    <row r="148" spans="1:22" x14ac:dyDescent="0.2">
      <c r="A148" s="33"/>
      <c r="J148" s="3">
        <f t="shared" si="38"/>
        <v>0</v>
      </c>
      <c r="K148" s="3">
        <f t="shared" si="34"/>
        <v>0</v>
      </c>
      <c r="L148" s="3">
        <f t="shared" si="34"/>
        <v>0</v>
      </c>
      <c r="M148" s="3">
        <f t="shared" si="34"/>
        <v>0</v>
      </c>
      <c r="P148" s="3" t="str">
        <f>IF([1]Patrimonio!C159="","",[1]Patrimonio!C159)</f>
        <v/>
      </c>
      <c r="Q148" s="3" t="str">
        <f t="shared" si="40"/>
        <v/>
      </c>
      <c r="R148" s="20" t="str">
        <f t="shared" si="36"/>
        <v/>
      </c>
      <c r="S148" s="5">
        <f t="shared" si="39"/>
        <v>0</v>
      </c>
      <c r="T148" s="5">
        <f t="shared" si="39"/>
        <v>0</v>
      </c>
      <c r="U148" s="5">
        <f t="shared" si="39"/>
        <v>0</v>
      </c>
      <c r="V148" s="5">
        <f t="shared" si="39"/>
        <v>0</v>
      </c>
    </row>
    <row r="149" spans="1:22" x14ac:dyDescent="0.2">
      <c r="A149" s="33"/>
      <c r="J149" s="3">
        <f t="shared" si="38"/>
        <v>0</v>
      </c>
      <c r="K149" s="3">
        <f t="shared" si="34"/>
        <v>0</v>
      </c>
      <c r="L149" s="3">
        <f t="shared" si="34"/>
        <v>0</v>
      </c>
      <c r="M149" s="3">
        <f t="shared" si="34"/>
        <v>0</v>
      </c>
      <c r="P149" s="3" t="str">
        <f>IF([1]Patrimonio!C160="","",[1]Patrimonio!C160)</f>
        <v/>
      </c>
      <c r="Q149" s="3" t="str">
        <f t="shared" si="40"/>
        <v/>
      </c>
      <c r="R149" s="20" t="str">
        <f t="shared" si="36"/>
        <v/>
      </c>
      <c r="S149" s="5">
        <f t="shared" si="39"/>
        <v>0</v>
      </c>
      <c r="T149" s="5">
        <f t="shared" si="39"/>
        <v>0</v>
      </c>
      <c r="U149" s="5">
        <f t="shared" si="39"/>
        <v>0</v>
      </c>
      <c r="V149" s="5">
        <f t="shared" si="39"/>
        <v>0</v>
      </c>
    </row>
    <row r="150" spans="1:22" x14ac:dyDescent="0.2">
      <c r="A150" s="33"/>
      <c r="J150" s="3">
        <f t="shared" si="38"/>
        <v>0</v>
      </c>
      <c r="K150" s="3">
        <f t="shared" si="34"/>
        <v>0</v>
      </c>
      <c r="L150" s="3">
        <f t="shared" si="34"/>
        <v>0</v>
      </c>
      <c r="M150" s="3">
        <f t="shared" si="34"/>
        <v>0</v>
      </c>
      <c r="P150" s="3" t="str">
        <f>IF([1]Patrimonio!C161="","",[1]Patrimonio!C161)</f>
        <v/>
      </c>
      <c r="Q150" s="3" t="str">
        <f t="shared" si="40"/>
        <v/>
      </c>
      <c r="R150" s="20" t="str">
        <f t="shared" si="36"/>
        <v/>
      </c>
      <c r="S150" s="5">
        <f t="shared" si="39"/>
        <v>0</v>
      </c>
      <c r="T150" s="5">
        <f t="shared" si="39"/>
        <v>0</v>
      </c>
      <c r="U150" s="5">
        <f t="shared" si="39"/>
        <v>0</v>
      </c>
      <c r="V150" s="5">
        <f t="shared" si="39"/>
        <v>0</v>
      </c>
    </row>
    <row r="151" spans="1:22" x14ac:dyDescent="0.2">
      <c r="A151" s="33"/>
      <c r="J151" s="3">
        <f t="shared" si="38"/>
        <v>0</v>
      </c>
      <c r="K151" s="3">
        <f t="shared" si="34"/>
        <v>0</v>
      </c>
      <c r="L151" s="3">
        <f t="shared" si="34"/>
        <v>0</v>
      </c>
      <c r="M151" s="3">
        <f t="shared" si="34"/>
        <v>0</v>
      </c>
      <c r="P151" s="3" t="str">
        <f>IF([1]Patrimonio!C162="","",[1]Patrimonio!C162)</f>
        <v/>
      </c>
      <c r="Q151" s="3" t="str">
        <f t="shared" si="40"/>
        <v/>
      </c>
      <c r="R151" s="20" t="str">
        <f t="shared" si="36"/>
        <v/>
      </c>
      <c r="S151" s="5">
        <f t="shared" si="39"/>
        <v>0</v>
      </c>
      <c r="T151" s="5">
        <f t="shared" si="39"/>
        <v>0</v>
      </c>
      <c r="U151" s="5">
        <f t="shared" si="39"/>
        <v>0</v>
      </c>
      <c r="V151" s="5">
        <f t="shared" si="39"/>
        <v>0</v>
      </c>
    </row>
    <row r="152" spans="1:22" x14ac:dyDescent="0.2">
      <c r="A152" s="33"/>
      <c r="J152" s="3">
        <f t="shared" si="38"/>
        <v>0</v>
      </c>
      <c r="K152" s="3">
        <f t="shared" si="34"/>
        <v>0</v>
      </c>
      <c r="L152" s="3">
        <f t="shared" si="34"/>
        <v>0</v>
      </c>
      <c r="M152" s="3">
        <f t="shared" si="34"/>
        <v>0</v>
      </c>
      <c r="P152" s="3" t="str">
        <f>IF([1]Patrimonio!C163="","",[1]Patrimonio!C163)</f>
        <v/>
      </c>
      <c r="Q152" s="3" t="str">
        <f t="shared" si="40"/>
        <v/>
      </c>
      <c r="R152" s="20" t="str">
        <f t="shared" si="36"/>
        <v/>
      </c>
      <c r="S152" s="5">
        <f t="shared" si="39"/>
        <v>0</v>
      </c>
      <c r="T152" s="5">
        <f t="shared" si="39"/>
        <v>0</v>
      </c>
      <c r="U152" s="5">
        <f t="shared" si="39"/>
        <v>0</v>
      </c>
      <c r="V152" s="5">
        <f t="shared" si="39"/>
        <v>0</v>
      </c>
    </row>
    <row r="153" spans="1:22" x14ac:dyDescent="0.2">
      <c r="A153" s="33"/>
      <c r="J153" s="3">
        <f t="shared" si="38"/>
        <v>0</v>
      </c>
      <c r="K153" s="3">
        <f t="shared" si="34"/>
        <v>0</v>
      </c>
      <c r="L153" s="3">
        <f t="shared" si="34"/>
        <v>0</v>
      </c>
      <c r="M153" s="3">
        <f t="shared" si="34"/>
        <v>0</v>
      </c>
      <c r="P153" s="3" t="str">
        <f>IF([1]Patrimonio!C164="","",[1]Patrimonio!C164)</f>
        <v/>
      </c>
      <c r="Q153" s="3" t="str">
        <f t="shared" si="40"/>
        <v/>
      </c>
      <c r="R153" s="20" t="str">
        <f t="shared" si="36"/>
        <v/>
      </c>
      <c r="S153" s="5">
        <f t="shared" si="39"/>
        <v>0</v>
      </c>
      <c r="T153" s="5">
        <f t="shared" si="39"/>
        <v>0</v>
      </c>
      <c r="U153" s="5">
        <f t="shared" si="39"/>
        <v>0</v>
      </c>
      <c r="V153" s="5">
        <f t="shared" si="39"/>
        <v>0</v>
      </c>
    </row>
    <row r="154" spans="1:22" x14ac:dyDescent="0.2">
      <c r="A154" s="33"/>
      <c r="J154" s="3">
        <f t="shared" si="38"/>
        <v>0</v>
      </c>
      <c r="K154" s="3">
        <f t="shared" si="34"/>
        <v>0</v>
      </c>
      <c r="L154" s="3">
        <f t="shared" si="34"/>
        <v>0</v>
      </c>
      <c r="M154" s="3">
        <f t="shared" si="34"/>
        <v>0</v>
      </c>
      <c r="P154" s="3" t="str">
        <f>IF([1]Patrimonio!C165="","",[1]Patrimonio!C165)</f>
        <v/>
      </c>
      <c r="Q154" s="3" t="str">
        <f t="shared" si="40"/>
        <v/>
      </c>
      <c r="R154" s="20" t="str">
        <f t="shared" si="36"/>
        <v/>
      </c>
      <c r="S154" s="5">
        <f t="shared" si="39"/>
        <v>0</v>
      </c>
      <c r="T154" s="5">
        <f t="shared" si="39"/>
        <v>0</v>
      </c>
      <c r="U154" s="5">
        <f t="shared" si="39"/>
        <v>0</v>
      </c>
      <c r="V154" s="5">
        <f t="shared" si="39"/>
        <v>0</v>
      </c>
    </row>
    <row r="155" spans="1:22" x14ac:dyDescent="0.2">
      <c r="A155" s="33"/>
      <c r="J155" s="3">
        <f t="shared" si="38"/>
        <v>0</v>
      </c>
      <c r="K155" s="3">
        <f t="shared" si="34"/>
        <v>0</v>
      </c>
      <c r="L155" s="3">
        <f t="shared" si="34"/>
        <v>0</v>
      </c>
      <c r="M155" s="3">
        <f t="shared" si="34"/>
        <v>0</v>
      </c>
      <c r="P155" s="3" t="str">
        <f>IF([1]Patrimonio!C166="","",[1]Patrimonio!C166)</f>
        <v/>
      </c>
      <c r="Q155" s="3" t="str">
        <f t="shared" si="40"/>
        <v/>
      </c>
      <c r="R155" s="20" t="str">
        <f t="shared" si="36"/>
        <v/>
      </c>
      <c r="S155" s="5">
        <f t="shared" si="39"/>
        <v>0</v>
      </c>
      <c r="T155" s="5">
        <f t="shared" si="39"/>
        <v>0</v>
      </c>
      <c r="U155" s="5">
        <f t="shared" si="39"/>
        <v>0</v>
      </c>
      <c r="V155" s="5">
        <f t="shared" si="39"/>
        <v>0</v>
      </c>
    </row>
    <row r="156" spans="1:22" x14ac:dyDescent="0.2">
      <c r="A156" s="33"/>
      <c r="J156" s="3">
        <f t="shared" si="38"/>
        <v>0</v>
      </c>
      <c r="K156" s="3">
        <f t="shared" si="34"/>
        <v>0</v>
      </c>
      <c r="L156" s="3">
        <f t="shared" si="34"/>
        <v>0</v>
      </c>
      <c r="M156" s="3">
        <f t="shared" si="34"/>
        <v>0</v>
      </c>
      <c r="P156" s="3" t="str">
        <f>IF([1]Patrimonio!C167="","",[1]Patrimonio!C167)</f>
        <v/>
      </c>
      <c r="Q156" s="3" t="str">
        <f t="shared" si="40"/>
        <v/>
      </c>
      <c r="R156" s="20" t="str">
        <f t="shared" si="36"/>
        <v/>
      </c>
      <c r="S156" s="5">
        <f t="shared" si="39"/>
        <v>0</v>
      </c>
      <c r="T156" s="5">
        <f t="shared" si="39"/>
        <v>0</v>
      </c>
      <c r="U156" s="5">
        <f t="shared" si="39"/>
        <v>0</v>
      </c>
      <c r="V156" s="5">
        <f t="shared" si="39"/>
        <v>0</v>
      </c>
    </row>
    <row r="157" spans="1:22" x14ac:dyDescent="0.2">
      <c r="A157" s="33"/>
      <c r="J157" s="3">
        <f t="shared" si="38"/>
        <v>0</v>
      </c>
      <c r="K157" s="3">
        <f t="shared" si="34"/>
        <v>0</v>
      </c>
      <c r="L157" s="3">
        <f t="shared" si="34"/>
        <v>0</v>
      </c>
      <c r="M157" s="3">
        <f t="shared" si="34"/>
        <v>0</v>
      </c>
      <c r="P157" s="3" t="str">
        <f>IF([1]Patrimonio!C168="","",[1]Patrimonio!C168)</f>
        <v/>
      </c>
      <c r="Q157" s="3" t="str">
        <f t="shared" si="40"/>
        <v/>
      </c>
      <c r="R157" s="20" t="str">
        <f t="shared" si="36"/>
        <v/>
      </c>
      <c r="S157" s="5">
        <f t="shared" si="39"/>
        <v>0</v>
      </c>
      <c r="T157" s="5">
        <f t="shared" si="39"/>
        <v>0</v>
      </c>
      <c r="U157" s="5">
        <f t="shared" si="39"/>
        <v>0</v>
      </c>
      <c r="V157" s="5">
        <f t="shared" si="39"/>
        <v>0</v>
      </c>
    </row>
    <row r="158" spans="1:22" x14ac:dyDescent="0.2">
      <c r="A158" s="33"/>
      <c r="J158" s="3">
        <f t="shared" si="38"/>
        <v>0</v>
      </c>
      <c r="K158" s="3">
        <f t="shared" si="34"/>
        <v>0</v>
      </c>
      <c r="L158" s="3">
        <f t="shared" si="34"/>
        <v>0</v>
      </c>
      <c r="M158" s="3">
        <f t="shared" si="34"/>
        <v>0</v>
      </c>
      <c r="P158" s="3" t="str">
        <f>IF([1]Patrimonio!C169="","",[1]Patrimonio!C169)</f>
        <v/>
      </c>
      <c r="Q158" s="3" t="str">
        <f t="shared" si="40"/>
        <v/>
      </c>
      <c r="R158" s="20" t="str">
        <f t="shared" si="36"/>
        <v/>
      </c>
      <c r="S158" s="5">
        <f t="shared" si="39"/>
        <v>0</v>
      </c>
      <c r="T158" s="5">
        <f t="shared" si="39"/>
        <v>0</v>
      </c>
      <c r="U158" s="5">
        <f t="shared" si="39"/>
        <v>0</v>
      </c>
      <c r="V158" s="5">
        <f t="shared" si="39"/>
        <v>0</v>
      </c>
    </row>
    <row r="159" spans="1:22" x14ac:dyDescent="0.2">
      <c r="A159" s="33"/>
      <c r="J159" s="3">
        <f t="shared" si="38"/>
        <v>0</v>
      </c>
      <c r="K159" s="3">
        <f t="shared" si="34"/>
        <v>0</v>
      </c>
      <c r="L159" s="3">
        <f t="shared" si="34"/>
        <v>0</v>
      </c>
      <c r="M159" s="3">
        <f t="shared" si="34"/>
        <v>0</v>
      </c>
    </row>
    <row r="160" spans="1:22" x14ac:dyDescent="0.2">
      <c r="A160" s="33"/>
      <c r="J160" s="3">
        <f t="shared" si="38"/>
        <v>0</v>
      </c>
      <c r="K160" s="3">
        <f t="shared" si="34"/>
        <v>0</v>
      </c>
      <c r="L160" s="3">
        <f t="shared" si="34"/>
        <v>0</v>
      </c>
      <c r="M160" s="3">
        <f t="shared" si="34"/>
        <v>0</v>
      </c>
    </row>
    <row r="161" spans="1:13" x14ac:dyDescent="0.2">
      <c r="A161" s="33"/>
      <c r="J161" s="3">
        <f t="shared" si="38"/>
        <v>0</v>
      </c>
      <c r="K161" s="3">
        <f t="shared" si="34"/>
        <v>0</v>
      </c>
      <c r="L161" s="3">
        <f t="shared" si="34"/>
        <v>0</v>
      </c>
      <c r="M161" s="3">
        <f t="shared" si="34"/>
        <v>0</v>
      </c>
    </row>
    <row r="162" spans="1:13" x14ac:dyDescent="0.2">
      <c r="A162" s="33"/>
      <c r="J162" s="3">
        <f t="shared" si="38"/>
        <v>0</v>
      </c>
      <c r="K162" s="3">
        <f t="shared" si="34"/>
        <v>0</v>
      </c>
      <c r="L162" s="3">
        <f t="shared" si="34"/>
        <v>0</v>
      </c>
      <c r="M162" s="3">
        <f t="shared" si="34"/>
        <v>0</v>
      </c>
    </row>
    <row r="163" spans="1:13" x14ac:dyDescent="0.2">
      <c r="A163" s="33"/>
      <c r="J163" s="3">
        <f t="shared" si="38"/>
        <v>0</v>
      </c>
      <c r="K163" s="3">
        <f t="shared" si="34"/>
        <v>0</v>
      </c>
      <c r="L163" s="3">
        <f t="shared" si="34"/>
        <v>0</v>
      </c>
      <c r="M163" s="3">
        <f t="shared" si="34"/>
        <v>0</v>
      </c>
    </row>
    <row r="164" spans="1:13" x14ac:dyDescent="0.2">
      <c r="A164" s="33"/>
      <c r="J164" s="3">
        <f t="shared" si="38"/>
        <v>0</v>
      </c>
      <c r="K164" s="3">
        <f t="shared" si="34"/>
        <v>0</v>
      </c>
      <c r="L164" s="3">
        <f t="shared" si="34"/>
        <v>0</v>
      </c>
      <c r="M164" s="3">
        <f t="shared" si="34"/>
        <v>0</v>
      </c>
    </row>
    <row r="165" spans="1:13" x14ac:dyDescent="0.2">
      <c r="A165" s="33"/>
      <c r="J165" s="3">
        <f t="shared" si="38"/>
        <v>0</v>
      </c>
      <c r="K165" s="3">
        <f t="shared" si="34"/>
        <v>0</v>
      </c>
      <c r="L165" s="3">
        <f t="shared" si="34"/>
        <v>0</v>
      </c>
      <c r="M165" s="3">
        <f t="shared" si="34"/>
        <v>0</v>
      </c>
    </row>
    <row r="166" spans="1:13" x14ac:dyDescent="0.2">
      <c r="A166" s="33"/>
      <c r="J166" s="3">
        <f t="shared" si="38"/>
        <v>0</v>
      </c>
      <c r="K166" s="3">
        <f t="shared" si="34"/>
        <v>0</v>
      </c>
      <c r="L166" s="3">
        <f t="shared" si="34"/>
        <v>0</v>
      </c>
      <c r="M166" s="3">
        <f t="shared" si="34"/>
        <v>0</v>
      </c>
    </row>
    <row r="167" spans="1:13" x14ac:dyDescent="0.2">
      <c r="A167" s="33"/>
      <c r="J167" s="3">
        <f t="shared" si="38"/>
        <v>0</v>
      </c>
      <c r="K167" s="3">
        <f t="shared" si="34"/>
        <v>0</v>
      </c>
      <c r="L167" s="3">
        <f t="shared" si="34"/>
        <v>0</v>
      </c>
      <c r="M167" s="3">
        <f t="shared" si="34"/>
        <v>0</v>
      </c>
    </row>
    <row r="168" spans="1:13" x14ac:dyDescent="0.2">
      <c r="A168" s="33"/>
      <c r="J168" s="3">
        <f t="shared" si="38"/>
        <v>0</v>
      </c>
      <c r="K168" s="3">
        <f t="shared" si="34"/>
        <v>0</v>
      </c>
      <c r="L168" s="3">
        <f t="shared" si="34"/>
        <v>0</v>
      </c>
      <c r="M168" s="3">
        <f t="shared" si="34"/>
        <v>0</v>
      </c>
    </row>
    <row r="169" spans="1:13" x14ac:dyDescent="0.2">
      <c r="A169" s="33"/>
      <c r="J169" s="3">
        <f t="shared" si="38"/>
        <v>0</v>
      </c>
      <c r="K169" s="3">
        <f t="shared" si="34"/>
        <v>0</v>
      </c>
      <c r="L169" s="3">
        <f t="shared" si="34"/>
        <v>0</v>
      </c>
      <c r="M169" s="3">
        <f t="shared" si="34"/>
        <v>0</v>
      </c>
    </row>
    <row r="170" spans="1:13" x14ac:dyDescent="0.2">
      <c r="A170" s="33"/>
      <c r="J170" s="3">
        <f t="shared" si="38"/>
        <v>0</v>
      </c>
      <c r="K170" s="3">
        <f t="shared" si="34"/>
        <v>0</v>
      </c>
      <c r="L170" s="3">
        <f t="shared" si="34"/>
        <v>0</v>
      </c>
      <c r="M170" s="3">
        <f t="shared" si="34"/>
        <v>0</v>
      </c>
    </row>
    <row r="171" spans="1:13" x14ac:dyDescent="0.2">
      <c r="A171" s="33"/>
      <c r="J171" s="3">
        <f t="shared" si="38"/>
        <v>0</v>
      </c>
      <c r="K171" s="3">
        <f t="shared" si="34"/>
        <v>0</v>
      </c>
      <c r="L171" s="3">
        <f t="shared" si="34"/>
        <v>0</v>
      </c>
      <c r="M171" s="3">
        <f t="shared" si="34"/>
        <v>0</v>
      </c>
    </row>
    <row r="172" spans="1:13" x14ac:dyDescent="0.2">
      <c r="A172" s="33"/>
      <c r="J172" s="3">
        <f t="shared" si="38"/>
        <v>0</v>
      </c>
      <c r="K172" s="3">
        <f t="shared" si="34"/>
        <v>0</v>
      </c>
      <c r="L172" s="3">
        <f t="shared" si="34"/>
        <v>0</v>
      </c>
      <c r="M172" s="3">
        <f t="shared" si="34"/>
        <v>0</v>
      </c>
    </row>
    <row r="173" spans="1:13" x14ac:dyDescent="0.2">
      <c r="A173" s="33"/>
    </row>
    <row r="174" spans="1:13" x14ac:dyDescent="0.2">
      <c r="A174" s="33"/>
    </row>
    <row r="175" spans="1:13" x14ac:dyDescent="0.2">
      <c r="A175" s="33"/>
    </row>
    <row r="176" spans="1:13" x14ac:dyDescent="0.2">
      <c r="A176" s="33"/>
    </row>
    <row r="177" spans="1:1" x14ac:dyDescent="0.2">
      <c r="A177" s="33"/>
    </row>
    <row r="178" spans="1:1" x14ac:dyDescent="0.2">
      <c r="A178" s="33"/>
    </row>
    <row r="179" spans="1:1" x14ac:dyDescent="0.2">
      <c r="A179" s="33"/>
    </row>
    <row r="180" spans="1:1" x14ac:dyDescent="0.2">
      <c r="A180" s="33"/>
    </row>
    <row r="181" spans="1:1" x14ac:dyDescent="0.2">
      <c r="A181" s="33"/>
    </row>
    <row r="182" spans="1:1" x14ac:dyDescent="0.2">
      <c r="A182" s="33"/>
    </row>
    <row r="183" spans="1:1" x14ac:dyDescent="0.2">
      <c r="A183" s="33"/>
    </row>
    <row r="184" spans="1:1" x14ac:dyDescent="0.2">
      <c r="A184" s="33"/>
    </row>
    <row r="185" spans="1:1" x14ac:dyDescent="0.2">
      <c r="A185" s="33"/>
    </row>
    <row r="186" spans="1:1" x14ac:dyDescent="0.2">
      <c r="A186" s="33"/>
    </row>
    <row r="187" spans="1:1" x14ac:dyDescent="0.2">
      <c r="A187" s="33"/>
    </row>
    <row r="188" spans="1:1" x14ac:dyDescent="0.2">
      <c r="A188" s="33"/>
    </row>
    <row r="189" spans="1:1" x14ac:dyDescent="0.2">
      <c r="A189" s="33"/>
    </row>
    <row r="190" spans="1:1" x14ac:dyDescent="0.2">
      <c r="A190" s="33"/>
    </row>
    <row r="191" spans="1:1" x14ac:dyDescent="0.2">
      <c r="A191" s="33"/>
    </row>
    <row r="192" spans="1:1" x14ac:dyDescent="0.2">
      <c r="A192" s="33"/>
    </row>
    <row r="193" spans="1:1" x14ac:dyDescent="0.2">
      <c r="A193" s="33"/>
    </row>
    <row r="194" spans="1:1" x14ac:dyDescent="0.2">
      <c r="A194" s="33"/>
    </row>
    <row r="195" spans="1:1" x14ac:dyDescent="0.2">
      <c r="A195" s="33"/>
    </row>
    <row r="196" spans="1:1" x14ac:dyDescent="0.2">
      <c r="A196" s="33"/>
    </row>
    <row r="197" spans="1:1" x14ac:dyDescent="0.2">
      <c r="A197" s="33"/>
    </row>
    <row r="198" spans="1:1" x14ac:dyDescent="0.2">
      <c r="A198" s="33"/>
    </row>
    <row r="199" spans="1:1" x14ac:dyDescent="0.2">
      <c r="A199" s="33"/>
    </row>
    <row r="200" spans="1:1" x14ac:dyDescent="0.2">
      <c r="A200" s="33"/>
    </row>
    <row r="201" spans="1:1" x14ac:dyDescent="0.2">
      <c r="A201" s="33"/>
    </row>
    <row r="202" spans="1:1" x14ac:dyDescent="0.2">
      <c r="A202" s="33"/>
    </row>
    <row r="203" spans="1:1" x14ac:dyDescent="0.2">
      <c r="A203" s="33"/>
    </row>
    <row r="204" spans="1:1" x14ac:dyDescent="0.2">
      <c r="A204" s="33"/>
    </row>
    <row r="205" spans="1:1" x14ac:dyDescent="0.2">
      <c r="A205" s="33"/>
    </row>
    <row r="206" spans="1:1" x14ac:dyDescent="0.2">
      <c r="A206" s="33"/>
    </row>
    <row r="207" spans="1:1" x14ac:dyDescent="0.2">
      <c r="A207" s="33"/>
    </row>
    <row r="208" spans="1:1" x14ac:dyDescent="0.2">
      <c r="A208" s="33"/>
    </row>
    <row r="209" spans="1:1" x14ac:dyDescent="0.2">
      <c r="A209" s="33"/>
    </row>
    <row r="210" spans="1:1" x14ac:dyDescent="0.2">
      <c r="A210" s="33"/>
    </row>
    <row r="211" spans="1:1" x14ac:dyDescent="0.2">
      <c r="A211" s="33"/>
    </row>
    <row r="212" spans="1:1" x14ac:dyDescent="0.2">
      <c r="A212" s="33"/>
    </row>
    <row r="213" spans="1:1" x14ac:dyDescent="0.2">
      <c r="A213" s="33"/>
    </row>
    <row r="214" spans="1:1" x14ac:dyDescent="0.2">
      <c r="A214" s="33"/>
    </row>
    <row r="215" spans="1:1" x14ac:dyDescent="0.2">
      <c r="A215" s="33"/>
    </row>
    <row r="216" spans="1:1" x14ac:dyDescent="0.2">
      <c r="A216" s="33"/>
    </row>
    <row r="217" spans="1:1" x14ac:dyDescent="0.2">
      <c r="A217" s="33"/>
    </row>
    <row r="218" spans="1:1" x14ac:dyDescent="0.2">
      <c r="A218" s="33"/>
    </row>
    <row r="219" spans="1:1" x14ac:dyDescent="0.2">
      <c r="A219" s="33"/>
    </row>
    <row r="220" spans="1:1" x14ac:dyDescent="0.2">
      <c r="A220" s="33"/>
    </row>
    <row r="221" spans="1:1" x14ac:dyDescent="0.2">
      <c r="A221" s="33"/>
    </row>
    <row r="222" spans="1:1" x14ac:dyDescent="0.2">
      <c r="A222" s="33"/>
    </row>
    <row r="223" spans="1:1" x14ac:dyDescent="0.2">
      <c r="A223" s="33"/>
    </row>
    <row r="224" spans="1:1" x14ac:dyDescent="0.2">
      <c r="A224" s="33"/>
    </row>
    <row r="225" spans="1:1" x14ac:dyDescent="0.2">
      <c r="A225" s="33"/>
    </row>
    <row r="226" spans="1:1" x14ac:dyDescent="0.2">
      <c r="A226" s="33"/>
    </row>
    <row r="227" spans="1:1" x14ac:dyDescent="0.2">
      <c r="A227" s="33"/>
    </row>
    <row r="228" spans="1:1" x14ac:dyDescent="0.2">
      <c r="A228" s="33"/>
    </row>
    <row r="229" spans="1:1" x14ac:dyDescent="0.2">
      <c r="A229" s="33"/>
    </row>
    <row r="230" spans="1:1" x14ac:dyDescent="0.2">
      <c r="A230" s="33"/>
    </row>
    <row r="231" spans="1:1" x14ac:dyDescent="0.2">
      <c r="A231" s="33"/>
    </row>
    <row r="232" spans="1:1" x14ac:dyDescent="0.2">
      <c r="A232" s="33"/>
    </row>
    <row r="233" spans="1:1" x14ac:dyDescent="0.2">
      <c r="A233" s="33"/>
    </row>
    <row r="234" spans="1:1" x14ac:dyDescent="0.2">
      <c r="A234" s="33"/>
    </row>
    <row r="235" spans="1:1" x14ac:dyDescent="0.2">
      <c r="A235" s="33"/>
    </row>
    <row r="236" spans="1:1" x14ac:dyDescent="0.2">
      <c r="A236" s="33"/>
    </row>
    <row r="237" spans="1:1" x14ac:dyDescent="0.2">
      <c r="A237" s="33"/>
    </row>
    <row r="238" spans="1:1" x14ac:dyDescent="0.2">
      <c r="A238" s="33"/>
    </row>
    <row r="239" spans="1:1" x14ac:dyDescent="0.2">
      <c r="A239" s="33"/>
    </row>
    <row r="240" spans="1:1" x14ac:dyDescent="0.2">
      <c r="A240" s="33"/>
    </row>
    <row r="241" spans="1:1" x14ac:dyDescent="0.2">
      <c r="A241" s="33"/>
    </row>
    <row r="242" spans="1:1" x14ac:dyDescent="0.2">
      <c r="A242" s="33"/>
    </row>
    <row r="243" spans="1:1" x14ac:dyDescent="0.2">
      <c r="A243" s="33"/>
    </row>
    <row r="244" spans="1:1" x14ac:dyDescent="0.2">
      <c r="A244" s="33"/>
    </row>
    <row r="245" spans="1:1" x14ac:dyDescent="0.2">
      <c r="A245" s="33"/>
    </row>
    <row r="246" spans="1:1" x14ac:dyDescent="0.2">
      <c r="A246" s="33"/>
    </row>
    <row r="247" spans="1:1" x14ac:dyDescent="0.2">
      <c r="A247" s="33"/>
    </row>
    <row r="248" spans="1:1" x14ac:dyDescent="0.2">
      <c r="A248" s="33"/>
    </row>
    <row r="249" spans="1:1" x14ac:dyDescent="0.2">
      <c r="A249" s="33"/>
    </row>
    <row r="250" spans="1:1" x14ac:dyDescent="0.2">
      <c r="A250" s="33"/>
    </row>
    <row r="251" spans="1:1" x14ac:dyDescent="0.2">
      <c r="A251" s="33"/>
    </row>
    <row r="252" spans="1:1" x14ac:dyDescent="0.2">
      <c r="A252" s="33"/>
    </row>
    <row r="253" spans="1:1" x14ac:dyDescent="0.2">
      <c r="A253" s="33"/>
    </row>
    <row r="254" spans="1:1" x14ac:dyDescent="0.2">
      <c r="A254" s="33"/>
    </row>
    <row r="255" spans="1:1" x14ac:dyDescent="0.2">
      <c r="A255" s="33"/>
    </row>
    <row r="256" spans="1:1" x14ac:dyDescent="0.2">
      <c r="A256" s="33"/>
    </row>
    <row r="257" spans="1:1" x14ac:dyDescent="0.2">
      <c r="A257" s="33"/>
    </row>
    <row r="258" spans="1:1" x14ac:dyDescent="0.2">
      <c r="A258" s="33"/>
    </row>
    <row r="259" spans="1:1" x14ac:dyDescent="0.2">
      <c r="A259" s="33"/>
    </row>
    <row r="260" spans="1:1" x14ac:dyDescent="0.2">
      <c r="A260" s="33"/>
    </row>
    <row r="261" spans="1:1" x14ac:dyDescent="0.2">
      <c r="A261" s="33"/>
    </row>
    <row r="262" spans="1:1" x14ac:dyDescent="0.2">
      <c r="A262" s="33"/>
    </row>
    <row r="263" spans="1:1" x14ac:dyDescent="0.2">
      <c r="A263" s="33"/>
    </row>
    <row r="264" spans="1:1" x14ac:dyDescent="0.2">
      <c r="A264" s="33"/>
    </row>
    <row r="265" spans="1:1" x14ac:dyDescent="0.2">
      <c r="A265" s="33"/>
    </row>
    <row r="266" spans="1:1" x14ac:dyDescent="0.2">
      <c r="A266" s="33"/>
    </row>
    <row r="267" spans="1:1" x14ac:dyDescent="0.2">
      <c r="A267" s="33"/>
    </row>
    <row r="268" spans="1:1" x14ac:dyDescent="0.2">
      <c r="A268" s="33"/>
    </row>
    <row r="269" spans="1:1" x14ac:dyDescent="0.2">
      <c r="A269" s="33"/>
    </row>
    <row r="270" spans="1:1" x14ac:dyDescent="0.2">
      <c r="A270" s="33"/>
    </row>
    <row r="271" spans="1:1" x14ac:dyDescent="0.2">
      <c r="A271" s="33"/>
    </row>
    <row r="272" spans="1:1" x14ac:dyDescent="0.2">
      <c r="A272" s="33"/>
    </row>
    <row r="273" spans="1:1" x14ac:dyDescent="0.2">
      <c r="A273" s="33"/>
    </row>
    <row r="274" spans="1:1" x14ac:dyDescent="0.2">
      <c r="A274" s="33"/>
    </row>
    <row r="275" spans="1:1" x14ac:dyDescent="0.2">
      <c r="A275" s="33"/>
    </row>
    <row r="276" spans="1:1" x14ac:dyDescent="0.2">
      <c r="A276" s="33"/>
    </row>
    <row r="277" spans="1:1" x14ac:dyDescent="0.2">
      <c r="A277" s="33"/>
    </row>
    <row r="278" spans="1:1" x14ac:dyDescent="0.2">
      <c r="A278" s="33"/>
    </row>
    <row r="279" spans="1:1" x14ac:dyDescent="0.2">
      <c r="A279" s="33"/>
    </row>
    <row r="280" spans="1:1" x14ac:dyDescent="0.2">
      <c r="A280" s="33"/>
    </row>
    <row r="281" spans="1:1" x14ac:dyDescent="0.2">
      <c r="A281" s="33"/>
    </row>
    <row r="282" spans="1:1" x14ac:dyDescent="0.2">
      <c r="A282" s="33"/>
    </row>
    <row r="283" spans="1:1" x14ac:dyDescent="0.2">
      <c r="A283" s="33"/>
    </row>
    <row r="284" spans="1:1" x14ac:dyDescent="0.2">
      <c r="A284" s="33"/>
    </row>
    <row r="285" spans="1:1" x14ac:dyDescent="0.2">
      <c r="A285" s="33"/>
    </row>
    <row r="286" spans="1:1" x14ac:dyDescent="0.2">
      <c r="A286" s="33"/>
    </row>
    <row r="287" spans="1:1" x14ac:dyDescent="0.2">
      <c r="A287" s="33"/>
    </row>
    <row r="288" spans="1:1" x14ac:dyDescent="0.2">
      <c r="A288" s="33"/>
    </row>
    <row r="289" spans="1:1" x14ac:dyDescent="0.2">
      <c r="A289" s="33"/>
    </row>
    <row r="290" spans="1:1" x14ac:dyDescent="0.2">
      <c r="A290" s="33"/>
    </row>
    <row r="291" spans="1:1" x14ac:dyDescent="0.2">
      <c r="A291" s="33"/>
    </row>
    <row r="292" spans="1:1" x14ac:dyDescent="0.2">
      <c r="A292" s="33"/>
    </row>
    <row r="293" spans="1:1" x14ac:dyDescent="0.2">
      <c r="A293" s="33"/>
    </row>
    <row r="294" spans="1:1" x14ac:dyDescent="0.2">
      <c r="A294" s="33"/>
    </row>
    <row r="295" spans="1:1" x14ac:dyDescent="0.2">
      <c r="A295" s="33"/>
    </row>
    <row r="296" spans="1:1" x14ac:dyDescent="0.2">
      <c r="A296" s="33"/>
    </row>
    <row r="297" spans="1:1" x14ac:dyDescent="0.2">
      <c r="A297" s="33"/>
    </row>
    <row r="298" spans="1:1" x14ac:dyDescent="0.2">
      <c r="A298" s="33"/>
    </row>
    <row r="299" spans="1:1" x14ac:dyDescent="0.2">
      <c r="A299" s="33"/>
    </row>
    <row r="300" spans="1:1" x14ac:dyDescent="0.2">
      <c r="A300" s="33"/>
    </row>
    <row r="301" spans="1:1" x14ac:dyDescent="0.2">
      <c r="A301" s="33"/>
    </row>
    <row r="302" spans="1:1" x14ac:dyDescent="0.2">
      <c r="A302" s="33"/>
    </row>
    <row r="303" spans="1:1" x14ac:dyDescent="0.2">
      <c r="A303" s="33"/>
    </row>
    <row r="304" spans="1:1" x14ac:dyDescent="0.2">
      <c r="A304" s="33"/>
    </row>
    <row r="305" spans="1:1" x14ac:dyDescent="0.2">
      <c r="A305" s="33"/>
    </row>
    <row r="306" spans="1:1" x14ac:dyDescent="0.2">
      <c r="A306" s="33"/>
    </row>
    <row r="307" spans="1:1" x14ac:dyDescent="0.2">
      <c r="A307" s="33"/>
    </row>
    <row r="308" spans="1:1" x14ac:dyDescent="0.2">
      <c r="A308" s="33"/>
    </row>
    <row r="309" spans="1:1" x14ac:dyDescent="0.2">
      <c r="A309" s="33"/>
    </row>
    <row r="310" spans="1:1" x14ac:dyDescent="0.2">
      <c r="A310" s="33"/>
    </row>
    <row r="311" spans="1:1" x14ac:dyDescent="0.2">
      <c r="A311" s="33"/>
    </row>
    <row r="312" spans="1:1" x14ac:dyDescent="0.2">
      <c r="A312" s="33"/>
    </row>
    <row r="313" spans="1:1" x14ac:dyDescent="0.2">
      <c r="A313" s="33"/>
    </row>
    <row r="314" spans="1:1" x14ac:dyDescent="0.2">
      <c r="A314" s="33"/>
    </row>
    <row r="315" spans="1:1" x14ac:dyDescent="0.2">
      <c r="A315" s="33"/>
    </row>
    <row r="316" spans="1:1" x14ac:dyDescent="0.2">
      <c r="A316" s="33"/>
    </row>
    <row r="317" spans="1:1" x14ac:dyDescent="0.2">
      <c r="A317" s="33"/>
    </row>
    <row r="318" spans="1:1" x14ac:dyDescent="0.2">
      <c r="A318" s="33"/>
    </row>
    <row r="319" spans="1:1" x14ac:dyDescent="0.2">
      <c r="A319" s="33"/>
    </row>
    <row r="320" spans="1:1" x14ac:dyDescent="0.2">
      <c r="A320" s="33"/>
    </row>
    <row r="321" spans="1:1" x14ac:dyDescent="0.2">
      <c r="A321" s="33"/>
    </row>
    <row r="322" spans="1:1" x14ac:dyDescent="0.2">
      <c r="A322" s="33"/>
    </row>
    <row r="323" spans="1:1" x14ac:dyDescent="0.2">
      <c r="A323" s="33"/>
    </row>
    <row r="324" spans="1:1" x14ac:dyDescent="0.2">
      <c r="A324" s="33"/>
    </row>
    <row r="325" spans="1:1" x14ac:dyDescent="0.2">
      <c r="A325" s="33"/>
    </row>
    <row r="326" spans="1:1" x14ac:dyDescent="0.2">
      <c r="A326" s="33"/>
    </row>
    <row r="327" spans="1:1" x14ac:dyDescent="0.2">
      <c r="A327" s="33"/>
    </row>
    <row r="328" spans="1:1" x14ac:dyDescent="0.2">
      <c r="A328" s="33"/>
    </row>
    <row r="329" spans="1:1" x14ac:dyDescent="0.2">
      <c r="A329" s="33"/>
    </row>
    <row r="330" spans="1:1" x14ac:dyDescent="0.2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tualizar_Yahoo">
                <anchor moveWithCells="1">
                  <from>
                    <xdr:col>17</xdr:col>
                    <xdr:colOff>66675</xdr:colOff>
                    <xdr:row>0</xdr:row>
                    <xdr:rowOff>114300</xdr:rowOff>
                  </from>
                  <to>
                    <xdr:col>18</xdr:col>
                    <xdr:colOff>200025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/>
  <dimension ref="A1:V330"/>
  <sheetViews>
    <sheetView workbookViewId="0">
      <selection activeCell="H2" sqref="H2"/>
    </sheetView>
  </sheetViews>
  <sheetFormatPr defaultRowHeight="11.25" x14ac:dyDescent="0.2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 x14ac:dyDescent="0.2">
      <c r="A1" s="3" t="s">
        <v>42</v>
      </c>
      <c r="C1" s="3" t="s">
        <v>548</v>
      </c>
    </row>
    <row r="2" spans="1:22" x14ac:dyDescent="0.2">
      <c r="A2" s="3" t="s">
        <v>43</v>
      </c>
      <c r="C2" s="3" t="s">
        <v>46</v>
      </c>
    </row>
    <row r="3" spans="1:22" x14ac:dyDescent="0.2">
      <c r="A3" s="3" t="s">
        <v>44</v>
      </c>
    </row>
    <row r="4" spans="1:22" x14ac:dyDescent="0.2">
      <c r="A4" s="3" t="s">
        <v>45</v>
      </c>
    </row>
    <row r="6" spans="1:22" x14ac:dyDescent="0.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 x14ac:dyDescent="0.2">
      <c r="A7" s="33" t="str">
        <f>IF(Tabela17[[#This Row],[Código]]="IBOV","^BVSP",IF(Tabela17[[#This Row],[Código]]="","",CONCATENATE(LEFT(Tabela17[[#This Row],[Código]],6),".SA")))</f>
        <v>ABCB3.SA</v>
      </c>
      <c r="C7" s="3" t="s">
        <v>445</v>
      </c>
      <c r="D7" s="3" t="s">
        <v>446</v>
      </c>
      <c r="E7" s="3" t="s">
        <v>447</v>
      </c>
      <c r="F7" s="3" t="s">
        <v>446</v>
      </c>
      <c r="G7" s="3" t="s">
        <v>446</v>
      </c>
      <c r="H7" s="51" t="s">
        <v>446</v>
      </c>
      <c r="J7" s="3" t="e">
        <f>IF($A7="",0,VALUE(CONCATENATE(LEFT(D7,LEN(D7)-3),",",RIGHT(D7,2))))</f>
        <v>#VALUE!</v>
      </c>
      <c r="K7" s="3">
        <f t="shared" ref="K7:M22" si="0">IF($A7="",0,VALUE(CONCATENATE(LEFT(E7,LEN(E7)-3),",",RIGHT(E7,2))))</f>
        <v>0</v>
      </c>
      <c r="L7" s="3" t="e">
        <f t="shared" si="0"/>
        <v>#VALUE!</v>
      </c>
      <c r="M7" s="3" t="e">
        <f t="shared" si="0"/>
        <v>#VALUE!</v>
      </c>
      <c r="P7" s="14" t="s">
        <v>443</v>
      </c>
      <c r="Q7" s="10" t="str">
        <f t="shared" ref="Q7:Q38" si="1">IF(A7="","",C7)</f>
        <v xml:space="preserve">ABC BRASIL  -ON  </v>
      </c>
      <c r="R7" s="51" t="str">
        <f t="shared" ref="R7:R38" si="2">IF(A7="","",H7)</f>
        <v>N/A</v>
      </c>
      <c r="S7" s="5" t="e">
        <f t="shared" ref="S7:S38" si="3">J7</f>
        <v>#VALUE!</v>
      </c>
      <c r="T7" s="5">
        <f t="shared" ref="T7:T38" si="4">K7</f>
        <v>0</v>
      </c>
      <c r="U7" s="5" t="e">
        <f t="shared" ref="U7:U38" si="5">L7</f>
        <v>#VALUE!</v>
      </c>
      <c r="V7" s="5" t="e">
        <f t="shared" ref="V7:V38" si="6">M7</f>
        <v>#VALUE!</v>
      </c>
    </row>
    <row r="8" spans="1:22" x14ac:dyDescent="0.2">
      <c r="A8" s="33" t="str">
        <f>IF(Tabela17[[#This Row],[Código]]="IBOV","^BVSP",IF(Tabela17[[#This Row],[Código]]="","",CONCATENATE(LEFT(Tabela17[[#This Row],[Código]],6),".SA")))</f>
        <v>AFLT3.SA</v>
      </c>
      <c r="C8" s="3" t="s">
        <v>459</v>
      </c>
      <c r="D8" s="3" t="s">
        <v>460</v>
      </c>
      <c r="E8" s="3" t="s">
        <v>460</v>
      </c>
      <c r="F8" s="3" t="s">
        <v>460</v>
      </c>
      <c r="G8" s="3" t="s">
        <v>460</v>
      </c>
      <c r="H8" s="51">
        <v>41689</v>
      </c>
      <c r="J8" s="3">
        <f t="shared" ref="J8:M71" si="7">IF($A8="",0,VALUE(CONCATENATE(LEFT(D8,LEN(D8)-3),",",RIGHT(D8,2))))</f>
        <v>3.5</v>
      </c>
      <c r="K8" s="3">
        <f t="shared" si="0"/>
        <v>3.5</v>
      </c>
      <c r="L8" s="3">
        <f t="shared" si="0"/>
        <v>3.5</v>
      </c>
      <c r="M8" s="3">
        <f t="shared" si="0"/>
        <v>3.5</v>
      </c>
      <c r="P8" s="15" t="s">
        <v>458</v>
      </c>
      <c r="Q8" s="10" t="str">
        <f t="shared" si="1"/>
        <v>AFLUENTE T  -ON</v>
      </c>
      <c r="R8" s="51">
        <f t="shared" si="2"/>
        <v>41689</v>
      </c>
      <c r="S8" s="5">
        <f t="shared" si="3"/>
        <v>3.5</v>
      </c>
      <c r="T8" s="5">
        <f t="shared" si="4"/>
        <v>3.5</v>
      </c>
      <c r="U8" s="5">
        <f t="shared" si="5"/>
        <v>3.5</v>
      </c>
      <c r="V8" s="5">
        <f t="shared" si="6"/>
        <v>3.5</v>
      </c>
    </row>
    <row r="9" spans="1:22" x14ac:dyDescent="0.2">
      <c r="A9" s="33" t="str">
        <f>IF(Tabela17[[#This Row],[Código]]="IBOV","^BVSP",IF(Tabela17[[#This Row],[Código]]="","",CONCATENATE(LEFT(Tabela17[[#This Row],[Código]],6),".SA")))</f>
        <v>AFLU3.SA</v>
      </c>
      <c r="C9" s="3" t="s">
        <v>454</v>
      </c>
      <c r="D9" s="3" t="s">
        <v>455</v>
      </c>
      <c r="E9" s="3" t="s">
        <v>455</v>
      </c>
      <c r="F9" s="3" t="s">
        <v>455</v>
      </c>
      <c r="G9" s="3" t="s">
        <v>455</v>
      </c>
      <c r="H9" s="51">
        <v>41689</v>
      </c>
      <c r="J9" s="3">
        <f t="shared" si="7"/>
        <v>5.55</v>
      </c>
      <c r="K9" s="3">
        <f t="shared" si="0"/>
        <v>5.55</v>
      </c>
      <c r="L9" s="3">
        <f t="shared" si="0"/>
        <v>5.55</v>
      </c>
      <c r="M9" s="3">
        <f t="shared" si="0"/>
        <v>5.55</v>
      </c>
      <c r="P9" s="14" t="s">
        <v>451</v>
      </c>
      <c r="Q9" s="10" t="str">
        <f t="shared" si="1"/>
        <v>AFLUENTE    -ON</v>
      </c>
      <c r="R9" s="51">
        <f t="shared" si="2"/>
        <v>41689</v>
      </c>
      <c r="S9" s="5">
        <f t="shared" si="3"/>
        <v>5.55</v>
      </c>
      <c r="T9" s="5">
        <f t="shared" si="4"/>
        <v>5.55</v>
      </c>
      <c r="U9" s="5">
        <f t="shared" si="5"/>
        <v>5.55</v>
      </c>
      <c r="V9" s="5">
        <f t="shared" si="6"/>
        <v>5.55</v>
      </c>
    </row>
    <row r="10" spans="1:22" x14ac:dyDescent="0.2">
      <c r="A10" s="33" t="str">
        <f>IF(Tabela17[[#This Row],[Código]]="IBOV","^BVSP",IF(Tabela17[[#This Row],[Código]]="","",CONCATENATE(LEFT(Tabela17[[#This Row],[Código]],6),".SA")))</f>
        <v>AFLU5.SA</v>
      </c>
      <c r="C10" s="3" t="s">
        <v>456</v>
      </c>
      <c r="D10" s="3" t="s">
        <v>446</v>
      </c>
      <c r="E10" s="3" t="s">
        <v>447</v>
      </c>
      <c r="F10" s="3" t="s">
        <v>446</v>
      </c>
      <c r="G10" s="3" t="s">
        <v>446</v>
      </c>
      <c r="H10" s="51" t="s">
        <v>446</v>
      </c>
      <c r="J10" s="3" t="e">
        <f t="shared" si="7"/>
        <v>#VALUE!</v>
      </c>
      <c r="K10" s="3">
        <f t="shared" si="0"/>
        <v>0</v>
      </c>
      <c r="L10" s="3" t="e">
        <f t="shared" si="0"/>
        <v>#VALUE!</v>
      </c>
      <c r="M10" s="3" t="e">
        <f t="shared" si="0"/>
        <v>#VALUE!</v>
      </c>
      <c r="P10" s="14" t="s">
        <v>452</v>
      </c>
      <c r="Q10" s="10" t="str">
        <f t="shared" si="1"/>
        <v>AFLUENTE    -PNA</v>
      </c>
      <c r="R10" s="46" t="str">
        <f t="shared" si="2"/>
        <v>N/A</v>
      </c>
      <c r="S10" s="6" t="e">
        <f t="shared" si="3"/>
        <v>#VALUE!</v>
      </c>
      <c r="T10" s="6">
        <f t="shared" si="4"/>
        <v>0</v>
      </c>
      <c r="U10" s="5" t="e">
        <f t="shared" si="5"/>
        <v>#VALUE!</v>
      </c>
      <c r="V10" s="5" t="e">
        <f t="shared" si="6"/>
        <v>#VALUE!</v>
      </c>
    </row>
    <row r="11" spans="1:22" x14ac:dyDescent="0.2">
      <c r="A11" s="33" t="str">
        <f>IF(Tabela17[[#This Row],[Código]]="IBOV","^BVSP",IF(Tabela17[[#This Row],[Código]]="","",CONCATENATE(LEFT(Tabela17[[#This Row],[Código]],6),".SA")))</f>
        <v>AFLU6.SA</v>
      </c>
      <c r="C11" s="3" t="s">
        <v>457</v>
      </c>
      <c r="D11" s="3" t="s">
        <v>446</v>
      </c>
      <c r="E11" s="3" t="s">
        <v>447</v>
      </c>
      <c r="F11" s="3" t="s">
        <v>446</v>
      </c>
      <c r="G11" s="3" t="s">
        <v>446</v>
      </c>
      <c r="H11" s="51" t="s">
        <v>446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453</v>
      </c>
      <c r="Q11" s="10" t="str">
        <f t="shared" si="1"/>
        <v>AFLUENTE    -PNB</v>
      </c>
      <c r="R11" s="51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 x14ac:dyDescent="0.2">
      <c r="A12" s="33" t="str">
        <f>IF(Tabela17[[#This Row],[Código]]="IBOV","^BVSP",IF(Tabela17[[#This Row],[Código]]="","",CONCATENATE(LEFT(Tabela17[[#This Row],[Código]],6),".SA")))</f>
        <v>ALSC3.SA</v>
      </c>
      <c r="C12" s="3" t="s">
        <v>348</v>
      </c>
      <c r="D12" s="3" t="s">
        <v>1220</v>
      </c>
      <c r="E12" s="3" t="s">
        <v>1215</v>
      </c>
      <c r="F12" s="3" t="s">
        <v>1036</v>
      </c>
      <c r="G12" s="3" t="s">
        <v>1757</v>
      </c>
      <c r="H12" s="51">
        <v>41689</v>
      </c>
      <c r="J12" s="3">
        <f t="shared" si="7"/>
        <v>16.149999999999999</v>
      </c>
      <c r="K12" s="3">
        <f t="shared" si="0"/>
        <v>16.45</v>
      </c>
      <c r="L12" s="3">
        <f t="shared" si="0"/>
        <v>16.829999999999998</v>
      </c>
      <c r="M12" s="3">
        <f t="shared" si="0"/>
        <v>16.14</v>
      </c>
      <c r="P12" s="14" t="s">
        <v>347</v>
      </c>
      <c r="Q12" s="10" t="str">
        <f t="shared" si="1"/>
        <v xml:space="preserve">ALIANSCE    -ON  </v>
      </c>
      <c r="R12" s="46">
        <f t="shared" si="2"/>
        <v>41689</v>
      </c>
      <c r="S12" s="6">
        <f t="shared" si="3"/>
        <v>16.149999999999999</v>
      </c>
      <c r="T12" s="6">
        <f t="shared" si="4"/>
        <v>16.45</v>
      </c>
      <c r="U12" s="6">
        <f t="shared" si="5"/>
        <v>16.829999999999998</v>
      </c>
      <c r="V12" s="6">
        <f t="shared" si="6"/>
        <v>16.14</v>
      </c>
    </row>
    <row r="13" spans="1:22" x14ac:dyDescent="0.2">
      <c r="A13" s="33" t="str">
        <f>IF(Tabela17[[#This Row],[Código]]="IBOV","^BVSP",IF(Tabela17[[#This Row],[Código]]="","",CONCATENATE(LEFT(Tabela17[[#This Row],[Código]],6),".SA")))</f>
        <v>ALUP11.SA</v>
      </c>
      <c r="C13" s="3" t="s">
        <v>464</v>
      </c>
      <c r="D13" s="3" t="s">
        <v>981</v>
      </c>
      <c r="E13" s="3" t="s">
        <v>1939</v>
      </c>
      <c r="F13" s="3" t="s">
        <v>1047</v>
      </c>
      <c r="G13" s="3" t="s">
        <v>1758</v>
      </c>
      <c r="H13" s="51">
        <v>41689</v>
      </c>
      <c r="J13" s="3">
        <f t="shared" si="7"/>
        <v>16.57</v>
      </c>
      <c r="K13" s="3">
        <f t="shared" si="0"/>
        <v>16.739999999999998</v>
      </c>
      <c r="L13" s="3">
        <f t="shared" si="0"/>
        <v>16.84</v>
      </c>
      <c r="M13" s="3">
        <f t="shared" si="0"/>
        <v>16.420000000000002</v>
      </c>
      <c r="P13" s="14" t="s">
        <v>461</v>
      </c>
      <c r="Q13" s="10" t="str">
        <f t="shared" si="1"/>
        <v xml:space="preserve">ALUPAR      -UNT </v>
      </c>
      <c r="R13" s="51">
        <f t="shared" si="2"/>
        <v>41689</v>
      </c>
      <c r="S13" s="5">
        <f t="shared" si="3"/>
        <v>16.57</v>
      </c>
      <c r="T13" s="5">
        <f t="shared" si="4"/>
        <v>16.739999999999998</v>
      </c>
      <c r="U13" s="5">
        <f t="shared" si="5"/>
        <v>16.84</v>
      </c>
      <c r="V13" s="5">
        <f t="shared" si="6"/>
        <v>16.420000000000002</v>
      </c>
    </row>
    <row r="14" spans="1:22" x14ac:dyDescent="0.2">
      <c r="A14" s="33" t="str">
        <f>IF(Tabela17[[#This Row],[Código]]="IBOV","^BVSP",IF(Tabela17[[#This Row],[Código]]="","",CONCATENATE(LEFT(Tabela17[[#This Row],[Código]],6),".SA")))</f>
        <v>ALUP3.SA</v>
      </c>
      <c r="C14" s="3" t="s">
        <v>465</v>
      </c>
      <c r="D14" s="3" t="s">
        <v>446</v>
      </c>
      <c r="E14" s="3" t="s">
        <v>447</v>
      </c>
      <c r="F14" s="3" t="s">
        <v>446</v>
      </c>
      <c r="G14" s="3" t="s">
        <v>446</v>
      </c>
      <c r="H14" s="51" t="s">
        <v>446</v>
      </c>
      <c r="J14" s="3" t="e">
        <f t="shared" si="7"/>
        <v>#VALUE!</v>
      </c>
      <c r="K14" s="3">
        <f t="shared" si="0"/>
        <v>0</v>
      </c>
      <c r="L14" s="3" t="e">
        <f t="shared" si="0"/>
        <v>#VALUE!</v>
      </c>
      <c r="M14" s="3" t="e">
        <f t="shared" si="0"/>
        <v>#VALUE!</v>
      </c>
      <c r="P14" s="15" t="s">
        <v>462</v>
      </c>
      <c r="Q14" s="10" t="str">
        <f t="shared" si="1"/>
        <v xml:space="preserve">ALUPAR      -ON  </v>
      </c>
      <c r="R14" s="51" t="str">
        <f t="shared" si="2"/>
        <v>N/A</v>
      </c>
      <c r="S14" s="5" t="e">
        <f t="shared" si="3"/>
        <v>#VALUE!</v>
      </c>
      <c r="T14" s="5">
        <f t="shared" si="4"/>
        <v>0</v>
      </c>
      <c r="U14" s="5" t="e">
        <f t="shared" si="5"/>
        <v>#VALUE!</v>
      </c>
      <c r="V14" s="5" t="e">
        <f t="shared" si="6"/>
        <v>#VALUE!</v>
      </c>
    </row>
    <row r="15" spans="1:22" x14ac:dyDescent="0.2">
      <c r="A15" s="33" t="str">
        <f>IF(Tabela17[[#This Row],[Código]]="IBOV","^BVSP",IF(Tabela17[[#This Row],[Código]]="","",CONCATENATE(LEFT(Tabela17[[#This Row],[Código]],6),".SA")))</f>
        <v>ALUP4.SA</v>
      </c>
      <c r="C15" s="3" t="s">
        <v>466</v>
      </c>
      <c r="D15" s="3" t="s">
        <v>446</v>
      </c>
      <c r="E15" s="3" t="s">
        <v>447</v>
      </c>
      <c r="F15" s="3" t="s">
        <v>446</v>
      </c>
      <c r="G15" s="3" t="s">
        <v>446</v>
      </c>
      <c r="H15" s="51" t="s">
        <v>446</v>
      </c>
      <c r="J15" s="3" t="e">
        <f t="shared" si="7"/>
        <v>#VALUE!</v>
      </c>
      <c r="K15" s="3">
        <f t="shared" si="0"/>
        <v>0</v>
      </c>
      <c r="L15" s="3" t="e">
        <f t="shared" si="0"/>
        <v>#VALUE!</v>
      </c>
      <c r="M15" s="3" t="e">
        <f t="shared" si="0"/>
        <v>#VALUE!</v>
      </c>
      <c r="P15" s="14" t="s">
        <v>463</v>
      </c>
      <c r="Q15" s="10" t="str">
        <f t="shared" si="1"/>
        <v xml:space="preserve">ALUPAR      -PN  </v>
      </c>
      <c r="R15" s="51" t="str">
        <f t="shared" si="2"/>
        <v>N/A</v>
      </c>
      <c r="S15" s="5" t="e">
        <f t="shared" si="3"/>
        <v>#VALUE!</v>
      </c>
      <c r="T15" s="5">
        <f t="shared" si="4"/>
        <v>0</v>
      </c>
      <c r="U15" s="5" t="e">
        <f t="shared" si="5"/>
        <v>#VALUE!</v>
      </c>
      <c r="V15" s="5" t="e">
        <f t="shared" si="6"/>
        <v>#VALUE!</v>
      </c>
    </row>
    <row r="16" spans="1:22" x14ac:dyDescent="0.2">
      <c r="A16" s="33" t="str">
        <f>IF(Tabela17[[#This Row],[Código]]="IBOV","^BVSP",IF(Tabela17[[#This Row],[Código]]="","",CONCATENATE(LEFT(Tabela17[[#This Row],[Código]],6),".SA")))</f>
        <v>BAHI3.SA</v>
      </c>
      <c r="C16" s="3" t="s">
        <v>308</v>
      </c>
      <c r="D16" s="3" t="s">
        <v>1585</v>
      </c>
      <c r="E16" s="3" t="s">
        <v>1585</v>
      </c>
      <c r="F16" s="3" t="s">
        <v>1585</v>
      </c>
      <c r="G16" s="3" t="s">
        <v>1585</v>
      </c>
      <c r="H16" s="51">
        <v>41689</v>
      </c>
      <c r="J16" s="3">
        <f t="shared" si="7"/>
        <v>5.05</v>
      </c>
      <c r="K16" s="3">
        <f t="shared" si="0"/>
        <v>5.05</v>
      </c>
      <c r="L16" s="3">
        <f t="shared" si="0"/>
        <v>5.05</v>
      </c>
      <c r="M16" s="3">
        <f t="shared" si="0"/>
        <v>5.05</v>
      </c>
      <c r="P16" s="14" t="s">
        <v>307</v>
      </c>
      <c r="Q16" s="10" t="str">
        <f t="shared" si="1"/>
        <v>BAHEMA      -ON</v>
      </c>
      <c r="R16" s="51">
        <f t="shared" si="2"/>
        <v>41689</v>
      </c>
      <c r="S16" s="5">
        <f t="shared" si="3"/>
        <v>5.05</v>
      </c>
      <c r="T16" s="5">
        <f t="shared" si="4"/>
        <v>5.05</v>
      </c>
      <c r="U16" s="5">
        <f t="shared" si="5"/>
        <v>5.05</v>
      </c>
      <c r="V16" s="5">
        <f t="shared" si="6"/>
        <v>5.05</v>
      </c>
    </row>
    <row r="17" spans="1:22" x14ac:dyDescent="0.2">
      <c r="A17" s="33" t="str">
        <f>IF(Tabela17[[#This Row],[Código]]="IBOV","^BVSP",IF(Tabela17[[#This Row],[Código]]="","",CONCATENATE(LEFT(Tabela17[[#This Row],[Código]],6),".SA")))</f>
        <v>BBSE3.SA</v>
      </c>
      <c r="C17" s="3" t="s">
        <v>253</v>
      </c>
      <c r="D17" s="3" t="s">
        <v>1759</v>
      </c>
      <c r="E17" s="3" t="s">
        <v>1940</v>
      </c>
      <c r="F17" s="3" t="s">
        <v>1760</v>
      </c>
      <c r="G17" s="3" t="s">
        <v>1941</v>
      </c>
      <c r="H17" s="51">
        <v>41689</v>
      </c>
      <c r="J17" s="3">
        <f t="shared" si="7"/>
        <v>23.22</v>
      </c>
      <c r="K17" s="3">
        <f t="shared" si="0"/>
        <v>23.3</v>
      </c>
      <c r="L17" s="3">
        <f t="shared" si="0"/>
        <v>23.42</v>
      </c>
      <c r="M17" s="3">
        <f t="shared" si="0"/>
        <v>22.68</v>
      </c>
      <c r="P17" s="15" t="s">
        <v>25</v>
      </c>
      <c r="Q17" s="10" t="str">
        <f t="shared" si="1"/>
        <v xml:space="preserve">BBSEGURIDADE-ON  </v>
      </c>
      <c r="R17" s="51">
        <f t="shared" si="2"/>
        <v>41689</v>
      </c>
      <c r="S17" s="5">
        <f t="shared" si="3"/>
        <v>23.22</v>
      </c>
      <c r="T17" s="5">
        <f t="shared" si="4"/>
        <v>23.3</v>
      </c>
      <c r="U17" s="5">
        <f t="shared" si="5"/>
        <v>23.42</v>
      </c>
      <c r="V17" s="5">
        <f t="shared" si="6"/>
        <v>22.68</v>
      </c>
    </row>
    <row r="18" spans="1:22" x14ac:dyDescent="0.2">
      <c r="A18" s="33" t="str">
        <f>IF(Tabela17[[#This Row],[Código]]="IBOV","^BVSP",IF(Tabela17[[#This Row],[Código]]="","",CONCATENATE(LEFT(Tabela17[[#This Row],[Código]],6),".SA")))</f>
        <v>BRAP3.SA</v>
      </c>
      <c r="C18" s="3" t="s">
        <v>299</v>
      </c>
      <c r="D18" s="3" t="s">
        <v>1761</v>
      </c>
      <c r="E18" s="3" t="s">
        <v>1942</v>
      </c>
      <c r="F18" s="3" t="s">
        <v>1281</v>
      </c>
      <c r="G18" s="3" t="s">
        <v>1762</v>
      </c>
      <c r="H18" s="51">
        <v>41689</v>
      </c>
      <c r="J18" s="3">
        <f t="shared" si="7"/>
        <v>18.41</v>
      </c>
      <c r="K18" s="3">
        <f t="shared" si="0"/>
        <v>18.64</v>
      </c>
      <c r="L18" s="3">
        <f t="shared" si="0"/>
        <v>18.940000000000001</v>
      </c>
      <c r="M18" s="3">
        <f t="shared" si="0"/>
        <v>18.329999999999998</v>
      </c>
      <c r="P18" s="10" t="s">
        <v>296</v>
      </c>
      <c r="Q18" s="10" t="str">
        <f t="shared" si="1"/>
        <v xml:space="preserve">BRADESPAR   -ON  </v>
      </c>
      <c r="R18" s="51">
        <f t="shared" si="2"/>
        <v>41689</v>
      </c>
      <c r="S18" s="5">
        <f t="shared" si="3"/>
        <v>18.41</v>
      </c>
      <c r="T18" s="5">
        <f t="shared" si="4"/>
        <v>18.64</v>
      </c>
      <c r="U18" s="5">
        <f t="shared" si="5"/>
        <v>18.940000000000001</v>
      </c>
      <c r="V18" s="5">
        <f t="shared" si="6"/>
        <v>18.329999999999998</v>
      </c>
    </row>
    <row r="19" spans="1:22" x14ac:dyDescent="0.2">
      <c r="A19" s="33" t="str">
        <f>IF(Tabela17[[#This Row],[Código]]="IBOV","^BVSP",IF(Tabela17[[#This Row],[Código]]="","",CONCATENATE(LEFT(Tabela17[[#This Row],[Código]],6),".SA")))</f>
        <v>BRAP4.SA</v>
      </c>
      <c r="C19" s="3" t="s">
        <v>300</v>
      </c>
      <c r="D19" s="3" t="s">
        <v>1575</v>
      </c>
      <c r="E19" s="3" t="s">
        <v>1943</v>
      </c>
      <c r="F19" s="3" t="s">
        <v>1944</v>
      </c>
      <c r="G19" s="3" t="s">
        <v>1193</v>
      </c>
      <c r="H19" s="51">
        <v>41689</v>
      </c>
      <c r="J19" s="3">
        <f t="shared" si="7"/>
        <v>22.43</v>
      </c>
      <c r="K19" s="3">
        <f t="shared" si="0"/>
        <v>22.46</v>
      </c>
      <c r="L19" s="3">
        <f t="shared" si="0"/>
        <v>22.52</v>
      </c>
      <c r="M19" s="3">
        <f t="shared" si="0"/>
        <v>22.14</v>
      </c>
      <c r="P19" s="10" t="s">
        <v>297</v>
      </c>
      <c r="Q19" s="10" t="str">
        <f t="shared" si="1"/>
        <v xml:space="preserve">BRADESPAR   -PN  </v>
      </c>
      <c r="R19" s="51">
        <f t="shared" si="2"/>
        <v>41689</v>
      </c>
      <c r="S19" s="5">
        <f t="shared" si="3"/>
        <v>22.43</v>
      </c>
      <c r="T19" s="5">
        <f t="shared" si="4"/>
        <v>22.46</v>
      </c>
      <c r="U19" s="5">
        <f t="shared" si="5"/>
        <v>22.52</v>
      </c>
      <c r="V19" s="5">
        <f t="shared" si="6"/>
        <v>22.14</v>
      </c>
    </row>
    <row r="20" spans="1:22" x14ac:dyDescent="0.2">
      <c r="A20" s="33" t="str">
        <f>IF(Tabela17[[#This Row],[Código]]="IBOV","^BVSP",IF(Tabela17[[#This Row],[Código]]="","",CONCATENATE(LEFT(Tabela17[[#This Row],[Código]],6),".SA")))</f>
        <v>BRFS3.SA</v>
      </c>
      <c r="C20" s="3" t="s">
        <v>280</v>
      </c>
      <c r="D20" s="3" t="s">
        <v>1763</v>
      </c>
      <c r="E20" s="3" t="s">
        <v>1945</v>
      </c>
      <c r="F20" s="3" t="s">
        <v>1946</v>
      </c>
      <c r="G20" s="3" t="s">
        <v>1764</v>
      </c>
      <c r="H20" s="51">
        <v>41689</v>
      </c>
      <c r="J20" s="3">
        <f t="shared" si="7"/>
        <v>39.799999999999997</v>
      </c>
      <c r="K20" s="3">
        <f t="shared" si="0"/>
        <v>40.729999999999997</v>
      </c>
      <c r="L20" s="3">
        <f t="shared" si="0"/>
        <v>40.76</v>
      </c>
      <c r="M20" s="3">
        <f t="shared" si="0"/>
        <v>39.29</v>
      </c>
      <c r="P20" s="10" t="s">
        <v>278</v>
      </c>
      <c r="Q20" s="10" t="str">
        <f t="shared" si="1"/>
        <v xml:space="preserve">BRF SA      -ON  </v>
      </c>
      <c r="R20" s="51">
        <f t="shared" si="2"/>
        <v>41689</v>
      </c>
      <c r="S20" s="5">
        <f t="shared" si="3"/>
        <v>39.799999999999997</v>
      </c>
      <c r="T20" s="5">
        <f t="shared" si="4"/>
        <v>40.729999999999997</v>
      </c>
      <c r="U20" s="5">
        <f t="shared" si="5"/>
        <v>40.76</v>
      </c>
      <c r="V20" s="5">
        <f t="shared" si="6"/>
        <v>39.29</v>
      </c>
    </row>
    <row r="21" spans="1:22" x14ac:dyDescent="0.2">
      <c r="A21" s="33" t="str">
        <f>IF(Tabela17[[#This Row],[Código]]="IBOV","^BVSP",IF(Tabela17[[#This Row],[Código]]="","",CONCATENATE(LEFT(Tabela17[[#This Row],[Código]],6),".SA")))</f>
        <v>BRIN3.SA</v>
      </c>
      <c r="C21" s="3" t="s">
        <v>374</v>
      </c>
      <c r="D21" s="3" t="s">
        <v>1544</v>
      </c>
      <c r="E21" s="3" t="s">
        <v>1947</v>
      </c>
      <c r="F21" s="3" t="s">
        <v>1213</v>
      </c>
      <c r="G21" s="3" t="s">
        <v>1003</v>
      </c>
      <c r="H21" s="51">
        <v>41689</v>
      </c>
      <c r="J21" s="3">
        <f t="shared" si="7"/>
        <v>17.059999999999999</v>
      </c>
      <c r="K21" s="3">
        <f t="shared" si="0"/>
        <v>17.12</v>
      </c>
      <c r="L21" s="3">
        <f t="shared" si="0"/>
        <v>17.23</v>
      </c>
      <c r="M21" s="3">
        <f t="shared" si="0"/>
        <v>16.8</v>
      </c>
      <c r="P21" s="14" t="s">
        <v>372</v>
      </c>
      <c r="Q21" s="10" t="str">
        <f t="shared" si="1"/>
        <v xml:space="preserve">BR INSURANCE-ON  </v>
      </c>
      <c r="R21" s="51">
        <f t="shared" si="2"/>
        <v>41689</v>
      </c>
      <c r="S21" s="5">
        <f t="shared" si="3"/>
        <v>17.059999999999999</v>
      </c>
      <c r="T21" s="5">
        <f t="shared" si="4"/>
        <v>17.12</v>
      </c>
      <c r="U21" s="5">
        <f t="shared" si="5"/>
        <v>17.23</v>
      </c>
      <c r="V21" s="5">
        <f t="shared" si="6"/>
        <v>16.8</v>
      </c>
    </row>
    <row r="22" spans="1:22" x14ac:dyDescent="0.2">
      <c r="A22" s="33" t="str">
        <f>IF(Tabela17[[#This Row],[Código]]="IBOV","^BVSP",IF(Tabela17[[#This Row],[Código]]="","",CONCATENATE(LEFT(Tabela17[[#This Row],[Código]],6),".SA")))</f>
        <v>BRKM3.SA</v>
      </c>
      <c r="C22" s="3" t="s">
        <v>266</v>
      </c>
      <c r="D22" s="3" t="s">
        <v>1321</v>
      </c>
      <c r="E22" s="3" t="s">
        <v>1321</v>
      </c>
      <c r="F22" s="3" t="s">
        <v>1321</v>
      </c>
      <c r="G22" s="3" t="s">
        <v>1321</v>
      </c>
      <c r="H22" s="51">
        <v>41689</v>
      </c>
      <c r="J22" s="3">
        <f t="shared" si="7"/>
        <v>14</v>
      </c>
      <c r="K22" s="3">
        <f t="shared" si="0"/>
        <v>14</v>
      </c>
      <c r="L22" s="3">
        <f t="shared" si="0"/>
        <v>14</v>
      </c>
      <c r="M22" s="3">
        <f t="shared" si="0"/>
        <v>14</v>
      </c>
      <c r="P22" s="14" t="s">
        <v>263</v>
      </c>
      <c r="Q22" s="10" t="str">
        <f t="shared" si="1"/>
        <v xml:space="preserve">BRASKEM     -ON  </v>
      </c>
      <c r="R22" s="51">
        <f t="shared" si="2"/>
        <v>41689</v>
      </c>
      <c r="S22" s="5">
        <f t="shared" si="3"/>
        <v>14</v>
      </c>
      <c r="T22" s="5">
        <f t="shared" si="4"/>
        <v>14</v>
      </c>
      <c r="U22" s="5">
        <f t="shared" si="5"/>
        <v>14</v>
      </c>
      <c r="V22" s="5">
        <f t="shared" si="6"/>
        <v>14</v>
      </c>
    </row>
    <row r="23" spans="1:22" x14ac:dyDescent="0.2">
      <c r="A23" s="33" t="str">
        <f>IF(Tabela17[[#This Row],[Código]]="IBOV","^BVSP",IF(Tabela17[[#This Row],[Código]]="","",CONCATENATE(LEFT(Tabela17[[#This Row],[Código]],6),".SA")))</f>
        <v>BRKM5.SA</v>
      </c>
      <c r="C23" s="3" t="s">
        <v>267</v>
      </c>
      <c r="D23" s="3" t="s">
        <v>1576</v>
      </c>
      <c r="E23" s="3" t="s">
        <v>1948</v>
      </c>
      <c r="F23" s="3" t="s">
        <v>1576</v>
      </c>
      <c r="G23" s="3" t="s">
        <v>1765</v>
      </c>
      <c r="H23" s="51">
        <v>41689</v>
      </c>
      <c r="J23" s="3">
        <f t="shared" si="7"/>
        <v>17.8</v>
      </c>
      <c r="K23" s="3">
        <f t="shared" si="7"/>
        <v>17.41</v>
      </c>
      <c r="L23" s="3">
        <f t="shared" si="7"/>
        <v>17.8</v>
      </c>
      <c r="M23" s="3">
        <f t="shared" si="7"/>
        <v>16.920000000000002</v>
      </c>
      <c r="P23" s="14" t="s">
        <v>264</v>
      </c>
      <c r="Q23" s="10" t="str">
        <f t="shared" si="1"/>
        <v xml:space="preserve">BRASKEM     -PNA </v>
      </c>
      <c r="R23" s="51">
        <f t="shared" si="2"/>
        <v>41689</v>
      </c>
      <c r="S23" s="5">
        <f t="shared" si="3"/>
        <v>17.8</v>
      </c>
      <c r="T23" s="5">
        <f t="shared" si="4"/>
        <v>17.41</v>
      </c>
      <c r="U23" s="5">
        <f t="shared" si="5"/>
        <v>17.8</v>
      </c>
      <c r="V23" s="5">
        <f t="shared" si="6"/>
        <v>16.920000000000002</v>
      </c>
    </row>
    <row r="24" spans="1:22" x14ac:dyDescent="0.2">
      <c r="A24" s="33" t="str">
        <f>IF(Tabela17[[#This Row],[Código]]="IBOV","^BVSP",IF(Tabela17[[#This Row],[Código]]="","",CONCATENATE(LEFT(Tabela17[[#This Row],[Código]],6),".SA")))</f>
        <v>BRKM6.SA</v>
      </c>
      <c r="C24" s="3" t="s">
        <v>268</v>
      </c>
      <c r="D24" s="3" t="s">
        <v>750</v>
      </c>
      <c r="E24" s="3" t="s">
        <v>750</v>
      </c>
      <c r="F24" s="3" t="s">
        <v>750</v>
      </c>
      <c r="G24" s="3" t="s">
        <v>750</v>
      </c>
      <c r="H24" s="51">
        <v>41689</v>
      </c>
      <c r="J24" s="3">
        <f t="shared" si="7"/>
        <v>10.15</v>
      </c>
      <c r="K24" s="3">
        <f t="shared" si="7"/>
        <v>10.15</v>
      </c>
      <c r="L24" s="3">
        <f t="shared" si="7"/>
        <v>10.15</v>
      </c>
      <c r="M24" s="3">
        <f t="shared" si="7"/>
        <v>10.15</v>
      </c>
      <c r="P24" s="15" t="s">
        <v>265</v>
      </c>
      <c r="Q24" s="10" t="str">
        <f t="shared" si="1"/>
        <v xml:space="preserve">BRASKEM     -PNB </v>
      </c>
      <c r="R24" s="51">
        <f t="shared" si="2"/>
        <v>41689</v>
      </c>
      <c r="S24" s="5">
        <f t="shared" si="3"/>
        <v>10.15</v>
      </c>
      <c r="T24" s="5">
        <f t="shared" si="4"/>
        <v>10.15</v>
      </c>
      <c r="U24" s="5">
        <f t="shared" si="5"/>
        <v>10.15</v>
      </c>
      <c r="V24" s="5">
        <f t="shared" si="6"/>
        <v>10.15</v>
      </c>
    </row>
    <row r="25" spans="1:22" x14ac:dyDescent="0.2">
      <c r="A25" s="33" t="str">
        <f>IF(Tabela17[[#This Row],[Código]]="IBOV","^BVSP",IF(Tabela17[[#This Row],[Código]]="","",CONCATENATE(LEFT(Tabela17[[#This Row],[Código]],6),".SA")))</f>
        <v>BRML3.SA</v>
      </c>
      <c r="C25" s="3" t="s">
        <v>350</v>
      </c>
      <c r="D25" s="3" t="s">
        <v>1766</v>
      </c>
      <c r="E25" s="3" t="s">
        <v>1758</v>
      </c>
      <c r="F25" s="3" t="s">
        <v>1949</v>
      </c>
      <c r="G25" s="3" t="s">
        <v>994</v>
      </c>
      <c r="H25" s="51">
        <v>41689</v>
      </c>
      <c r="J25" s="3">
        <f t="shared" si="7"/>
        <v>15.78</v>
      </c>
      <c r="K25" s="3">
        <f t="shared" si="7"/>
        <v>16.420000000000002</v>
      </c>
      <c r="L25" s="3">
        <f t="shared" si="7"/>
        <v>16.48</v>
      </c>
      <c r="M25" s="3">
        <f t="shared" si="7"/>
        <v>15.65</v>
      </c>
      <c r="P25" s="10" t="s">
        <v>349</v>
      </c>
      <c r="Q25" s="10" t="str">
        <f t="shared" si="1"/>
        <v xml:space="preserve">BR MALLS PAR-ON  </v>
      </c>
      <c r="R25" s="51">
        <f t="shared" si="2"/>
        <v>41689</v>
      </c>
      <c r="S25" s="5">
        <f t="shared" si="3"/>
        <v>15.78</v>
      </c>
      <c r="T25" s="5">
        <f t="shared" si="4"/>
        <v>16.420000000000002</v>
      </c>
      <c r="U25" s="5">
        <f t="shared" si="5"/>
        <v>16.48</v>
      </c>
      <c r="V25" s="5">
        <f t="shared" si="6"/>
        <v>15.65</v>
      </c>
    </row>
    <row r="26" spans="1:22" x14ac:dyDescent="0.2">
      <c r="A26" s="33" t="str">
        <f>IF(Tabela17[[#This Row],[Código]]="IBOV","^BVSP",IF(Tabela17[[#This Row],[Código]]="","",CONCATENATE(LEFT(Tabela17[[#This Row],[Código]],6),".SA")))</f>
        <v>BRPR3.SA</v>
      </c>
      <c r="C26" s="3" t="s">
        <v>352</v>
      </c>
      <c r="D26" s="3" t="s">
        <v>1766</v>
      </c>
      <c r="E26" s="3" t="s">
        <v>981</v>
      </c>
      <c r="F26" s="3" t="s">
        <v>1024</v>
      </c>
      <c r="G26" s="3" t="s">
        <v>1766</v>
      </c>
      <c r="H26" s="51">
        <v>41689</v>
      </c>
      <c r="J26" s="3">
        <f t="shared" si="7"/>
        <v>15.78</v>
      </c>
      <c r="K26" s="3">
        <f t="shared" si="7"/>
        <v>16.57</v>
      </c>
      <c r="L26" s="3">
        <f t="shared" si="7"/>
        <v>16.59</v>
      </c>
      <c r="M26" s="3">
        <f t="shared" si="7"/>
        <v>15.78</v>
      </c>
      <c r="P26" s="15" t="s">
        <v>351</v>
      </c>
      <c r="Q26" s="10" t="str">
        <f t="shared" si="1"/>
        <v xml:space="preserve">BR PROPERT  -ON  </v>
      </c>
      <c r="R26" s="51">
        <f t="shared" si="2"/>
        <v>41689</v>
      </c>
      <c r="S26" s="5">
        <f t="shared" si="3"/>
        <v>15.78</v>
      </c>
      <c r="T26" s="5">
        <f t="shared" si="4"/>
        <v>16.57</v>
      </c>
      <c r="U26" s="5">
        <f t="shared" si="5"/>
        <v>16.59</v>
      </c>
      <c r="V26" s="5">
        <f t="shared" si="6"/>
        <v>15.78</v>
      </c>
    </row>
    <row r="27" spans="1:22" x14ac:dyDescent="0.2">
      <c r="A27" s="33" t="str">
        <f>IF(Tabela17[[#This Row],[Código]]="IBOV","^BVSP",IF(Tabela17[[#This Row],[Código]]="","",CONCATENATE(LEFT(Tabela17[[#This Row],[Código]],6),".SA")))</f>
        <v>BVMF3.SA</v>
      </c>
      <c r="C27" s="3" t="s">
        <v>380</v>
      </c>
      <c r="D27" s="3" t="s">
        <v>1738</v>
      </c>
      <c r="E27" s="3" t="s">
        <v>1950</v>
      </c>
      <c r="F27" s="3" t="s">
        <v>1865</v>
      </c>
      <c r="G27" s="3" t="s">
        <v>1027</v>
      </c>
      <c r="H27" s="51">
        <v>41689</v>
      </c>
      <c r="J27" s="3">
        <f t="shared" si="7"/>
        <v>9.25</v>
      </c>
      <c r="K27" s="3">
        <f t="shared" si="7"/>
        <v>9.44</v>
      </c>
      <c r="L27" s="3">
        <f t="shared" si="7"/>
        <v>9.56</v>
      </c>
      <c r="M27" s="3">
        <f t="shared" si="7"/>
        <v>9.15</v>
      </c>
      <c r="P27" s="15" t="s">
        <v>378</v>
      </c>
      <c r="Q27" s="10" t="str">
        <f t="shared" si="1"/>
        <v xml:space="preserve">BMFBOVESPA  -ON  </v>
      </c>
      <c r="R27" s="51">
        <f t="shared" si="2"/>
        <v>41689</v>
      </c>
      <c r="S27" s="5">
        <f t="shared" si="3"/>
        <v>9.25</v>
      </c>
      <c r="T27" s="5">
        <f t="shared" si="4"/>
        <v>9.44</v>
      </c>
      <c r="U27" s="5">
        <f t="shared" si="5"/>
        <v>9.56</v>
      </c>
      <c r="V27" s="5">
        <f t="shared" si="6"/>
        <v>9.15</v>
      </c>
    </row>
    <row r="28" spans="1:22" x14ac:dyDescent="0.2">
      <c r="A28" s="33" t="str">
        <f>IF(Tabela17[[#This Row],[Código]]="IBOV","^BVSP",IF(Tabela17[[#This Row],[Código]]="","",CONCATENATE(LEFT(Tabela17[[#This Row],[Código]],6),".SA")))</f>
        <v>CBEE3.SA</v>
      </c>
      <c r="C28" s="3" t="s">
        <v>468</v>
      </c>
      <c r="D28" s="3" t="s">
        <v>1403</v>
      </c>
      <c r="E28" s="3" t="s">
        <v>1403</v>
      </c>
      <c r="F28" s="3" t="s">
        <v>1403</v>
      </c>
      <c r="G28" s="3" t="s">
        <v>1403</v>
      </c>
      <c r="H28" s="51">
        <v>41689</v>
      </c>
      <c r="J28" s="3">
        <f t="shared" si="7"/>
        <v>1.1499999999999999</v>
      </c>
      <c r="K28" s="3">
        <f t="shared" si="7"/>
        <v>1.1499999999999999</v>
      </c>
      <c r="L28" s="3">
        <f t="shared" si="7"/>
        <v>1.1499999999999999</v>
      </c>
      <c r="M28" s="3">
        <f t="shared" si="7"/>
        <v>1.1499999999999999</v>
      </c>
      <c r="P28" s="15" t="s">
        <v>467</v>
      </c>
      <c r="Q28" s="10" t="str">
        <f t="shared" si="1"/>
        <v>AMPLA ENERG -ON *</v>
      </c>
      <c r="R28" s="51">
        <f t="shared" si="2"/>
        <v>41689</v>
      </c>
      <c r="S28" s="5">
        <f t="shared" si="3"/>
        <v>1.1499999999999999</v>
      </c>
      <c r="T28" s="5">
        <f t="shared" si="4"/>
        <v>1.1499999999999999</v>
      </c>
      <c r="U28" s="5">
        <f t="shared" si="5"/>
        <v>1.1499999999999999</v>
      </c>
      <c r="V28" s="5">
        <f t="shared" si="6"/>
        <v>1.1499999999999999</v>
      </c>
    </row>
    <row r="29" spans="1:22" x14ac:dyDescent="0.2">
      <c r="A29" s="33" t="str">
        <f>IF(Tabela17[[#This Row],[Código]]="IBOV","^BVSP",IF(Tabela17[[#This Row],[Código]]="","",CONCATENATE(LEFT(Tabela17[[#This Row],[Código]],6),".SA")))</f>
        <v>CCPR3.SA</v>
      </c>
      <c r="C29" s="3" t="s">
        <v>354</v>
      </c>
      <c r="D29" s="3" t="s">
        <v>1951</v>
      </c>
      <c r="E29" s="3" t="s">
        <v>1951</v>
      </c>
      <c r="F29" s="3" t="s">
        <v>1951</v>
      </c>
      <c r="G29" s="3" t="s">
        <v>1951</v>
      </c>
      <c r="H29" s="51">
        <v>41689</v>
      </c>
      <c r="J29" s="3">
        <f>IF($A29="",0,VALUE(CONCATENATE(LEFT(D29,LEN(D29)-3),",",RIGHT(D29,2))))</f>
        <v>19.010000000000002</v>
      </c>
      <c r="K29" s="3">
        <f t="shared" si="7"/>
        <v>19.010000000000002</v>
      </c>
      <c r="L29" s="3">
        <f t="shared" si="7"/>
        <v>19.010000000000002</v>
      </c>
      <c r="M29" s="3">
        <f t="shared" si="7"/>
        <v>19.010000000000002</v>
      </c>
      <c r="P29" s="15" t="s">
        <v>353</v>
      </c>
      <c r="Q29" s="10" t="str">
        <f t="shared" si="1"/>
        <v xml:space="preserve">CYRE COM-CCP-ON  </v>
      </c>
      <c r="R29" s="51">
        <f t="shared" si="2"/>
        <v>41689</v>
      </c>
      <c r="S29" s="5">
        <f t="shared" si="3"/>
        <v>19.010000000000002</v>
      </c>
      <c r="T29" s="5">
        <f t="shared" si="4"/>
        <v>19.010000000000002</v>
      </c>
      <c r="U29" s="5">
        <f t="shared" si="5"/>
        <v>19.010000000000002</v>
      </c>
      <c r="V29" s="5">
        <f t="shared" si="6"/>
        <v>19.010000000000002</v>
      </c>
    </row>
    <row r="30" spans="1:22" x14ac:dyDescent="0.2">
      <c r="A30" s="33" t="str">
        <f>IF(Tabela17[[#This Row],[Código]]="IBOV","^BVSP",IF(Tabela17[[#This Row],[Código]]="","",CONCATENATE(LEFT(Tabela17[[#This Row],[Código]],6),".SA")))</f>
        <v>CEEB6.SA</v>
      </c>
      <c r="C30" s="3" t="s">
        <v>652</v>
      </c>
      <c r="D30" s="3" t="s">
        <v>446</v>
      </c>
      <c r="E30" s="3" t="s">
        <v>447</v>
      </c>
      <c r="F30" s="3" t="s">
        <v>446</v>
      </c>
      <c r="G30" s="3" t="s">
        <v>446</v>
      </c>
      <c r="H30" s="51" t="s">
        <v>446</v>
      </c>
      <c r="J30" s="3" t="e">
        <f t="shared" si="7"/>
        <v>#VALUE!</v>
      </c>
      <c r="K30" s="3">
        <f t="shared" si="7"/>
        <v>0</v>
      </c>
      <c r="L30" s="3" t="e">
        <f t="shared" si="7"/>
        <v>#VALUE!</v>
      </c>
      <c r="M30" s="3" t="e">
        <f t="shared" si="7"/>
        <v>#VALUE!</v>
      </c>
      <c r="P30" s="10" t="s">
        <v>488</v>
      </c>
      <c r="Q30" s="10" t="str">
        <f t="shared" si="1"/>
        <v>COELBA      -PNB</v>
      </c>
      <c r="R30" s="51" t="str">
        <f t="shared" si="2"/>
        <v>N/A</v>
      </c>
      <c r="S30" s="5" t="e">
        <f t="shared" si="3"/>
        <v>#VALUE!</v>
      </c>
      <c r="T30" s="5">
        <f t="shared" si="4"/>
        <v>0</v>
      </c>
      <c r="U30" s="5" t="e">
        <f t="shared" si="5"/>
        <v>#VALUE!</v>
      </c>
      <c r="V30" s="5" t="e">
        <f t="shared" si="6"/>
        <v>#VALUE!</v>
      </c>
    </row>
    <row r="31" spans="1:22" x14ac:dyDescent="0.2">
      <c r="A31" s="33" t="str">
        <f>IF(Tabela17[[#This Row],[Código]]="IBOV","^BVSP",IF(Tabela17[[#This Row],[Código]]="","",CONCATENATE(LEFT(Tabela17[[#This Row],[Código]],6),".SA")))</f>
        <v>CELP3.SA</v>
      </c>
      <c r="C31" s="3" t="s">
        <v>480</v>
      </c>
      <c r="D31" s="3" t="s">
        <v>963</v>
      </c>
      <c r="E31" s="3" t="s">
        <v>963</v>
      </c>
      <c r="F31" s="3" t="s">
        <v>963</v>
      </c>
      <c r="G31" s="3" t="s">
        <v>963</v>
      </c>
      <c r="H31" s="51">
        <v>41689</v>
      </c>
      <c r="J31" s="3">
        <f t="shared" si="7"/>
        <v>1.25</v>
      </c>
      <c r="K31" s="3">
        <f t="shared" si="7"/>
        <v>1.25</v>
      </c>
      <c r="L31" s="3">
        <f t="shared" si="7"/>
        <v>1.25</v>
      </c>
      <c r="M31" s="3">
        <f t="shared" si="7"/>
        <v>1.25</v>
      </c>
      <c r="P31" s="14" t="s">
        <v>476</v>
      </c>
      <c r="Q31" s="10" t="str">
        <f t="shared" si="1"/>
        <v>CELPA       -ON</v>
      </c>
      <c r="R31" s="51">
        <f t="shared" si="2"/>
        <v>41689</v>
      </c>
      <c r="S31" s="5">
        <f t="shared" si="3"/>
        <v>1.25</v>
      </c>
      <c r="T31" s="5">
        <f t="shared" si="4"/>
        <v>1.25</v>
      </c>
      <c r="U31" s="5">
        <f t="shared" si="5"/>
        <v>1.25</v>
      </c>
      <c r="V31" s="5">
        <f t="shared" si="6"/>
        <v>1.25</v>
      </c>
    </row>
    <row r="32" spans="1:22" x14ac:dyDescent="0.2">
      <c r="A32" s="33" t="str">
        <f>IF(Tabela17[[#This Row],[Código]]="IBOV","^BVSP",IF(Tabela17[[#This Row],[Código]]="","",CONCATENATE(LEFT(Tabela17[[#This Row],[Código]],6),".SA")))</f>
        <v>CELP5.SA</v>
      </c>
      <c r="C32" s="3" t="s">
        <v>481</v>
      </c>
      <c r="D32" s="3" t="s">
        <v>482</v>
      </c>
      <c r="E32" s="3" t="s">
        <v>482</v>
      </c>
      <c r="F32" s="3" t="s">
        <v>482</v>
      </c>
      <c r="G32" s="3" t="s">
        <v>482</v>
      </c>
      <c r="H32" s="51">
        <v>41689</v>
      </c>
      <c r="J32" s="3">
        <f t="shared" si="7"/>
        <v>1</v>
      </c>
      <c r="K32" s="3">
        <f t="shared" si="7"/>
        <v>1</v>
      </c>
      <c r="L32" s="3">
        <f t="shared" si="7"/>
        <v>1</v>
      </c>
      <c r="M32" s="3">
        <f t="shared" si="7"/>
        <v>1</v>
      </c>
      <c r="P32" s="14" t="s">
        <v>477</v>
      </c>
      <c r="Q32" s="10" t="str">
        <f t="shared" si="1"/>
        <v>CELPA       -PNA</v>
      </c>
      <c r="R32" s="51">
        <f t="shared" si="2"/>
        <v>41689</v>
      </c>
      <c r="S32" s="5">
        <f t="shared" si="3"/>
        <v>1</v>
      </c>
      <c r="T32" s="5">
        <f t="shared" si="4"/>
        <v>1</v>
      </c>
      <c r="U32" s="5">
        <f t="shared" si="5"/>
        <v>1</v>
      </c>
      <c r="V32" s="5">
        <f t="shared" si="6"/>
        <v>1</v>
      </c>
    </row>
    <row r="33" spans="1:22" x14ac:dyDescent="0.2">
      <c r="A33" s="33" t="str">
        <f>IF(Tabela17[[#This Row],[Código]]="IBOV","^BVSP",IF(Tabela17[[#This Row],[Código]]="","",CONCATENATE(LEFT(Tabela17[[#This Row],[Código]],6),".SA")))</f>
        <v>CELP6.SA</v>
      </c>
      <c r="C33" s="3" t="s">
        <v>483</v>
      </c>
      <c r="D33" s="3" t="s">
        <v>484</v>
      </c>
      <c r="E33" s="3" t="s">
        <v>484</v>
      </c>
      <c r="F33" s="3" t="s">
        <v>484</v>
      </c>
      <c r="G33" s="3" t="s">
        <v>484</v>
      </c>
      <c r="H33" s="51">
        <v>41689</v>
      </c>
      <c r="J33" s="3">
        <f t="shared" si="7"/>
        <v>0.75</v>
      </c>
      <c r="K33" s="3">
        <f t="shared" si="7"/>
        <v>0.75</v>
      </c>
      <c r="L33" s="3">
        <f t="shared" si="7"/>
        <v>0.75</v>
      </c>
      <c r="M33" s="3">
        <f t="shared" si="7"/>
        <v>0.75</v>
      </c>
      <c r="P33" s="15" t="s">
        <v>478</v>
      </c>
      <c r="Q33" s="10" t="str">
        <f t="shared" si="1"/>
        <v>CELPA       -PNB</v>
      </c>
      <c r="R33" s="51">
        <f t="shared" si="2"/>
        <v>41689</v>
      </c>
      <c r="S33" s="5">
        <f t="shared" si="3"/>
        <v>0.75</v>
      </c>
      <c r="T33" s="5">
        <f t="shared" si="4"/>
        <v>0.75</v>
      </c>
      <c r="U33" s="5">
        <f t="shared" si="5"/>
        <v>0.75</v>
      </c>
      <c r="V33" s="5">
        <f t="shared" si="6"/>
        <v>0.75</v>
      </c>
    </row>
    <row r="34" spans="1:22" x14ac:dyDescent="0.2">
      <c r="A34" s="33" t="str">
        <f>IF(Tabela17[[#This Row],[Código]]="IBOV","^BVSP",IF(Tabela17[[#This Row],[Código]]="","",CONCATENATE(LEFT(Tabela17[[#This Row],[Código]],6),".SA")))</f>
        <v>CELP7.SA</v>
      </c>
      <c r="C34" s="3" t="s">
        <v>485</v>
      </c>
      <c r="D34" s="3" t="s">
        <v>966</v>
      </c>
      <c r="E34" s="3" t="s">
        <v>966</v>
      </c>
      <c r="F34" s="3" t="s">
        <v>966</v>
      </c>
      <c r="G34" s="3" t="s">
        <v>966</v>
      </c>
      <c r="H34" s="51">
        <v>41689</v>
      </c>
      <c r="J34" s="3">
        <f t="shared" si="7"/>
        <v>0.6</v>
      </c>
      <c r="K34" s="3">
        <f t="shared" si="7"/>
        <v>0.6</v>
      </c>
      <c r="L34" s="3">
        <f t="shared" si="7"/>
        <v>0.6</v>
      </c>
      <c r="M34" s="3">
        <f t="shared" si="7"/>
        <v>0.6</v>
      </c>
      <c r="P34" s="15" t="s">
        <v>479</v>
      </c>
      <c r="Q34" s="10" t="str">
        <f t="shared" si="1"/>
        <v>CELPA       -PNC</v>
      </c>
      <c r="R34" s="51">
        <f t="shared" si="2"/>
        <v>41689</v>
      </c>
      <c r="S34" s="5">
        <f t="shared" si="3"/>
        <v>0.6</v>
      </c>
      <c r="T34" s="5">
        <f t="shared" si="4"/>
        <v>0.6</v>
      </c>
      <c r="U34" s="5">
        <f t="shared" si="5"/>
        <v>0.6</v>
      </c>
      <c r="V34" s="5">
        <f t="shared" si="6"/>
        <v>0.6</v>
      </c>
    </row>
    <row r="35" spans="1:22" x14ac:dyDescent="0.2">
      <c r="A35" s="33" t="str">
        <f>IF(Tabela17[[#This Row],[Código]]="IBOV","^BVSP",IF(Tabela17[[#This Row],[Código]]="","",CONCATENATE(LEFT(Tabela17[[#This Row],[Código]],6),".SA")))</f>
        <v>CIEL3.SA</v>
      </c>
      <c r="C35" s="3" t="s">
        <v>384</v>
      </c>
      <c r="D35" s="3" t="s">
        <v>1768</v>
      </c>
      <c r="E35" s="3" t="s">
        <v>1952</v>
      </c>
      <c r="F35" s="3" t="s">
        <v>1769</v>
      </c>
      <c r="G35" s="3" t="s">
        <v>1953</v>
      </c>
      <c r="H35" s="51">
        <v>41689</v>
      </c>
      <c r="J35" s="3">
        <f t="shared" si="7"/>
        <v>64.98</v>
      </c>
      <c r="K35" s="3">
        <f t="shared" si="7"/>
        <v>65.040000000000006</v>
      </c>
      <c r="L35" s="3">
        <f t="shared" si="7"/>
        <v>65.87</v>
      </c>
      <c r="M35" s="3">
        <f t="shared" si="7"/>
        <v>63.8</v>
      </c>
      <c r="P35" s="43" t="s">
        <v>382</v>
      </c>
      <c r="Q35" s="10" t="str">
        <f t="shared" si="1"/>
        <v xml:space="preserve">CIELO       -ON  </v>
      </c>
      <c r="R35" s="51">
        <f t="shared" si="2"/>
        <v>41689</v>
      </c>
      <c r="S35" s="5">
        <f t="shared" si="3"/>
        <v>64.98</v>
      </c>
      <c r="T35" s="5">
        <f t="shared" si="4"/>
        <v>65.040000000000006</v>
      </c>
      <c r="U35" s="5">
        <f t="shared" si="5"/>
        <v>65.87</v>
      </c>
      <c r="V35" s="5">
        <f t="shared" si="6"/>
        <v>63.8</v>
      </c>
    </row>
    <row r="36" spans="1:22" x14ac:dyDescent="0.2">
      <c r="A36" s="33" t="str">
        <f>IF(Tabela17[[#This Row],[Código]]="IBOV","^BVSP",IF(Tabela17[[#This Row],[Código]]="","",CONCATENATE(LEFT(Tabela17[[#This Row],[Código]],6),".SA")))</f>
        <v>CIQU3.SA</v>
      </c>
      <c r="C36" s="3" t="s">
        <v>653</v>
      </c>
      <c r="D36" s="3" t="s">
        <v>276</v>
      </c>
      <c r="E36" s="3" t="s">
        <v>276</v>
      </c>
      <c r="F36" s="3" t="s">
        <v>276</v>
      </c>
      <c r="G36" s="3" t="s">
        <v>276</v>
      </c>
      <c r="H36" s="51">
        <v>41689</v>
      </c>
      <c r="J36" s="3">
        <f t="shared" si="7"/>
        <v>7.08</v>
      </c>
      <c r="K36" s="3">
        <f t="shared" si="7"/>
        <v>7.08</v>
      </c>
      <c r="L36" s="3">
        <f t="shared" si="7"/>
        <v>7.08</v>
      </c>
      <c r="M36" s="3">
        <f t="shared" si="7"/>
        <v>7.08</v>
      </c>
      <c r="P36" s="10" t="s">
        <v>274</v>
      </c>
      <c r="Q36" s="10" t="str">
        <f t="shared" si="1"/>
        <v>CACIQUE     -ON</v>
      </c>
      <c r="R36" s="51">
        <f t="shared" si="2"/>
        <v>41689</v>
      </c>
      <c r="S36" s="5">
        <f t="shared" si="3"/>
        <v>7.08</v>
      </c>
      <c r="T36" s="5">
        <f t="shared" si="4"/>
        <v>7.08</v>
      </c>
      <c r="U36" s="5">
        <f t="shared" si="5"/>
        <v>7.08</v>
      </c>
      <c r="V36" s="5">
        <f t="shared" si="6"/>
        <v>7.08</v>
      </c>
    </row>
    <row r="37" spans="1:22" x14ac:dyDescent="0.2">
      <c r="A37" s="33" t="str">
        <f>IF(Tabela17[[#This Row],[Código]]="IBOV","^BVSP",IF(Tabela17[[#This Row],[Código]]="","",CONCATENATE(LEFT(Tabela17[[#This Row],[Código]],6),".SA")))</f>
        <v>CIQU4.SA</v>
      </c>
      <c r="C37" s="3" t="s">
        <v>654</v>
      </c>
      <c r="D37" s="3" t="s">
        <v>945</v>
      </c>
      <c r="E37" s="3" t="s">
        <v>945</v>
      </c>
      <c r="F37" s="3" t="s">
        <v>945</v>
      </c>
      <c r="G37" s="3" t="s">
        <v>945</v>
      </c>
      <c r="H37" s="51">
        <v>41689</v>
      </c>
      <c r="J37" s="3">
        <f t="shared" si="7"/>
        <v>12.5</v>
      </c>
      <c r="K37" s="3">
        <f t="shared" si="7"/>
        <v>12.5</v>
      </c>
      <c r="L37" s="3">
        <f t="shared" si="7"/>
        <v>12.5</v>
      </c>
      <c r="M37" s="3">
        <f t="shared" si="7"/>
        <v>12.5</v>
      </c>
      <c r="P37" s="15" t="s">
        <v>275</v>
      </c>
      <c r="Q37" s="10" t="str">
        <f t="shared" si="1"/>
        <v>CACIQUE     -PN</v>
      </c>
      <c r="R37" s="51">
        <f t="shared" si="2"/>
        <v>41689</v>
      </c>
      <c r="S37" s="5">
        <f t="shared" si="3"/>
        <v>12.5</v>
      </c>
      <c r="T37" s="5">
        <f t="shared" si="4"/>
        <v>12.5</v>
      </c>
      <c r="U37" s="5">
        <f t="shared" si="5"/>
        <v>12.5</v>
      </c>
      <c r="V37" s="5">
        <f t="shared" si="6"/>
        <v>12.5</v>
      </c>
    </row>
    <row r="38" spans="1:22" x14ac:dyDescent="0.2">
      <c r="A38" s="33" t="str">
        <f>IF(Tabela17[[#This Row],[Código]]="IBOV","^BVSP",IF(Tabela17[[#This Row],[Código]]="","",CONCATENATE(LEFT(Tabela17[[#This Row],[Código]],6),".SA")))</f>
        <v>clsc3.SA</v>
      </c>
      <c r="C38" s="3" t="s">
        <v>475</v>
      </c>
      <c r="D38" s="3" t="s">
        <v>779</v>
      </c>
      <c r="E38" s="3" t="s">
        <v>779</v>
      </c>
      <c r="F38" s="3" t="s">
        <v>779</v>
      </c>
      <c r="G38" s="3" t="s">
        <v>779</v>
      </c>
      <c r="H38" s="51">
        <v>41689</v>
      </c>
      <c r="J38" s="3">
        <f t="shared" si="7"/>
        <v>40</v>
      </c>
      <c r="K38" s="3">
        <f t="shared" si="7"/>
        <v>40</v>
      </c>
      <c r="L38" s="3">
        <f t="shared" si="7"/>
        <v>40</v>
      </c>
      <c r="M38" s="3">
        <f t="shared" si="7"/>
        <v>40</v>
      </c>
      <c r="P38" s="15" t="s">
        <v>474</v>
      </c>
      <c r="Q38" s="10" t="str">
        <f t="shared" si="1"/>
        <v xml:space="preserve">CELESC      -ON  </v>
      </c>
      <c r="R38" s="51">
        <f t="shared" si="2"/>
        <v>41689</v>
      </c>
      <c r="S38" s="5">
        <f t="shared" si="3"/>
        <v>40</v>
      </c>
      <c r="T38" s="5">
        <f t="shared" si="4"/>
        <v>40</v>
      </c>
      <c r="U38" s="5">
        <f t="shared" si="5"/>
        <v>40</v>
      </c>
      <c r="V38" s="5">
        <f t="shared" si="6"/>
        <v>40</v>
      </c>
    </row>
    <row r="39" spans="1:22" x14ac:dyDescent="0.2">
      <c r="A39" s="33" t="str">
        <f>IF(Tabela17[[#This Row],[Código]]="IBOV","^BVSP",IF(Tabela17[[#This Row],[Código]]="","",CONCATENATE(LEFT(Tabela17[[#This Row],[Código]],6),".SA")))</f>
        <v>CRIV3.SA</v>
      </c>
      <c r="C39" s="3" t="s">
        <v>371</v>
      </c>
      <c r="D39" s="3" t="s">
        <v>812</v>
      </c>
      <c r="E39" s="3" t="s">
        <v>1770</v>
      </c>
      <c r="F39" s="3" t="s">
        <v>1770</v>
      </c>
      <c r="G39" s="3" t="s">
        <v>812</v>
      </c>
      <c r="H39" s="51">
        <v>41689</v>
      </c>
      <c r="J39" s="3">
        <f t="shared" si="7"/>
        <v>3.9</v>
      </c>
      <c r="K39" s="3">
        <f t="shared" si="7"/>
        <v>3.98</v>
      </c>
      <c r="L39" s="3">
        <f t="shared" si="7"/>
        <v>3.98</v>
      </c>
      <c r="M39" s="3">
        <f t="shared" si="7"/>
        <v>3.9</v>
      </c>
      <c r="P39" s="10" t="s">
        <v>369</v>
      </c>
      <c r="Q39" s="10" t="str">
        <f t="shared" ref="Q39:Q70" si="8">IF(A39="","",C39)</f>
        <v>ALFA FINANC -ON</v>
      </c>
      <c r="R39" s="51">
        <f t="shared" ref="R39:R70" si="9">IF(A39="","",H39)</f>
        <v>41689</v>
      </c>
      <c r="S39" s="5">
        <f t="shared" ref="S39:S70" si="10">J39</f>
        <v>3.9</v>
      </c>
      <c r="T39" s="5">
        <f t="shared" ref="T39:T70" si="11">K39</f>
        <v>3.98</v>
      </c>
      <c r="U39" s="5">
        <f t="shared" ref="U39:U70" si="12">L39</f>
        <v>3.98</v>
      </c>
      <c r="V39" s="5">
        <f t="shared" ref="V39:V70" si="13">M39</f>
        <v>3.9</v>
      </c>
    </row>
    <row r="40" spans="1:22" x14ac:dyDescent="0.2">
      <c r="A40" s="33" t="str">
        <f>IF(Tabela17[[#This Row],[Código]]="IBOV","^BVSP",IF(Tabela17[[#This Row],[Código]]="","",CONCATENATE(LEFT(Tabela17[[#This Row],[Código]],6),".SA")))</f>
        <v>CRIV4.SA</v>
      </c>
      <c r="C40" s="3" t="s">
        <v>798</v>
      </c>
      <c r="D40" s="3" t="s">
        <v>812</v>
      </c>
      <c r="E40" s="3" t="s">
        <v>812</v>
      </c>
      <c r="F40" s="3" t="s">
        <v>812</v>
      </c>
      <c r="G40" s="3" t="s">
        <v>812</v>
      </c>
      <c r="H40" s="51">
        <v>41689</v>
      </c>
      <c r="J40" s="3">
        <f t="shared" si="7"/>
        <v>3.9</v>
      </c>
      <c r="K40" s="3">
        <f t="shared" si="7"/>
        <v>3.9</v>
      </c>
      <c r="L40" s="3">
        <f t="shared" si="7"/>
        <v>3.9</v>
      </c>
      <c r="M40" s="3">
        <f t="shared" si="7"/>
        <v>3.9</v>
      </c>
      <c r="P40" s="14" t="s">
        <v>370</v>
      </c>
      <c r="Q40" s="10" t="str">
        <f t="shared" si="8"/>
        <v>ALFA FINANC -PN</v>
      </c>
      <c r="R40" s="51">
        <f t="shared" si="9"/>
        <v>41689</v>
      </c>
      <c r="S40" s="5">
        <f t="shared" si="10"/>
        <v>3.9</v>
      </c>
      <c r="T40" s="5">
        <f t="shared" si="11"/>
        <v>3.9</v>
      </c>
      <c r="U40" s="5">
        <f t="shared" si="12"/>
        <v>3.9</v>
      </c>
      <c r="V40" s="5">
        <f t="shared" si="13"/>
        <v>3.9</v>
      </c>
    </row>
    <row r="41" spans="1:22" x14ac:dyDescent="0.2">
      <c r="A41" s="33" t="str">
        <f>IF(Tabela17[[#This Row],[Código]]="IBOV","^BVSP",IF(Tabela17[[#This Row],[Código]]="","",CONCATENATE(LEFT(Tabela17[[#This Row],[Código]],6),".SA")))</f>
        <v>CSAB3.SA</v>
      </c>
      <c r="C41" s="3" t="s">
        <v>250</v>
      </c>
      <c r="D41" s="3" t="s">
        <v>251</v>
      </c>
      <c r="E41" s="3" t="s">
        <v>251</v>
      </c>
      <c r="F41" s="3" t="s">
        <v>251</v>
      </c>
      <c r="G41" s="3" t="s">
        <v>251</v>
      </c>
      <c r="H41" s="51">
        <v>41689</v>
      </c>
      <c r="J41" s="3">
        <f t="shared" si="7"/>
        <v>30.01</v>
      </c>
      <c r="K41" s="3">
        <f t="shared" si="7"/>
        <v>30.01</v>
      </c>
      <c r="L41" s="3">
        <f t="shared" si="7"/>
        <v>30.01</v>
      </c>
      <c r="M41" s="3">
        <f t="shared" si="7"/>
        <v>30.01</v>
      </c>
      <c r="P41" s="14" t="s">
        <v>248</v>
      </c>
      <c r="Q41" s="10" t="str">
        <f t="shared" si="8"/>
        <v>SEG AL BAHIA-ON</v>
      </c>
      <c r="R41" s="51">
        <f t="shared" si="9"/>
        <v>41689</v>
      </c>
      <c r="S41" s="5">
        <f t="shared" si="10"/>
        <v>30.01</v>
      </c>
      <c r="T41" s="5">
        <f t="shared" si="11"/>
        <v>30.01</v>
      </c>
      <c r="U41" s="5">
        <f t="shared" si="12"/>
        <v>30.01</v>
      </c>
      <c r="V41" s="5">
        <f t="shared" si="13"/>
        <v>30.01</v>
      </c>
    </row>
    <row r="42" spans="1:22" x14ac:dyDescent="0.2">
      <c r="A42" s="33" t="str">
        <f>IF(Tabela17[[#This Row],[Código]]="IBOV","^BVSP",IF(Tabela17[[#This Row],[Código]]="","",CONCATENATE(LEFT(Tabela17[[#This Row],[Código]],6),".SA")))</f>
        <v>CSAB4.SA</v>
      </c>
      <c r="C42" s="3" t="s">
        <v>252</v>
      </c>
      <c r="D42" s="3" t="s">
        <v>1223</v>
      </c>
      <c r="E42" s="3" t="s">
        <v>1223</v>
      </c>
      <c r="F42" s="3" t="s">
        <v>1223</v>
      </c>
      <c r="G42" s="3" t="s">
        <v>1223</v>
      </c>
      <c r="H42" s="51">
        <v>41689</v>
      </c>
      <c r="J42" s="3">
        <f t="shared" si="7"/>
        <v>30.12</v>
      </c>
      <c r="K42" s="3">
        <f t="shared" si="7"/>
        <v>30.12</v>
      </c>
      <c r="L42" s="3">
        <f t="shared" si="7"/>
        <v>30.12</v>
      </c>
      <c r="M42" s="3">
        <f t="shared" si="7"/>
        <v>30.12</v>
      </c>
      <c r="P42" s="14" t="s">
        <v>249</v>
      </c>
      <c r="Q42" s="10" t="str">
        <f t="shared" si="8"/>
        <v>SEG AL BAHIA-PN</v>
      </c>
      <c r="R42" s="51">
        <f t="shared" si="9"/>
        <v>41689</v>
      </c>
      <c r="S42" s="5">
        <f t="shared" si="10"/>
        <v>30.12</v>
      </c>
      <c r="T42" s="5">
        <f t="shared" si="11"/>
        <v>30.12</v>
      </c>
      <c r="U42" s="5">
        <f t="shared" si="12"/>
        <v>30.12</v>
      </c>
      <c r="V42" s="5">
        <f t="shared" si="13"/>
        <v>30.12</v>
      </c>
    </row>
    <row r="43" spans="1:22" x14ac:dyDescent="0.2">
      <c r="A43" s="33" t="str">
        <f>IF(Tabela17[[#This Row],[Código]]="IBOV","^BVSP",IF(Tabela17[[#This Row],[Código]]="","",CONCATENATE(LEFT(Tabela17[[#This Row],[Código]],6),".SA")))</f>
        <v>CSAN3.SA</v>
      </c>
      <c r="C43" s="3" t="s">
        <v>271</v>
      </c>
      <c r="D43" s="3" t="s">
        <v>1771</v>
      </c>
      <c r="E43" s="3" t="s">
        <v>1954</v>
      </c>
      <c r="F43" s="3" t="s">
        <v>1577</v>
      </c>
      <c r="G43" s="3" t="s">
        <v>1955</v>
      </c>
      <c r="H43" s="51">
        <v>41689</v>
      </c>
      <c r="J43" s="3">
        <f t="shared" si="7"/>
        <v>34.76</v>
      </c>
      <c r="K43" s="3">
        <f t="shared" si="7"/>
        <v>33.770000000000003</v>
      </c>
      <c r="L43" s="3">
        <f t="shared" si="7"/>
        <v>34.770000000000003</v>
      </c>
      <c r="M43" s="3">
        <f t="shared" si="7"/>
        <v>33.049999999999997</v>
      </c>
      <c r="P43" s="14" t="s">
        <v>270</v>
      </c>
      <c r="Q43" s="10" t="str">
        <f t="shared" si="8"/>
        <v xml:space="preserve">COSAN       -ON  </v>
      </c>
      <c r="R43" s="51">
        <f t="shared" si="9"/>
        <v>41689</v>
      </c>
      <c r="S43" s="5">
        <f t="shared" si="10"/>
        <v>34.76</v>
      </c>
      <c r="T43" s="5">
        <f t="shared" si="11"/>
        <v>33.770000000000003</v>
      </c>
      <c r="U43" s="5">
        <f t="shared" si="12"/>
        <v>34.770000000000003</v>
      </c>
      <c r="V43" s="5">
        <f t="shared" si="13"/>
        <v>33.049999999999997</v>
      </c>
    </row>
    <row r="44" spans="1:22" x14ac:dyDescent="0.2">
      <c r="A44" s="33" t="str">
        <f>IF(Tabela17[[#This Row],[Código]]="IBOV","^BVSP",IF(Tabela17[[#This Row],[Código]]="","",CONCATENATE(LEFT(Tabela17[[#This Row],[Código]],6),".SA")))</f>
        <v>CTIP3.SA</v>
      </c>
      <c r="C44" s="3" t="s">
        <v>383</v>
      </c>
      <c r="D44" s="3" t="s">
        <v>1124</v>
      </c>
      <c r="E44" s="3" t="s">
        <v>1772</v>
      </c>
      <c r="F44" s="3" t="s">
        <v>1956</v>
      </c>
      <c r="G44" s="3" t="s">
        <v>1773</v>
      </c>
      <c r="H44" s="51">
        <v>41689</v>
      </c>
      <c r="J44" s="3">
        <f t="shared" si="7"/>
        <v>24.5</v>
      </c>
      <c r="K44" s="3">
        <f t="shared" si="7"/>
        <v>24.68</v>
      </c>
      <c r="L44" s="3">
        <f t="shared" si="7"/>
        <v>24.73</v>
      </c>
      <c r="M44" s="3">
        <f t="shared" si="7"/>
        <v>24.44</v>
      </c>
      <c r="P44" s="14" t="s">
        <v>381</v>
      </c>
      <c r="Q44" s="10" t="str">
        <f t="shared" si="8"/>
        <v xml:space="preserve">CETIP       -ON  </v>
      </c>
      <c r="R44" s="51">
        <f t="shared" si="9"/>
        <v>41689</v>
      </c>
      <c r="S44" s="5">
        <f t="shared" si="10"/>
        <v>24.5</v>
      </c>
      <c r="T44" s="5">
        <f t="shared" si="11"/>
        <v>24.68</v>
      </c>
      <c r="U44" s="5">
        <f t="shared" si="12"/>
        <v>24.73</v>
      </c>
      <c r="V44" s="5">
        <f t="shared" si="13"/>
        <v>24.44</v>
      </c>
    </row>
    <row r="45" spans="1:22" x14ac:dyDescent="0.2">
      <c r="A45" s="33" t="str">
        <f>IF(Tabela17[[#This Row],[Código]]="IBOV","^BVSP",IF(Tabela17[[#This Row],[Código]]="","",CONCATENATE(LEFT(Tabela17[[#This Row],[Código]],6),".SA")))</f>
        <v>DTEX3.SA</v>
      </c>
      <c r="C45" s="3" t="s">
        <v>321</v>
      </c>
      <c r="D45" s="3" t="s">
        <v>1774</v>
      </c>
      <c r="E45" s="3" t="s">
        <v>1899</v>
      </c>
      <c r="F45" s="3" t="s">
        <v>1957</v>
      </c>
      <c r="G45" s="3" t="s">
        <v>1711</v>
      </c>
      <c r="H45" s="51">
        <v>41689</v>
      </c>
      <c r="J45" s="3">
        <f t="shared" si="7"/>
        <v>10.98</v>
      </c>
      <c r="K45" s="3">
        <f t="shared" si="7"/>
        <v>10.86</v>
      </c>
      <c r="L45" s="3">
        <f t="shared" si="7"/>
        <v>11.09</v>
      </c>
      <c r="M45" s="3">
        <f t="shared" si="7"/>
        <v>10.73</v>
      </c>
      <c r="P45" s="14" t="s">
        <v>319</v>
      </c>
      <c r="Q45" s="10" t="str">
        <f t="shared" si="8"/>
        <v xml:space="preserve">DURATEX     -ON  </v>
      </c>
      <c r="R45" s="51">
        <f t="shared" si="9"/>
        <v>41689</v>
      </c>
      <c r="S45" s="5">
        <f t="shared" si="10"/>
        <v>10.98</v>
      </c>
      <c r="T45" s="5">
        <f t="shared" si="11"/>
        <v>10.86</v>
      </c>
      <c r="U45" s="5">
        <f t="shared" si="12"/>
        <v>11.09</v>
      </c>
      <c r="V45" s="5">
        <f t="shared" si="13"/>
        <v>10.73</v>
      </c>
    </row>
    <row r="46" spans="1:22" x14ac:dyDescent="0.2">
      <c r="A46" s="33" t="str">
        <f>IF(Tabela17[[#This Row],[Código]]="IBOV","^BVSP",IF(Tabela17[[#This Row],[Código]]="","",CONCATENATE(LEFT(Tabela17[[#This Row],[Código]],6),".SA")))</f>
        <v>EBTP4.SA</v>
      </c>
      <c r="C46" s="3" t="s">
        <v>387</v>
      </c>
      <c r="D46" s="3" t="s">
        <v>992</v>
      </c>
      <c r="E46" s="3" t="s">
        <v>992</v>
      </c>
      <c r="F46" s="3" t="s">
        <v>992</v>
      </c>
      <c r="G46" s="3" t="s">
        <v>992</v>
      </c>
      <c r="H46" s="51">
        <v>41689</v>
      </c>
      <c r="J46" s="3">
        <f t="shared" si="7"/>
        <v>7.45</v>
      </c>
      <c r="K46" s="3">
        <f t="shared" si="7"/>
        <v>7.45</v>
      </c>
      <c r="L46" s="3">
        <f t="shared" si="7"/>
        <v>7.45</v>
      </c>
      <c r="M46" s="3">
        <f t="shared" si="7"/>
        <v>7.45</v>
      </c>
      <c r="P46" s="14" t="s">
        <v>386</v>
      </c>
      <c r="Q46" s="10" t="str">
        <f t="shared" si="8"/>
        <v>EMBRATEL PAR-PN *</v>
      </c>
      <c r="R46" s="46">
        <f t="shared" si="9"/>
        <v>41689</v>
      </c>
      <c r="S46" s="6">
        <f t="shared" si="10"/>
        <v>7.45</v>
      </c>
      <c r="T46" s="6">
        <f t="shared" si="11"/>
        <v>7.45</v>
      </c>
      <c r="U46" s="6">
        <f t="shared" si="12"/>
        <v>7.45</v>
      </c>
      <c r="V46" s="6">
        <f t="shared" si="13"/>
        <v>7.45</v>
      </c>
    </row>
    <row r="47" spans="1:22" x14ac:dyDescent="0.2">
      <c r="A47" s="33" t="str">
        <f>IF(Tabela17[[#This Row],[Código]]="IBOV","^BVSP",IF(Tabela17[[#This Row],[Código]]="","",CONCATENATE(LEFT(Tabela17[[#This Row],[Código]],6),".SA")))</f>
        <v>ELEK3.SA</v>
      </c>
      <c r="C47" s="3" t="s">
        <v>409</v>
      </c>
      <c r="D47" s="3" t="s">
        <v>262</v>
      </c>
      <c r="E47" s="3" t="s">
        <v>262</v>
      </c>
      <c r="F47" s="3" t="s">
        <v>262</v>
      </c>
      <c r="G47" s="3" t="s">
        <v>262</v>
      </c>
      <c r="H47" s="51">
        <v>41689</v>
      </c>
      <c r="J47" s="3">
        <f t="shared" si="7"/>
        <v>10</v>
      </c>
      <c r="K47" s="3">
        <f t="shared" si="7"/>
        <v>10</v>
      </c>
      <c r="L47" s="3">
        <f t="shared" si="7"/>
        <v>10</v>
      </c>
      <c r="M47" s="3">
        <f t="shared" si="7"/>
        <v>10</v>
      </c>
      <c r="P47" s="14" t="s">
        <v>260</v>
      </c>
      <c r="Q47" s="10" t="str">
        <f t="shared" si="8"/>
        <v>ELEKEIROZ   -ON</v>
      </c>
      <c r="R47" s="51">
        <f t="shared" si="9"/>
        <v>41689</v>
      </c>
      <c r="S47" s="5">
        <f t="shared" si="10"/>
        <v>10</v>
      </c>
      <c r="T47" s="5">
        <f t="shared" si="11"/>
        <v>10</v>
      </c>
      <c r="U47" s="5">
        <f t="shared" si="12"/>
        <v>10</v>
      </c>
      <c r="V47" s="5">
        <f t="shared" si="13"/>
        <v>10</v>
      </c>
    </row>
    <row r="48" spans="1:22" x14ac:dyDescent="0.2">
      <c r="A48" s="33" t="str">
        <f>IF(Tabela17[[#This Row],[Código]]="IBOV","^BVSP",IF(Tabela17[[#This Row],[Código]]="","",CONCATENATE(LEFT(Tabela17[[#This Row],[Código]],6),".SA")))</f>
        <v>ELEK4.SA</v>
      </c>
      <c r="C48" s="3" t="s">
        <v>410</v>
      </c>
      <c r="D48" s="3" t="s">
        <v>943</v>
      </c>
      <c r="E48" s="3" t="s">
        <v>943</v>
      </c>
      <c r="F48" s="3" t="s">
        <v>943</v>
      </c>
      <c r="G48" s="3" t="s">
        <v>943</v>
      </c>
      <c r="H48" s="51">
        <v>41689</v>
      </c>
      <c r="J48" s="3">
        <f t="shared" si="7"/>
        <v>9.3000000000000007</v>
      </c>
      <c r="K48" s="3">
        <f t="shared" si="7"/>
        <v>9.3000000000000007</v>
      </c>
      <c r="L48" s="3">
        <f t="shared" si="7"/>
        <v>9.3000000000000007</v>
      </c>
      <c r="M48" s="3">
        <f t="shared" si="7"/>
        <v>9.3000000000000007</v>
      </c>
      <c r="P48" s="14" t="s">
        <v>261</v>
      </c>
      <c r="Q48" s="10" t="str">
        <f t="shared" si="8"/>
        <v>ELEKEIROZ   -PN</v>
      </c>
      <c r="R48" s="51">
        <f t="shared" si="9"/>
        <v>41689</v>
      </c>
      <c r="S48" s="5">
        <f t="shared" si="10"/>
        <v>9.3000000000000007</v>
      </c>
      <c r="T48" s="5">
        <f t="shared" si="11"/>
        <v>9.3000000000000007</v>
      </c>
      <c r="U48" s="5">
        <f t="shared" si="12"/>
        <v>9.3000000000000007</v>
      </c>
      <c r="V48" s="5">
        <f t="shared" si="13"/>
        <v>9.3000000000000007</v>
      </c>
    </row>
    <row r="49" spans="1:22" x14ac:dyDescent="0.2">
      <c r="A49" s="33" t="str">
        <f>IF(Tabela17[[#This Row],[Código]]="IBOV","^BVSP",IF(Tabela17[[#This Row],[Código]]="","",CONCATENATE(LEFT(Tabela17[[#This Row],[Código]],6),".SA")))</f>
        <v>elet5.SA</v>
      </c>
      <c r="C49" s="3" t="s">
        <v>470</v>
      </c>
      <c r="D49" s="3" t="s">
        <v>471</v>
      </c>
      <c r="E49" s="3" t="s">
        <v>471</v>
      </c>
      <c r="F49" s="3" t="s">
        <v>471</v>
      </c>
      <c r="G49" s="3" t="s">
        <v>471</v>
      </c>
      <c r="H49" s="51">
        <v>41689</v>
      </c>
      <c r="J49" s="3">
        <f t="shared" si="7"/>
        <v>23.01</v>
      </c>
      <c r="K49" s="3">
        <f t="shared" si="7"/>
        <v>23.01</v>
      </c>
      <c r="L49" s="3">
        <f t="shared" si="7"/>
        <v>23.01</v>
      </c>
      <c r="M49" s="3">
        <f t="shared" si="7"/>
        <v>23.01</v>
      </c>
      <c r="P49" s="15" t="s">
        <v>469</v>
      </c>
      <c r="Q49" s="10" t="str">
        <f t="shared" si="8"/>
        <v xml:space="preserve">ELETROBRAS  -PNA </v>
      </c>
      <c r="R49" s="51">
        <f t="shared" si="9"/>
        <v>41689</v>
      </c>
      <c r="S49" s="5">
        <f t="shared" si="10"/>
        <v>23.01</v>
      </c>
      <c r="T49" s="5">
        <f t="shared" si="11"/>
        <v>23.01</v>
      </c>
      <c r="U49" s="5">
        <f t="shared" si="12"/>
        <v>23.01</v>
      </c>
      <c r="V49" s="5">
        <f t="shared" si="13"/>
        <v>23.01</v>
      </c>
    </row>
    <row r="50" spans="1:22" x14ac:dyDescent="0.2">
      <c r="A50" s="33" t="str">
        <f>IF(Tabela17[[#This Row],[Código]]="IBOV","^BVSP",IF(Tabela17[[#This Row],[Código]]="","",CONCATENATE(LEFT(Tabela17[[#This Row],[Código]],6),".SA")))</f>
        <v>ETER3.SA</v>
      </c>
      <c r="C50" s="3" t="s">
        <v>341</v>
      </c>
      <c r="D50" s="3" t="s">
        <v>1226</v>
      </c>
      <c r="E50" s="3" t="s">
        <v>184</v>
      </c>
      <c r="F50" s="3" t="s">
        <v>184</v>
      </c>
      <c r="G50" s="3" t="s">
        <v>1776</v>
      </c>
      <c r="H50" s="51">
        <v>41689</v>
      </c>
      <c r="J50" s="3">
        <f t="shared" si="7"/>
        <v>8.15</v>
      </c>
      <c r="K50" s="3">
        <f t="shared" si="7"/>
        <v>8.19</v>
      </c>
      <c r="L50" s="3">
        <f t="shared" si="7"/>
        <v>8.19</v>
      </c>
      <c r="M50" s="3">
        <f t="shared" si="7"/>
        <v>8.09</v>
      </c>
      <c r="P50" s="15" t="s">
        <v>339</v>
      </c>
      <c r="Q50" s="10" t="str">
        <f t="shared" si="8"/>
        <v xml:space="preserve">ETERNIT     -ON  </v>
      </c>
      <c r="R50" s="46">
        <f t="shared" si="9"/>
        <v>41689</v>
      </c>
      <c r="S50" s="6">
        <f t="shared" si="10"/>
        <v>8.15</v>
      </c>
      <c r="T50" s="6">
        <f t="shared" si="11"/>
        <v>8.19</v>
      </c>
      <c r="U50" s="6">
        <f t="shared" si="12"/>
        <v>8.19</v>
      </c>
      <c r="V50" s="6">
        <f t="shared" si="13"/>
        <v>8.09</v>
      </c>
    </row>
    <row r="51" spans="1:22" x14ac:dyDescent="0.2">
      <c r="A51" s="33" t="str">
        <f>IF(Tabela17[[#This Row],[Código]]="IBOV","^BVSP",IF(Tabela17[[#This Row],[Código]]="","",CONCATENATE(LEFT(Tabela17[[#This Row],[Código]],6),".SA")))</f>
        <v>EUCA4.SA</v>
      </c>
      <c r="C51" s="3" t="s">
        <v>323</v>
      </c>
      <c r="D51" s="3" t="s">
        <v>1777</v>
      </c>
      <c r="E51" s="3" t="s">
        <v>1227</v>
      </c>
      <c r="F51" s="3" t="s">
        <v>1227</v>
      </c>
      <c r="G51" s="3" t="s">
        <v>1619</v>
      </c>
      <c r="H51" s="51">
        <v>41689</v>
      </c>
      <c r="J51" s="3">
        <f t="shared" si="7"/>
        <v>5.68</v>
      </c>
      <c r="K51" s="3">
        <f t="shared" si="7"/>
        <v>5.75</v>
      </c>
      <c r="L51" s="3">
        <f t="shared" si="7"/>
        <v>5.75</v>
      </c>
      <c r="M51" s="3">
        <f t="shared" si="7"/>
        <v>5.65</v>
      </c>
      <c r="P51" s="14" t="s">
        <v>322</v>
      </c>
      <c r="Q51" s="10" t="str">
        <f t="shared" si="8"/>
        <v xml:space="preserve">EUCATEX     -PN  </v>
      </c>
      <c r="R51" s="51">
        <f t="shared" si="9"/>
        <v>41689</v>
      </c>
      <c r="S51" s="5">
        <f t="shared" si="10"/>
        <v>5.68</v>
      </c>
      <c r="T51" s="5">
        <f t="shared" si="11"/>
        <v>5.75</v>
      </c>
      <c r="U51" s="5">
        <f t="shared" si="12"/>
        <v>5.75</v>
      </c>
      <c r="V51" s="5">
        <f t="shared" si="13"/>
        <v>5.65</v>
      </c>
    </row>
    <row r="52" spans="1:22" x14ac:dyDescent="0.2">
      <c r="A52" s="33" t="str">
        <f>IF(Tabela17[[#This Row],[Código]]="IBOV","^BVSP",IF(Tabela17[[#This Row],[Código]]="","",CONCATENATE(LEFT(Tabela17[[#This Row],[Código]],6),".SA")))</f>
        <v>GPAR3.SA</v>
      </c>
      <c r="C52" s="3" t="s">
        <v>487</v>
      </c>
      <c r="D52" s="3" t="s">
        <v>413</v>
      </c>
      <c r="E52" s="3" t="s">
        <v>413</v>
      </c>
      <c r="F52" s="3" t="s">
        <v>413</v>
      </c>
      <c r="G52" s="3" t="s">
        <v>413</v>
      </c>
      <c r="H52" s="51">
        <v>41689</v>
      </c>
      <c r="J52" s="3">
        <f t="shared" si="7"/>
        <v>15</v>
      </c>
      <c r="K52" s="3">
        <f t="shared" si="7"/>
        <v>15</v>
      </c>
      <c r="L52" s="3">
        <f t="shared" si="7"/>
        <v>15</v>
      </c>
      <c r="M52" s="3">
        <f t="shared" si="7"/>
        <v>15</v>
      </c>
      <c r="P52" s="10" t="s">
        <v>486</v>
      </c>
      <c r="Q52" s="10" t="str">
        <f t="shared" si="8"/>
        <v>CELGPAR     -ON</v>
      </c>
      <c r="R52" s="51">
        <f t="shared" si="9"/>
        <v>41689</v>
      </c>
      <c r="S52" s="5">
        <f t="shared" si="10"/>
        <v>15</v>
      </c>
      <c r="T52" s="5">
        <f t="shared" si="11"/>
        <v>15</v>
      </c>
      <c r="U52" s="5">
        <f t="shared" si="12"/>
        <v>15</v>
      </c>
      <c r="V52" s="5">
        <f t="shared" si="13"/>
        <v>15</v>
      </c>
    </row>
    <row r="53" spans="1:22" x14ac:dyDescent="0.2">
      <c r="A53" s="33" t="str">
        <f>IF(Tabela17[[#This Row],[Código]]="IBOV","^BVSP",IF(Tabela17[[#This Row],[Código]]="","",CONCATENATE(LEFT(Tabela17[[#This Row],[Código]],6),".SA")))</f>
        <v>HBTS5.SA</v>
      </c>
      <c r="C53" s="3" t="s">
        <v>303</v>
      </c>
      <c r="D53" s="3" t="s">
        <v>1228</v>
      </c>
      <c r="E53" s="3" t="s">
        <v>1228</v>
      </c>
      <c r="F53" s="3" t="s">
        <v>1228</v>
      </c>
      <c r="G53" s="3" t="s">
        <v>1228</v>
      </c>
      <c r="H53" s="51">
        <v>41689</v>
      </c>
      <c r="J53" s="3">
        <f t="shared" si="7"/>
        <v>15.01</v>
      </c>
      <c r="K53" s="3">
        <f t="shared" si="7"/>
        <v>15.01</v>
      </c>
      <c r="L53" s="3">
        <f t="shared" si="7"/>
        <v>15.01</v>
      </c>
      <c r="M53" s="3">
        <f t="shared" si="7"/>
        <v>15.01</v>
      </c>
      <c r="P53" s="14" t="s">
        <v>302</v>
      </c>
      <c r="Q53" s="10" t="str">
        <f t="shared" si="8"/>
        <v>HABITASUL   -PNA</v>
      </c>
      <c r="R53" s="51">
        <f t="shared" si="9"/>
        <v>41689</v>
      </c>
      <c r="S53" s="5">
        <f t="shared" si="10"/>
        <v>15.01</v>
      </c>
      <c r="T53" s="5">
        <f t="shared" si="11"/>
        <v>15.01</v>
      </c>
      <c r="U53" s="5">
        <f t="shared" si="12"/>
        <v>15.01</v>
      </c>
      <c r="V53" s="5">
        <f t="shared" si="13"/>
        <v>15.01</v>
      </c>
    </row>
    <row r="54" spans="1:22" x14ac:dyDescent="0.2">
      <c r="A54" s="33" t="str">
        <f>IF(Tabela17[[#This Row],[Código]]="IBOV","^BVSP",IF(Tabela17[[#This Row],[Código]]="","",CONCATENATE(LEFT(Tabela17[[#This Row],[Código]],6),".SA")))</f>
        <v>IGTA3.SA</v>
      </c>
      <c r="C54" s="3" t="s">
        <v>356</v>
      </c>
      <c r="D54" s="3" t="s">
        <v>1778</v>
      </c>
      <c r="E54" s="61" t="s">
        <v>1065</v>
      </c>
      <c r="F54" s="61" t="s">
        <v>1958</v>
      </c>
      <c r="G54" s="61" t="s">
        <v>1262</v>
      </c>
      <c r="H54" s="51">
        <v>41689</v>
      </c>
      <c r="J54" s="3">
        <f t="shared" si="7"/>
        <v>19.89</v>
      </c>
      <c r="K54" s="3">
        <f t="shared" si="7"/>
        <v>20.25</v>
      </c>
      <c r="L54" s="3">
        <f t="shared" si="7"/>
        <v>20.27</v>
      </c>
      <c r="M54" s="3">
        <f t="shared" si="7"/>
        <v>19.72</v>
      </c>
      <c r="P54" s="14" t="s">
        <v>355</v>
      </c>
      <c r="Q54" s="10" t="str">
        <f t="shared" si="8"/>
        <v xml:space="preserve">IGUATEMI    -ON  </v>
      </c>
      <c r="R54" s="51">
        <f t="shared" si="9"/>
        <v>41689</v>
      </c>
      <c r="S54" s="5">
        <f t="shared" si="10"/>
        <v>19.89</v>
      </c>
      <c r="T54" s="5">
        <f t="shared" si="11"/>
        <v>20.25</v>
      </c>
      <c r="U54" s="5">
        <f t="shared" si="12"/>
        <v>20.27</v>
      </c>
      <c r="V54" s="5">
        <f t="shared" si="13"/>
        <v>19.72</v>
      </c>
    </row>
    <row r="55" spans="1:22" x14ac:dyDescent="0.2">
      <c r="A55" s="33" t="str">
        <f>IF(Tabela17[[#This Row],[Código]]="IBOV","^BVSP",IF(Tabela17[[#This Row],[Código]]="","",CONCATENATE(LEFT(Tabela17[[#This Row],[Código]],6),".SA")))</f>
        <v>JBSS3.SA</v>
      </c>
      <c r="C55" s="3" t="s">
        <v>282</v>
      </c>
      <c r="D55" s="3" t="s">
        <v>1579</v>
      </c>
      <c r="E55" s="3" t="s">
        <v>1890</v>
      </c>
      <c r="F55" s="3" t="s">
        <v>1579</v>
      </c>
      <c r="G55" s="3" t="s">
        <v>808</v>
      </c>
      <c r="H55" s="51">
        <v>41689</v>
      </c>
      <c r="J55" s="3">
        <f t="shared" si="7"/>
        <v>7.37</v>
      </c>
      <c r="K55" s="3">
        <f t="shared" si="7"/>
        <v>7.32</v>
      </c>
      <c r="L55" s="3">
        <f t="shared" si="7"/>
        <v>7.37</v>
      </c>
      <c r="M55" s="3">
        <f t="shared" si="7"/>
        <v>7.1</v>
      </c>
      <c r="P55" s="43" t="s">
        <v>281</v>
      </c>
      <c r="Q55" s="10" t="str">
        <f t="shared" si="8"/>
        <v xml:space="preserve">JBS         -ON  </v>
      </c>
      <c r="R55" s="51">
        <f t="shared" si="9"/>
        <v>41689</v>
      </c>
      <c r="S55" s="5">
        <f t="shared" si="10"/>
        <v>7.37</v>
      </c>
      <c r="T55" s="5">
        <f t="shared" si="11"/>
        <v>7.32</v>
      </c>
      <c r="U55" s="5">
        <f t="shared" si="12"/>
        <v>7.37</v>
      </c>
      <c r="V55" s="5">
        <f t="shared" si="13"/>
        <v>7.1</v>
      </c>
    </row>
    <row r="56" spans="1:22" x14ac:dyDescent="0.2">
      <c r="A56" s="33" t="str">
        <f>IF(Tabela17[[#This Row],[Código]]="IBOV","^BVSP",IF(Tabela17[[#This Row],[Código]]="","",CONCATENATE(LEFT(Tabela17[[#This Row],[Código]],6),".SA")))</f>
        <v>JOPA3.SA</v>
      </c>
      <c r="C56" s="3" t="s">
        <v>256</v>
      </c>
      <c r="D56" s="3" t="s">
        <v>800</v>
      </c>
      <c r="E56" s="3" t="s">
        <v>800</v>
      </c>
      <c r="F56" s="3" t="s">
        <v>800</v>
      </c>
      <c r="G56" s="3" t="s">
        <v>800</v>
      </c>
      <c r="H56" s="51">
        <v>41689</v>
      </c>
      <c r="J56" s="3">
        <f t="shared" si="7"/>
        <v>17.010000000000002</v>
      </c>
      <c r="K56" s="3">
        <f t="shared" si="7"/>
        <v>17.010000000000002</v>
      </c>
      <c r="L56" s="3">
        <f t="shared" si="7"/>
        <v>17.010000000000002</v>
      </c>
      <c r="M56" s="3">
        <f t="shared" si="7"/>
        <v>17.010000000000002</v>
      </c>
      <c r="P56" s="15" t="s">
        <v>254</v>
      </c>
      <c r="Q56" s="10" t="str">
        <f t="shared" si="8"/>
        <v>JOSAPAR     -ON</v>
      </c>
      <c r="R56" s="51">
        <f t="shared" si="9"/>
        <v>41689</v>
      </c>
      <c r="S56" s="5">
        <f t="shared" si="10"/>
        <v>17.010000000000002</v>
      </c>
      <c r="T56" s="5">
        <f t="shared" si="11"/>
        <v>17.010000000000002</v>
      </c>
      <c r="U56" s="5">
        <f t="shared" si="12"/>
        <v>17.010000000000002</v>
      </c>
      <c r="V56" s="5">
        <f t="shared" si="13"/>
        <v>17.010000000000002</v>
      </c>
    </row>
    <row r="57" spans="1:22" x14ac:dyDescent="0.2">
      <c r="A57" s="33" t="str">
        <f>IF(Tabela17[[#This Row],[Código]]="IBOV","^BVSP",IF(Tabela17[[#This Row],[Código]]="","",CONCATENATE(LEFT(Tabela17[[#This Row],[Código]],6),".SA")))</f>
        <v>JOPA4.SA</v>
      </c>
      <c r="C57" s="3" t="s">
        <v>257</v>
      </c>
      <c r="D57" s="3" t="s">
        <v>415</v>
      </c>
      <c r="E57" s="3" t="s">
        <v>415</v>
      </c>
      <c r="F57" s="3" t="s">
        <v>415</v>
      </c>
      <c r="G57" s="3" t="s">
        <v>415</v>
      </c>
      <c r="H57" s="51">
        <v>41689</v>
      </c>
      <c r="J57" s="3">
        <f t="shared" si="7"/>
        <v>20</v>
      </c>
      <c r="K57" s="3">
        <f t="shared" si="7"/>
        <v>20</v>
      </c>
      <c r="L57" s="3">
        <f t="shared" si="7"/>
        <v>20</v>
      </c>
      <c r="M57" s="3">
        <f t="shared" si="7"/>
        <v>20</v>
      </c>
      <c r="P57" s="10" t="s">
        <v>255</v>
      </c>
      <c r="Q57" s="10" t="str">
        <f t="shared" si="8"/>
        <v>JOSAPAR     -PN</v>
      </c>
      <c r="R57" s="51">
        <f t="shared" si="9"/>
        <v>41689</v>
      </c>
      <c r="S57" s="5">
        <f t="shared" si="10"/>
        <v>20</v>
      </c>
      <c r="T57" s="5">
        <f t="shared" si="11"/>
        <v>20</v>
      </c>
      <c r="U57" s="5">
        <f t="shared" si="12"/>
        <v>20</v>
      </c>
      <c r="V57" s="5">
        <f t="shared" si="13"/>
        <v>20</v>
      </c>
    </row>
    <row r="58" spans="1:22" x14ac:dyDescent="0.2">
      <c r="A58" s="33" t="str">
        <f>IF(Tabela17[[#This Row],[Código]]="IBOV","^BVSP",IF(Tabela17[[#This Row],[Código]]="","",CONCATENATE(LEFT(Tabela17[[#This Row],[Código]],6),".SA")))</f>
        <v>LCAM3.SA</v>
      </c>
      <c r="C58" s="3" t="s">
        <v>316</v>
      </c>
      <c r="D58" s="3" t="s">
        <v>1445</v>
      </c>
      <c r="E58" s="3" t="s">
        <v>1959</v>
      </c>
      <c r="F58" s="3" t="s">
        <v>1445</v>
      </c>
      <c r="G58" s="3" t="s">
        <v>1014</v>
      </c>
      <c r="H58" s="51">
        <v>41689</v>
      </c>
      <c r="J58" s="3">
        <f t="shared" si="7"/>
        <v>4.2</v>
      </c>
      <c r="K58" s="3">
        <f t="shared" si="7"/>
        <v>3.99</v>
      </c>
      <c r="L58" s="3">
        <f t="shared" si="7"/>
        <v>4.2</v>
      </c>
      <c r="M58" s="3">
        <f t="shared" si="7"/>
        <v>3.93</v>
      </c>
      <c r="P58" s="14" t="s">
        <v>315</v>
      </c>
      <c r="Q58" s="10" t="str">
        <f t="shared" si="8"/>
        <v xml:space="preserve">LOCAMERICA  -ON  </v>
      </c>
      <c r="R58" s="51">
        <f t="shared" si="9"/>
        <v>41689</v>
      </c>
      <c r="S58" s="5">
        <f t="shared" si="10"/>
        <v>4.2</v>
      </c>
      <c r="T58" s="5">
        <f t="shared" si="11"/>
        <v>3.99</v>
      </c>
      <c r="U58" s="5">
        <f t="shared" si="12"/>
        <v>4.2</v>
      </c>
      <c r="V58" s="5">
        <f t="shared" si="13"/>
        <v>3.93</v>
      </c>
    </row>
    <row r="59" spans="1:22" x14ac:dyDescent="0.2">
      <c r="A59" s="33" t="str">
        <f>IF(Tabela17[[#This Row],[Código]]="IBOV","^BVSP",IF(Tabela17[[#This Row],[Código]]="","",CONCATENATE(LEFT(Tabela17[[#This Row],[Código]],6),".SA")))</f>
        <v>MAGG3.SA</v>
      </c>
      <c r="C59" s="3" t="s">
        <v>328</v>
      </c>
      <c r="D59" s="3" t="s">
        <v>1780</v>
      </c>
      <c r="E59" s="61" t="s">
        <v>1960</v>
      </c>
      <c r="F59" s="61" t="s">
        <v>1580</v>
      </c>
      <c r="G59" s="61" t="s">
        <v>730</v>
      </c>
      <c r="H59" s="51">
        <v>41689</v>
      </c>
      <c r="J59" s="3">
        <f t="shared" si="7"/>
        <v>5.15</v>
      </c>
      <c r="K59" s="3">
        <f t="shared" si="7"/>
        <v>5.14</v>
      </c>
      <c r="L59" s="3">
        <f t="shared" si="7"/>
        <v>5.2</v>
      </c>
      <c r="M59" s="3">
        <f t="shared" si="7"/>
        <v>5.01</v>
      </c>
      <c r="P59" s="14" t="s">
        <v>327</v>
      </c>
      <c r="Q59" s="10" t="str">
        <f t="shared" si="8"/>
        <v xml:space="preserve">MAGNESITA SA-ON  </v>
      </c>
      <c r="R59" s="46">
        <f t="shared" si="9"/>
        <v>41689</v>
      </c>
      <c r="S59" s="6">
        <f t="shared" si="10"/>
        <v>5.15</v>
      </c>
      <c r="T59" s="6">
        <f t="shared" si="11"/>
        <v>5.14</v>
      </c>
      <c r="U59" s="6">
        <f t="shared" si="12"/>
        <v>5.2</v>
      </c>
      <c r="V59" s="6">
        <f t="shared" si="13"/>
        <v>5.01</v>
      </c>
    </row>
    <row r="60" spans="1:22" x14ac:dyDescent="0.2">
      <c r="A60" s="33" t="str">
        <f>IF(Tabela17[[#This Row],[Código]]="IBOV","^BVSP",IF(Tabela17[[#This Row],[Código]]="","",CONCATENATE(LEFT(Tabela17[[#This Row],[Código]],6),".SA")))</f>
        <v>MERC3.SA</v>
      </c>
      <c r="C60" s="3" t="s">
        <v>366</v>
      </c>
      <c r="D60" s="3" t="s">
        <v>367</v>
      </c>
      <c r="E60" s="61">
        <v>83591</v>
      </c>
      <c r="F60" s="61">
        <v>83591</v>
      </c>
      <c r="G60" s="61">
        <v>83591</v>
      </c>
      <c r="H60" s="51">
        <v>41689</v>
      </c>
      <c r="J60" s="3">
        <f t="shared" si="7"/>
        <v>8.5500000000000007</v>
      </c>
      <c r="K60" s="3">
        <f t="shared" si="7"/>
        <v>83.91</v>
      </c>
      <c r="L60" s="3">
        <f t="shared" si="7"/>
        <v>83.91</v>
      </c>
      <c r="M60" s="3">
        <f t="shared" si="7"/>
        <v>83.91</v>
      </c>
      <c r="P60" s="14" t="s">
        <v>363</v>
      </c>
      <c r="Q60" s="10" t="str">
        <f t="shared" si="8"/>
        <v>MERC FINANC -ON</v>
      </c>
      <c r="R60" s="51">
        <f t="shared" si="9"/>
        <v>41689</v>
      </c>
      <c r="S60" s="5">
        <f t="shared" si="10"/>
        <v>8.5500000000000007</v>
      </c>
      <c r="T60" s="5">
        <f t="shared" si="11"/>
        <v>83.91</v>
      </c>
      <c r="U60" s="5">
        <f t="shared" si="12"/>
        <v>83.91</v>
      </c>
      <c r="V60" s="5">
        <f t="shared" si="13"/>
        <v>83.91</v>
      </c>
    </row>
    <row r="61" spans="1:22" x14ac:dyDescent="0.2">
      <c r="A61" s="33" t="str">
        <f>IF(Tabela17[[#This Row],[Código]]="IBOV","^BVSP",IF(Tabela17[[#This Row],[Código]]="","",CONCATENATE(LEFT(Tabela17[[#This Row],[Código]],6),".SA")))</f>
        <v>MERC4.SA</v>
      </c>
      <c r="C61" s="3" t="s">
        <v>368</v>
      </c>
      <c r="D61" s="3" t="s">
        <v>1561</v>
      </c>
      <c r="E61" s="3" t="s">
        <v>1561</v>
      </c>
      <c r="F61" s="3" t="s">
        <v>1561</v>
      </c>
      <c r="G61" s="3" t="s">
        <v>1561</v>
      </c>
      <c r="H61" s="51">
        <v>41689</v>
      </c>
      <c r="J61" s="3">
        <f t="shared" si="7"/>
        <v>8.5</v>
      </c>
      <c r="K61" s="3">
        <f t="shared" si="7"/>
        <v>8.5</v>
      </c>
      <c r="L61" s="3">
        <f t="shared" si="7"/>
        <v>8.5</v>
      </c>
      <c r="M61" s="3">
        <f t="shared" si="7"/>
        <v>8.5</v>
      </c>
      <c r="P61" s="14" t="s">
        <v>364</v>
      </c>
      <c r="Q61" s="10" t="str">
        <f t="shared" si="8"/>
        <v>MERC FINANC -PN</v>
      </c>
      <c r="R61" s="51">
        <f t="shared" si="9"/>
        <v>41689</v>
      </c>
      <c r="S61" s="5">
        <f t="shared" si="10"/>
        <v>8.5</v>
      </c>
      <c r="T61" s="5">
        <f t="shared" si="11"/>
        <v>8.5</v>
      </c>
      <c r="U61" s="5">
        <f t="shared" si="12"/>
        <v>8.5</v>
      </c>
      <c r="V61" s="5">
        <f t="shared" si="13"/>
        <v>8.5</v>
      </c>
    </row>
    <row r="62" spans="1:22" x14ac:dyDescent="0.2">
      <c r="A62" s="33" t="str">
        <f>IF(Tabela17[[#This Row],[Código]]="IBOV","^BVSP",IF(Tabela17[[#This Row],[Código]]="","",CONCATENATE(LEFT(Tabela17[[#This Row],[Código]],6),".SA")))</f>
        <v>MOAR3.SA</v>
      </c>
      <c r="C62" s="3" t="s">
        <v>1043</v>
      </c>
      <c r="D62" s="3" t="s">
        <v>801</v>
      </c>
      <c r="E62" s="3" t="s">
        <v>801</v>
      </c>
      <c r="F62" s="3" t="s">
        <v>801</v>
      </c>
      <c r="G62" s="3" t="s">
        <v>801</v>
      </c>
      <c r="H62" s="51">
        <v>41689</v>
      </c>
      <c r="J62" s="3">
        <f t="shared" si="7"/>
        <v>156</v>
      </c>
      <c r="K62" s="3">
        <f t="shared" si="7"/>
        <v>156</v>
      </c>
      <c r="L62" s="3">
        <f t="shared" si="7"/>
        <v>156</v>
      </c>
      <c r="M62" s="3">
        <f t="shared" si="7"/>
        <v>156</v>
      </c>
      <c r="P62" s="14" t="s">
        <v>304</v>
      </c>
      <c r="Q62" s="10" t="str">
        <f t="shared" si="8"/>
        <v>MONT ARANHA -ON</v>
      </c>
      <c r="R62" s="51">
        <f t="shared" si="9"/>
        <v>41689</v>
      </c>
      <c r="S62" s="5">
        <f t="shared" si="10"/>
        <v>156</v>
      </c>
      <c r="T62" s="5">
        <f t="shared" si="11"/>
        <v>156</v>
      </c>
      <c r="U62" s="5">
        <f t="shared" si="12"/>
        <v>156</v>
      </c>
      <c r="V62" s="5">
        <f t="shared" si="13"/>
        <v>156</v>
      </c>
    </row>
    <row r="63" spans="1:22" x14ac:dyDescent="0.2">
      <c r="A63" s="33" t="str">
        <f>IF(Tabela17[[#This Row],[Código]]="IBOV","^BVSP",IF(Tabela17[[#This Row],[Código]]="","",CONCATENATE(LEFT(Tabela17[[#This Row],[Código]],6),".SA")))</f>
        <v>MULT3.SA</v>
      </c>
      <c r="C63" s="3" t="s">
        <v>358</v>
      </c>
      <c r="D63" s="3" t="s">
        <v>1781</v>
      </c>
      <c r="E63" s="3" t="s">
        <v>1961</v>
      </c>
      <c r="F63" s="3" t="s">
        <v>1421</v>
      </c>
      <c r="G63" s="3" t="s">
        <v>1783</v>
      </c>
      <c r="H63" s="51">
        <v>41689</v>
      </c>
      <c r="J63" s="3">
        <f t="shared" si="7"/>
        <v>42.41</v>
      </c>
      <c r="K63" s="3">
        <f t="shared" si="7"/>
        <v>43.69</v>
      </c>
      <c r="L63" s="3">
        <f t="shared" si="7"/>
        <v>44</v>
      </c>
      <c r="M63" s="3">
        <f t="shared" si="7"/>
        <v>42.4</v>
      </c>
      <c r="P63" s="14" t="s">
        <v>357</v>
      </c>
      <c r="Q63" s="10" t="str">
        <f t="shared" si="8"/>
        <v xml:space="preserve">MULTIPLAN   -ON  </v>
      </c>
      <c r="R63" s="51">
        <f t="shared" si="9"/>
        <v>41689</v>
      </c>
      <c r="S63" s="5">
        <f t="shared" si="10"/>
        <v>42.41</v>
      </c>
      <c r="T63" s="5">
        <f t="shared" si="11"/>
        <v>43.69</v>
      </c>
      <c r="U63" s="5">
        <f t="shared" si="12"/>
        <v>44</v>
      </c>
      <c r="V63" s="5">
        <f t="shared" si="13"/>
        <v>42.4</v>
      </c>
    </row>
    <row r="64" spans="1:22" x14ac:dyDescent="0.2">
      <c r="A64" s="33" t="str">
        <f>IF(Tabela17[[#This Row],[Código]]="IBOV","^BVSP",IF(Tabela17[[#This Row],[Código]]="","",CONCATENATE(LEFT(Tabela17[[#This Row],[Código]],6),".SA")))</f>
        <v>NUTR3M.SA</v>
      </c>
      <c r="C64" s="3" t="s">
        <v>333</v>
      </c>
      <c r="D64" s="3" t="s">
        <v>711</v>
      </c>
      <c r="E64" s="3" t="s">
        <v>711</v>
      </c>
      <c r="F64" s="3" t="s">
        <v>711</v>
      </c>
      <c r="G64" s="3" t="s">
        <v>711</v>
      </c>
      <c r="H64" s="51">
        <v>41670</v>
      </c>
      <c r="J64" s="3">
        <f t="shared" si="7"/>
        <v>1.51</v>
      </c>
      <c r="K64" s="3">
        <f t="shared" si="7"/>
        <v>1.51</v>
      </c>
      <c r="L64" s="3">
        <f t="shared" si="7"/>
        <v>1.51</v>
      </c>
      <c r="M64" s="3">
        <f t="shared" si="7"/>
        <v>1.51</v>
      </c>
      <c r="P64" s="14" t="s">
        <v>332</v>
      </c>
      <c r="Q64" s="10" t="str">
        <f t="shared" si="8"/>
        <v xml:space="preserve">NUTRIPLANT  -ON  </v>
      </c>
      <c r="R64" s="51">
        <f t="shared" si="9"/>
        <v>41670</v>
      </c>
      <c r="S64" s="5">
        <f t="shared" si="10"/>
        <v>1.51</v>
      </c>
      <c r="T64" s="5">
        <f t="shared" si="11"/>
        <v>1.51</v>
      </c>
      <c r="U64" s="5">
        <f t="shared" si="12"/>
        <v>1.51</v>
      </c>
      <c r="V64" s="5">
        <f t="shared" si="13"/>
        <v>1.51</v>
      </c>
    </row>
    <row r="65" spans="1:22" x14ac:dyDescent="0.2">
      <c r="A65" s="33" t="str">
        <f>IF(Tabela17[[#This Row],[Código]]="IBOV","^BVSP",IF(Tabela17[[#This Row],[Código]]="","",CONCATENATE(LEFT(Tabela17[[#This Row],[Código]],6),".SA")))</f>
        <v>OIBR3.SA</v>
      </c>
      <c r="C65" s="3" t="s">
        <v>291</v>
      </c>
      <c r="D65" s="3" t="s">
        <v>1042</v>
      </c>
      <c r="E65" s="3" t="s">
        <v>1962</v>
      </c>
      <c r="F65" s="3" t="s">
        <v>1042</v>
      </c>
      <c r="G65" s="3" t="s">
        <v>1963</v>
      </c>
      <c r="H65" s="51">
        <v>41689</v>
      </c>
      <c r="J65" s="3">
        <f t="shared" si="7"/>
        <v>4.3499999999999996</v>
      </c>
      <c r="K65" s="3">
        <f t="shared" si="7"/>
        <v>4.13</v>
      </c>
      <c r="L65" s="3">
        <f t="shared" si="7"/>
        <v>4.3499999999999996</v>
      </c>
      <c r="M65" s="3">
        <f t="shared" si="7"/>
        <v>4.0599999999999996</v>
      </c>
      <c r="P65" s="14" t="s">
        <v>289</v>
      </c>
      <c r="Q65" s="10" t="str">
        <f t="shared" si="8"/>
        <v xml:space="preserve">OI          -ON  </v>
      </c>
      <c r="R65" s="51">
        <f t="shared" si="9"/>
        <v>41689</v>
      </c>
      <c r="S65" s="5">
        <f t="shared" si="10"/>
        <v>4.3499999999999996</v>
      </c>
      <c r="T65" s="5">
        <f t="shared" si="11"/>
        <v>4.13</v>
      </c>
      <c r="U65" s="5">
        <f t="shared" si="12"/>
        <v>4.3499999999999996</v>
      </c>
      <c r="V65" s="5">
        <f t="shared" si="13"/>
        <v>4.0599999999999996</v>
      </c>
    </row>
    <row r="66" spans="1:22" x14ac:dyDescent="0.2">
      <c r="A66" s="33" t="str">
        <f>IF(Tabela17[[#This Row],[Código]]="IBOV","^BVSP",IF(Tabela17[[#This Row],[Código]]="","",CONCATENATE(LEFT(Tabela17[[#This Row],[Código]],6),".SA")))</f>
        <v>OIBR4.SA</v>
      </c>
      <c r="C66" s="3" t="s">
        <v>292</v>
      </c>
      <c r="D66" s="3" t="s">
        <v>190</v>
      </c>
      <c r="E66" s="3" t="s">
        <v>1253</v>
      </c>
      <c r="F66" s="3" t="s">
        <v>1784</v>
      </c>
      <c r="G66" s="3" t="s">
        <v>1591</v>
      </c>
      <c r="H66" s="51">
        <v>41689</v>
      </c>
      <c r="J66" s="3">
        <f t="shared" si="7"/>
        <v>4</v>
      </c>
      <c r="K66" s="3">
        <f t="shared" si="7"/>
        <v>3.8</v>
      </c>
      <c r="L66" s="3">
        <f t="shared" si="7"/>
        <v>4.04</v>
      </c>
      <c r="M66" s="3">
        <f t="shared" si="7"/>
        <v>3.72</v>
      </c>
      <c r="P66" s="10" t="s">
        <v>290</v>
      </c>
      <c r="Q66" s="10" t="str">
        <f t="shared" si="8"/>
        <v xml:space="preserve">OI          -PN  </v>
      </c>
      <c r="R66" s="51">
        <f t="shared" si="9"/>
        <v>41689</v>
      </c>
      <c r="S66" s="5">
        <f t="shared" si="10"/>
        <v>4</v>
      </c>
      <c r="T66" s="5">
        <f t="shared" si="11"/>
        <v>3.8</v>
      </c>
      <c r="U66" s="5">
        <f t="shared" si="12"/>
        <v>4.04</v>
      </c>
      <c r="V66" s="5">
        <f t="shared" si="13"/>
        <v>3.72</v>
      </c>
    </row>
    <row r="67" spans="1:22" x14ac:dyDescent="0.2">
      <c r="A67" s="33" t="str">
        <f>IF(Tabela17[[#This Row],[Código]]="IBOV","^BVSP",IF(Tabela17[[#This Row],[Código]]="","",CONCATENATE(LEFT(Tabela17[[#This Row],[Código]],6),".SA")))</f>
        <v>PATI4.SA</v>
      </c>
      <c r="C67" s="3" t="s">
        <v>336</v>
      </c>
      <c r="D67" s="3" t="s">
        <v>965</v>
      </c>
      <c r="E67" s="3" t="s">
        <v>965</v>
      </c>
      <c r="F67" s="3" t="s">
        <v>965</v>
      </c>
      <c r="G67" s="3" t="s">
        <v>965</v>
      </c>
      <c r="H67" s="51">
        <v>41689</v>
      </c>
      <c r="J67" s="3">
        <f t="shared" si="7"/>
        <v>18.989999999999998</v>
      </c>
      <c r="K67" s="3">
        <f t="shared" si="7"/>
        <v>18.989999999999998</v>
      </c>
      <c r="L67" s="3">
        <f t="shared" si="7"/>
        <v>18.989999999999998</v>
      </c>
      <c r="M67" s="3">
        <f t="shared" si="7"/>
        <v>18.989999999999998</v>
      </c>
      <c r="P67" s="14" t="s">
        <v>334</v>
      </c>
      <c r="Q67" s="10" t="str">
        <f t="shared" si="8"/>
        <v>PANATLANTICA-PN</v>
      </c>
      <c r="R67" s="51">
        <f t="shared" si="9"/>
        <v>41689</v>
      </c>
      <c r="S67" s="5">
        <f t="shared" si="10"/>
        <v>18.989999999999998</v>
      </c>
      <c r="T67" s="5">
        <f t="shared" si="11"/>
        <v>18.989999999999998</v>
      </c>
      <c r="U67" s="5">
        <f t="shared" si="12"/>
        <v>18.989999999999998</v>
      </c>
      <c r="V67" s="5">
        <f t="shared" si="13"/>
        <v>18.989999999999998</v>
      </c>
    </row>
    <row r="68" spans="1:22" x14ac:dyDescent="0.2">
      <c r="A68" s="33" t="str">
        <f>IF(Tabela17[[#This Row],[Código]]="IBOV","^BVSP",IF(Tabela17[[#This Row],[Código]]="","",CONCATENATE(LEFT(Tabela17[[#This Row],[Código]],6),".SA")))</f>
        <v>PETR3.SA</v>
      </c>
      <c r="C68" s="3" t="s">
        <v>243</v>
      </c>
      <c r="D68" s="3" t="s">
        <v>1349</v>
      </c>
      <c r="E68" s="3" t="s">
        <v>1964</v>
      </c>
      <c r="F68" s="3" t="s">
        <v>1785</v>
      </c>
      <c r="G68" s="3" t="s">
        <v>1649</v>
      </c>
      <c r="H68" s="51">
        <v>41689</v>
      </c>
      <c r="J68" s="3">
        <f t="shared" si="7"/>
        <v>13.24</v>
      </c>
      <c r="K68" s="3">
        <f t="shared" si="7"/>
        <v>13.35</v>
      </c>
      <c r="L68" s="3">
        <f t="shared" si="7"/>
        <v>13.4</v>
      </c>
      <c r="M68" s="3">
        <f t="shared" si="7"/>
        <v>13.14</v>
      </c>
      <c r="P68" s="14" t="s">
        <v>20</v>
      </c>
      <c r="Q68" s="10" t="str">
        <f t="shared" si="8"/>
        <v>PETROBRAS   -ON</v>
      </c>
      <c r="R68" s="51">
        <f t="shared" si="9"/>
        <v>41689</v>
      </c>
      <c r="S68" s="5">
        <f t="shared" si="10"/>
        <v>13.24</v>
      </c>
      <c r="T68" s="5">
        <f t="shared" si="11"/>
        <v>13.35</v>
      </c>
      <c r="U68" s="5">
        <f t="shared" si="12"/>
        <v>13.4</v>
      </c>
      <c r="V68" s="5">
        <f t="shared" si="13"/>
        <v>13.14</v>
      </c>
    </row>
    <row r="69" spans="1:22" x14ac:dyDescent="0.2">
      <c r="A69" s="33" t="str">
        <f>IF(Tabela17[[#This Row],[Código]]="IBOV","^BVSP",IF(Tabela17[[#This Row],[Código]]="","",CONCATENATE(LEFT(Tabela17[[#This Row],[Código]],6),".SA")))</f>
        <v>PETR4.SA</v>
      </c>
      <c r="C69" s="3" t="s">
        <v>240</v>
      </c>
      <c r="D69" s="3" t="s">
        <v>1786</v>
      </c>
      <c r="E69" s="3" t="s">
        <v>1236</v>
      </c>
      <c r="F69" s="3" t="s">
        <v>1235</v>
      </c>
      <c r="G69" s="3" t="s">
        <v>1787</v>
      </c>
      <c r="H69" s="51">
        <v>41689</v>
      </c>
      <c r="J69" s="3">
        <f t="shared" si="7"/>
        <v>14.02</v>
      </c>
      <c r="K69" s="3">
        <f t="shared" si="7"/>
        <v>14.12</v>
      </c>
      <c r="L69" s="3">
        <f t="shared" si="7"/>
        <v>14.19</v>
      </c>
      <c r="M69" s="3">
        <f t="shared" si="7"/>
        <v>13.88</v>
      </c>
      <c r="P69" s="14" t="s">
        <v>21</v>
      </c>
      <c r="Q69" s="10" t="str">
        <f t="shared" si="8"/>
        <v>PETROBRAS   -PN</v>
      </c>
      <c r="R69" s="51">
        <f t="shared" si="9"/>
        <v>41689</v>
      </c>
      <c r="S69" s="5">
        <f t="shared" si="10"/>
        <v>14.02</v>
      </c>
      <c r="T69" s="5">
        <f t="shared" si="11"/>
        <v>14.12</v>
      </c>
      <c r="U69" s="5">
        <f t="shared" si="12"/>
        <v>14.19</v>
      </c>
      <c r="V69" s="5">
        <f t="shared" si="13"/>
        <v>13.88</v>
      </c>
    </row>
    <row r="70" spans="1:22" x14ac:dyDescent="0.2">
      <c r="A70" s="33" t="str">
        <f>IF(Tabela17[[#This Row],[Código]]="IBOV","^BVSP",IF(Tabela17[[#This Row],[Código]]="","",CONCATENATE(LEFT(Tabela17[[#This Row],[Código]],6),".SA")))</f>
        <v>PRVI3.SA</v>
      </c>
      <c r="C70" s="3" t="s">
        <v>326</v>
      </c>
      <c r="D70" s="3" t="s">
        <v>1002</v>
      </c>
      <c r="E70" s="3" t="s">
        <v>1230</v>
      </c>
      <c r="F70" s="3" t="s">
        <v>1230</v>
      </c>
      <c r="G70" s="3" t="s">
        <v>1002</v>
      </c>
      <c r="H70" s="51">
        <v>41689</v>
      </c>
      <c r="J70" s="3">
        <f t="shared" si="7"/>
        <v>8.16</v>
      </c>
      <c r="K70" s="3">
        <f t="shared" si="7"/>
        <v>8.1999999999999993</v>
      </c>
      <c r="L70" s="3">
        <f t="shared" si="7"/>
        <v>8.1999999999999993</v>
      </c>
      <c r="M70" s="3">
        <f t="shared" si="7"/>
        <v>8.16</v>
      </c>
      <c r="P70" s="14" t="s">
        <v>325</v>
      </c>
      <c r="Q70" s="10" t="str">
        <f t="shared" si="8"/>
        <v xml:space="preserve">PROVIDENCIA -ON  </v>
      </c>
      <c r="R70" s="51">
        <f t="shared" si="9"/>
        <v>41689</v>
      </c>
      <c r="S70" s="5">
        <f t="shared" si="10"/>
        <v>8.16</v>
      </c>
      <c r="T70" s="5">
        <f t="shared" si="11"/>
        <v>8.1999999999999993</v>
      </c>
      <c r="U70" s="5">
        <f t="shared" si="12"/>
        <v>8.1999999999999993</v>
      </c>
      <c r="V70" s="5">
        <f t="shared" si="13"/>
        <v>8.16</v>
      </c>
    </row>
    <row r="71" spans="1:22" x14ac:dyDescent="0.2">
      <c r="A71" s="33" t="str">
        <f>IF(Tabela17[[#This Row],[Código]]="IBOV","^BVSP",IF(Tabela17[[#This Row],[Código]]="","",CONCATENATE(LEFT(Tabela17[[#This Row],[Código]],6),".SA")))</f>
        <v>PTPA4.SA</v>
      </c>
      <c r="C71" s="3" t="s">
        <v>411</v>
      </c>
      <c r="D71" s="3" t="s">
        <v>655</v>
      </c>
      <c r="E71" s="3" t="s">
        <v>655</v>
      </c>
      <c r="F71" s="3" t="s">
        <v>655</v>
      </c>
      <c r="G71" s="3" t="s">
        <v>655</v>
      </c>
      <c r="H71" s="51">
        <v>41689</v>
      </c>
      <c r="J71" s="3">
        <f t="shared" si="7"/>
        <v>60</v>
      </c>
      <c r="K71" s="3">
        <f t="shared" si="7"/>
        <v>60</v>
      </c>
      <c r="L71" s="3">
        <f t="shared" si="7"/>
        <v>60</v>
      </c>
      <c r="M71" s="3">
        <f t="shared" si="7"/>
        <v>60</v>
      </c>
      <c r="P71" s="14" t="s">
        <v>317</v>
      </c>
      <c r="Q71" s="10" t="str">
        <f t="shared" ref="Q71:Q102" si="14">IF(A71="","",C71)</f>
        <v>EVORA       -PN</v>
      </c>
      <c r="R71" s="46">
        <f t="shared" ref="R71:R102" si="15">IF(A71="","",H71)</f>
        <v>41689</v>
      </c>
      <c r="S71" s="6">
        <f t="shared" ref="S71:S102" si="16">J71</f>
        <v>60</v>
      </c>
      <c r="T71" s="6">
        <f t="shared" ref="T71:T102" si="17">K71</f>
        <v>60</v>
      </c>
      <c r="U71" s="6">
        <f t="shared" ref="U71:U102" si="18">L71</f>
        <v>60</v>
      </c>
      <c r="V71" s="6">
        <f t="shared" ref="V71:V102" si="19">M71</f>
        <v>60</v>
      </c>
    </row>
    <row r="72" spans="1:22" x14ac:dyDescent="0.2">
      <c r="A72" s="33" t="str">
        <f>IF(Tabela17[[#This Row],[Código]]="IBOV","^BVSP",IF(Tabela17[[#This Row],[Código]]="","",CONCATENATE(LEFT(Tabela17[[#This Row],[Código]],6),".SA")))</f>
        <v>QGEP3.SA</v>
      </c>
      <c r="C72" s="3" t="s">
        <v>246</v>
      </c>
      <c r="D72" s="3" t="s">
        <v>1198</v>
      </c>
      <c r="E72" s="3" t="s">
        <v>1232</v>
      </c>
      <c r="F72" s="3" t="s">
        <v>1231</v>
      </c>
      <c r="G72" s="3" t="s">
        <v>1026</v>
      </c>
      <c r="H72" s="51">
        <v>41689</v>
      </c>
      <c r="J72" s="3">
        <f t="shared" ref="J72:M135" si="20">IF($A72="",0,VALUE(CONCATENATE(LEFT(D72,LEN(D72)-3),",",RIGHT(D72,2))))</f>
        <v>8.11</v>
      </c>
      <c r="K72" s="3">
        <f t="shared" si="20"/>
        <v>8.01</v>
      </c>
      <c r="L72" s="3">
        <f t="shared" si="20"/>
        <v>8.34</v>
      </c>
      <c r="M72" s="3">
        <f t="shared" si="20"/>
        <v>7.92</v>
      </c>
      <c r="P72" s="15" t="s">
        <v>245</v>
      </c>
      <c r="Q72" s="10" t="str">
        <f t="shared" si="14"/>
        <v xml:space="preserve">QGEP PART   -ON  </v>
      </c>
      <c r="R72" s="51">
        <f t="shared" si="15"/>
        <v>41689</v>
      </c>
      <c r="S72" s="5">
        <f t="shared" si="16"/>
        <v>8.11</v>
      </c>
      <c r="T72" s="5">
        <f t="shared" si="17"/>
        <v>8.01</v>
      </c>
      <c r="U72" s="5">
        <f t="shared" si="18"/>
        <v>8.34</v>
      </c>
      <c r="V72" s="5">
        <f t="shared" si="19"/>
        <v>7.92</v>
      </c>
    </row>
    <row r="73" spans="1:22" x14ac:dyDescent="0.2">
      <c r="A73" s="33" t="str">
        <f>IF(Tabela17[[#This Row],[Código]]="IBOV","^BVSP",IF(Tabela17[[#This Row],[Código]]="","",CONCATENATE(LEFT(Tabela17[[#This Row],[Código]],6),".SA")))</f>
        <v>SCAR3.SA</v>
      </c>
      <c r="C73" s="3" t="s">
        <v>362</v>
      </c>
      <c r="D73" s="3" t="s">
        <v>1788</v>
      </c>
      <c r="E73" s="3" t="s">
        <v>1965</v>
      </c>
      <c r="F73" s="3" t="s">
        <v>1965</v>
      </c>
      <c r="G73" s="3" t="s">
        <v>1789</v>
      </c>
      <c r="H73" s="51">
        <v>41689</v>
      </c>
      <c r="J73" s="3">
        <f t="shared" si="20"/>
        <v>32.58</v>
      </c>
      <c r="K73" s="3">
        <f t="shared" si="20"/>
        <v>33.25</v>
      </c>
      <c r="L73" s="3">
        <f t="shared" si="20"/>
        <v>33.25</v>
      </c>
      <c r="M73" s="3">
        <f t="shared" si="20"/>
        <v>32.17</v>
      </c>
      <c r="P73" s="14" t="s">
        <v>360</v>
      </c>
      <c r="Q73" s="10" t="str">
        <f t="shared" si="14"/>
        <v xml:space="preserve">SAO CARLOS  -ON  </v>
      </c>
      <c r="R73" s="51">
        <f t="shared" si="15"/>
        <v>41689</v>
      </c>
      <c r="S73" s="5">
        <f t="shared" si="16"/>
        <v>32.58</v>
      </c>
      <c r="T73" s="5">
        <f t="shared" si="17"/>
        <v>33.25</v>
      </c>
      <c r="U73" s="5">
        <f t="shared" si="18"/>
        <v>33.25</v>
      </c>
      <c r="V73" s="5">
        <f t="shared" si="19"/>
        <v>32.17</v>
      </c>
    </row>
    <row r="74" spans="1:22" x14ac:dyDescent="0.2">
      <c r="A74" s="33" t="str">
        <f>IF(Tabela17[[#This Row],[Código]]="IBOV","^BVSP",IF(Tabela17[[#This Row],[Código]]="","",CONCATENATE(LEFT(Tabela17[[#This Row],[Código]],6),".SA")))</f>
        <v>SMTO3.SA</v>
      </c>
      <c r="C74" s="3" t="s">
        <v>273</v>
      </c>
      <c r="D74" s="3" t="s">
        <v>1553</v>
      </c>
      <c r="E74" s="3" t="s">
        <v>1465</v>
      </c>
      <c r="F74" s="3" t="s">
        <v>434</v>
      </c>
      <c r="G74" s="3" t="s">
        <v>1790</v>
      </c>
      <c r="H74" s="51">
        <v>41689</v>
      </c>
      <c r="J74" s="3">
        <f t="shared" si="20"/>
        <v>26.79</v>
      </c>
      <c r="K74" s="3">
        <f t="shared" si="20"/>
        <v>26.99</v>
      </c>
      <c r="L74" s="3">
        <f t="shared" si="20"/>
        <v>27</v>
      </c>
      <c r="M74" s="3">
        <f t="shared" si="20"/>
        <v>26.69</v>
      </c>
      <c r="P74" s="15" t="s">
        <v>272</v>
      </c>
      <c r="Q74" s="10" t="str">
        <f t="shared" si="14"/>
        <v xml:space="preserve">SAO MARTINHO-ON  </v>
      </c>
      <c r="R74" s="51">
        <f t="shared" si="15"/>
        <v>41689</v>
      </c>
      <c r="S74" s="5">
        <f t="shared" si="16"/>
        <v>26.79</v>
      </c>
      <c r="T74" s="5">
        <f t="shared" si="17"/>
        <v>26.99</v>
      </c>
      <c r="U74" s="5">
        <f t="shared" si="18"/>
        <v>27</v>
      </c>
      <c r="V74" s="5">
        <f t="shared" si="19"/>
        <v>26.69</v>
      </c>
    </row>
    <row r="75" spans="1:22" x14ac:dyDescent="0.2">
      <c r="A75" s="33" t="str">
        <f>IF(Tabela17[[#This Row],[Código]]="IBOV","^BVSP",IF(Tabela17[[#This Row],[Código]]="","",CONCATENATE(LEFT(Tabela17[[#This Row],[Código]],6),".SA")))</f>
        <v>SSBR3.SA</v>
      </c>
      <c r="C75" s="3" t="s">
        <v>361</v>
      </c>
      <c r="D75" s="3" t="s">
        <v>1696</v>
      </c>
      <c r="E75" s="3" t="s">
        <v>651</v>
      </c>
      <c r="F75" s="3" t="s">
        <v>1696</v>
      </c>
      <c r="G75" s="3" t="s">
        <v>1214</v>
      </c>
      <c r="H75" s="51">
        <v>41689</v>
      </c>
      <c r="J75" s="3">
        <f t="shared" si="20"/>
        <v>17.5</v>
      </c>
      <c r="K75" s="3">
        <f t="shared" si="20"/>
        <v>17</v>
      </c>
      <c r="L75" s="3">
        <f t="shared" si="20"/>
        <v>17.5</v>
      </c>
      <c r="M75" s="3">
        <f t="shared" si="20"/>
        <v>16.73</v>
      </c>
      <c r="P75" s="14" t="s">
        <v>359</v>
      </c>
      <c r="Q75" s="10" t="str">
        <f t="shared" si="14"/>
        <v xml:space="preserve">SIERRABRASIL-ON  </v>
      </c>
      <c r="R75" s="51">
        <f t="shared" si="15"/>
        <v>41689</v>
      </c>
      <c r="S75" s="5">
        <f t="shared" si="16"/>
        <v>17.5</v>
      </c>
      <c r="T75" s="5">
        <f t="shared" si="17"/>
        <v>17</v>
      </c>
      <c r="U75" s="5">
        <f t="shared" si="18"/>
        <v>17.5</v>
      </c>
      <c r="V75" s="5">
        <f t="shared" si="19"/>
        <v>16.73</v>
      </c>
    </row>
    <row r="76" spans="1:22" x14ac:dyDescent="0.2">
      <c r="A76" s="33" t="str">
        <f>IF(Tabela17[[#This Row],[Código]]="IBOV","^BVSP",IF(Tabela17[[#This Row],[Código]]="","",CONCATENATE(LEFT(Tabela17[[#This Row],[Código]],6),".SA")))</f>
        <v>SULA11.SA</v>
      </c>
      <c r="C76" s="3" t="s">
        <v>247</v>
      </c>
      <c r="D76" s="3" t="s">
        <v>1791</v>
      </c>
      <c r="E76" s="3" t="s">
        <v>1966</v>
      </c>
      <c r="F76" s="3" t="s">
        <v>1617</v>
      </c>
      <c r="G76" s="3" t="s">
        <v>1791</v>
      </c>
      <c r="H76" s="51">
        <v>41689</v>
      </c>
      <c r="J76" s="3">
        <f t="shared" si="20"/>
        <v>14.17</v>
      </c>
      <c r="K76" s="3">
        <f t="shared" si="20"/>
        <v>14.51</v>
      </c>
      <c r="L76" s="3">
        <f t="shared" si="20"/>
        <v>14.64</v>
      </c>
      <c r="M76" s="3">
        <f t="shared" si="20"/>
        <v>14.17</v>
      </c>
      <c r="P76" s="14" t="s">
        <v>57</v>
      </c>
      <c r="Q76" s="10" t="str">
        <f t="shared" si="14"/>
        <v xml:space="preserve">SUL AMERICA -UNT </v>
      </c>
      <c r="R76" s="51">
        <f t="shared" si="15"/>
        <v>41689</v>
      </c>
      <c r="S76" s="5">
        <f t="shared" si="16"/>
        <v>14.17</v>
      </c>
      <c r="T76" s="5">
        <f t="shared" si="17"/>
        <v>14.51</v>
      </c>
      <c r="U76" s="5">
        <f t="shared" si="18"/>
        <v>14.64</v>
      </c>
      <c r="V76" s="5">
        <f t="shared" si="19"/>
        <v>14.17</v>
      </c>
    </row>
    <row r="77" spans="1:22" x14ac:dyDescent="0.2">
      <c r="A77" s="33" t="str">
        <f>IF(Tabela17[[#This Row],[Código]]="IBOV","^BVSP",IF(Tabela17[[#This Row],[Código]]="","",CONCATENATE(LEFT(Tabela17[[#This Row],[Código]],6),".SA")))</f>
        <v>TERI3.SA</v>
      </c>
      <c r="C77" s="3" t="s">
        <v>258</v>
      </c>
      <c r="D77" s="3" t="s">
        <v>1581</v>
      </c>
      <c r="E77" s="3" t="s">
        <v>986</v>
      </c>
      <c r="F77" s="3" t="s">
        <v>1792</v>
      </c>
      <c r="G77" s="3" t="s">
        <v>686</v>
      </c>
      <c r="H77" s="51">
        <v>41689</v>
      </c>
      <c r="J77" s="3">
        <f t="shared" si="20"/>
        <v>2.0099999999999998</v>
      </c>
      <c r="K77" s="3">
        <f t="shared" si="20"/>
        <v>2.04</v>
      </c>
      <c r="L77" s="3">
        <f t="shared" si="20"/>
        <v>2.08</v>
      </c>
      <c r="M77" s="3">
        <f t="shared" si="20"/>
        <v>2</v>
      </c>
      <c r="P77" s="15" t="s">
        <v>78</v>
      </c>
      <c r="Q77" s="10" t="str">
        <f t="shared" si="14"/>
        <v xml:space="preserve">TEREOS      -ON  </v>
      </c>
      <c r="R77" s="51">
        <f t="shared" si="15"/>
        <v>41689</v>
      </c>
      <c r="S77" s="5">
        <f t="shared" si="16"/>
        <v>2.0099999999999998</v>
      </c>
      <c r="T77" s="5">
        <f t="shared" si="17"/>
        <v>2.04</v>
      </c>
      <c r="U77" s="5">
        <f t="shared" si="18"/>
        <v>2.08</v>
      </c>
      <c r="V77" s="5">
        <f t="shared" si="19"/>
        <v>2</v>
      </c>
    </row>
    <row r="78" spans="1:22" x14ac:dyDescent="0.2">
      <c r="A78" s="33" t="str">
        <f>IF(Tabela17[[#This Row],[Código]]="IBOV","^BVSP",IF(Tabela17[[#This Row],[Código]]="","",CONCATENATE(LEFT(Tabela17[[#This Row],[Código]],6),".SA")))</f>
        <v>TIMP3.SA</v>
      </c>
      <c r="C78" s="3" t="s">
        <v>288</v>
      </c>
      <c r="D78" s="3" t="s">
        <v>1793</v>
      </c>
      <c r="E78" s="3" t="s">
        <v>1967</v>
      </c>
      <c r="F78" s="3" t="s">
        <v>1249</v>
      </c>
      <c r="G78" s="3" t="s">
        <v>1968</v>
      </c>
      <c r="H78" s="51">
        <v>41689</v>
      </c>
      <c r="J78" s="3">
        <f t="shared" si="20"/>
        <v>12.18</v>
      </c>
      <c r="K78" s="3">
        <f t="shared" si="20"/>
        <v>12.17</v>
      </c>
      <c r="L78" s="3">
        <f t="shared" si="20"/>
        <v>12.36</v>
      </c>
      <c r="M78" s="3">
        <f t="shared" si="20"/>
        <v>11.92</v>
      </c>
      <c r="P78" s="15" t="s">
        <v>286</v>
      </c>
      <c r="Q78" s="10" t="str">
        <f t="shared" si="14"/>
        <v xml:space="preserve">TIM PART S/A-ON  </v>
      </c>
      <c r="R78" s="51">
        <f t="shared" si="15"/>
        <v>41689</v>
      </c>
      <c r="S78" s="5">
        <f t="shared" si="16"/>
        <v>12.18</v>
      </c>
      <c r="T78" s="5">
        <f t="shared" si="17"/>
        <v>12.17</v>
      </c>
      <c r="U78" s="5">
        <f t="shared" si="18"/>
        <v>12.36</v>
      </c>
      <c r="V78" s="5">
        <f t="shared" si="19"/>
        <v>11.92</v>
      </c>
    </row>
    <row r="79" spans="1:22" x14ac:dyDescent="0.2">
      <c r="A79" s="33" t="str">
        <f>IF(Tabela17[[#This Row],[Código]]="IBOV","^BVSP",IF(Tabela17[[#This Row],[Código]]="","",CONCATENATE(LEFT(Tabela17[[#This Row],[Código]],6),".SA")))</f>
        <v>TKNO4.SA</v>
      </c>
      <c r="C79" s="3" t="s">
        <v>338</v>
      </c>
      <c r="D79" s="3" t="s">
        <v>1237</v>
      </c>
      <c r="E79" s="3" t="s">
        <v>1582</v>
      </c>
      <c r="F79" s="3" t="s">
        <v>1582</v>
      </c>
      <c r="G79" s="3" t="s">
        <v>1237</v>
      </c>
      <c r="H79" s="51">
        <v>41689</v>
      </c>
      <c r="J79" s="3">
        <f t="shared" si="20"/>
        <v>89.99</v>
      </c>
      <c r="K79" s="3">
        <f t="shared" si="20"/>
        <v>92</v>
      </c>
      <c r="L79" s="3">
        <f t="shared" si="20"/>
        <v>92</v>
      </c>
      <c r="M79" s="3">
        <f t="shared" si="20"/>
        <v>89.99</v>
      </c>
      <c r="P79" s="15" t="s">
        <v>337</v>
      </c>
      <c r="Q79" s="10" t="str">
        <f t="shared" si="14"/>
        <v>TEKNO       -PN</v>
      </c>
      <c r="R79" s="51">
        <f t="shared" si="15"/>
        <v>41689</v>
      </c>
      <c r="S79" s="5">
        <f t="shared" si="16"/>
        <v>89.99</v>
      </c>
      <c r="T79" s="5">
        <f t="shared" si="17"/>
        <v>92</v>
      </c>
      <c r="U79" s="5">
        <f t="shared" si="18"/>
        <v>92</v>
      </c>
      <c r="V79" s="5">
        <f t="shared" si="19"/>
        <v>89.99</v>
      </c>
    </row>
    <row r="80" spans="1:22" x14ac:dyDescent="0.2">
      <c r="A80" s="33" t="str">
        <f>IF(Tabela17[[#This Row],[Código]]="IBOV","^BVSP",IF(Tabela17[[#This Row],[Código]]="","",CONCATENATE(LEFT(Tabela17[[#This Row],[Código]],6),".SA")))</f>
        <v>TRPN3.SA</v>
      </c>
      <c r="C80" s="3" t="s">
        <v>377</v>
      </c>
      <c r="D80" s="3" t="s">
        <v>1795</v>
      </c>
      <c r="E80" s="3" t="s">
        <v>1022</v>
      </c>
      <c r="F80" s="3" t="s">
        <v>1022</v>
      </c>
      <c r="G80" s="3" t="s">
        <v>978</v>
      </c>
      <c r="H80" s="51">
        <v>41689</v>
      </c>
      <c r="J80" s="3">
        <f t="shared" si="20"/>
        <v>13.65</v>
      </c>
      <c r="K80" s="3">
        <f t="shared" si="20"/>
        <v>13.7</v>
      </c>
      <c r="L80" s="3">
        <f t="shared" si="20"/>
        <v>13.7</v>
      </c>
      <c r="M80" s="3">
        <f t="shared" si="20"/>
        <v>13.55</v>
      </c>
      <c r="P80" s="15" t="s">
        <v>375</v>
      </c>
      <c r="Q80" s="10" t="str">
        <f t="shared" si="14"/>
        <v xml:space="preserve">TARPON INV  -ON  </v>
      </c>
      <c r="R80" s="51">
        <f t="shared" si="15"/>
        <v>41689</v>
      </c>
      <c r="S80" s="5">
        <f t="shared" si="16"/>
        <v>13.65</v>
      </c>
      <c r="T80" s="5">
        <f t="shared" si="17"/>
        <v>13.7</v>
      </c>
      <c r="U80" s="5">
        <f t="shared" si="18"/>
        <v>13.7</v>
      </c>
      <c r="V80" s="5">
        <f t="shared" si="19"/>
        <v>13.55</v>
      </c>
    </row>
    <row r="81" spans="1:22" x14ac:dyDescent="0.2">
      <c r="A81" s="33" t="str">
        <f>IF(Tabela17[[#This Row],[Código]]="IBOV","^BVSP",IF(Tabela17[[#This Row],[Código]]="","",CONCATENATE(LEFT(Tabela17[[#This Row],[Código]],6),".SA")))</f>
        <v>UGPA3.SA</v>
      </c>
      <c r="C81" s="3" t="s">
        <v>306</v>
      </c>
      <c r="D81" s="3" t="s">
        <v>1796</v>
      </c>
      <c r="E81" s="3" t="s">
        <v>1969</v>
      </c>
      <c r="F81" s="3" t="s">
        <v>1797</v>
      </c>
      <c r="G81" s="3" t="s">
        <v>1798</v>
      </c>
      <c r="H81" s="51">
        <v>41689</v>
      </c>
      <c r="J81" s="3">
        <f t="shared" si="20"/>
        <v>51.71</v>
      </c>
      <c r="K81" s="3">
        <f t="shared" si="20"/>
        <v>52.49</v>
      </c>
      <c r="L81" s="3">
        <f t="shared" si="20"/>
        <v>52.83</v>
      </c>
      <c r="M81" s="3">
        <f t="shared" si="20"/>
        <v>51.61</v>
      </c>
      <c r="P81" s="14" t="s">
        <v>305</v>
      </c>
      <c r="Q81" s="10" t="str">
        <f t="shared" si="14"/>
        <v xml:space="preserve">ULTRAPAR    -ON  </v>
      </c>
      <c r="R81" s="51">
        <f t="shared" si="15"/>
        <v>41689</v>
      </c>
      <c r="S81" s="5">
        <f t="shared" si="16"/>
        <v>51.71</v>
      </c>
      <c r="T81" s="5">
        <f t="shared" si="17"/>
        <v>52.49</v>
      </c>
      <c r="U81" s="5">
        <f t="shared" si="18"/>
        <v>52.83</v>
      </c>
      <c r="V81" s="5">
        <f t="shared" si="19"/>
        <v>51.61</v>
      </c>
    </row>
    <row r="82" spans="1:22" x14ac:dyDescent="0.2">
      <c r="A82" s="33" t="str">
        <f>IF(Tabela17[[#This Row],[Código]]="IBOV","^BVSP",IF(Tabela17[[#This Row],[Código]]="","",CONCATENATE(LEFT(Tabela17[[#This Row],[Código]],6),".SA")))</f>
        <v>UNIP3.SA</v>
      </c>
      <c r="C82" s="3" t="s">
        <v>432</v>
      </c>
      <c r="D82" s="3" t="s">
        <v>1398</v>
      </c>
      <c r="E82" s="3" t="s">
        <v>1398</v>
      </c>
      <c r="F82" s="3" t="s">
        <v>1398</v>
      </c>
      <c r="G82" s="3" t="s">
        <v>1398</v>
      </c>
      <c r="H82" s="51">
        <v>41689</v>
      </c>
      <c r="J82" s="3">
        <f t="shared" si="20"/>
        <v>0.55000000000000004</v>
      </c>
      <c r="K82" s="3">
        <f t="shared" si="20"/>
        <v>0.55000000000000004</v>
      </c>
      <c r="L82" s="3">
        <f t="shared" si="20"/>
        <v>0.55000000000000004</v>
      </c>
      <c r="M82" s="3">
        <f t="shared" si="20"/>
        <v>0.55000000000000004</v>
      </c>
      <c r="P82" s="14" t="s">
        <v>431</v>
      </c>
      <c r="Q82" s="10" t="str">
        <f t="shared" si="14"/>
        <v>UNIPAR      -ON</v>
      </c>
      <c r="R82" s="51">
        <f t="shared" si="15"/>
        <v>41689</v>
      </c>
      <c r="S82" s="5">
        <f t="shared" si="16"/>
        <v>0.55000000000000004</v>
      </c>
      <c r="T82" s="5">
        <f t="shared" si="17"/>
        <v>0.55000000000000004</v>
      </c>
      <c r="U82" s="5">
        <f t="shared" si="18"/>
        <v>0.55000000000000004</v>
      </c>
      <c r="V82" s="5">
        <f t="shared" si="19"/>
        <v>0.55000000000000004</v>
      </c>
    </row>
    <row r="83" spans="1:22" x14ac:dyDescent="0.2">
      <c r="A83" s="33" t="str">
        <f>IF(Tabela17[[#This Row],[Código]]="IBOV","^BVSP",IF(Tabela17[[#This Row],[Código]]="","",CONCATENATE(LEFT(Tabela17[[#This Row],[Código]],6),".SA")))</f>
        <v>VALE5.SA</v>
      </c>
      <c r="C83" s="3" t="s">
        <v>331</v>
      </c>
      <c r="D83" s="3" t="s">
        <v>1799</v>
      </c>
      <c r="E83" s="3" t="s">
        <v>1744</v>
      </c>
      <c r="F83" s="3" t="s">
        <v>1970</v>
      </c>
      <c r="G83" s="3" t="s">
        <v>1800</v>
      </c>
      <c r="H83" s="51">
        <v>41689</v>
      </c>
      <c r="J83" s="3">
        <f t="shared" si="20"/>
        <v>30.5</v>
      </c>
      <c r="K83" s="3">
        <f t="shared" si="20"/>
        <v>30.79</v>
      </c>
      <c r="L83" s="3">
        <f t="shared" si="20"/>
        <v>30.89</v>
      </c>
      <c r="M83" s="3">
        <f t="shared" si="20"/>
        <v>30.41</v>
      </c>
      <c r="P83" s="14" t="s">
        <v>330</v>
      </c>
      <c r="Q83" s="10" t="str">
        <f t="shared" si="14"/>
        <v xml:space="preserve">VALE        -PNA </v>
      </c>
      <c r="R83" s="46">
        <f t="shared" si="15"/>
        <v>41689</v>
      </c>
      <c r="S83" s="6">
        <f t="shared" si="16"/>
        <v>30.5</v>
      </c>
      <c r="T83" s="6">
        <f t="shared" si="17"/>
        <v>30.79</v>
      </c>
      <c r="U83" s="6">
        <f t="shared" si="18"/>
        <v>30.89</v>
      </c>
      <c r="V83" s="6">
        <f t="shared" si="19"/>
        <v>30.41</v>
      </c>
    </row>
    <row r="84" spans="1:22" x14ac:dyDescent="0.2">
      <c r="A84" s="33" t="str">
        <f>IF(Tabela17[[#This Row],[Código]]="IBOV","^BVSP",IF(Tabela17[[#This Row],[Código]]="","",CONCATENATE(LEFT(Tabela17[[#This Row],[Código]],6),".SA")))</f>
        <v>VIGR3.SA</v>
      </c>
      <c r="C84" s="3" t="s">
        <v>284</v>
      </c>
      <c r="D84" s="3" t="s">
        <v>987</v>
      </c>
      <c r="E84" s="3" t="s">
        <v>947</v>
      </c>
      <c r="F84" s="3" t="s">
        <v>799</v>
      </c>
      <c r="G84" s="3" t="s">
        <v>947</v>
      </c>
      <c r="H84" s="51">
        <v>41689</v>
      </c>
      <c r="J84" s="3">
        <f t="shared" si="20"/>
        <v>7.01</v>
      </c>
      <c r="K84" s="3">
        <f t="shared" si="20"/>
        <v>7</v>
      </c>
      <c r="L84" s="3">
        <f t="shared" si="20"/>
        <v>7.02</v>
      </c>
      <c r="M84" s="3">
        <f t="shared" si="20"/>
        <v>7</v>
      </c>
      <c r="P84" s="43" t="s">
        <v>283</v>
      </c>
      <c r="Q84" s="10" t="str">
        <f t="shared" si="14"/>
        <v xml:space="preserve">VIGOR FOOD  -ON  </v>
      </c>
      <c r="R84" s="51">
        <f t="shared" si="15"/>
        <v>41689</v>
      </c>
      <c r="S84" s="5">
        <f t="shared" si="16"/>
        <v>7.01</v>
      </c>
      <c r="T84" s="5">
        <f t="shared" si="17"/>
        <v>7</v>
      </c>
      <c r="U84" s="5">
        <f t="shared" si="18"/>
        <v>7.02</v>
      </c>
      <c r="V84" s="5">
        <f t="shared" si="19"/>
        <v>7</v>
      </c>
    </row>
    <row r="85" spans="1:22" x14ac:dyDescent="0.2">
      <c r="A85" s="33" t="str">
        <f>IF(Tabela17[[#This Row],[Código]]="IBOV","^BVSP",IF(Tabela17[[#This Row],[Código]]="","",CONCATENATE(LEFT(Tabela17[[#This Row],[Código]],6),".SA")))</f>
        <v>VIVT3.SA</v>
      </c>
      <c r="C85" s="3" t="s">
        <v>656</v>
      </c>
      <c r="D85" s="3" t="s">
        <v>1801</v>
      </c>
      <c r="E85" s="3" t="s">
        <v>1971</v>
      </c>
      <c r="F85" s="3" t="s">
        <v>1801</v>
      </c>
      <c r="G85" s="3" t="s">
        <v>1972</v>
      </c>
      <c r="H85" s="51">
        <v>41689</v>
      </c>
      <c r="J85" s="3">
        <f t="shared" si="20"/>
        <v>38.47</v>
      </c>
      <c r="K85" s="3">
        <f t="shared" si="20"/>
        <v>37.71</v>
      </c>
      <c r="L85" s="3">
        <f t="shared" si="20"/>
        <v>38.47</v>
      </c>
      <c r="M85" s="3">
        <f t="shared" si="20"/>
        <v>37.700000000000003</v>
      </c>
      <c r="P85" s="15" t="s">
        <v>294</v>
      </c>
      <c r="Q85" s="10" t="str">
        <f t="shared" si="14"/>
        <v>TELEF BRASIL-ON</v>
      </c>
      <c r="R85" s="51">
        <f t="shared" si="15"/>
        <v>41689</v>
      </c>
      <c r="S85" s="5">
        <f t="shared" si="16"/>
        <v>38.47</v>
      </c>
      <c r="T85" s="5">
        <f t="shared" si="17"/>
        <v>37.71</v>
      </c>
      <c r="U85" s="5">
        <f t="shared" si="18"/>
        <v>38.47</v>
      </c>
      <c r="V85" s="5">
        <f t="shared" si="19"/>
        <v>37.700000000000003</v>
      </c>
    </row>
    <row r="86" spans="1:22" x14ac:dyDescent="0.2">
      <c r="A86" s="33" t="str">
        <f>IF(Tabela17[[#This Row],[Código]]="IBOV","^BVSP",IF(Tabela17[[#This Row],[Código]]="","",CONCATENATE(LEFT(Tabela17[[#This Row],[Código]],6),".SA")))</f>
        <v>VIVT4.SA</v>
      </c>
      <c r="C86" s="3" t="s">
        <v>657</v>
      </c>
      <c r="D86" s="3" t="s">
        <v>1782</v>
      </c>
      <c r="E86" s="3" t="s">
        <v>1973</v>
      </c>
      <c r="F86" s="3" t="s">
        <v>1802</v>
      </c>
      <c r="G86" s="3" t="s">
        <v>1588</v>
      </c>
      <c r="H86" s="51">
        <v>41689</v>
      </c>
      <c r="J86" s="3">
        <f t="shared" si="20"/>
        <v>43.2</v>
      </c>
      <c r="K86" s="3">
        <f t="shared" si="20"/>
        <v>43.02</v>
      </c>
      <c r="L86" s="3">
        <f t="shared" si="20"/>
        <v>43.84</v>
      </c>
      <c r="M86" s="3">
        <f t="shared" si="20"/>
        <v>42.36</v>
      </c>
      <c r="P86" s="15" t="s">
        <v>295</v>
      </c>
      <c r="Q86" s="10" t="str">
        <f t="shared" si="14"/>
        <v>TELEF BRASIL-PN</v>
      </c>
      <c r="R86" s="51">
        <f t="shared" si="15"/>
        <v>41689</v>
      </c>
      <c r="S86" s="5">
        <f t="shared" si="16"/>
        <v>43.2</v>
      </c>
      <c r="T86" s="5">
        <f t="shared" si="17"/>
        <v>43.02</v>
      </c>
      <c r="U86" s="5">
        <f t="shared" si="18"/>
        <v>43.84</v>
      </c>
      <c r="V86" s="5">
        <f t="shared" si="19"/>
        <v>42.36</v>
      </c>
    </row>
    <row r="87" spans="1:22" x14ac:dyDescent="0.2">
      <c r="A87" s="33" t="str">
        <f>IF(Tabela17[[#This Row],[Código]]="IBOV","^BVSP",IF(Tabela17[[#This Row],[Código]]="","",CONCATENATE(LEFT(Tabela17[[#This Row],[Código]],6),".SA")))</f>
        <v>CEPE3.SA</v>
      </c>
      <c r="C87" s="3" t="s">
        <v>490</v>
      </c>
      <c r="D87" s="3" t="s">
        <v>446</v>
      </c>
      <c r="E87" s="3" t="s">
        <v>491</v>
      </c>
      <c r="F87" s="3" t="s">
        <v>491</v>
      </c>
      <c r="G87" s="3" t="s">
        <v>491</v>
      </c>
      <c r="H87" s="51">
        <v>41689</v>
      </c>
      <c r="J87" s="3" t="e">
        <f t="shared" si="20"/>
        <v>#VALUE!</v>
      </c>
      <c r="K87" s="3">
        <f t="shared" si="20"/>
        <v>24.53</v>
      </c>
      <c r="L87" s="3">
        <f t="shared" si="20"/>
        <v>24.53</v>
      </c>
      <c r="M87" s="3">
        <f t="shared" si="20"/>
        <v>24.53</v>
      </c>
      <c r="P87" s="15" t="s">
        <v>489</v>
      </c>
      <c r="Q87" s="10" t="str">
        <f t="shared" si="14"/>
        <v>CELPE       -ON</v>
      </c>
      <c r="R87" s="51">
        <f t="shared" si="15"/>
        <v>41689</v>
      </c>
      <c r="S87" s="5" t="e">
        <f t="shared" si="16"/>
        <v>#VALUE!</v>
      </c>
      <c r="T87" s="5">
        <f t="shared" si="17"/>
        <v>24.53</v>
      </c>
      <c r="U87" s="5">
        <f t="shared" si="18"/>
        <v>24.53</v>
      </c>
      <c r="V87" s="5">
        <f t="shared" si="19"/>
        <v>24.53</v>
      </c>
    </row>
    <row r="88" spans="1:22" x14ac:dyDescent="0.2">
      <c r="A88" s="33" t="str">
        <f>IF(Tabela17[[#This Row],[Código]]="IBOV","^BVSP",IF(Tabela17[[#This Row],[Código]]="","",CONCATENATE(LEFT(Tabela17[[#This Row],[Código]],6),".SA")))</f>
        <v>COCE6.SA</v>
      </c>
      <c r="C88" s="3" t="s">
        <v>493</v>
      </c>
      <c r="D88" s="3" t="s">
        <v>446</v>
      </c>
      <c r="E88" s="3" t="s">
        <v>494</v>
      </c>
      <c r="F88" s="3" t="s">
        <v>494</v>
      </c>
      <c r="G88" s="3" t="s">
        <v>494</v>
      </c>
      <c r="H88" s="51">
        <v>41689</v>
      </c>
      <c r="J88" s="3" t="e">
        <f t="shared" si="20"/>
        <v>#VALUE!</v>
      </c>
      <c r="K88" s="3">
        <f t="shared" si="20"/>
        <v>35</v>
      </c>
      <c r="L88" s="3">
        <f t="shared" si="20"/>
        <v>35</v>
      </c>
      <c r="M88" s="3">
        <f t="shared" si="20"/>
        <v>35</v>
      </c>
      <c r="P88" s="15" t="s">
        <v>492</v>
      </c>
      <c r="Q88" s="10" t="str">
        <f t="shared" si="14"/>
        <v>COELCE      -PNB</v>
      </c>
      <c r="R88" s="51">
        <f t="shared" si="15"/>
        <v>41689</v>
      </c>
      <c r="S88" s="5" t="e">
        <f t="shared" si="16"/>
        <v>#VALUE!</v>
      </c>
      <c r="T88" s="5">
        <f t="shared" si="17"/>
        <v>35</v>
      </c>
      <c r="U88" s="5">
        <f t="shared" si="18"/>
        <v>35</v>
      </c>
      <c r="V88" s="5">
        <f t="shared" si="19"/>
        <v>35</v>
      </c>
    </row>
    <row r="89" spans="1:22" x14ac:dyDescent="0.2">
      <c r="A89" s="33" t="str">
        <f>IF(Tabela17[[#This Row],[Código]]="IBOV","^BVSP",IF(Tabela17[[#This Row],[Código]]="","",CONCATENATE(LEFT(Tabela17[[#This Row],[Código]],6),".SA")))</f>
        <v>ENMA5B.SA</v>
      </c>
      <c r="C89" s="3" t="s">
        <v>497</v>
      </c>
      <c r="D89" s="3" t="s">
        <v>446</v>
      </c>
      <c r="E89" s="3" t="s">
        <v>447</v>
      </c>
      <c r="F89" s="3" t="s">
        <v>446</v>
      </c>
      <c r="G89" s="3" t="s">
        <v>446</v>
      </c>
      <c r="H89" s="51" t="s">
        <v>446</v>
      </c>
      <c r="J89" s="3" t="e">
        <f t="shared" si="20"/>
        <v>#VALUE!</v>
      </c>
      <c r="K89" s="3">
        <f t="shared" si="20"/>
        <v>0</v>
      </c>
      <c r="L89" s="3" t="e">
        <f t="shared" si="20"/>
        <v>#VALUE!</v>
      </c>
      <c r="M89" s="3" t="e">
        <f t="shared" si="20"/>
        <v>#VALUE!</v>
      </c>
      <c r="P89" s="43" t="s">
        <v>495</v>
      </c>
      <c r="Q89" s="10" t="str">
        <f t="shared" si="14"/>
        <v xml:space="preserve">CEMAR       -PNA </v>
      </c>
      <c r="R89" s="51" t="str">
        <f t="shared" si="15"/>
        <v>N/A</v>
      </c>
      <c r="S89" s="5" t="e">
        <f t="shared" si="16"/>
        <v>#VALUE!</v>
      </c>
      <c r="T89" s="5">
        <f t="shared" si="17"/>
        <v>0</v>
      </c>
      <c r="U89" s="5" t="e">
        <f t="shared" si="18"/>
        <v>#VALUE!</v>
      </c>
      <c r="V89" s="5" t="e">
        <f t="shared" si="19"/>
        <v>#VALUE!</v>
      </c>
    </row>
    <row r="90" spans="1:22" x14ac:dyDescent="0.2">
      <c r="A90" s="33" t="str">
        <f>IF(Tabela17[[#This Row],[Código]]="IBOV","^BVSP",IF(Tabela17[[#This Row],[Código]]="","",CONCATENATE(LEFT(Tabela17[[#This Row],[Código]],6),".SA")))</f>
        <v>ENMA6B.SA</v>
      </c>
      <c r="C90" s="3" t="s">
        <v>498</v>
      </c>
      <c r="D90" s="3" t="s">
        <v>446</v>
      </c>
      <c r="E90" s="3" t="s">
        <v>447</v>
      </c>
      <c r="F90" s="3" t="s">
        <v>446</v>
      </c>
      <c r="G90" s="3" t="s">
        <v>446</v>
      </c>
      <c r="H90" s="51" t="s">
        <v>446</v>
      </c>
      <c r="J90" s="3" t="e">
        <f t="shared" si="20"/>
        <v>#VALUE!</v>
      </c>
      <c r="K90" s="3">
        <f t="shared" si="20"/>
        <v>0</v>
      </c>
      <c r="L90" s="3" t="e">
        <f t="shared" si="20"/>
        <v>#VALUE!</v>
      </c>
      <c r="M90" s="3" t="e">
        <f t="shared" si="20"/>
        <v>#VALUE!</v>
      </c>
      <c r="P90" s="14" t="s">
        <v>496</v>
      </c>
      <c r="Q90" s="10" t="str">
        <f t="shared" si="14"/>
        <v xml:space="preserve">CEMAR       -PNB </v>
      </c>
      <c r="R90" s="51" t="str">
        <f t="shared" si="15"/>
        <v>N/A</v>
      </c>
      <c r="S90" s="5" t="e">
        <f t="shared" si="16"/>
        <v>#VALUE!</v>
      </c>
      <c r="T90" s="5">
        <f t="shared" si="17"/>
        <v>0</v>
      </c>
      <c r="U90" s="5" t="e">
        <f t="shared" si="18"/>
        <v>#VALUE!</v>
      </c>
      <c r="V90" s="5" t="e">
        <f t="shared" si="19"/>
        <v>#VALUE!</v>
      </c>
    </row>
    <row r="91" spans="1:22" x14ac:dyDescent="0.2">
      <c r="A91" s="33" t="str">
        <f>IF(Tabela17[[#This Row],[Código]]="IBOV","^BVSP",IF(Tabela17[[#This Row],[Código]]="","",CONCATENATE(LEFT(Tabela17[[#This Row],[Código]],6),".SA")))</f>
        <v>CEED3.SA</v>
      </c>
      <c r="C91" s="3" t="s">
        <v>501</v>
      </c>
      <c r="D91" s="3" t="s">
        <v>482</v>
      </c>
      <c r="E91" s="3" t="s">
        <v>482</v>
      </c>
      <c r="F91" s="3" t="s">
        <v>482</v>
      </c>
      <c r="G91" s="3" t="s">
        <v>482</v>
      </c>
      <c r="H91" s="51">
        <v>41689</v>
      </c>
      <c r="J91" s="3">
        <f t="shared" si="20"/>
        <v>1</v>
      </c>
      <c r="K91" s="3">
        <f t="shared" si="20"/>
        <v>1</v>
      </c>
      <c r="L91" s="3">
        <f t="shared" si="20"/>
        <v>1</v>
      </c>
      <c r="M91" s="3">
        <f t="shared" si="20"/>
        <v>1</v>
      </c>
      <c r="P91" s="10" t="s">
        <v>499</v>
      </c>
      <c r="Q91" s="10" t="str">
        <f t="shared" si="14"/>
        <v xml:space="preserve">CEEE-D      -ON  </v>
      </c>
      <c r="R91" s="51">
        <f t="shared" si="15"/>
        <v>41689</v>
      </c>
      <c r="S91" s="5">
        <f t="shared" si="16"/>
        <v>1</v>
      </c>
      <c r="T91" s="5">
        <f t="shared" si="17"/>
        <v>1</v>
      </c>
      <c r="U91" s="5">
        <f t="shared" si="18"/>
        <v>1</v>
      </c>
      <c r="V91" s="5">
        <f t="shared" si="19"/>
        <v>1</v>
      </c>
    </row>
    <row r="92" spans="1:22" x14ac:dyDescent="0.2">
      <c r="A92" s="33" t="str">
        <f>IF(Tabela17[[#This Row],[Código]]="IBOV","^BVSP",IF(Tabela17[[#This Row],[Código]]="","",CONCATENATE(LEFT(Tabela17[[#This Row],[Código]],6),".SA")))</f>
        <v>CEED4.SA</v>
      </c>
      <c r="C92" s="3" t="s">
        <v>502</v>
      </c>
      <c r="D92" s="3" t="s">
        <v>503</v>
      </c>
      <c r="E92" s="3" t="s">
        <v>503</v>
      </c>
      <c r="F92" s="3" t="s">
        <v>503</v>
      </c>
      <c r="G92" s="3" t="s">
        <v>503</v>
      </c>
      <c r="H92" s="51">
        <v>41689</v>
      </c>
      <c r="J92" s="3">
        <f t="shared" si="20"/>
        <v>1.6</v>
      </c>
      <c r="K92" s="3">
        <f t="shared" si="20"/>
        <v>1.6</v>
      </c>
      <c r="L92" s="3">
        <f t="shared" si="20"/>
        <v>1.6</v>
      </c>
      <c r="M92" s="3">
        <f t="shared" si="20"/>
        <v>1.6</v>
      </c>
      <c r="P92" s="16" t="s">
        <v>500</v>
      </c>
      <c r="Q92" s="10" t="str">
        <f t="shared" si="14"/>
        <v xml:space="preserve">CEEE-D      -PN  </v>
      </c>
      <c r="R92" s="51">
        <f t="shared" si="15"/>
        <v>41689</v>
      </c>
      <c r="S92" s="5">
        <f t="shared" si="16"/>
        <v>1.6</v>
      </c>
      <c r="T92" s="5">
        <f t="shared" si="17"/>
        <v>1.6</v>
      </c>
      <c r="U92" s="5">
        <f t="shared" si="18"/>
        <v>1.6</v>
      </c>
      <c r="V92" s="5">
        <f t="shared" si="19"/>
        <v>1.6</v>
      </c>
    </row>
    <row r="93" spans="1:22" x14ac:dyDescent="0.2">
      <c r="A93" s="33" t="str">
        <f>IF(Tabela17[[#This Row],[Código]]="IBOV","^BVSP",IF(Tabela17[[#This Row],[Código]]="","",CONCATENATE(LEFT(Tabela17[[#This Row],[Código]],6),".SA")))</f>
        <v>EKTR3.SA</v>
      </c>
      <c r="C93" s="3" t="s">
        <v>506</v>
      </c>
      <c r="D93" s="3" t="s">
        <v>446</v>
      </c>
      <c r="E93" s="3" t="s">
        <v>444</v>
      </c>
      <c r="F93" s="3" t="s">
        <v>444</v>
      </c>
      <c r="G93" s="3" t="s">
        <v>444</v>
      </c>
      <c r="H93" s="51">
        <v>41689</v>
      </c>
      <c r="J93" s="3" t="e">
        <f t="shared" si="20"/>
        <v>#VALUE!</v>
      </c>
      <c r="K93" s="3">
        <f t="shared" si="20"/>
        <v>21</v>
      </c>
      <c r="L93" s="3">
        <f t="shared" si="20"/>
        <v>21</v>
      </c>
      <c r="M93" s="3">
        <f t="shared" si="20"/>
        <v>21</v>
      </c>
      <c r="P93" s="16" t="s">
        <v>504</v>
      </c>
      <c r="Q93" s="10" t="str">
        <f t="shared" si="14"/>
        <v>ELEKTRO     -ON</v>
      </c>
      <c r="R93" s="51">
        <f t="shared" si="15"/>
        <v>41689</v>
      </c>
      <c r="S93" s="5" t="e">
        <f t="shared" si="16"/>
        <v>#VALUE!</v>
      </c>
      <c r="T93" s="5">
        <f t="shared" si="17"/>
        <v>21</v>
      </c>
      <c r="U93" s="5">
        <f t="shared" si="18"/>
        <v>21</v>
      </c>
      <c r="V93" s="5">
        <f t="shared" si="19"/>
        <v>21</v>
      </c>
    </row>
    <row r="94" spans="1:22" x14ac:dyDescent="0.2">
      <c r="A94" s="33" t="str">
        <f>IF(Tabela17[[#This Row],[Código]]="IBOV","^BVSP",IF(Tabela17[[#This Row],[Código]]="","",CONCATENATE(LEFT(Tabela17[[#This Row],[Código]],6),".SA")))</f>
        <v>EKTR4.SA</v>
      </c>
      <c r="C94" s="3" t="s">
        <v>507</v>
      </c>
      <c r="D94" s="3" t="s">
        <v>651</v>
      </c>
      <c r="E94" s="3" t="s">
        <v>651</v>
      </c>
      <c r="F94" s="3" t="s">
        <v>651</v>
      </c>
      <c r="G94" s="3" t="s">
        <v>651</v>
      </c>
      <c r="H94" s="51">
        <v>41689</v>
      </c>
      <c r="J94" s="3">
        <f t="shared" si="20"/>
        <v>17</v>
      </c>
      <c r="K94" s="3">
        <f t="shared" si="20"/>
        <v>17</v>
      </c>
      <c r="L94" s="3">
        <f t="shared" si="20"/>
        <v>17</v>
      </c>
      <c r="M94" s="3">
        <f t="shared" si="20"/>
        <v>17</v>
      </c>
      <c r="P94" s="14" t="s">
        <v>505</v>
      </c>
      <c r="Q94" s="10" t="str">
        <f t="shared" si="14"/>
        <v>ELEKTRO     -PN</v>
      </c>
      <c r="R94" s="51">
        <f t="shared" si="15"/>
        <v>41689</v>
      </c>
      <c r="S94" s="5">
        <f t="shared" si="16"/>
        <v>17</v>
      </c>
      <c r="T94" s="5">
        <f t="shared" si="17"/>
        <v>17</v>
      </c>
      <c r="U94" s="5">
        <f t="shared" si="18"/>
        <v>17</v>
      </c>
      <c r="V94" s="5">
        <f t="shared" si="19"/>
        <v>17</v>
      </c>
    </row>
    <row r="95" spans="1:22" x14ac:dyDescent="0.2">
      <c r="A95" s="33" t="str">
        <f>IF(Tabela17[[#This Row],[Código]]="IBOV","^BVSP",IF(Tabela17[[#This Row],[Código]]="","",CONCATENATE(LEFT(Tabela17[[#This Row],[Código]],6),".SA")))</f>
        <v>ENEV3.SA</v>
      </c>
      <c r="C95" s="3" t="s">
        <v>510</v>
      </c>
      <c r="D95" s="3" t="s">
        <v>1803</v>
      </c>
      <c r="E95" s="3" t="s">
        <v>1974</v>
      </c>
      <c r="F95" s="3" t="s">
        <v>1803</v>
      </c>
      <c r="G95" s="3" t="s">
        <v>1534</v>
      </c>
      <c r="H95" s="51">
        <v>41689</v>
      </c>
      <c r="J95" s="3">
        <f t="shared" si="20"/>
        <v>1.92</v>
      </c>
      <c r="K95" s="3">
        <f t="shared" si="20"/>
        <v>1.85</v>
      </c>
      <c r="L95" s="3">
        <f t="shared" si="20"/>
        <v>1.92</v>
      </c>
      <c r="M95" s="3">
        <f t="shared" si="20"/>
        <v>1.75</v>
      </c>
      <c r="P95" s="14" t="s">
        <v>509</v>
      </c>
      <c r="Q95" s="10" t="str">
        <f t="shared" si="14"/>
        <v xml:space="preserve">ENEVA       -ON  </v>
      </c>
      <c r="R95" s="51">
        <f t="shared" si="15"/>
        <v>41689</v>
      </c>
      <c r="S95" s="5">
        <f t="shared" si="16"/>
        <v>1.92</v>
      </c>
      <c r="T95" s="5">
        <f t="shared" si="17"/>
        <v>1.85</v>
      </c>
      <c r="U95" s="5">
        <f t="shared" si="18"/>
        <v>1.92</v>
      </c>
      <c r="V95" s="5">
        <f t="shared" si="19"/>
        <v>1.75</v>
      </c>
    </row>
    <row r="96" spans="1:22" x14ac:dyDescent="0.2">
      <c r="A96" s="33" t="str">
        <f>IF(Tabela17[[#This Row],[Código]]="IBOV","^BVSP",IF(Tabela17[[#This Row],[Código]]="","",CONCATENATE(LEFT(Tabela17[[#This Row],[Código]],6),".SA")))</f>
        <v>REDE3.SA</v>
      </c>
      <c r="C96" s="3" t="s">
        <v>513</v>
      </c>
      <c r="D96" s="3" t="s">
        <v>482</v>
      </c>
      <c r="E96" s="3" t="s">
        <v>482</v>
      </c>
      <c r="F96" s="3" t="s">
        <v>482</v>
      </c>
      <c r="G96" s="3" t="s">
        <v>482</v>
      </c>
      <c r="H96" s="51">
        <v>41689</v>
      </c>
      <c r="J96" s="3">
        <f t="shared" si="20"/>
        <v>1</v>
      </c>
      <c r="K96" s="3">
        <f t="shared" si="20"/>
        <v>1</v>
      </c>
      <c r="L96" s="3">
        <f t="shared" si="20"/>
        <v>1</v>
      </c>
      <c r="M96" s="3">
        <f t="shared" si="20"/>
        <v>1</v>
      </c>
      <c r="P96" s="14" t="s">
        <v>511</v>
      </c>
      <c r="Q96" s="10" t="str">
        <f t="shared" si="14"/>
        <v>REDE ENERGIA-ON</v>
      </c>
      <c r="R96" s="51">
        <f t="shared" si="15"/>
        <v>41689</v>
      </c>
      <c r="S96" s="5">
        <f t="shared" si="16"/>
        <v>1</v>
      </c>
      <c r="T96" s="5">
        <f t="shared" si="17"/>
        <v>1</v>
      </c>
      <c r="U96" s="5">
        <f t="shared" si="18"/>
        <v>1</v>
      </c>
      <c r="V96" s="5">
        <f t="shared" si="19"/>
        <v>1</v>
      </c>
    </row>
    <row r="97" spans="1:22" x14ac:dyDescent="0.2">
      <c r="A97" s="33" t="str">
        <f>IF(Tabela17[[#This Row],[Código]]="IBOV","^BVSP",IF(Tabela17[[#This Row],[Código]]="","",CONCATENATE(LEFT(Tabela17[[#This Row],[Código]],6),".SA")))</f>
        <v>REDE4.SA</v>
      </c>
      <c r="C97" s="3" t="s">
        <v>514</v>
      </c>
      <c r="D97" s="3" t="s">
        <v>922</v>
      </c>
      <c r="E97" s="3" t="s">
        <v>922</v>
      </c>
      <c r="F97" s="3" t="s">
        <v>922</v>
      </c>
      <c r="G97" s="3" t="s">
        <v>922</v>
      </c>
      <c r="H97" s="51">
        <v>41689</v>
      </c>
      <c r="J97" s="3">
        <f t="shared" si="20"/>
        <v>0.8</v>
      </c>
      <c r="K97" s="3">
        <f t="shared" si="20"/>
        <v>0.8</v>
      </c>
      <c r="L97" s="3">
        <f t="shared" si="20"/>
        <v>0.8</v>
      </c>
      <c r="M97" s="3">
        <f t="shared" si="20"/>
        <v>0.8</v>
      </c>
      <c r="P97" s="15" t="s">
        <v>512</v>
      </c>
      <c r="Q97" s="10" t="str">
        <f t="shared" si="14"/>
        <v>REDE ENERGIA-PN</v>
      </c>
      <c r="R97" s="51">
        <f t="shared" si="15"/>
        <v>41689</v>
      </c>
      <c r="S97" s="5">
        <f t="shared" si="16"/>
        <v>0.8</v>
      </c>
      <c r="T97" s="5">
        <f t="shared" si="17"/>
        <v>0.8</v>
      </c>
      <c r="U97" s="5">
        <f t="shared" si="18"/>
        <v>0.8</v>
      </c>
      <c r="V97" s="5">
        <f t="shared" si="19"/>
        <v>0.8</v>
      </c>
    </row>
    <row r="98" spans="1:22" x14ac:dyDescent="0.2">
      <c r="A98" s="33" t="str">
        <f>IF(Tabela17[[#This Row],[Código]]="IBOV","^BVSP",IF(Tabela17[[#This Row],[Código]]="","",CONCATENATE(LEFT(Tabela17[[#This Row],[Código]],6),".SA")))</f>
        <v>RNEW11.SA</v>
      </c>
      <c r="C98" s="3" t="s">
        <v>518</v>
      </c>
      <c r="D98" s="3" t="s">
        <v>1421</v>
      </c>
      <c r="E98" s="3" t="s">
        <v>1421</v>
      </c>
      <c r="F98" s="3" t="s">
        <v>1421</v>
      </c>
      <c r="G98" s="3" t="s">
        <v>1421</v>
      </c>
      <c r="H98" s="51">
        <v>41689</v>
      </c>
      <c r="J98" s="3">
        <f t="shared" si="20"/>
        <v>44</v>
      </c>
      <c r="K98" s="3">
        <f t="shared" si="20"/>
        <v>44</v>
      </c>
      <c r="L98" s="3">
        <f t="shared" si="20"/>
        <v>44</v>
      </c>
      <c r="M98" s="3">
        <f t="shared" si="20"/>
        <v>44</v>
      </c>
      <c r="P98" s="10" t="s">
        <v>515</v>
      </c>
      <c r="Q98" s="10" t="str">
        <f t="shared" si="14"/>
        <v xml:space="preserve">RENOVA      -UNT </v>
      </c>
      <c r="R98" s="51">
        <f t="shared" si="15"/>
        <v>41689</v>
      </c>
      <c r="S98" s="5">
        <f t="shared" si="16"/>
        <v>44</v>
      </c>
      <c r="T98" s="5">
        <f t="shared" si="17"/>
        <v>44</v>
      </c>
      <c r="U98" s="5">
        <f t="shared" si="18"/>
        <v>44</v>
      </c>
      <c r="V98" s="5">
        <f t="shared" si="19"/>
        <v>44</v>
      </c>
    </row>
    <row r="99" spans="1:22" x14ac:dyDescent="0.2">
      <c r="A99" s="33" t="str">
        <f>IF(Tabela17[[#This Row],[Código]]="IBOV","^BVSP",IF(Tabela17[[#This Row],[Código]]="","",CONCATENATE(LEFT(Tabela17[[#This Row],[Código]],6),".SA")))</f>
        <v>RNEW3.SA</v>
      </c>
      <c r="C99" s="3" t="s">
        <v>519</v>
      </c>
      <c r="D99" s="3" t="s">
        <v>439</v>
      </c>
      <c r="E99" s="3" t="s">
        <v>439</v>
      </c>
      <c r="F99" s="3" t="s">
        <v>439</v>
      </c>
      <c r="G99" s="3" t="s">
        <v>439</v>
      </c>
      <c r="H99" s="51">
        <v>41689</v>
      </c>
      <c r="J99" s="3">
        <f t="shared" si="20"/>
        <v>22.4</v>
      </c>
      <c r="K99" s="3">
        <f t="shared" si="20"/>
        <v>22.4</v>
      </c>
      <c r="L99" s="3">
        <f t="shared" si="20"/>
        <v>22.4</v>
      </c>
      <c r="M99" s="3">
        <f t="shared" si="20"/>
        <v>22.4</v>
      </c>
      <c r="P99" s="14" t="s">
        <v>516</v>
      </c>
      <c r="Q99" s="10" t="str">
        <f t="shared" si="14"/>
        <v xml:space="preserve">RENOVA      -ON  </v>
      </c>
      <c r="R99" s="51">
        <f t="shared" si="15"/>
        <v>41689</v>
      </c>
      <c r="S99" s="5">
        <f t="shared" si="16"/>
        <v>22.4</v>
      </c>
      <c r="T99" s="5">
        <f t="shared" si="17"/>
        <v>22.4</v>
      </c>
      <c r="U99" s="5">
        <f t="shared" si="18"/>
        <v>22.4</v>
      </c>
      <c r="V99" s="5">
        <f t="shared" si="19"/>
        <v>22.4</v>
      </c>
    </row>
    <row r="100" spans="1:22" x14ac:dyDescent="0.2">
      <c r="A100" s="33" t="str">
        <f>IF(Tabela17[[#This Row],[Código]]="IBOV","^BVSP",IF(Tabela17[[#This Row],[Código]]="","",CONCATENATE(LEFT(Tabela17[[#This Row],[Código]],6),".SA")))</f>
        <v>RNEW4.SA</v>
      </c>
      <c r="C100" s="3" t="s">
        <v>520</v>
      </c>
      <c r="D100" s="3" t="s">
        <v>446</v>
      </c>
      <c r="E100" s="3" t="s">
        <v>447</v>
      </c>
      <c r="F100" s="3" t="s">
        <v>446</v>
      </c>
      <c r="G100" s="3" t="s">
        <v>446</v>
      </c>
      <c r="H100" s="51" t="s">
        <v>446</v>
      </c>
      <c r="J100" s="3" t="e">
        <f t="shared" si="20"/>
        <v>#VALUE!</v>
      </c>
      <c r="K100" s="3">
        <f t="shared" si="20"/>
        <v>0</v>
      </c>
      <c r="L100" s="3" t="e">
        <f t="shared" si="20"/>
        <v>#VALUE!</v>
      </c>
      <c r="M100" s="3" t="e">
        <f t="shared" si="20"/>
        <v>#VALUE!</v>
      </c>
      <c r="P100" s="14" t="s">
        <v>517</v>
      </c>
      <c r="Q100" s="10" t="str">
        <f t="shared" si="14"/>
        <v xml:space="preserve">RENOVA      -PN  </v>
      </c>
      <c r="R100" s="51" t="str">
        <f t="shared" si="15"/>
        <v>N/A</v>
      </c>
      <c r="S100" s="5" t="e">
        <f t="shared" si="16"/>
        <v>#VALUE!</v>
      </c>
      <c r="T100" s="5">
        <f t="shared" si="17"/>
        <v>0</v>
      </c>
      <c r="U100" s="5" t="e">
        <f t="shared" si="18"/>
        <v>#VALUE!</v>
      </c>
      <c r="V100" s="5" t="e">
        <f t="shared" si="19"/>
        <v>#VALUE!</v>
      </c>
    </row>
    <row r="101" spans="1:22" x14ac:dyDescent="0.2">
      <c r="A101" s="33" t="str">
        <f>IF(Tabela17[[#This Row],[Código]]="IBOV","^BVSP",IF(Tabela17[[#This Row],[Código]]="","",CONCATENATE(LEFT(Tabela17[[#This Row],[Código]],6),".SA")))</f>
        <v>TAEE3.SA</v>
      </c>
      <c r="C101" s="3" t="s">
        <v>523</v>
      </c>
      <c r="D101" s="3" t="s">
        <v>446</v>
      </c>
      <c r="E101" s="3" t="s">
        <v>447</v>
      </c>
      <c r="F101" s="3" t="s">
        <v>446</v>
      </c>
      <c r="G101" s="3" t="s">
        <v>446</v>
      </c>
      <c r="H101" s="51" t="s">
        <v>446</v>
      </c>
      <c r="J101" s="3" t="e">
        <f t="shared" si="20"/>
        <v>#VALUE!</v>
      </c>
      <c r="K101" s="3">
        <f t="shared" si="20"/>
        <v>0</v>
      </c>
      <c r="L101" s="3" t="e">
        <f t="shared" si="20"/>
        <v>#VALUE!</v>
      </c>
      <c r="M101" s="3" t="e">
        <f t="shared" si="20"/>
        <v>#VALUE!</v>
      </c>
      <c r="P101" s="14" t="s">
        <v>521</v>
      </c>
      <c r="Q101" s="10" t="str">
        <f t="shared" si="14"/>
        <v xml:space="preserve">TAESA       -ON  </v>
      </c>
      <c r="R101" s="51" t="str">
        <f t="shared" si="15"/>
        <v>N/A</v>
      </c>
      <c r="S101" s="5" t="e">
        <f t="shared" si="16"/>
        <v>#VALUE!</v>
      </c>
      <c r="T101" s="5">
        <f t="shared" si="17"/>
        <v>0</v>
      </c>
      <c r="U101" s="5" t="e">
        <f t="shared" si="18"/>
        <v>#VALUE!</v>
      </c>
      <c r="V101" s="5" t="e">
        <f t="shared" si="19"/>
        <v>#VALUE!</v>
      </c>
    </row>
    <row r="102" spans="1:22" x14ac:dyDescent="0.2">
      <c r="A102" s="33" t="str">
        <f>IF(Tabela17[[#This Row],[Código]]="IBOV","^BVSP",IF(Tabela17[[#This Row],[Código]]="","",CONCATENATE(LEFT(Tabela17[[#This Row],[Código]],6),".SA")))</f>
        <v>TAEE4.SA</v>
      </c>
      <c r="C102" s="3" t="s">
        <v>524</v>
      </c>
      <c r="D102" s="3" t="s">
        <v>446</v>
      </c>
      <c r="E102" s="3" t="s">
        <v>447</v>
      </c>
      <c r="F102" s="3" t="s">
        <v>446</v>
      </c>
      <c r="G102" s="3" t="s">
        <v>446</v>
      </c>
      <c r="H102" s="51" t="s">
        <v>446</v>
      </c>
      <c r="J102" s="3" t="e">
        <f t="shared" si="20"/>
        <v>#VALUE!</v>
      </c>
      <c r="K102" s="3">
        <f t="shared" si="20"/>
        <v>0</v>
      </c>
      <c r="L102" s="3" t="e">
        <f t="shared" si="20"/>
        <v>#VALUE!</v>
      </c>
      <c r="M102" s="3" t="e">
        <f t="shared" si="20"/>
        <v>#VALUE!</v>
      </c>
      <c r="P102" s="14" t="s">
        <v>522</v>
      </c>
      <c r="Q102" s="10" t="str">
        <f t="shared" si="14"/>
        <v xml:space="preserve">TAESA       -PN  </v>
      </c>
      <c r="R102" s="51" t="str">
        <f t="shared" si="15"/>
        <v>N/A</v>
      </c>
      <c r="S102" s="5" t="e">
        <f t="shared" si="16"/>
        <v>#VALUE!</v>
      </c>
      <c r="T102" s="5">
        <f t="shared" si="17"/>
        <v>0</v>
      </c>
      <c r="U102" s="5" t="e">
        <f t="shared" si="18"/>
        <v>#VALUE!</v>
      </c>
      <c r="V102" s="5" t="e">
        <f t="shared" si="19"/>
        <v>#VALUE!</v>
      </c>
    </row>
    <row r="103" spans="1:22" x14ac:dyDescent="0.2">
      <c r="A103" s="33" t="str">
        <f>IF(Tabela17[[#This Row],[Código]]="IBOV","^BVSP",IF(Tabela17[[#This Row],[Código]]="","",CONCATENATE(LEFT(Tabela17[[#This Row],[Código]],6),".SA")))</f>
        <v>CSAN4.SA</v>
      </c>
      <c r="C103" s="3" t="s">
        <v>527</v>
      </c>
      <c r="D103" s="3" t="s">
        <v>446</v>
      </c>
      <c r="E103" s="3" t="s">
        <v>447</v>
      </c>
      <c r="F103" s="3" t="s">
        <v>446</v>
      </c>
      <c r="G103" s="3" t="s">
        <v>446</v>
      </c>
      <c r="H103" s="51" t="s">
        <v>446</v>
      </c>
      <c r="J103" s="3" t="e">
        <f t="shared" si="20"/>
        <v>#VALUE!</v>
      </c>
      <c r="K103" s="3">
        <f t="shared" si="20"/>
        <v>0</v>
      </c>
      <c r="L103" s="3" t="e">
        <f t="shared" si="20"/>
        <v>#VALUE!</v>
      </c>
      <c r="M103" s="3" t="e">
        <f t="shared" si="20"/>
        <v>#VALUE!</v>
      </c>
      <c r="P103" s="15" t="s">
        <v>526</v>
      </c>
      <c r="Q103" s="10" t="str">
        <f t="shared" ref="Q103:Q112" si="21">IF(A103="","",C103)</f>
        <v>CSAN4.SA</v>
      </c>
      <c r="R103" s="51" t="str">
        <f t="shared" ref="R103:R112" si="22">IF(A103="","",H103)</f>
        <v>N/A</v>
      </c>
      <c r="S103" s="5" t="e">
        <f t="shared" ref="S103:S112" si="23">J103</f>
        <v>#VALUE!</v>
      </c>
      <c r="T103" s="5">
        <f t="shared" ref="T103:T112" si="24">K103</f>
        <v>0</v>
      </c>
      <c r="U103" s="5" t="e">
        <f t="shared" ref="U103:U112" si="25">L103</f>
        <v>#VALUE!</v>
      </c>
      <c r="V103" s="5" t="e">
        <f t="shared" ref="V103:V112" si="26">M103</f>
        <v>#VALUE!</v>
      </c>
    </row>
    <row r="104" spans="1:22" x14ac:dyDescent="0.2">
      <c r="A104" s="33" t="str">
        <f>IF(Tabela17[[#This Row],[Código]]="IBOV","^BVSP",IF(Tabela17[[#This Row],[Código]]="","",CONCATENATE(LEFT(Tabela17[[#This Row],[Código]],6),".SA")))</f>
        <v>CGAS3.SA</v>
      </c>
      <c r="C104" s="3" t="s">
        <v>531</v>
      </c>
      <c r="D104" s="3" t="s">
        <v>1584</v>
      </c>
      <c r="E104" s="3" t="s">
        <v>1804</v>
      </c>
      <c r="F104" s="3" t="s">
        <v>1584</v>
      </c>
      <c r="G104" s="3" t="s">
        <v>1804</v>
      </c>
      <c r="H104" s="51">
        <v>41689</v>
      </c>
      <c r="J104" s="3">
        <f t="shared" si="20"/>
        <v>50</v>
      </c>
      <c r="K104" s="3">
        <f t="shared" si="20"/>
        <v>46</v>
      </c>
      <c r="L104" s="3">
        <f t="shared" si="20"/>
        <v>50</v>
      </c>
      <c r="M104" s="3">
        <f t="shared" si="20"/>
        <v>46</v>
      </c>
      <c r="P104" s="15" t="s">
        <v>529</v>
      </c>
      <c r="Q104" s="10" t="str">
        <f t="shared" si="21"/>
        <v>COMGAS      -ON</v>
      </c>
      <c r="R104" s="51">
        <f t="shared" si="22"/>
        <v>41689</v>
      </c>
      <c r="S104" s="5">
        <f t="shared" si="23"/>
        <v>50</v>
      </c>
      <c r="T104" s="5">
        <f t="shared" si="24"/>
        <v>46</v>
      </c>
      <c r="U104" s="5">
        <f t="shared" si="25"/>
        <v>50</v>
      </c>
      <c r="V104" s="5">
        <f t="shared" si="26"/>
        <v>46</v>
      </c>
    </row>
    <row r="105" spans="1:22" x14ac:dyDescent="0.2">
      <c r="A105" s="33" t="str">
        <f>IF(Tabela17[[#This Row],[Código]]="IBOV","^BVSP",IF(Tabela17[[#This Row],[Código]]="","",CONCATENATE(LEFT(Tabela17[[#This Row],[Código]],6),".SA")))</f>
        <v>CGAS5.SA</v>
      </c>
      <c r="C105" s="3" t="s">
        <v>532</v>
      </c>
      <c r="D105" s="3" t="s">
        <v>1805</v>
      </c>
      <c r="E105" s="3" t="s">
        <v>1975</v>
      </c>
      <c r="F105" s="3" t="s">
        <v>1806</v>
      </c>
      <c r="G105" s="3" t="s">
        <v>1976</v>
      </c>
      <c r="H105" s="51">
        <v>41689</v>
      </c>
      <c r="J105" s="3">
        <f t="shared" si="20"/>
        <v>49.48</v>
      </c>
      <c r="K105" s="3">
        <f t="shared" si="20"/>
        <v>49.19</v>
      </c>
      <c r="L105" s="3">
        <f t="shared" si="20"/>
        <v>49.89</v>
      </c>
      <c r="M105" s="3">
        <f t="shared" si="20"/>
        <v>48.55</v>
      </c>
      <c r="P105" s="15" t="s">
        <v>530</v>
      </c>
      <c r="Q105" s="10" t="str">
        <f t="shared" si="21"/>
        <v>COMGAS      -PNA</v>
      </c>
      <c r="R105" s="51">
        <f t="shared" si="22"/>
        <v>41689</v>
      </c>
      <c r="S105" s="5">
        <f t="shared" si="23"/>
        <v>49.48</v>
      </c>
      <c r="T105" s="5">
        <f t="shared" si="24"/>
        <v>49.19</v>
      </c>
      <c r="U105" s="5">
        <f t="shared" si="25"/>
        <v>49.89</v>
      </c>
      <c r="V105" s="5">
        <f t="shared" si="26"/>
        <v>48.55</v>
      </c>
    </row>
    <row r="106" spans="1:22" x14ac:dyDescent="0.2">
      <c r="A106" s="33" t="str">
        <f>IF(Tabela17[[#This Row],[Código]]="IBOV","^BVSP",IF(Tabela17[[#This Row],[Código]]="","",CONCATENATE(LEFT(Tabela17[[#This Row],[Código]],6),".SA")))</f>
        <v>CEGR3.SA</v>
      </c>
      <c r="C106" s="3" t="s">
        <v>534</v>
      </c>
      <c r="D106" s="3" t="s">
        <v>988</v>
      </c>
      <c r="E106" s="3" t="s">
        <v>988</v>
      </c>
      <c r="F106" s="3" t="s">
        <v>988</v>
      </c>
      <c r="G106" s="3" t="s">
        <v>988</v>
      </c>
      <c r="H106" s="51">
        <v>41689</v>
      </c>
      <c r="J106" s="3">
        <f t="shared" si="20"/>
        <v>85</v>
      </c>
      <c r="K106" s="3">
        <f t="shared" si="20"/>
        <v>85</v>
      </c>
      <c r="L106" s="3">
        <f t="shared" si="20"/>
        <v>85</v>
      </c>
      <c r="M106" s="3">
        <f t="shared" si="20"/>
        <v>85</v>
      </c>
      <c r="P106" s="14" t="s">
        <v>533</v>
      </c>
      <c r="Q106" s="10" t="str">
        <f t="shared" si="21"/>
        <v>CEG         -ON *</v>
      </c>
      <c r="R106" s="51">
        <f t="shared" si="22"/>
        <v>41689</v>
      </c>
      <c r="S106" s="5">
        <f t="shared" si="23"/>
        <v>85</v>
      </c>
      <c r="T106" s="5">
        <f t="shared" si="24"/>
        <v>85</v>
      </c>
      <c r="U106" s="5">
        <f t="shared" si="25"/>
        <v>85</v>
      </c>
      <c r="V106" s="5">
        <f t="shared" si="26"/>
        <v>85</v>
      </c>
    </row>
    <row r="107" spans="1:22" x14ac:dyDescent="0.2">
      <c r="A107" s="33" t="str">
        <f>IF(Tabela17[[#This Row],[Código]]="IBOV","^BVSP",IF(Tabela17[[#This Row],[Código]]="","",CONCATENATE(LEFT(Tabela17[[#This Row],[Código]],6),".SA")))</f>
        <v>INET3.SA</v>
      </c>
      <c r="C107" s="3" t="s">
        <v>536</v>
      </c>
      <c r="D107" s="3" t="s">
        <v>804</v>
      </c>
      <c r="E107" s="3" t="s">
        <v>1258</v>
      </c>
      <c r="F107" s="3" t="s">
        <v>946</v>
      </c>
      <c r="G107" s="3" t="s">
        <v>537</v>
      </c>
      <c r="H107" s="51">
        <v>41689</v>
      </c>
      <c r="J107" s="3">
        <f t="shared" si="20"/>
        <v>0.2</v>
      </c>
      <c r="K107" s="3">
        <f t="shared" si="20"/>
        <v>0.19</v>
      </c>
      <c r="L107" s="3">
        <f t="shared" si="20"/>
        <v>0.21</v>
      </c>
      <c r="M107" s="3">
        <f t="shared" si="20"/>
        <v>0.18</v>
      </c>
      <c r="P107" s="14" t="s">
        <v>535</v>
      </c>
      <c r="Q107" s="10" t="str">
        <f t="shared" si="21"/>
        <v>INEPAR TEL  -ON</v>
      </c>
      <c r="R107" s="51">
        <f t="shared" si="22"/>
        <v>41689</v>
      </c>
      <c r="S107" s="5">
        <f t="shared" si="23"/>
        <v>0.2</v>
      </c>
      <c r="T107" s="5">
        <f t="shared" si="24"/>
        <v>0.19</v>
      </c>
      <c r="U107" s="5">
        <f t="shared" si="25"/>
        <v>0.21</v>
      </c>
      <c r="V107" s="5">
        <f t="shared" si="26"/>
        <v>0.18</v>
      </c>
    </row>
    <row r="108" spans="1:22" x14ac:dyDescent="0.2">
      <c r="A108" s="33" t="str">
        <f>IF(Tabela17[[#This Row],[Código]]="IBOV","^BVSP",IF(Tabela17[[#This Row],[Código]]="","",CONCATENATE(LEFT(Tabela17[[#This Row],[Código]],6),".SA")))</f>
        <v>EBTP3.SA</v>
      </c>
      <c r="C108" s="3" t="s">
        <v>539</v>
      </c>
      <c r="D108" s="3" t="s">
        <v>1240</v>
      </c>
      <c r="E108" s="3" t="s">
        <v>974</v>
      </c>
      <c r="F108" s="3" t="s">
        <v>974</v>
      </c>
      <c r="G108" s="3" t="s">
        <v>1240</v>
      </c>
      <c r="H108" s="51">
        <v>41689</v>
      </c>
      <c r="J108" s="3">
        <f t="shared" si="20"/>
        <v>7.29</v>
      </c>
      <c r="K108" s="3">
        <f t="shared" si="20"/>
        <v>7.3</v>
      </c>
      <c r="L108" s="3">
        <f t="shared" si="20"/>
        <v>7.3</v>
      </c>
      <c r="M108" s="3">
        <f t="shared" si="20"/>
        <v>7.29</v>
      </c>
      <c r="P108" s="14" t="s">
        <v>538</v>
      </c>
      <c r="Q108" s="10" t="str">
        <f t="shared" si="21"/>
        <v>EMBRATEL PAR-ON *</v>
      </c>
      <c r="R108" s="51">
        <f t="shared" si="22"/>
        <v>41689</v>
      </c>
      <c r="S108" s="5">
        <f t="shared" si="23"/>
        <v>7.29</v>
      </c>
      <c r="T108" s="5">
        <f t="shared" si="24"/>
        <v>7.3</v>
      </c>
      <c r="U108" s="5">
        <f t="shared" si="25"/>
        <v>7.3</v>
      </c>
      <c r="V108" s="5">
        <f t="shared" si="26"/>
        <v>7.29</v>
      </c>
    </row>
    <row r="109" spans="1:22" x14ac:dyDescent="0.2">
      <c r="A109" s="33" t="str">
        <f>IF(Tabela17[[#This Row],[Código]]="IBOV","^BVSP",IF(Tabela17[[#This Row],[Código]]="","",CONCATENATE(LEFT(Tabela17[[#This Row],[Código]],6),".SA")))</f>
        <v>MLFT3.SA</v>
      </c>
      <c r="C109" s="3" t="s">
        <v>542</v>
      </c>
      <c r="D109" s="3" t="s">
        <v>446</v>
      </c>
      <c r="E109" s="3" t="s">
        <v>543</v>
      </c>
      <c r="F109" s="3" t="s">
        <v>543</v>
      </c>
      <c r="G109" s="3" t="s">
        <v>543</v>
      </c>
      <c r="H109" s="51">
        <v>41689</v>
      </c>
      <c r="J109" s="3" t="e">
        <f t="shared" si="20"/>
        <v>#VALUE!</v>
      </c>
      <c r="K109" s="3">
        <f t="shared" si="20"/>
        <v>1.87</v>
      </c>
      <c r="L109" s="3">
        <f t="shared" si="20"/>
        <v>1.87</v>
      </c>
      <c r="M109" s="3">
        <f t="shared" si="20"/>
        <v>1.87</v>
      </c>
      <c r="P109" s="14" t="s">
        <v>540</v>
      </c>
      <c r="Q109" s="10" t="str">
        <f t="shared" si="21"/>
        <v>JEREISSATI  -ON</v>
      </c>
      <c r="R109" s="51">
        <f t="shared" si="22"/>
        <v>41689</v>
      </c>
      <c r="S109" s="5" t="e">
        <f t="shared" si="23"/>
        <v>#VALUE!</v>
      </c>
      <c r="T109" s="5">
        <f t="shared" si="24"/>
        <v>1.87</v>
      </c>
      <c r="U109" s="5">
        <f t="shared" si="25"/>
        <v>1.87</v>
      </c>
      <c r="V109" s="5">
        <f t="shared" si="26"/>
        <v>1.87</v>
      </c>
    </row>
    <row r="110" spans="1:22" x14ac:dyDescent="0.2">
      <c r="A110" s="33" t="str">
        <f>IF(Tabela17[[#This Row],[Código]]="IBOV","^BVSP",IF(Tabela17[[#This Row],[Código]]="","",CONCATENATE(LEFT(Tabela17[[#This Row],[Código]],6),".SA")))</f>
        <v>MLFT4.SA</v>
      </c>
      <c r="C110" s="3" t="s">
        <v>544</v>
      </c>
      <c r="D110" s="3" t="s">
        <v>1241</v>
      </c>
      <c r="E110" s="3" t="s">
        <v>1241</v>
      </c>
      <c r="F110" s="3" t="s">
        <v>1241</v>
      </c>
      <c r="G110" s="3" t="s">
        <v>1241</v>
      </c>
      <c r="H110" s="51">
        <v>41689</v>
      </c>
      <c r="J110" s="3">
        <f t="shared" si="20"/>
        <v>1.57</v>
      </c>
      <c r="K110" s="3">
        <f t="shared" si="20"/>
        <v>1.57</v>
      </c>
      <c r="L110" s="3">
        <f t="shared" si="20"/>
        <v>1.57</v>
      </c>
      <c r="M110" s="3">
        <f t="shared" si="20"/>
        <v>1.57</v>
      </c>
      <c r="P110" s="15" t="s">
        <v>541</v>
      </c>
      <c r="Q110" s="10" t="str">
        <f t="shared" si="21"/>
        <v>JEREISSATI  -PN</v>
      </c>
      <c r="R110" s="51">
        <f t="shared" si="22"/>
        <v>41689</v>
      </c>
      <c r="S110" s="5">
        <f t="shared" si="23"/>
        <v>1.57</v>
      </c>
      <c r="T110" s="5">
        <f t="shared" si="24"/>
        <v>1.57</v>
      </c>
      <c r="U110" s="5">
        <f t="shared" si="25"/>
        <v>1.57</v>
      </c>
      <c r="V110" s="5">
        <f t="shared" si="26"/>
        <v>1.57</v>
      </c>
    </row>
    <row r="111" spans="1:22" x14ac:dyDescent="0.2">
      <c r="A111" s="33" t="str">
        <f>IF(Tabela17[[#This Row],[Código]]="IBOV","^BVSP",IF(Tabela17[[#This Row],[Código]]="","",CONCATENATE(LEFT(Tabela17[[#This Row],[Código]],6),".SA")))</f>
        <v>LFFE3.SA</v>
      </c>
      <c r="C111" s="3" t="s">
        <v>549</v>
      </c>
      <c r="D111" s="3" t="s">
        <v>545</v>
      </c>
      <c r="E111" s="3" t="s">
        <v>545</v>
      </c>
      <c r="F111" s="3" t="s">
        <v>545</v>
      </c>
      <c r="G111" s="3" t="s">
        <v>545</v>
      </c>
      <c r="H111" s="51">
        <v>41689</v>
      </c>
      <c r="J111" s="3">
        <f t="shared" si="20"/>
        <v>1.7</v>
      </c>
      <c r="K111" s="3">
        <f t="shared" si="20"/>
        <v>1.7</v>
      </c>
      <c r="L111" s="3">
        <f t="shared" si="20"/>
        <v>1.7</v>
      </c>
      <c r="M111" s="3">
        <f t="shared" si="20"/>
        <v>1.7</v>
      </c>
      <c r="P111" s="14" t="s">
        <v>546</v>
      </c>
      <c r="Q111" s="10" t="str">
        <f t="shared" si="21"/>
        <v>LA FONTE TEL-ON</v>
      </c>
      <c r="R111" s="51">
        <f t="shared" si="22"/>
        <v>41689</v>
      </c>
      <c r="S111" s="5">
        <f t="shared" si="23"/>
        <v>1.7</v>
      </c>
      <c r="T111" s="5">
        <f t="shared" si="24"/>
        <v>1.7</v>
      </c>
      <c r="U111" s="5">
        <f t="shared" si="25"/>
        <v>1.7</v>
      </c>
      <c r="V111" s="5">
        <f t="shared" si="26"/>
        <v>1.7</v>
      </c>
    </row>
    <row r="112" spans="1:22" x14ac:dyDescent="0.2">
      <c r="A112" s="33" t="str">
        <f>IF(Tabela17[[#This Row],[Código]]="IBOV","^BVSP",IF(Tabela17[[#This Row],[Código]]="","",CONCATENATE(LEFT(Tabela17[[#This Row],[Código]],6),".SA")))</f>
        <v>LFFE4.SA</v>
      </c>
      <c r="C112" s="3" t="s">
        <v>550</v>
      </c>
      <c r="D112" s="3" t="s">
        <v>551</v>
      </c>
      <c r="E112" s="3" t="s">
        <v>551</v>
      </c>
      <c r="F112" s="3" t="s">
        <v>551</v>
      </c>
      <c r="G112" s="3" t="s">
        <v>551</v>
      </c>
      <c r="H112" s="51">
        <v>41689</v>
      </c>
      <c r="J112" s="3">
        <f t="shared" si="20"/>
        <v>3.69</v>
      </c>
      <c r="K112" s="3">
        <f t="shared" si="20"/>
        <v>3.69</v>
      </c>
      <c r="L112" s="3">
        <f t="shared" si="20"/>
        <v>3.69</v>
      </c>
      <c r="M112" s="3">
        <f t="shared" si="20"/>
        <v>3.69</v>
      </c>
      <c r="P112" s="3" t="s">
        <v>547</v>
      </c>
      <c r="Q112" s="10" t="str">
        <f t="shared" si="21"/>
        <v>LA FONTE TEL-PN</v>
      </c>
      <c r="R112" s="51">
        <f t="shared" si="22"/>
        <v>41689</v>
      </c>
      <c r="S112" s="5">
        <f t="shared" si="23"/>
        <v>3.69</v>
      </c>
      <c r="T112" s="5">
        <f t="shared" si="24"/>
        <v>3.69</v>
      </c>
      <c r="U112" s="5">
        <f t="shared" si="25"/>
        <v>3.69</v>
      </c>
      <c r="V112" s="5">
        <f t="shared" si="26"/>
        <v>3.69</v>
      </c>
    </row>
    <row r="113" spans="1:22" x14ac:dyDescent="0.2">
      <c r="A113" s="33"/>
      <c r="C113" s="3" t="s">
        <v>101</v>
      </c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 x14ac:dyDescent="0.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 x14ac:dyDescent="0.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 x14ac:dyDescent="0.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 x14ac:dyDescent="0.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 x14ac:dyDescent="0.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 x14ac:dyDescent="0.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 x14ac:dyDescent="0.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 x14ac:dyDescent="0.2">
      <c r="A121" s="33" t="e">
        <f>IF(Tabela17[[#This Row],[Código]]="IBOV","^BVSP",IF(Tabela17[[#This Row],[Código]]="","",CONCATENATE(LEFT(Tabela17[[#This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 x14ac:dyDescent="0.2">
      <c r="A122" s="33" t="e">
        <f>IF(Tabela17[[#This Row],[Código]]="IBOV","^BVSP",IF(Tabela17[[#This Row],[Código]]="","",CONCATENATE(LEFT(Tabela17[[#This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 x14ac:dyDescent="0.2">
      <c r="A123" s="33" t="e">
        <f>IF(Tabela17[[#This Row],[Código]]="IBOV","^BVSP",IF(Tabela17[[#This Row],[Código]]="","",CONCATENATE(LEFT(Tabela17[[#This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 x14ac:dyDescent="0.2">
      <c r="A124" s="33" t="e">
        <f>IF(Tabela17[[#This Row],[Código]]="IBOV","^BVSP",IF(Tabela17[[#This Row],[Código]]="","",CONCATENATE(LEFT(Tabela17[[#This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 x14ac:dyDescent="0.2">
      <c r="A125" s="33" t="e">
        <f>IF(Tabela17[[#This Row],[Código]]="IBOV","^BVSP",IF(Tabela17[[#This Row],[Código]]="","",CONCATENATE(LEFT(Tabela17[[#This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 x14ac:dyDescent="0.2">
      <c r="A126" s="33" t="e">
        <f>IF(Tabela17[[#This Row],[Código]]="IBOV","^BVSP",IF(Tabela17[[#This Row],[Código]]="","",CONCATENATE(LEFT(Tabela17[[#This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 x14ac:dyDescent="0.2">
      <c r="A127" s="33" t="e">
        <f>IF(Tabela17[[#This Row],[Código]]="IBOV","^BVSP",IF(Tabela17[[#This Row],[Código]]="","",CONCATENATE(LEFT(Tabela17[[#This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 x14ac:dyDescent="0.2">
      <c r="A128" s="33" t="e">
        <f>IF(Tabela17[[#This Row],[Código]]="IBOV","^BVSP",IF(Tabela17[[#This Row],[Código]]="","",CONCATENATE(LEFT(Tabela17[[#This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 x14ac:dyDescent="0.2">
      <c r="A129" s="33" t="e">
        <f>IF(Tabela17[[#This Row],[Código]]="IBOV","^BVSP",IF(Tabela17[[#This Row],[Código]]="","",CONCATENATE(LEFT(Tabela17[[#This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 x14ac:dyDescent="0.2">
      <c r="A130" s="33" t="e">
        <f>IF(Tabela17[[#This Row],[Código]]="IBOV","^BVSP",IF(Tabela17[[#This Row],[Código]]="","",CONCATENATE(LEFT(Tabela17[[#This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 x14ac:dyDescent="0.2">
      <c r="A131" s="33" t="e">
        <f>IF(Tabela17[[#This Row],[Código]]="IBOV","^BVSP",IF(Tabela17[[#This Row],[Código]]="","",CONCATENATE(LEFT(Tabela17[[#This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 x14ac:dyDescent="0.2">
      <c r="A132" s="33" t="e">
        <f>IF(Tabela17[[#This Row],[Código]]="IBOV","^BVSP",IF(Tabela17[[#This Row],[Código]]="","",CONCATENATE(LEFT(Tabela17[[#This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 x14ac:dyDescent="0.2">
      <c r="A133" s="33" t="e">
        <f>IF(Tabela17[[#This Row],[Código]]="IBOV","^BVSP",IF(Tabela17[[#This Row],[Código]]="","",CONCATENATE(LEFT(Tabela17[[#This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 x14ac:dyDescent="0.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 x14ac:dyDescent="0.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 x14ac:dyDescent="0.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 x14ac:dyDescent="0.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 x14ac:dyDescent="0.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 x14ac:dyDescent="0.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 x14ac:dyDescent="0.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 x14ac:dyDescent="0.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 x14ac:dyDescent="0.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 x14ac:dyDescent="0.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 x14ac:dyDescent="0.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 x14ac:dyDescent="0.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 x14ac:dyDescent="0.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 x14ac:dyDescent="0.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 x14ac:dyDescent="0.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 x14ac:dyDescent="0.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 x14ac:dyDescent="0.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 x14ac:dyDescent="0.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 x14ac:dyDescent="0.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 x14ac:dyDescent="0.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 x14ac:dyDescent="0.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 x14ac:dyDescent="0.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 x14ac:dyDescent="0.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 x14ac:dyDescent="0.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 x14ac:dyDescent="0.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 x14ac:dyDescent="0.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 x14ac:dyDescent="0.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 x14ac:dyDescent="0.2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 x14ac:dyDescent="0.2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 x14ac:dyDescent="0.2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 x14ac:dyDescent="0.2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 x14ac:dyDescent="0.2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 x14ac:dyDescent="0.2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 x14ac:dyDescent="0.2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 x14ac:dyDescent="0.2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 x14ac:dyDescent="0.2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 x14ac:dyDescent="0.2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 x14ac:dyDescent="0.2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 x14ac:dyDescent="0.2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 x14ac:dyDescent="0.2">
      <c r="A173" s="33"/>
    </row>
    <row r="174" spans="1:13" x14ac:dyDescent="0.2">
      <c r="A174" s="33"/>
    </row>
    <row r="175" spans="1:13" x14ac:dyDescent="0.2">
      <c r="A175" s="33"/>
    </row>
    <row r="176" spans="1:13" x14ac:dyDescent="0.2">
      <c r="A176" s="33"/>
    </row>
    <row r="177" spans="1:1" x14ac:dyDescent="0.2">
      <c r="A177" s="33"/>
    </row>
    <row r="178" spans="1:1" x14ac:dyDescent="0.2">
      <c r="A178" s="33"/>
    </row>
    <row r="179" spans="1:1" x14ac:dyDescent="0.2">
      <c r="A179" s="33"/>
    </row>
    <row r="180" spans="1:1" x14ac:dyDescent="0.2">
      <c r="A180" s="33"/>
    </row>
    <row r="181" spans="1:1" x14ac:dyDescent="0.2">
      <c r="A181" s="33"/>
    </row>
    <row r="182" spans="1:1" x14ac:dyDescent="0.2">
      <c r="A182" s="33"/>
    </row>
    <row r="183" spans="1:1" x14ac:dyDescent="0.2">
      <c r="A183" s="33"/>
    </row>
    <row r="184" spans="1:1" x14ac:dyDescent="0.2">
      <c r="A184" s="33"/>
    </row>
    <row r="185" spans="1:1" x14ac:dyDescent="0.2">
      <c r="A185" s="33"/>
    </row>
    <row r="186" spans="1:1" x14ac:dyDescent="0.2">
      <c r="A186" s="33"/>
    </row>
    <row r="187" spans="1:1" x14ac:dyDescent="0.2">
      <c r="A187" s="33"/>
    </row>
    <row r="188" spans="1:1" x14ac:dyDescent="0.2">
      <c r="A188" s="33"/>
    </row>
    <row r="189" spans="1:1" x14ac:dyDescent="0.2">
      <c r="A189" s="33"/>
    </row>
    <row r="190" spans="1:1" x14ac:dyDescent="0.2">
      <c r="A190" s="33"/>
    </row>
    <row r="191" spans="1:1" x14ac:dyDescent="0.2">
      <c r="A191" s="33"/>
    </row>
    <row r="192" spans="1:1" x14ac:dyDescent="0.2">
      <c r="A192" s="33"/>
    </row>
    <row r="193" spans="1:1" x14ac:dyDescent="0.2">
      <c r="A193" s="33"/>
    </row>
    <row r="194" spans="1:1" x14ac:dyDescent="0.2">
      <c r="A194" s="33"/>
    </row>
    <row r="195" spans="1:1" x14ac:dyDescent="0.2">
      <c r="A195" s="33"/>
    </row>
    <row r="196" spans="1:1" x14ac:dyDescent="0.2">
      <c r="A196" s="33"/>
    </row>
    <row r="197" spans="1:1" x14ac:dyDescent="0.2">
      <c r="A197" s="33"/>
    </row>
    <row r="198" spans="1:1" x14ac:dyDescent="0.2">
      <c r="A198" s="33"/>
    </row>
    <row r="199" spans="1:1" x14ac:dyDescent="0.2">
      <c r="A199" s="33"/>
    </row>
    <row r="200" spans="1:1" x14ac:dyDescent="0.2">
      <c r="A200" s="33"/>
    </row>
    <row r="201" spans="1:1" x14ac:dyDescent="0.2">
      <c r="A201" s="33"/>
    </row>
    <row r="202" spans="1:1" x14ac:dyDescent="0.2">
      <c r="A202" s="33"/>
    </row>
    <row r="203" spans="1:1" x14ac:dyDescent="0.2">
      <c r="A203" s="33"/>
    </row>
    <row r="204" spans="1:1" x14ac:dyDescent="0.2">
      <c r="A204" s="33"/>
    </row>
    <row r="205" spans="1:1" x14ac:dyDescent="0.2">
      <c r="A205" s="33"/>
    </row>
    <row r="206" spans="1:1" x14ac:dyDescent="0.2">
      <c r="A206" s="33"/>
    </row>
    <row r="207" spans="1:1" x14ac:dyDescent="0.2">
      <c r="A207" s="33"/>
    </row>
    <row r="208" spans="1:1" x14ac:dyDescent="0.2">
      <c r="A208" s="33"/>
    </row>
    <row r="209" spans="1:1" x14ac:dyDescent="0.2">
      <c r="A209" s="33"/>
    </row>
    <row r="210" spans="1:1" x14ac:dyDescent="0.2">
      <c r="A210" s="33"/>
    </row>
    <row r="211" spans="1:1" x14ac:dyDescent="0.2">
      <c r="A211" s="33"/>
    </row>
    <row r="212" spans="1:1" x14ac:dyDescent="0.2">
      <c r="A212" s="33"/>
    </row>
    <row r="213" spans="1:1" x14ac:dyDescent="0.2">
      <c r="A213" s="33"/>
    </row>
    <row r="214" spans="1:1" x14ac:dyDescent="0.2">
      <c r="A214" s="33"/>
    </row>
    <row r="215" spans="1:1" x14ac:dyDescent="0.2">
      <c r="A215" s="33"/>
    </row>
    <row r="216" spans="1:1" x14ac:dyDescent="0.2">
      <c r="A216" s="33"/>
    </row>
    <row r="217" spans="1:1" x14ac:dyDescent="0.2">
      <c r="A217" s="33"/>
    </row>
    <row r="218" spans="1:1" x14ac:dyDescent="0.2">
      <c r="A218" s="33"/>
    </row>
    <row r="219" spans="1:1" x14ac:dyDescent="0.2">
      <c r="A219" s="33"/>
    </row>
    <row r="220" spans="1:1" x14ac:dyDescent="0.2">
      <c r="A220" s="33"/>
    </row>
    <row r="221" spans="1:1" x14ac:dyDescent="0.2">
      <c r="A221" s="33"/>
    </row>
    <row r="222" spans="1:1" x14ac:dyDescent="0.2">
      <c r="A222" s="33"/>
    </row>
    <row r="223" spans="1:1" x14ac:dyDescent="0.2">
      <c r="A223" s="33"/>
    </row>
    <row r="224" spans="1:1" x14ac:dyDescent="0.2">
      <c r="A224" s="33"/>
    </row>
    <row r="225" spans="1:1" x14ac:dyDescent="0.2">
      <c r="A225" s="33"/>
    </row>
    <row r="226" spans="1:1" x14ac:dyDescent="0.2">
      <c r="A226" s="33"/>
    </row>
    <row r="227" spans="1:1" x14ac:dyDescent="0.2">
      <c r="A227" s="33"/>
    </row>
    <row r="228" spans="1:1" x14ac:dyDescent="0.2">
      <c r="A228" s="33"/>
    </row>
    <row r="229" spans="1:1" x14ac:dyDescent="0.2">
      <c r="A229" s="33"/>
    </row>
    <row r="230" spans="1:1" x14ac:dyDescent="0.2">
      <c r="A230" s="33"/>
    </row>
    <row r="231" spans="1:1" x14ac:dyDescent="0.2">
      <c r="A231" s="33"/>
    </row>
    <row r="232" spans="1:1" x14ac:dyDescent="0.2">
      <c r="A232" s="33"/>
    </row>
    <row r="233" spans="1:1" x14ac:dyDescent="0.2">
      <c r="A233" s="33"/>
    </row>
    <row r="234" spans="1:1" x14ac:dyDescent="0.2">
      <c r="A234" s="33"/>
    </row>
    <row r="235" spans="1:1" x14ac:dyDescent="0.2">
      <c r="A235" s="33"/>
    </row>
    <row r="236" spans="1:1" x14ac:dyDescent="0.2">
      <c r="A236" s="33"/>
    </row>
    <row r="237" spans="1:1" x14ac:dyDescent="0.2">
      <c r="A237" s="33"/>
    </row>
    <row r="238" spans="1:1" x14ac:dyDescent="0.2">
      <c r="A238" s="33"/>
    </row>
    <row r="239" spans="1:1" x14ac:dyDescent="0.2">
      <c r="A239" s="33"/>
    </row>
    <row r="240" spans="1:1" x14ac:dyDescent="0.2">
      <c r="A240" s="33"/>
    </row>
    <row r="241" spans="1:1" x14ac:dyDescent="0.2">
      <c r="A241" s="33"/>
    </row>
    <row r="242" spans="1:1" x14ac:dyDescent="0.2">
      <c r="A242" s="33"/>
    </row>
    <row r="243" spans="1:1" x14ac:dyDescent="0.2">
      <c r="A243" s="33"/>
    </row>
    <row r="244" spans="1:1" x14ac:dyDescent="0.2">
      <c r="A244" s="33"/>
    </row>
    <row r="245" spans="1:1" x14ac:dyDescent="0.2">
      <c r="A245" s="33"/>
    </row>
    <row r="246" spans="1:1" x14ac:dyDescent="0.2">
      <c r="A246" s="33"/>
    </row>
    <row r="247" spans="1:1" x14ac:dyDescent="0.2">
      <c r="A247" s="33"/>
    </row>
    <row r="248" spans="1:1" x14ac:dyDescent="0.2">
      <c r="A248" s="33"/>
    </row>
    <row r="249" spans="1:1" x14ac:dyDescent="0.2">
      <c r="A249" s="33"/>
    </row>
    <row r="250" spans="1:1" x14ac:dyDescent="0.2">
      <c r="A250" s="33"/>
    </row>
    <row r="251" spans="1:1" x14ac:dyDescent="0.2">
      <c r="A251" s="33"/>
    </row>
    <row r="252" spans="1:1" x14ac:dyDescent="0.2">
      <c r="A252" s="33"/>
    </row>
    <row r="253" spans="1:1" x14ac:dyDescent="0.2">
      <c r="A253" s="33"/>
    </row>
    <row r="254" spans="1:1" x14ac:dyDescent="0.2">
      <c r="A254" s="33"/>
    </row>
    <row r="255" spans="1:1" x14ac:dyDescent="0.2">
      <c r="A255" s="33"/>
    </row>
    <row r="256" spans="1:1" x14ac:dyDescent="0.2">
      <c r="A256" s="33"/>
    </row>
    <row r="257" spans="1:1" x14ac:dyDescent="0.2">
      <c r="A257" s="33"/>
    </row>
    <row r="258" spans="1:1" x14ac:dyDescent="0.2">
      <c r="A258" s="33"/>
    </row>
    <row r="259" spans="1:1" x14ac:dyDescent="0.2">
      <c r="A259" s="33"/>
    </row>
    <row r="260" spans="1:1" x14ac:dyDescent="0.2">
      <c r="A260" s="33"/>
    </row>
    <row r="261" spans="1:1" x14ac:dyDescent="0.2">
      <c r="A261" s="33"/>
    </row>
    <row r="262" spans="1:1" x14ac:dyDescent="0.2">
      <c r="A262" s="33"/>
    </row>
    <row r="263" spans="1:1" x14ac:dyDescent="0.2">
      <c r="A263" s="33"/>
    </row>
    <row r="264" spans="1:1" x14ac:dyDescent="0.2">
      <c r="A264" s="33"/>
    </row>
    <row r="265" spans="1:1" x14ac:dyDescent="0.2">
      <c r="A265" s="33"/>
    </row>
    <row r="266" spans="1:1" x14ac:dyDescent="0.2">
      <c r="A266" s="33"/>
    </row>
    <row r="267" spans="1:1" x14ac:dyDescent="0.2">
      <c r="A267" s="33"/>
    </row>
    <row r="268" spans="1:1" x14ac:dyDescent="0.2">
      <c r="A268" s="33"/>
    </row>
    <row r="269" spans="1:1" x14ac:dyDescent="0.2">
      <c r="A269" s="33"/>
    </row>
    <row r="270" spans="1:1" x14ac:dyDescent="0.2">
      <c r="A270" s="33"/>
    </row>
    <row r="271" spans="1:1" x14ac:dyDescent="0.2">
      <c r="A271" s="33"/>
    </row>
    <row r="272" spans="1:1" x14ac:dyDescent="0.2">
      <c r="A272" s="33"/>
    </row>
    <row r="273" spans="1:1" x14ac:dyDescent="0.2">
      <c r="A273" s="33"/>
    </row>
    <row r="274" spans="1:1" x14ac:dyDescent="0.2">
      <c r="A274" s="33"/>
    </row>
    <row r="275" spans="1:1" x14ac:dyDescent="0.2">
      <c r="A275" s="33"/>
    </row>
    <row r="276" spans="1:1" x14ac:dyDescent="0.2">
      <c r="A276" s="33"/>
    </row>
    <row r="277" spans="1:1" x14ac:dyDescent="0.2">
      <c r="A277" s="33"/>
    </row>
    <row r="278" spans="1:1" x14ac:dyDescent="0.2">
      <c r="A278" s="33"/>
    </row>
    <row r="279" spans="1:1" x14ac:dyDescent="0.2">
      <c r="A279" s="33"/>
    </row>
    <row r="280" spans="1:1" x14ac:dyDescent="0.2">
      <c r="A280" s="33"/>
    </row>
    <row r="281" spans="1:1" x14ac:dyDescent="0.2">
      <c r="A281" s="33"/>
    </row>
    <row r="282" spans="1:1" x14ac:dyDescent="0.2">
      <c r="A282" s="33"/>
    </row>
    <row r="283" spans="1:1" x14ac:dyDescent="0.2">
      <c r="A283" s="33"/>
    </row>
    <row r="284" spans="1:1" x14ac:dyDescent="0.2">
      <c r="A284" s="33"/>
    </row>
    <row r="285" spans="1:1" x14ac:dyDescent="0.2">
      <c r="A285" s="33"/>
    </row>
    <row r="286" spans="1:1" x14ac:dyDescent="0.2">
      <c r="A286" s="33"/>
    </row>
    <row r="287" spans="1:1" x14ac:dyDescent="0.2">
      <c r="A287" s="33"/>
    </row>
    <row r="288" spans="1:1" x14ac:dyDescent="0.2">
      <c r="A288" s="33"/>
    </row>
    <row r="289" spans="1:1" x14ac:dyDescent="0.2">
      <c r="A289" s="33"/>
    </row>
    <row r="290" spans="1:1" x14ac:dyDescent="0.2">
      <c r="A290" s="33"/>
    </row>
    <row r="291" spans="1:1" x14ac:dyDescent="0.2">
      <c r="A291" s="33"/>
    </row>
    <row r="292" spans="1:1" x14ac:dyDescent="0.2">
      <c r="A292" s="33"/>
    </row>
    <row r="293" spans="1:1" x14ac:dyDescent="0.2">
      <c r="A293" s="33"/>
    </row>
    <row r="294" spans="1:1" x14ac:dyDescent="0.2">
      <c r="A294" s="33"/>
    </row>
    <row r="295" spans="1:1" x14ac:dyDescent="0.2">
      <c r="A295" s="33"/>
    </row>
    <row r="296" spans="1:1" x14ac:dyDescent="0.2">
      <c r="A296" s="33"/>
    </row>
    <row r="297" spans="1:1" x14ac:dyDescent="0.2">
      <c r="A297" s="33"/>
    </row>
    <row r="298" spans="1:1" x14ac:dyDescent="0.2">
      <c r="A298" s="33"/>
    </row>
    <row r="299" spans="1:1" x14ac:dyDescent="0.2">
      <c r="A299" s="33"/>
    </row>
    <row r="300" spans="1:1" x14ac:dyDescent="0.2">
      <c r="A300" s="33"/>
    </row>
    <row r="301" spans="1:1" x14ac:dyDescent="0.2">
      <c r="A301" s="33"/>
    </row>
    <row r="302" spans="1:1" x14ac:dyDescent="0.2">
      <c r="A302" s="33"/>
    </row>
    <row r="303" spans="1:1" x14ac:dyDescent="0.2">
      <c r="A303" s="33"/>
    </row>
    <row r="304" spans="1:1" x14ac:dyDescent="0.2">
      <c r="A304" s="33"/>
    </row>
    <row r="305" spans="1:1" x14ac:dyDescent="0.2">
      <c r="A305" s="33"/>
    </row>
    <row r="306" spans="1:1" x14ac:dyDescent="0.2">
      <c r="A306" s="33"/>
    </row>
    <row r="307" spans="1:1" x14ac:dyDescent="0.2">
      <c r="A307" s="33"/>
    </row>
    <row r="308" spans="1:1" x14ac:dyDescent="0.2">
      <c r="A308" s="33"/>
    </row>
    <row r="309" spans="1:1" x14ac:dyDescent="0.2">
      <c r="A309" s="33"/>
    </row>
    <row r="310" spans="1:1" x14ac:dyDescent="0.2">
      <c r="A310" s="33"/>
    </row>
    <row r="311" spans="1:1" x14ac:dyDescent="0.2">
      <c r="A311" s="33"/>
    </row>
    <row r="312" spans="1:1" x14ac:dyDescent="0.2">
      <c r="A312" s="33"/>
    </row>
    <row r="313" spans="1:1" x14ac:dyDescent="0.2">
      <c r="A313" s="33"/>
    </row>
    <row r="314" spans="1:1" x14ac:dyDescent="0.2">
      <c r="A314" s="33"/>
    </row>
    <row r="315" spans="1:1" x14ac:dyDescent="0.2">
      <c r="A315" s="33"/>
    </row>
    <row r="316" spans="1:1" x14ac:dyDescent="0.2">
      <c r="A316" s="33"/>
    </row>
    <row r="317" spans="1:1" x14ac:dyDescent="0.2">
      <c r="A317" s="33"/>
    </row>
    <row r="318" spans="1:1" x14ac:dyDescent="0.2">
      <c r="A318" s="33"/>
    </row>
    <row r="319" spans="1:1" x14ac:dyDescent="0.2">
      <c r="A319" s="33"/>
    </row>
    <row r="320" spans="1:1" x14ac:dyDescent="0.2">
      <c r="A320" s="33"/>
    </row>
    <row r="321" spans="1:1" x14ac:dyDescent="0.2">
      <c r="A321" s="33"/>
    </row>
    <row r="322" spans="1:1" x14ac:dyDescent="0.2">
      <c r="A322" s="33"/>
    </row>
    <row r="323" spans="1:1" x14ac:dyDescent="0.2">
      <c r="A323" s="33"/>
    </row>
    <row r="324" spans="1:1" x14ac:dyDescent="0.2">
      <c r="A324" s="33"/>
    </row>
    <row r="325" spans="1:1" x14ac:dyDescent="0.2">
      <c r="A325" s="33"/>
    </row>
    <row r="326" spans="1:1" x14ac:dyDescent="0.2">
      <c r="A326" s="33"/>
    </row>
    <row r="327" spans="1:1" x14ac:dyDescent="0.2">
      <c r="A327" s="33"/>
    </row>
    <row r="328" spans="1:1" x14ac:dyDescent="0.2">
      <c r="A328" s="33"/>
    </row>
    <row r="329" spans="1:1" x14ac:dyDescent="0.2">
      <c r="A329" s="33"/>
    </row>
    <row r="330" spans="1:1" x14ac:dyDescent="0.2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tualizar_Yahoo">
                <anchor moveWithCells="1">
                  <from>
                    <xdr:col>17</xdr:col>
                    <xdr:colOff>66675</xdr:colOff>
                    <xdr:row>0</xdr:row>
                    <xdr:rowOff>114300</xdr:rowOff>
                  </from>
                  <to>
                    <xdr:col>18</xdr:col>
                    <xdr:colOff>200025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/>
  <dimension ref="A1:V330"/>
  <sheetViews>
    <sheetView workbookViewId="0">
      <selection activeCell="H2" sqref="H2"/>
    </sheetView>
  </sheetViews>
  <sheetFormatPr defaultRowHeight="11.25" x14ac:dyDescent="0.2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 x14ac:dyDescent="0.2">
      <c r="A1" s="3" t="s">
        <v>42</v>
      </c>
      <c r="C1" s="3" t="s">
        <v>872</v>
      </c>
    </row>
    <row r="2" spans="1:22" x14ac:dyDescent="0.2">
      <c r="A2" s="3" t="s">
        <v>43</v>
      </c>
      <c r="C2" s="3" t="s">
        <v>46</v>
      </c>
    </row>
    <row r="3" spans="1:22" x14ac:dyDescent="0.2">
      <c r="A3" s="3" t="s">
        <v>44</v>
      </c>
    </row>
    <row r="4" spans="1:22" x14ac:dyDescent="0.2">
      <c r="A4" s="3" t="s">
        <v>45</v>
      </c>
    </row>
    <row r="6" spans="1:22" x14ac:dyDescent="0.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 x14ac:dyDescent="0.2">
      <c r="A7" s="33" t="str">
        <f>IF(Tabela176[[#This Row],[Código]]="IBOV","^BVSP",IF(Tabela176[[#This Row],[Código]]="","",CONCATENATE(LEFT(Tabela176[[#This Row],[Código]],6),".SA")))</f>
        <v>IDVL3.SA</v>
      </c>
      <c r="C7" s="3" t="s">
        <v>556</v>
      </c>
      <c r="D7" s="3" t="s">
        <v>557</v>
      </c>
      <c r="E7" s="3" t="s">
        <v>557</v>
      </c>
      <c r="F7" s="3" t="s">
        <v>557</v>
      </c>
      <c r="G7" s="3" t="s">
        <v>557</v>
      </c>
      <c r="H7" s="51">
        <v>41689</v>
      </c>
      <c r="J7" s="3">
        <f>IF($A7="",0,VALUE(CONCATENATE(LEFT(D7,LEN(D7)-3),",",RIGHT(D7,2))))</f>
        <v>6.25</v>
      </c>
      <c r="K7" s="3">
        <f t="shared" ref="K7:M22" si="0">IF($A7="",0,VALUE(CONCATENATE(LEFT(E7,LEN(E7)-3),",",RIGHT(E7,2))))</f>
        <v>6.25</v>
      </c>
      <c r="L7" s="3">
        <f t="shared" si="0"/>
        <v>6.25</v>
      </c>
      <c r="M7" s="3">
        <f t="shared" si="0"/>
        <v>6.25</v>
      </c>
      <c r="P7" s="14" t="s">
        <v>554</v>
      </c>
      <c r="Q7" s="10" t="str">
        <f t="shared" ref="Q7:Q38" si="1">IF(A7="","",C7)</f>
        <v xml:space="preserve">INDUSVAL    -ON  </v>
      </c>
      <c r="R7" s="51">
        <f t="shared" ref="R7:R38" si="2">IF(A7="","",H7)</f>
        <v>41689</v>
      </c>
      <c r="S7" s="5">
        <f t="shared" ref="S7:S38" si="3">J7</f>
        <v>6.25</v>
      </c>
      <c r="T7" s="5">
        <f t="shared" ref="T7:T38" si="4">K7</f>
        <v>6.25</v>
      </c>
      <c r="U7" s="5">
        <f t="shared" ref="U7:U38" si="5">L7</f>
        <v>6.25</v>
      </c>
      <c r="V7" s="5">
        <f t="shared" ref="V7:V38" si="6">M7</f>
        <v>6.25</v>
      </c>
    </row>
    <row r="8" spans="1:22" x14ac:dyDescent="0.2">
      <c r="A8" s="33" t="str">
        <f>IF(Tabela176[[#This Row],[Código]]="IBOV","^BVSP",IF(Tabela176[[#This Row],[Código]]="","",CONCATENATE(LEFT(Tabela176[[#This Row],[Código]],6),".SA")))</f>
        <v>IDVL4.SA</v>
      </c>
      <c r="C8" s="3" t="s">
        <v>558</v>
      </c>
      <c r="D8" s="3" t="s">
        <v>1055</v>
      </c>
      <c r="E8" s="3" t="s">
        <v>1807</v>
      </c>
      <c r="F8" s="3" t="s">
        <v>1808</v>
      </c>
      <c r="G8" s="3" t="s">
        <v>1807</v>
      </c>
      <c r="H8" s="51">
        <v>41689</v>
      </c>
      <c r="J8" s="3">
        <f t="shared" ref="J8:M71" si="7">IF($A8="",0,VALUE(CONCATENATE(LEFT(D8,LEN(D8)-3),",",RIGHT(D8,2))))</f>
        <v>5.17</v>
      </c>
      <c r="K8" s="3">
        <f t="shared" si="0"/>
        <v>4.95</v>
      </c>
      <c r="L8" s="3">
        <f t="shared" si="0"/>
        <v>5.27</v>
      </c>
      <c r="M8" s="3">
        <f t="shared" si="0"/>
        <v>4.95</v>
      </c>
      <c r="P8" s="15" t="s">
        <v>555</v>
      </c>
      <c r="Q8" s="10" t="str">
        <f t="shared" si="1"/>
        <v xml:space="preserve">INDUSVAL    -PN  </v>
      </c>
      <c r="R8" s="51">
        <f t="shared" si="2"/>
        <v>41689</v>
      </c>
      <c r="S8" s="5">
        <f t="shared" si="3"/>
        <v>5.17</v>
      </c>
      <c r="T8" s="5">
        <f t="shared" si="4"/>
        <v>4.95</v>
      </c>
      <c r="U8" s="5">
        <f t="shared" si="5"/>
        <v>5.27</v>
      </c>
      <c r="V8" s="5">
        <f t="shared" si="6"/>
        <v>4.95</v>
      </c>
    </row>
    <row r="9" spans="1:22" x14ac:dyDescent="0.2">
      <c r="A9" s="33" t="str">
        <f>IF(Tabela176[[#This Row],[Código]]="IBOV","^BVSP",IF(Tabela176[[#This Row],[Código]]="","",CONCATENATE(LEFT(Tabela176[[#This Row],[Código]],6),".SA")))</f>
        <v>BMEB3.SA</v>
      </c>
      <c r="C9" s="3" t="s">
        <v>561</v>
      </c>
      <c r="D9" s="3" t="s">
        <v>774</v>
      </c>
      <c r="E9" s="3" t="s">
        <v>774</v>
      </c>
      <c r="F9" s="3" t="s">
        <v>774</v>
      </c>
      <c r="G9" s="3" t="s">
        <v>774</v>
      </c>
      <c r="H9" s="51">
        <v>41689</v>
      </c>
      <c r="J9" s="3">
        <f t="shared" si="7"/>
        <v>12.4</v>
      </c>
      <c r="K9" s="3">
        <f t="shared" si="0"/>
        <v>12.4</v>
      </c>
      <c r="L9" s="3">
        <f t="shared" si="0"/>
        <v>12.4</v>
      </c>
      <c r="M9" s="3">
        <f t="shared" si="0"/>
        <v>12.4</v>
      </c>
      <c r="P9" s="14" t="s">
        <v>559</v>
      </c>
      <c r="Q9" s="10" t="str">
        <f t="shared" si="1"/>
        <v>MERC BRASIL -ON</v>
      </c>
      <c r="R9" s="51">
        <f t="shared" si="2"/>
        <v>41689</v>
      </c>
      <c r="S9" s="5">
        <f t="shared" si="3"/>
        <v>12.4</v>
      </c>
      <c r="T9" s="5">
        <f t="shared" si="4"/>
        <v>12.4</v>
      </c>
      <c r="U9" s="5">
        <f t="shared" si="5"/>
        <v>12.4</v>
      </c>
      <c r="V9" s="5">
        <f t="shared" si="6"/>
        <v>12.4</v>
      </c>
    </row>
    <row r="10" spans="1:22" x14ac:dyDescent="0.2">
      <c r="A10" s="33" t="str">
        <f>IF(Tabela176[[#This Row],[Código]]="IBOV","^BVSP",IF(Tabela176[[#This Row],[Código]]="","",CONCATENATE(LEFT(Tabela176[[#This Row],[Código]],6),".SA")))</f>
        <v>BMEB4.SA</v>
      </c>
      <c r="C10" s="3" t="s">
        <v>562</v>
      </c>
      <c r="D10" s="3" t="s">
        <v>1977</v>
      </c>
      <c r="E10" s="3" t="s">
        <v>1382</v>
      </c>
      <c r="F10" s="3" t="s">
        <v>1382</v>
      </c>
      <c r="G10" s="3" t="s">
        <v>1977</v>
      </c>
      <c r="H10" s="51">
        <v>41689</v>
      </c>
      <c r="J10" s="3">
        <f t="shared" si="7"/>
        <v>7.34</v>
      </c>
      <c r="K10" s="3">
        <f t="shared" si="0"/>
        <v>7.35</v>
      </c>
      <c r="L10" s="3">
        <f t="shared" si="0"/>
        <v>7.35</v>
      </c>
      <c r="M10" s="3">
        <f t="shared" si="0"/>
        <v>7.34</v>
      </c>
      <c r="P10" s="14" t="s">
        <v>560</v>
      </c>
      <c r="Q10" s="10" t="str">
        <f t="shared" si="1"/>
        <v>MERC BRASIL -PN</v>
      </c>
      <c r="R10" s="46">
        <f t="shared" si="2"/>
        <v>41689</v>
      </c>
      <c r="S10" s="6">
        <f t="shared" si="3"/>
        <v>7.34</v>
      </c>
      <c r="T10" s="6">
        <f t="shared" si="4"/>
        <v>7.35</v>
      </c>
      <c r="U10" s="5">
        <f t="shared" si="5"/>
        <v>7.35</v>
      </c>
      <c r="V10" s="5">
        <f t="shared" si="6"/>
        <v>7.34</v>
      </c>
    </row>
    <row r="11" spans="1:22" x14ac:dyDescent="0.2">
      <c r="A11" s="33" t="str">
        <f>IF(Tabela176[[#This Row],[Código]]="IBOV","^BVSP",IF(Tabela176[[#This Row],[Código]]="","",CONCATENATE(LEFT(Tabela176[[#This Row],[Código]],6),".SA")))</f>
        <v>BPNM3.SA</v>
      </c>
      <c r="C11" s="3" t="s">
        <v>565</v>
      </c>
      <c r="D11" s="3" t="s">
        <v>446</v>
      </c>
      <c r="E11" s="3" t="s">
        <v>447</v>
      </c>
      <c r="F11" s="3" t="s">
        <v>446</v>
      </c>
      <c r="G11" s="3" t="s">
        <v>446</v>
      </c>
      <c r="H11" s="51" t="s">
        <v>446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563</v>
      </c>
      <c r="Q11" s="10" t="str">
        <f t="shared" si="1"/>
        <v xml:space="preserve">PANAMERICANO-ON  </v>
      </c>
      <c r="R11" s="51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 x14ac:dyDescent="0.2">
      <c r="A12" s="33" t="str">
        <f>IF(Tabela176[[#This Row],[Código]]="IBOV","^BVSP",IF(Tabela176[[#This Row],[Código]]="","",CONCATENATE(LEFT(Tabela176[[#This Row],[Código]],6),".SA")))</f>
        <v>BPNM4.SA</v>
      </c>
      <c r="C12" s="3" t="s">
        <v>566</v>
      </c>
      <c r="D12" s="3" t="s">
        <v>1242</v>
      </c>
      <c r="E12" s="3" t="s">
        <v>1978</v>
      </c>
      <c r="F12" s="3" t="s">
        <v>1018</v>
      </c>
      <c r="G12" s="3" t="s">
        <v>227</v>
      </c>
      <c r="H12" s="51">
        <v>41689</v>
      </c>
      <c r="J12" s="3">
        <f t="shared" si="7"/>
        <v>3.66</v>
      </c>
      <c r="K12" s="3">
        <f t="shared" si="0"/>
        <v>3.77</v>
      </c>
      <c r="L12" s="3">
        <f t="shared" si="0"/>
        <v>3.79</v>
      </c>
      <c r="M12" s="3">
        <f t="shared" si="0"/>
        <v>3.6</v>
      </c>
      <c r="P12" s="14" t="s">
        <v>564</v>
      </c>
      <c r="Q12" s="10" t="str">
        <f t="shared" si="1"/>
        <v xml:space="preserve">PANAMERICANO-PN  </v>
      </c>
      <c r="R12" s="46">
        <f t="shared" si="2"/>
        <v>41689</v>
      </c>
      <c r="S12" s="6">
        <f t="shared" si="3"/>
        <v>3.66</v>
      </c>
      <c r="T12" s="6">
        <f t="shared" si="4"/>
        <v>3.77</v>
      </c>
      <c r="U12" s="6">
        <f t="shared" si="5"/>
        <v>3.79</v>
      </c>
      <c r="V12" s="6">
        <f t="shared" si="6"/>
        <v>3.6</v>
      </c>
    </row>
    <row r="13" spans="1:22" x14ac:dyDescent="0.2">
      <c r="A13" s="33" t="str">
        <f>IF(Tabela176[[#This Row],[Código]]="IBOV","^BVSP",IF(Tabela176[[#This Row],[Código]]="","",CONCATENATE(LEFT(Tabela176[[#This Row],[Código]],6),".SA")))</f>
        <v>BPAT33.SA</v>
      </c>
      <c r="C13" s="3" t="s">
        <v>570</v>
      </c>
      <c r="D13" s="3" t="s">
        <v>446</v>
      </c>
      <c r="E13" s="3" t="s">
        <v>415</v>
      </c>
      <c r="F13" s="3" t="s">
        <v>415</v>
      </c>
      <c r="G13" s="3" t="s">
        <v>415</v>
      </c>
      <c r="H13" s="51">
        <v>41689</v>
      </c>
      <c r="J13" s="3" t="e">
        <f t="shared" si="7"/>
        <v>#VALUE!</v>
      </c>
      <c r="K13" s="3">
        <f t="shared" si="0"/>
        <v>20</v>
      </c>
      <c r="L13" s="3">
        <f t="shared" si="0"/>
        <v>20</v>
      </c>
      <c r="M13" s="3">
        <f t="shared" si="0"/>
        <v>20</v>
      </c>
      <c r="P13" s="14" t="s">
        <v>569</v>
      </c>
      <c r="Q13" s="10" t="str">
        <f t="shared" si="1"/>
        <v>PATAGONIA   -DR3</v>
      </c>
      <c r="R13" s="51">
        <f t="shared" si="2"/>
        <v>41689</v>
      </c>
      <c r="S13" s="5" t="e">
        <f t="shared" si="3"/>
        <v>#VALUE!</v>
      </c>
      <c r="T13" s="5">
        <f t="shared" si="4"/>
        <v>20</v>
      </c>
      <c r="U13" s="5">
        <f t="shared" si="5"/>
        <v>20</v>
      </c>
      <c r="V13" s="5">
        <f t="shared" si="6"/>
        <v>20</v>
      </c>
    </row>
    <row r="14" spans="1:22" x14ac:dyDescent="0.2">
      <c r="A14" s="33" t="str">
        <f>IF(Tabela176[[#This Row],[Código]]="IBOV","^BVSP",IF(Tabela176[[#This Row],[Código]]="","",CONCATENATE(LEFT(Tabela176[[#This Row],[Código]],6),".SA")))</f>
        <v>SANB11.SA</v>
      </c>
      <c r="C14" s="3" t="s">
        <v>574</v>
      </c>
      <c r="D14" s="3" t="s">
        <v>1225</v>
      </c>
      <c r="E14" s="3" t="s">
        <v>1979</v>
      </c>
      <c r="F14" s="3" t="s">
        <v>1224</v>
      </c>
      <c r="G14" s="3" t="s">
        <v>1809</v>
      </c>
      <c r="H14" s="51">
        <v>41689</v>
      </c>
      <c r="J14" s="3">
        <f t="shared" si="7"/>
        <v>11.4</v>
      </c>
      <c r="K14" s="3">
        <f t="shared" si="0"/>
        <v>11.47</v>
      </c>
      <c r="L14" s="3">
        <f t="shared" si="0"/>
        <v>11.59</v>
      </c>
      <c r="M14" s="3">
        <f t="shared" si="0"/>
        <v>11.18</v>
      </c>
      <c r="P14" s="15" t="s">
        <v>571</v>
      </c>
      <c r="Q14" s="10" t="str">
        <f t="shared" si="1"/>
        <v xml:space="preserve">SANTANDER BR-UNT </v>
      </c>
      <c r="R14" s="51">
        <f t="shared" si="2"/>
        <v>41689</v>
      </c>
      <c r="S14" s="5">
        <f t="shared" si="3"/>
        <v>11.4</v>
      </c>
      <c r="T14" s="5">
        <f t="shared" si="4"/>
        <v>11.47</v>
      </c>
      <c r="U14" s="5">
        <f t="shared" si="5"/>
        <v>11.59</v>
      </c>
      <c r="V14" s="5">
        <f t="shared" si="6"/>
        <v>11.18</v>
      </c>
    </row>
    <row r="15" spans="1:22" x14ac:dyDescent="0.2">
      <c r="A15" s="33" t="str">
        <f>IF(Tabela176[[#This Row],[Código]]="IBOV","^BVSP",IF(Tabela176[[#This Row],[Código]]="","",CONCATENATE(LEFT(Tabela176[[#This Row],[Código]],6),".SA")))</f>
        <v>SANB3.SA</v>
      </c>
      <c r="C15" s="3" t="s">
        <v>575</v>
      </c>
      <c r="D15" s="3" t="s">
        <v>576</v>
      </c>
      <c r="E15" s="3" t="s">
        <v>576</v>
      </c>
      <c r="F15" s="3" t="s">
        <v>576</v>
      </c>
      <c r="G15" s="3" t="s">
        <v>794</v>
      </c>
      <c r="H15" s="51">
        <v>41689</v>
      </c>
      <c r="J15" s="3">
        <f t="shared" si="7"/>
        <v>0.11</v>
      </c>
      <c r="K15" s="3">
        <f t="shared" si="0"/>
        <v>0.11</v>
      </c>
      <c r="L15" s="3">
        <f t="shared" si="0"/>
        <v>0.11</v>
      </c>
      <c r="M15" s="3">
        <f t="shared" si="0"/>
        <v>0.1</v>
      </c>
      <c r="P15" s="14" t="s">
        <v>572</v>
      </c>
      <c r="Q15" s="10" t="str">
        <f t="shared" si="1"/>
        <v xml:space="preserve">SANTANDER BR-ON  </v>
      </c>
      <c r="R15" s="51">
        <f t="shared" si="2"/>
        <v>41689</v>
      </c>
      <c r="S15" s="5">
        <f t="shared" si="3"/>
        <v>0.11</v>
      </c>
      <c r="T15" s="5">
        <f t="shared" si="4"/>
        <v>0.11</v>
      </c>
      <c r="U15" s="5">
        <f t="shared" si="5"/>
        <v>0.11</v>
      </c>
      <c r="V15" s="5">
        <f t="shared" si="6"/>
        <v>0.1</v>
      </c>
    </row>
    <row r="16" spans="1:22" x14ac:dyDescent="0.2">
      <c r="A16" s="33" t="str">
        <f>IF(Tabela176[[#This Row],[Código]]="IBOV","^BVSP",IF(Tabela176[[#This Row],[Código]]="","",CONCATENATE(LEFT(Tabela176[[#This Row],[Código]],6),".SA")))</f>
        <v>SANB4.SA</v>
      </c>
      <c r="C16" s="3" t="s">
        <v>577</v>
      </c>
      <c r="D16" s="3" t="s">
        <v>576</v>
      </c>
      <c r="E16" s="3" t="s">
        <v>576</v>
      </c>
      <c r="F16" s="3" t="s">
        <v>576</v>
      </c>
      <c r="G16" s="3" t="s">
        <v>794</v>
      </c>
      <c r="H16" s="51">
        <v>41689</v>
      </c>
      <c r="J16" s="3">
        <f t="shared" si="7"/>
        <v>0.11</v>
      </c>
      <c r="K16" s="3">
        <f t="shared" si="0"/>
        <v>0.11</v>
      </c>
      <c r="L16" s="3">
        <f t="shared" si="0"/>
        <v>0.11</v>
      </c>
      <c r="M16" s="3">
        <f t="shared" si="0"/>
        <v>0.1</v>
      </c>
      <c r="P16" s="14" t="s">
        <v>573</v>
      </c>
      <c r="Q16" s="10" t="str">
        <f t="shared" si="1"/>
        <v xml:space="preserve">SANTANDER BR-PN  </v>
      </c>
      <c r="R16" s="51">
        <f t="shared" si="2"/>
        <v>41689</v>
      </c>
      <c r="S16" s="5">
        <f t="shared" si="3"/>
        <v>0.11</v>
      </c>
      <c r="T16" s="5">
        <f t="shared" si="4"/>
        <v>0.11</v>
      </c>
      <c r="U16" s="5">
        <f t="shared" si="5"/>
        <v>0.11</v>
      </c>
      <c r="V16" s="5">
        <f t="shared" si="6"/>
        <v>0.1</v>
      </c>
    </row>
    <row r="17" spans="1:22" x14ac:dyDescent="0.2">
      <c r="A17" s="33" t="str">
        <f>IF(Tabela176[[#This Row],[Código]]="IBOV","^BVSP",IF(Tabela176[[#This Row],[Código]]="","",CONCATENATE(LEFT(Tabela176[[#This Row],[Código]],6),".SA")))</f>
        <v>SFSA3.SA</v>
      </c>
      <c r="C17" s="3" t="s">
        <v>579</v>
      </c>
      <c r="D17" s="3" t="s">
        <v>446</v>
      </c>
      <c r="E17" s="3" t="s">
        <v>447</v>
      </c>
      <c r="F17" s="3" t="s">
        <v>446</v>
      </c>
      <c r="G17" s="3" t="s">
        <v>446</v>
      </c>
      <c r="H17" s="51" t="s">
        <v>446</v>
      </c>
      <c r="J17" s="3" t="e">
        <f t="shared" si="7"/>
        <v>#VALUE!</v>
      </c>
      <c r="K17" s="3">
        <f t="shared" si="0"/>
        <v>0</v>
      </c>
      <c r="L17" s="3" t="e">
        <f t="shared" si="0"/>
        <v>#VALUE!</v>
      </c>
      <c r="M17" s="3" t="e">
        <f t="shared" si="0"/>
        <v>#VALUE!</v>
      </c>
      <c r="P17" s="15" t="s">
        <v>578</v>
      </c>
      <c r="Q17" s="10" t="str">
        <f t="shared" si="1"/>
        <v xml:space="preserve">SOFISA      -ON  </v>
      </c>
      <c r="R17" s="51" t="str">
        <f t="shared" si="2"/>
        <v>N/A</v>
      </c>
      <c r="S17" s="5" t="e">
        <f t="shared" si="3"/>
        <v>#VALUE!</v>
      </c>
      <c r="T17" s="5">
        <f t="shared" si="4"/>
        <v>0</v>
      </c>
      <c r="U17" s="5" t="e">
        <f t="shared" si="5"/>
        <v>#VALUE!</v>
      </c>
      <c r="V17" s="5" t="e">
        <f t="shared" si="6"/>
        <v>#VALUE!</v>
      </c>
    </row>
    <row r="18" spans="1:22" x14ac:dyDescent="0.2">
      <c r="A18" s="33" t="str">
        <f>IF(Tabela176[[#This Row],[Código]]="IBOV","^BVSP",IF(Tabela176[[#This Row],[Código]]="","",CONCATENATE(LEFT(Tabela176[[#This Row],[Código]],6),".SA")))</f>
        <v>IDNT3.SA</v>
      </c>
      <c r="C18" s="3" t="s">
        <v>582</v>
      </c>
      <c r="D18" s="3" t="s">
        <v>1587</v>
      </c>
      <c r="E18" s="3" t="s">
        <v>1980</v>
      </c>
      <c r="F18" s="3" t="s">
        <v>1587</v>
      </c>
      <c r="G18" s="3" t="s">
        <v>685</v>
      </c>
      <c r="H18" s="51">
        <v>41689</v>
      </c>
      <c r="J18" s="3">
        <f t="shared" si="7"/>
        <v>1.39</v>
      </c>
      <c r="K18" s="3">
        <f t="shared" si="0"/>
        <v>1.38</v>
      </c>
      <c r="L18" s="3">
        <f t="shared" si="0"/>
        <v>1.39</v>
      </c>
      <c r="M18" s="3">
        <f t="shared" si="0"/>
        <v>1.34</v>
      </c>
      <c r="P18" s="10" t="s">
        <v>581</v>
      </c>
      <c r="Q18" s="10" t="str">
        <f t="shared" si="1"/>
        <v xml:space="preserve">IDEIASNET   -ON  </v>
      </c>
      <c r="R18" s="51">
        <f t="shared" si="2"/>
        <v>41689</v>
      </c>
      <c r="S18" s="5">
        <f t="shared" si="3"/>
        <v>1.39</v>
      </c>
      <c r="T18" s="5">
        <f t="shared" si="4"/>
        <v>1.38</v>
      </c>
      <c r="U18" s="5">
        <f t="shared" si="5"/>
        <v>1.39</v>
      </c>
      <c r="V18" s="5">
        <f t="shared" si="6"/>
        <v>1.34</v>
      </c>
    </row>
    <row r="19" spans="1:22" x14ac:dyDescent="0.2">
      <c r="A19" s="33" t="str">
        <f>IF(Tabela176[[#This Row],[Código]]="IBOV","^BVSP",IF(Tabela176[[#This Row],[Código]]="","",CONCATENATE(LEFT(Tabela176[[#This Row],[Código]],6),".SA")))</f>
        <v>LINX3.SA</v>
      </c>
      <c r="C19" s="3" t="s">
        <v>587</v>
      </c>
      <c r="D19" s="3" t="s">
        <v>1418</v>
      </c>
      <c r="E19" s="3" t="s">
        <v>1981</v>
      </c>
      <c r="F19" s="3" t="s">
        <v>1982</v>
      </c>
      <c r="G19" s="3" t="s">
        <v>1418</v>
      </c>
      <c r="H19" s="51">
        <v>41689</v>
      </c>
      <c r="J19" s="3">
        <f t="shared" si="7"/>
        <v>42</v>
      </c>
      <c r="K19" s="3">
        <f t="shared" si="0"/>
        <v>42.55</v>
      </c>
      <c r="L19" s="3">
        <f t="shared" si="0"/>
        <v>42.62</v>
      </c>
      <c r="M19" s="3">
        <f t="shared" si="0"/>
        <v>42</v>
      </c>
      <c r="P19" s="10" t="s">
        <v>584</v>
      </c>
      <c r="Q19" s="10" t="str">
        <f t="shared" si="1"/>
        <v xml:space="preserve">LINX        -ON  </v>
      </c>
      <c r="R19" s="51">
        <f t="shared" si="2"/>
        <v>41689</v>
      </c>
      <c r="S19" s="5">
        <f t="shared" si="3"/>
        <v>42</v>
      </c>
      <c r="T19" s="5">
        <f t="shared" si="4"/>
        <v>42.55</v>
      </c>
      <c r="U19" s="5">
        <f t="shared" si="5"/>
        <v>42.62</v>
      </c>
      <c r="V19" s="5">
        <f t="shared" si="6"/>
        <v>42</v>
      </c>
    </row>
    <row r="20" spans="1:22" x14ac:dyDescent="0.2">
      <c r="A20" s="33" t="str">
        <f>IF(Tabela176[[#This Row],[Código]]="IBOV","^BVSP",IF(Tabela176[[#This Row],[Código]]="","",CONCATENATE(LEFT(Tabela176[[#This Row],[Código]],6),".SA")))</f>
        <v>TELB3.SA</v>
      </c>
      <c r="C20" s="3" t="s">
        <v>588</v>
      </c>
      <c r="D20" s="3" t="s">
        <v>1044</v>
      </c>
      <c r="E20" s="3" t="s">
        <v>1044</v>
      </c>
      <c r="F20" s="3" t="s">
        <v>1044</v>
      </c>
      <c r="G20" s="3" t="s">
        <v>1044</v>
      </c>
      <c r="H20" s="51">
        <v>41689</v>
      </c>
      <c r="J20" s="3">
        <f t="shared" si="7"/>
        <v>4.3</v>
      </c>
      <c r="K20" s="3">
        <f t="shared" si="0"/>
        <v>4.3</v>
      </c>
      <c r="L20" s="3">
        <f t="shared" si="0"/>
        <v>4.3</v>
      </c>
      <c r="M20" s="3">
        <f t="shared" si="0"/>
        <v>4.3</v>
      </c>
      <c r="P20" s="10" t="s">
        <v>585</v>
      </c>
      <c r="Q20" s="10" t="str">
        <f t="shared" si="1"/>
        <v>TELEBRAS    -ON</v>
      </c>
      <c r="R20" s="51">
        <f t="shared" si="2"/>
        <v>41689</v>
      </c>
      <c r="S20" s="5">
        <f t="shared" si="3"/>
        <v>4.3</v>
      </c>
      <c r="T20" s="5">
        <f t="shared" si="4"/>
        <v>4.3</v>
      </c>
      <c r="U20" s="5">
        <f t="shared" si="5"/>
        <v>4.3</v>
      </c>
      <c r="V20" s="5">
        <f t="shared" si="6"/>
        <v>4.3</v>
      </c>
    </row>
    <row r="21" spans="1:22" x14ac:dyDescent="0.2">
      <c r="A21" s="33" t="str">
        <f>IF(Tabela176[[#This Row],[Código]]="IBOV","^BVSP",IF(Tabela176[[#This Row],[Código]]="","",CONCATENATE(LEFT(Tabela176[[#This Row],[Código]],6),".SA")))</f>
        <v>TELB4.SA</v>
      </c>
      <c r="C21" s="3" t="s">
        <v>589</v>
      </c>
      <c r="D21" s="3" t="s">
        <v>1244</v>
      </c>
      <c r="E21" s="3" t="s">
        <v>1460</v>
      </c>
      <c r="F21" s="3" t="s">
        <v>1983</v>
      </c>
      <c r="G21" s="3" t="s">
        <v>1810</v>
      </c>
      <c r="H21" s="51">
        <v>41689</v>
      </c>
      <c r="J21" s="3">
        <f t="shared" si="7"/>
        <v>2.54</v>
      </c>
      <c r="K21" s="3">
        <f t="shared" si="0"/>
        <v>2.65</v>
      </c>
      <c r="L21" s="3">
        <f t="shared" si="0"/>
        <v>2.66</v>
      </c>
      <c r="M21" s="3">
        <f t="shared" si="0"/>
        <v>2.52</v>
      </c>
      <c r="P21" s="14" t="s">
        <v>586</v>
      </c>
      <c r="Q21" s="10" t="str">
        <f t="shared" si="1"/>
        <v>TELEBRAS    -PN</v>
      </c>
      <c r="R21" s="51">
        <f t="shared" si="2"/>
        <v>41689</v>
      </c>
      <c r="S21" s="5">
        <f t="shared" si="3"/>
        <v>2.54</v>
      </c>
      <c r="T21" s="5">
        <f t="shared" si="4"/>
        <v>2.65</v>
      </c>
      <c r="U21" s="5">
        <f t="shared" si="5"/>
        <v>2.66</v>
      </c>
      <c r="V21" s="5">
        <f t="shared" si="6"/>
        <v>2.52</v>
      </c>
    </row>
    <row r="22" spans="1:22" x14ac:dyDescent="0.2">
      <c r="A22" s="33" t="str">
        <f>IF(Tabela176[[#This Row],[Código]]="IBOV","^BVSP",IF(Tabela176[[#This Row],[Código]]="","",CONCATENATE(LEFT(Tabela176[[#This Row],[Código]],6),".SA")))</f>
        <v>SNSL3M.SA</v>
      </c>
      <c r="C22" s="3" t="s">
        <v>591</v>
      </c>
      <c r="D22" s="3" t="s">
        <v>740</v>
      </c>
      <c r="E22" s="3" t="s">
        <v>802</v>
      </c>
      <c r="F22" s="3" t="s">
        <v>802</v>
      </c>
      <c r="G22" s="3" t="s">
        <v>803</v>
      </c>
      <c r="H22" s="51">
        <v>41670</v>
      </c>
      <c r="J22" s="3">
        <f t="shared" si="7"/>
        <v>10.3</v>
      </c>
      <c r="K22" s="3">
        <f t="shared" si="0"/>
        <v>10.4</v>
      </c>
      <c r="L22" s="3">
        <f t="shared" si="0"/>
        <v>10.4</v>
      </c>
      <c r="M22" s="3">
        <f t="shared" si="0"/>
        <v>10.17</v>
      </c>
      <c r="P22" s="14" t="s">
        <v>590</v>
      </c>
      <c r="Q22" s="10" t="str">
        <f t="shared" si="1"/>
        <v xml:space="preserve">SENIOR SOL  -ON  </v>
      </c>
      <c r="R22" s="51">
        <f t="shared" si="2"/>
        <v>41670</v>
      </c>
      <c r="S22" s="5">
        <f t="shared" si="3"/>
        <v>10.3</v>
      </c>
      <c r="T22" s="5">
        <f t="shared" si="4"/>
        <v>10.4</v>
      </c>
      <c r="U22" s="5">
        <f t="shared" si="5"/>
        <v>10.4</v>
      </c>
      <c r="V22" s="5">
        <f t="shared" si="6"/>
        <v>10.17</v>
      </c>
    </row>
    <row r="23" spans="1:22" x14ac:dyDescent="0.2">
      <c r="A23" s="33" t="str">
        <f>IF(Tabela176[[#This Row],[Código]]="IBOV","^BVSP",IF(Tabela176[[#This Row],[Código]]="","",CONCATENATE(LEFT(Tabela176[[#This Row],[Código]],6),".SA")))</f>
        <v>TOTS3.SA</v>
      </c>
      <c r="C23" s="3" t="s">
        <v>593</v>
      </c>
      <c r="D23" s="3" t="s">
        <v>1811</v>
      </c>
      <c r="E23" s="3" t="s">
        <v>1984</v>
      </c>
      <c r="F23" s="3" t="s">
        <v>1811</v>
      </c>
      <c r="G23" s="3" t="s">
        <v>1985</v>
      </c>
      <c r="H23" s="51">
        <v>41689</v>
      </c>
      <c r="J23" s="3">
        <f t="shared" si="7"/>
        <v>33.6</v>
      </c>
      <c r="K23" s="3">
        <f t="shared" si="7"/>
        <v>32.57</v>
      </c>
      <c r="L23" s="3">
        <f t="shared" si="7"/>
        <v>33.6</v>
      </c>
      <c r="M23" s="3">
        <f t="shared" si="7"/>
        <v>32.53</v>
      </c>
      <c r="P23" s="14" t="s">
        <v>592</v>
      </c>
      <c r="Q23" s="10" t="str">
        <f t="shared" si="1"/>
        <v xml:space="preserve">TOTVS       -ON  </v>
      </c>
      <c r="R23" s="51">
        <f t="shared" si="2"/>
        <v>41689</v>
      </c>
      <c r="S23" s="5">
        <f t="shared" si="3"/>
        <v>33.6</v>
      </c>
      <c r="T23" s="5">
        <f t="shared" si="4"/>
        <v>32.57</v>
      </c>
      <c r="U23" s="5">
        <f t="shared" si="5"/>
        <v>33.6</v>
      </c>
      <c r="V23" s="5">
        <f t="shared" si="6"/>
        <v>32.53</v>
      </c>
    </row>
    <row r="24" spans="1:22" x14ac:dyDescent="0.2">
      <c r="A24" s="33" t="str">
        <f>IF(Tabela176[[#This Row],[Código]]="IBOV","^BVSP",IF(Tabela176[[#This Row],[Código]]="","",CONCATENATE(LEFT(Tabela176[[#This Row],[Código]],6),".SA")))</f>
        <v>BEMA3.SA</v>
      </c>
      <c r="C24" s="3" t="s">
        <v>598</v>
      </c>
      <c r="D24" s="3" t="s">
        <v>1812</v>
      </c>
      <c r="E24" s="3" t="s">
        <v>1245</v>
      </c>
      <c r="F24" s="3" t="s">
        <v>1057</v>
      </c>
      <c r="G24" s="3" t="s">
        <v>1567</v>
      </c>
      <c r="H24" s="51">
        <v>41689</v>
      </c>
      <c r="J24" s="3">
        <f t="shared" si="7"/>
        <v>7.59</v>
      </c>
      <c r="K24" s="3">
        <f t="shared" si="7"/>
        <v>7.66</v>
      </c>
      <c r="L24" s="3">
        <f t="shared" si="7"/>
        <v>7.82</v>
      </c>
      <c r="M24" s="3">
        <f t="shared" si="7"/>
        <v>7.51</v>
      </c>
      <c r="P24" s="15" t="s">
        <v>595</v>
      </c>
      <c r="Q24" s="10" t="str">
        <f t="shared" si="1"/>
        <v xml:space="preserve">BEMATECH    -ON  </v>
      </c>
      <c r="R24" s="51">
        <f t="shared" si="2"/>
        <v>41689</v>
      </c>
      <c r="S24" s="5">
        <f t="shared" si="3"/>
        <v>7.59</v>
      </c>
      <c r="T24" s="5">
        <f t="shared" si="4"/>
        <v>7.66</v>
      </c>
      <c r="U24" s="5">
        <f t="shared" si="5"/>
        <v>7.82</v>
      </c>
      <c r="V24" s="5">
        <f t="shared" si="6"/>
        <v>7.51</v>
      </c>
    </row>
    <row r="25" spans="1:22" x14ac:dyDescent="0.2">
      <c r="A25" s="33" t="str">
        <f>IF(Tabela176[[#This Row],[Código]]="IBOV","^BVSP",IF(Tabela176[[#This Row],[Código]]="","",CONCATENATE(LEFT(Tabela176[[#This Row],[Código]],6),".SA")))</f>
        <v>ITEC3.SA</v>
      </c>
      <c r="C25" s="3" t="s">
        <v>599</v>
      </c>
      <c r="D25" s="3" t="s">
        <v>968</v>
      </c>
      <c r="E25" s="3" t="s">
        <v>968</v>
      </c>
      <c r="F25" s="3" t="s">
        <v>968</v>
      </c>
      <c r="G25" s="3" t="s">
        <v>968</v>
      </c>
      <c r="H25" s="51">
        <v>41689</v>
      </c>
      <c r="J25" s="3">
        <f t="shared" si="7"/>
        <v>19.02</v>
      </c>
      <c r="K25" s="3">
        <f t="shared" si="7"/>
        <v>19.02</v>
      </c>
      <c r="L25" s="3">
        <f t="shared" si="7"/>
        <v>19.02</v>
      </c>
      <c r="M25" s="3">
        <f t="shared" si="7"/>
        <v>19.02</v>
      </c>
      <c r="P25" s="10" t="s">
        <v>596</v>
      </c>
      <c r="Q25" s="10" t="str">
        <f t="shared" si="1"/>
        <v>ITAUTEC     -ON</v>
      </c>
      <c r="R25" s="51">
        <f t="shared" si="2"/>
        <v>41689</v>
      </c>
      <c r="S25" s="5">
        <f t="shared" si="3"/>
        <v>19.02</v>
      </c>
      <c r="T25" s="5">
        <f t="shared" si="4"/>
        <v>19.02</v>
      </c>
      <c r="U25" s="5">
        <f t="shared" si="5"/>
        <v>19.02</v>
      </c>
      <c r="V25" s="5">
        <f t="shared" si="6"/>
        <v>19.02</v>
      </c>
    </row>
    <row r="26" spans="1:22" x14ac:dyDescent="0.2">
      <c r="A26" s="33" t="str">
        <f>IF(Tabela176[[#This Row],[Código]]="IBOV","^BVSP",IF(Tabela176[[#This Row],[Código]]="","",CONCATENATE(LEFT(Tabela176[[#This Row],[Código]],6),".SA")))</f>
        <v>POSI3.SA</v>
      </c>
      <c r="C26" s="3" t="s">
        <v>600</v>
      </c>
      <c r="D26" s="3" t="s">
        <v>1060</v>
      </c>
      <c r="E26" s="3" t="s">
        <v>1813</v>
      </c>
      <c r="F26" s="3" t="s">
        <v>1060</v>
      </c>
      <c r="G26" s="3" t="s">
        <v>1006</v>
      </c>
      <c r="H26" s="51">
        <v>41689</v>
      </c>
      <c r="J26" s="3">
        <f t="shared" si="7"/>
        <v>2.76</v>
      </c>
      <c r="K26" s="3">
        <f t="shared" si="7"/>
        <v>2.62</v>
      </c>
      <c r="L26" s="3">
        <f t="shared" si="7"/>
        <v>2.76</v>
      </c>
      <c r="M26" s="3">
        <f t="shared" si="7"/>
        <v>2.6</v>
      </c>
      <c r="P26" s="15" t="s">
        <v>597</v>
      </c>
      <c r="Q26" s="10" t="str">
        <f t="shared" si="1"/>
        <v xml:space="preserve">POSITIVO INF-ON  </v>
      </c>
      <c r="R26" s="51">
        <f t="shared" si="2"/>
        <v>41689</v>
      </c>
      <c r="S26" s="5">
        <f t="shared" si="3"/>
        <v>2.76</v>
      </c>
      <c r="T26" s="5">
        <f t="shared" si="4"/>
        <v>2.62</v>
      </c>
      <c r="U26" s="5">
        <f t="shared" si="5"/>
        <v>2.76</v>
      </c>
      <c r="V26" s="5">
        <f t="shared" si="6"/>
        <v>2.6</v>
      </c>
    </row>
    <row r="27" spans="1:22" x14ac:dyDescent="0.2">
      <c r="A27" s="33" t="str">
        <f>IF(Tabela176[[#This Row],[Código]]="IBOV","^BVSP",IF(Tabela176[[#This Row],[Código]]="","",CONCATENATE(LEFT(Tabela176[[#This Row],[Código]],6),".SA")))</f>
        <v>RPMG3.SA</v>
      </c>
      <c r="C27" s="3" t="s">
        <v>604</v>
      </c>
      <c r="D27" s="3" t="s">
        <v>975</v>
      </c>
      <c r="E27" s="3" t="s">
        <v>970</v>
      </c>
      <c r="F27" s="3" t="s">
        <v>969</v>
      </c>
      <c r="G27" s="3" t="s">
        <v>1095</v>
      </c>
      <c r="H27" s="51">
        <v>41689</v>
      </c>
      <c r="J27" s="3">
        <f t="shared" si="7"/>
        <v>0.31</v>
      </c>
      <c r="K27" s="3">
        <f t="shared" si="7"/>
        <v>0.32</v>
      </c>
      <c r="L27" s="3">
        <f t="shared" si="7"/>
        <v>0.33</v>
      </c>
      <c r="M27" s="3">
        <f t="shared" si="7"/>
        <v>0.3</v>
      </c>
      <c r="P27" s="15" t="s">
        <v>602</v>
      </c>
      <c r="Q27" s="10" t="str">
        <f t="shared" si="1"/>
        <v>PET MANGUINH-ON</v>
      </c>
      <c r="R27" s="51">
        <f t="shared" si="2"/>
        <v>41689</v>
      </c>
      <c r="S27" s="5">
        <f t="shared" si="3"/>
        <v>0.31</v>
      </c>
      <c r="T27" s="5">
        <f t="shared" si="4"/>
        <v>0.32</v>
      </c>
      <c r="U27" s="5">
        <f t="shared" si="5"/>
        <v>0.33</v>
      </c>
      <c r="V27" s="5">
        <f t="shared" si="6"/>
        <v>0.3</v>
      </c>
    </row>
    <row r="28" spans="1:22" x14ac:dyDescent="0.2">
      <c r="A28" s="33" t="str">
        <f>IF(Tabela176[[#This Row],[Código]]="IBOV","^BVSP",IF(Tabela176[[#This Row],[Código]]="","",CONCATENATE(LEFT(Tabela176[[#This Row],[Código]],6),".SA")))</f>
        <v>RPMG4.SA</v>
      </c>
      <c r="C28" s="3" t="s">
        <v>605</v>
      </c>
      <c r="D28" s="3" t="s">
        <v>1095</v>
      </c>
      <c r="E28" s="3" t="s">
        <v>975</v>
      </c>
      <c r="F28" s="3" t="s">
        <v>970</v>
      </c>
      <c r="G28" s="3" t="s">
        <v>1095</v>
      </c>
      <c r="H28" s="51">
        <v>41689</v>
      </c>
      <c r="J28" s="3">
        <f t="shared" si="7"/>
        <v>0.3</v>
      </c>
      <c r="K28" s="3">
        <f t="shared" si="7"/>
        <v>0.31</v>
      </c>
      <c r="L28" s="3">
        <f t="shared" si="7"/>
        <v>0.32</v>
      </c>
      <c r="M28" s="3">
        <f t="shared" si="7"/>
        <v>0.3</v>
      </c>
      <c r="P28" s="15" t="s">
        <v>603</v>
      </c>
      <c r="Q28" s="10" t="str">
        <f t="shared" si="1"/>
        <v>PET MANGUINH-PN</v>
      </c>
      <c r="R28" s="51">
        <f t="shared" si="2"/>
        <v>41689</v>
      </c>
      <c r="S28" s="5">
        <f t="shared" si="3"/>
        <v>0.3</v>
      </c>
      <c r="T28" s="5">
        <f t="shared" si="4"/>
        <v>0.31</v>
      </c>
      <c r="U28" s="5">
        <f t="shared" si="5"/>
        <v>0.32</v>
      </c>
      <c r="V28" s="5">
        <f t="shared" si="6"/>
        <v>0.3</v>
      </c>
    </row>
    <row r="29" spans="1:22" x14ac:dyDescent="0.2">
      <c r="A29" s="33" t="str">
        <f>IF(Tabela176[[#This Row],[Código]]="IBOV","^BVSP",IF(Tabela176[[#This Row],[Código]]="","",CONCATENATE(LEFT(Tabela176[[#This Row],[Código]],6),".SA")))</f>
        <v>CSNA3.SA</v>
      </c>
      <c r="C29" s="3" t="s">
        <v>609</v>
      </c>
      <c r="D29" s="3" t="s">
        <v>1061</v>
      </c>
      <c r="E29" s="3" t="s">
        <v>1986</v>
      </c>
      <c r="F29" s="3" t="s">
        <v>1586</v>
      </c>
      <c r="G29" s="3" t="s">
        <v>1814</v>
      </c>
      <c r="H29" s="51">
        <v>41689</v>
      </c>
      <c r="J29" s="3">
        <f>IF($A29="",0,VALUE(CONCATENATE(LEFT(D29,LEN(D29)-3),",",RIGHT(D29,2))))</f>
        <v>10.56</v>
      </c>
      <c r="K29" s="3">
        <f t="shared" si="7"/>
        <v>11.21</v>
      </c>
      <c r="L29" s="3">
        <f t="shared" si="7"/>
        <v>11.38</v>
      </c>
      <c r="M29" s="3">
        <f t="shared" si="7"/>
        <v>10.55</v>
      </c>
      <c r="P29" s="15" t="s">
        <v>608</v>
      </c>
      <c r="Q29" s="10" t="str">
        <f t="shared" si="1"/>
        <v>SID NACIONAL-ON</v>
      </c>
      <c r="R29" s="51">
        <f t="shared" si="2"/>
        <v>41689</v>
      </c>
      <c r="S29" s="5">
        <f t="shared" si="3"/>
        <v>10.56</v>
      </c>
      <c r="T29" s="5">
        <f t="shared" si="4"/>
        <v>11.21</v>
      </c>
      <c r="U29" s="5">
        <f t="shared" si="5"/>
        <v>11.38</v>
      </c>
      <c r="V29" s="5">
        <f t="shared" si="6"/>
        <v>10.55</v>
      </c>
    </row>
    <row r="30" spans="1:22" x14ac:dyDescent="0.2">
      <c r="A30" s="33" t="str">
        <f>IF(Tabela176[[#This Row],[Código]]="IBOV","^BVSP",IF(Tabela176[[#This Row],[Código]]="","",CONCATENATE(LEFT(Tabela176[[#This Row],[Código]],6),".SA")))</f>
        <v>USIM3.SA</v>
      </c>
      <c r="C30" s="3" t="s">
        <v>613</v>
      </c>
      <c r="D30" s="3" t="s">
        <v>1589</v>
      </c>
      <c r="E30" s="3" t="s">
        <v>1865</v>
      </c>
      <c r="F30" s="3" t="s">
        <v>1589</v>
      </c>
      <c r="G30" s="3" t="s">
        <v>1767</v>
      </c>
      <c r="H30" s="51">
        <v>41689</v>
      </c>
      <c r="J30" s="3">
        <f t="shared" si="7"/>
        <v>9.65</v>
      </c>
      <c r="K30" s="3">
        <f t="shared" si="7"/>
        <v>9.56</v>
      </c>
      <c r="L30" s="3">
        <f t="shared" si="7"/>
        <v>9.65</v>
      </c>
      <c r="M30" s="3">
        <f t="shared" si="7"/>
        <v>9.2899999999999991</v>
      </c>
      <c r="P30" s="14" t="s">
        <v>610</v>
      </c>
      <c r="Q30" s="10" t="str">
        <f t="shared" si="1"/>
        <v xml:space="preserve">USIMINAS    -ON  </v>
      </c>
      <c r="R30" s="51">
        <f t="shared" si="2"/>
        <v>41689</v>
      </c>
      <c r="S30" s="5">
        <f t="shared" si="3"/>
        <v>9.65</v>
      </c>
      <c r="T30" s="5">
        <f t="shared" si="4"/>
        <v>9.56</v>
      </c>
      <c r="U30" s="5">
        <f t="shared" si="5"/>
        <v>9.65</v>
      </c>
      <c r="V30" s="5">
        <f t="shared" si="6"/>
        <v>9.2899999999999991</v>
      </c>
    </row>
    <row r="31" spans="1:22" x14ac:dyDescent="0.2">
      <c r="A31" s="33" t="str">
        <f>IF(Tabela176[[#This Row],[Código]]="IBOV","^BVSP",IF(Tabela176[[#This Row],[Código]]="","",CONCATENATE(LEFT(Tabela176[[#This Row],[Código]],6),".SA")))</f>
        <v>USIM5.SA</v>
      </c>
      <c r="C31" s="3" t="s">
        <v>614</v>
      </c>
      <c r="D31" s="3" t="s">
        <v>1247</v>
      </c>
      <c r="E31" s="3" t="s">
        <v>1597</v>
      </c>
      <c r="F31" s="3" t="s">
        <v>1987</v>
      </c>
      <c r="G31" s="3" t="s">
        <v>1815</v>
      </c>
      <c r="H31" s="51">
        <v>41689</v>
      </c>
      <c r="J31" s="3">
        <f t="shared" si="7"/>
        <v>10.06</v>
      </c>
      <c r="K31" s="3">
        <f t="shared" si="7"/>
        <v>10.29</v>
      </c>
      <c r="L31" s="3">
        <f t="shared" si="7"/>
        <v>10.48</v>
      </c>
      <c r="M31" s="3">
        <f t="shared" si="7"/>
        <v>9.86</v>
      </c>
      <c r="P31" s="14" t="s">
        <v>611</v>
      </c>
      <c r="Q31" s="10" t="str">
        <f t="shared" si="1"/>
        <v xml:space="preserve">USIMINAS    -PNA </v>
      </c>
      <c r="R31" s="51">
        <f t="shared" si="2"/>
        <v>41689</v>
      </c>
      <c r="S31" s="5">
        <f t="shared" si="3"/>
        <v>10.06</v>
      </c>
      <c r="T31" s="5">
        <f t="shared" si="4"/>
        <v>10.29</v>
      </c>
      <c r="U31" s="5">
        <f t="shared" si="5"/>
        <v>10.48</v>
      </c>
      <c r="V31" s="5">
        <f t="shared" si="6"/>
        <v>9.86</v>
      </c>
    </row>
    <row r="32" spans="1:22" x14ac:dyDescent="0.2">
      <c r="A32" s="33" t="str">
        <f>IF(Tabela176[[#This Row],[Código]]="IBOV","^BVSP",IF(Tabela176[[#This Row],[Código]]="","",CONCATENATE(LEFT(Tabela176[[#This Row],[Código]],6),".SA")))</f>
        <v>USIM6.SA</v>
      </c>
      <c r="C32" s="3" t="s">
        <v>615</v>
      </c>
      <c r="D32" s="3" t="s">
        <v>616</v>
      </c>
      <c r="E32" s="3" t="s">
        <v>616</v>
      </c>
      <c r="F32" s="3" t="s">
        <v>616</v>
      </c>
      <c r="G32" s="3" t="s">
        <v>616</v>
      </c>
      <c r="H32" s="51">
        <v>41689</v>
      </c>
      <c r="J32" s="3">
        <f t="shared" si="7"/>
        <v>11.13</v>
      </c>
      <c r="K32" s="3">
        <f t="shared" si="7"/>
        <v>11.13</v>
      </c>
      <c r="L32" s="3">
        <f t="shared" si="7"/>
        <v>11.13</v>
      </c>
      <c r="M32" s="3">
        <f t="shared" si="7"/>
        <v>11.13</v>
      </c>
      <c r="P32" s="14" t="s">
        <v>612</v>
      </c>
      <c r="Q32" s="10" t="str">
        <f t="shared" si="1"/>
        <v xml:space="preserve">USIMINAS    -PNB </v>
      </c>
      <c r="R32" s="51">
        <f t="shared" si="2"/>
        <v>41689</v>
      </c>
      <c r="S32" s="5">
        <f t="shared" si="3"/>
        <v>11.13</v>
      </c>
      <c r="T32" s="5">
        <f t="shared" si="4"/>
        <v>11.13</v>
      </c>
      <c r="U32" s="5">
        <f t="shared" si="5"/>
        <v>11.13</v>
      </c>
      <c r="V32" s="5">
        <f t="shared" si="6"/>
        <v>11.13</v>
      </c>
    </row>
    <row r="33" spans="1:22" x14ac:dyDescent="0.2">
      <c r="A33" s="33" t="str">
        <f>IF(Tabela176[[#This Row],[Código]]="IBOV","^BVSP",IF(Tabela176[[#This Row],[Código]]="","",CONCATENATE(LEFT(Tabela176[[#This Row],[Código]],6),".SA")))</f>
        <v>GGBR3.SA</v>
      </c>
      <c r="C33" s="3" t="s">
        <v>619</v>
      </c>
      <c r="D33" s="3" t="s">
        <v>1590</v>
      </c>
      <c r="E33" s="3" t="s">
        <v>1201</v>
      </c>
      <c r="F33" s="3" t="s">
        <v>1051</v>
      </c>
      <c r="G33" s="3" t="s">
        <v>1816</v>
      </c>
      <c r="H33" s="51">
        <v>41689</v>
      </c>
      <c r="J33" s="3">
        <f t="shared" si="7"/>
        <v>12.1</v>
      </c>
      <c r="K33" s="3">
        <f t="shared" si="7"/>
        <v>12.25</v>
      </c>
      <c r="L33" s="3">
        <f t="shared" si="7"/>
        <v>12.45</v>
      </c>
      <c r="M33" s="3">
        <f t="shared" si="7"/>
        <v>12.04</v>
      </c>
      <c r="P33" s="14" t="s">
        <v>617</v>
      </c>
      <c r="Q33" s="10" t="str">
        <f t="shared" si="1"/>
        <v xml:space="preserve">GERDAU      -ON  </v>
      </c>
      <c r="R33" s="51">
        <f t="shared" si="2"/>
        <v>41689</v>
      </c>
      <c r="S33" s="5">
        <f t="shared" si="3"/>
        <v>12.1</v>
      </c>
      <c r="T33" s="5">
        <f t="shared" si="4"/>
        <v>12.25</v>
      </c>
      <c r="U33" s="5">
        <f t="shared" si="5"/>
        <v>12.45</v>
      </c>
      <c r="V33" s="5">
        <f t="shared" si="6"/>
        <v>12.04</v>
      </c>
    </row>
    <row r="34" spans="1:22" x14ac:dyDescent="0.2">
      <c r="A34" s="33" t="str">
        <f>IF(Tabela176[[#This Row],[Código]]="IBOV","^BVSP",IF(Tabela176[[#This Row],[Código]]="","",CONCATENATE(LEFT(Tabela176[[#This Row],[Código]],6),".SA")))</f>
        <v>GGBR4.SA</v>
      </c>
      <c r="C34" s="3" t="s">
        <v>620</v>
      </c>
      <c r="D34" s="3" t="s">
        <v>1817</v>
      </c>
      <c r="E34" s="3" t="s">
        <v>1988</v>
      </c>
      <c r="F34" s="3" t="s">
        <v>1194</v>
      </c>
      <c r="G34" s="3" t="s">
        <v>1818</v>
      </c>
      <c r="H34" s="51">
        <v>41689</v>
      </c>
      <c r="J34" s="3">
        <f t="shared" si="7"/>
        <v>14.83</v>
      </c>
      <c r="K34" s="3">
        <f t="shared" si="7"/>
        <v>15.25</v>
      </c>
      <c r="L34" s="3">
        <f t="shared" si="7"/>
        <v>15.44</v>
      </c>
      <c r="M34" s="3">
        <f t="shared" si="7"/>
        <v>14.81</v>
      </c>
      <c r="P34" s="14" t="s">
        <v>618</v>
      </c>
      <c r="Q34" s="10" t="str">
        <f t="shared" si="1"/>
        <v xml:space="preserve">GERDAU      -PN  </v>
      </c>
      <c r="R34" s="51">
        <f t="shared" si="2"/>
        <v>41689</v>
      </c>
      <c r="S34" s="5">
        <f t="shared" si="3"/>
        <v>14.83</v>
      </c>
      <c r="T34" s="5">
        <f t="shared" si="4"/>
        <v>15.25</v>
      </c>
      <c r="U34" s="5">
        <f t="shared" si="5"/>
        <v>15.44</v>
      </c>
      <c r="V34" s="5">
        <f t="shared" si="6"/>
        <v>14.81</v>
      </c>
    </row>
    <row r="35" spans="1:22" x14ac:dyDescent="0.2">
      <c r="A35" s="33" t="str">
        <f>IF(Tabela176[[#This Row],[Código]]="IBOV","^BVSP",IF(Tabela176[[#This Row],[Código]]="","",CONCATENATE(LEFT(Tabela176[[#This Row],[Código]],6),".SA")))</f>
        <v>GOAU3.SA</v>
      </c>
      <c r="C35" s="3" t="s">
        <v>623</v>
      </c>
      <c r="D35" s="3" t="s">
        <v>1167</v>
      </c>
      <c r="E35" s="3" t="s">
        <v>1069</v>
      </c>
      <c r="F35" s="3" t="s">
        <v>1989</v>
      </c>
      <c r="G35" s="3" t="s">
        <v>1167</v>
      </c>
      <c r="H35" s="51">
        <v>41689</v>
      </c>
      <c r="J35" s="3">
        <f t="shared" si="7"/>
        <v>14.99</v>
      </c>
      <c r="K35" s="3">
        <f t="shared" si="7"/>
        <v>15.54</v>
      </c>
      <c r="L35" s="3">
        <f t="shared" si="7"/>
        <v>15.55</v>
      </c>
      <c r="M35" s="3">
        <f t="shared" si="7"/>
        <v>14.99</v>
      </c>
      <c r="P35" s="14" t="s">
        <v>621</v>
      </c>
      <c r="Q35" s="10" t="str">
        <f t="shared" si="1"/>
        <v xml:space="preserve">GERDAU MET  -ON  </v>
      </c>
      <c r="R35" s="51">
        <f t="shared" si="2"/>
        <v>41689</v>
      </c>
      <c r="S35" s="5">
        <f t="shared" si="3"/>
        <v>14.99</v>
      </c>
      <c r="T35" s="5">
        <f t="shared" si="4"/>
        <v>15.54</v>
      </c>
      <c r="U35" s="5">
        <f t="shared" si="5"/>
        <v>15.55</v>
      </c>
      <c r="V35" s="5">
        <f t="shared" si="6"/>
        <v>14.99</v>
      </c>
    </row>
    <row r="36" spans="1:22" x14ac:dyDescent="0.2">
      <c r="A36" s="33" t="str">
        <f>IF(Tabela176[[#This Row],[Código]]="IBOV","^BVSP",IF(Tabela176[[#This Row],[Código]]="","",CONCATENATE(LEFT(Tabela176[[#This Row],[Código]],6),".SA")))</f>
        <v>GOAU4.SA</v>
      </c>
      <c r="C36" s="3" t="s">
        <v>624</v>
      </c>
      <c r="D36" s="3" t="s">
        <v>1216</v>
      </c>
      <c r="E36" s="3" t="s">
        <v>1990</v>
      </c>
      <c r="F36" s="3" t="s">
        <v>1991</v>
      </c>
      <c r="G36" s="3" t="s">
        <v>1217</v>
      </c>
      <c r="H36" s="51">
        <v>41689</v>
      </c>
      <c r="J36" s="3">
        <f t="shared" si="7"/>
        <v>18.420000000000002</v>
      </c>
      <c r="K36" s="3">
        <f t="shared" si="7"/>
        <v>18.920000000000002</v>
      </c>
      <c r="L36" s="3">
        <f t="shared" si="7"/>
        <v>19.14</v>
      </c>
      <c r="M36" s="3">
        <f t="shared" si="7"/>
        <v>18.399999999999999</v>
      </c>
      <c r="P36" s="14" t="s">
        <v>622</v>
      </c>
      <c r="Q36" s="10" t="str">
        <f t="shared" si="1"/>
        <v xml:space="preserve">GERDAU MET  -PN  </v>
      </c>
      <c r="R36" s="51">
        <f t="shared" si="2"/>
        <v>41689</v>
      </c>
      <c r="S36" s="5">
        <f t="shared" si="3"/>
        <v>18.420000000000002</v>
      </c>
      <c r="T36" s="5">
        <f t="shared" si="4"/>
        <v>18.920000000000002</v>
      </c>
      <c r="U36" s="5">
        <f t="shared" si="5"/>
        <v>19.14</v>
      </c>
      <c r="V36" s="5">
        <f t="shared" si="6"/>
        <v>18.399999999999999</v>
      </c>
    </row>
    <row r="37" spans="1:22" x14ac:dyDescent="0.2">
      <c r="A37" s="33" t="str">
        <f>IF(Tabela176[[#This Row],[Código]]="IBOV","^BVSP",IF(Tabela176[[#This Row],[Código]]="","",CONCATENATE(LEFT(Tabela176[[#This Row],[Código]],6),".SA")))</f>
        <v>FBMC3.SA</v>
      </c>
      <c r="C37" s="3" t="s">
        <v>627</v>
      </c>
      <c r="D37" s="3" t="s">
        <v>446</v>
      </c>
      <c r="E37" s="3" t="s">
        <v>628</v>
      </c>
      <c r="F37" s="3" t="s">
        <v>628</v>
      </c>
      <c r="G37" s="3" t="s">
        <v>628</v>
      </c>
      <c r="H37" s="51">
        <v>41689</v>
      </c>
      <c r="J37" s="3" t="e">
        <f t="shared" si="7"/>
        <v>#VALUE!</v>
      </c>
      <c r="K37" s="3">
        <f t="shared" si="7"/>
        <v>80</v>
      </c>
      <c r="L37" s="3">
        <f t="shared" si="7"/>
        <v>80</v>
      </c>
      <c r="M37" s="3">
        <f t="shared" si="7"/>
        <v>80</v>
      </c>
      <c r="P37" s="15" t="s">
        <v>625</v>
      </c>
      <c r="Q37" s="10" t="str">
        <f t="shared" si="1"/>
        <v>FIBAM       -ON</v>
      </c>
      <c r="R37" s="51">
        <f t="shared" si="2"/>
        <v>41689</v>
      </c>
      <c r="S37" s="5" t="e">
        <f t="shared" si="3"/>
        <v>#VALUE!</v>
      </c>
      <c r="T37" s="5">
        <f t="shared" si="4"/>
        <v>80</v>
      </c>
      <c r="U37" s="5">
        <f t="shared" si="5"/>
        <v>80</v>
      </c>
      <c r="V37" s="5">
        <f t="shared" si="6"/>
        <v>80</v>
      </c>
    </row>
    <row r="38" spans="1:22" x14ac:dyDescent="0.2">
      <c r="A38" s="33" t="str">
        <f>IF(Tabela176[[#This Row],[Código]]="IBOV","^BVSP",IF(Tabela176[[#This Row],[Código]]="","",CONCATENATE(LEFT(Tabela176[[#This Row],[Código]],6),".SA")))</f>
        <v>FBMC4.SA</v>
      </c>
      <c r="C38" s="3" t="s">
        <v>629</v>
      </c>
      <c r="D38" s="3" t="s">
        <v>778</v>
      </c>
      <c r="E38" s="3" t="s">
        <v>778</v>
      </c>
      <c r="F38" s="3" t="s">
        <v>778</v>
      </c>
      <c r="G38" s="3" t="s">
        <v>778</v>
      </c>
      <c r="H38" s="51">
        <v>41689</v>
      </c>
      <c r="J38" s="3">
        <f t="shared" si="7"/>
        <v>25.99</v>
      </c>
      <c r="K38" s="3">
        <f t="shared" si="7"/>
        <v>25.99</v>
      </c>
      <c r="L38" s="3">
        <f t="shared" si="7"/>
        <v>25.99</v>
      </c>
      <c r="M38" s="3">
        <f t="shared" si="7"/>
        <v>25.99</v>
      </c>
      <c r="P38" s="15" t="s">
        <v>626</v>
      </c>
      <c r="Q38" s="10" t="str">
        <f t="shared" si="1"/>
        <v>FIBAM       -PN</v>
      </c>
      <c r="R38" s="51">
        <f t="shared" si="2"/>
        <v>41689</v>
      </c>
      <c r="S38" s="5">
        <f t="shared" si="3"/>
        <v>25.99</v>
      </c>
      <c r="T38" s="5">
        <f t="shared" si="4"/>
        <v>25.99</v>
      </c>
      <c r="U38" s="5">
        <f t="shared" si="5"/>
        <v>25.99</v>
      </c>
      <c r="V38" s="5">
        <f t="shared" si="6"/>
        <v>25.99</v>
      </c>
    </row>
    <row r="39" spans="1:22" x14ac:dyDescent="0.2">
      <c r="A39" s="33" t="str">
        <f>IF(Tabela176[[#This Row],[Código]]="IBOV","^BVSP",IF(Tabela176[[#This Row],[Código]]="","",CONCATENATE(LEFT(Tabela176[[#This Row],[Código]],6),".SA")))</f>
        <v>MGEL3.SA</v>
      </c>
      <c r="C39" s="3" t="s">
        <v>632</v>
      </c>
      <c r="D39" s="3" t="s">
        <v>446</v>
      </c>
      <c r="E39" s="3" t="s">
        <v>633</v>
      </c>
      <c r="F39" s="3" t="s">
        <v>633</v>
      </c>
      <c r="G39" s="3" t="s">
        <v>633</v>
      </c>
      <c r="H39" s="51">
        <v>41689</v>
      </c>
      <c r="J39" s="3" t="e">
        <f t="shared" si="7"/>
        <v>#VALUE!</v>
      </c>
      <c r="K39" s="3">
        <f t="shared" si="7"/>
        <v>25</v>
      </c>
      <c r="L39" s="3">
        <f t="shared" si="7"/>
        <v>25</v>
      </c>
      <c r="M39" s="3">
        <f t="shared" si="7"/>
        <v>25</v>
      </c>
      <c r="P39" s="14" t="s">
        <v>630</v>
      </c>
      <c r="Q39" s="10" t="str">
        <f t="shared" ref="Q39:Q70" si="8">IF(A39="","",C39)</f>
        <v xml:space="preserve">MANGELS INDL-ON  </v>
      </c>
      <c r="R39" s="51">
        <f t="shared" ref="R39:R70" si="9">IF(A39="","",H39)</f>
        <v>41689</v>
      </c>
      <c r="S39" s="5" t="e">
        <f t="shared" ref="S39:S70" si="10">J39</f>
        <v>#VALUE!</v>
      </c>
      <c r="T39" s="5">
        <f t="shared" ref="T39:T70" si="11">K39</f>
        <v>25</v>
      </c>
      <c r="U39" s="5">
        <f t="shared" ref="U39:U70" si="12">L39</f>
        <v>25</v>
      </c>
      <c r="V39" s="5">
        <f t="shared" ref="V39:V70" si="13">M39</f>
        <v>25</v>
      </c>
    </row>
    <row r="40" spans="1:22" x14ac:dyDescent="0.2">
      <c r="A40" s="33" t="str">
        <f>IF(Tabela176[[#This Row],[Código]]="IBOV","^BVSP",IF(Tabela176[[#This Row],[Código]]="","",CONCATENATE(LEFT(Tabela176[[#This Row],[Código]],6),".SA")))</f>
        <v>MGEL4.SA</v>
      </c>
      <c r="C40" s="3" t="s">
        <v>634</v>
      </c>
      <c r="D40" s="3" t="s">
        <v>971</v>
      </c>
      <c r="E40" s="3" t="s">
        <v>1252</v>
      </c>
      <c r="F40" s="3" t="s">
        <v>971</v>
      </c>
      <c r="G40" s="3" t="s">
        <v>1252</v>
      </c>
      <c r="H40" s="51">
        <v>41689</v>
      </c>
      <c r="J40" s="3">
        <f t="shared" si="7"/>
        <v>0.53</v>
      </c>
      <c r="K40" s="3">
        <f t="shared" si="7"/>
        <v>0.52</v>
      </c>
      <c r="L40" s="3">
        <f t="shared" si="7"/>
        <v>0.53</v>
      </c>
      <c r="M40" s="3">
        <f t="shared" si="7"/>
        <v>0.52</v>
      </c>
      <c r="P40" s="14" t="s">
        <v>631</v>
      </c>
      <c r="Q40" s="10" t="str">
        <f t="shared" si="8"/>
        <v xml:space="preserve">MANGELS INDL-PN  </v>
      </c>
      <c r="R40" s="51">
        <f t="shared" si="9"/>
        <v>41689</v>
      </c>
      <c r="S40" s="5">
        <f t="shared" si="10"/>
        <v>0.53</v>
      </c>
      <c r="T40" s="5">
        <f t="shared" si="11"/>
        <v>0.52</v>
      </c>
      <c r="U40" s="5">
        <f t="shared" si="12"/>
        <v>0.53</v>
      </c>
      <c r="V40" s="5">
        <f t="shared" si="13"/>
        <v>0.52</v>
      </c>
    </row>
    <row r="41" spans="1:22" x14ac:dyDescent="0.2">
      <c r="A41" s="33" t="str">
        <f>IF(Tabela176[[#This Row],[Código]]="IBOV","^BVSP",IF(Tabela176[[#This Row],[Código]]="","",CONCATENATE(LEFT(Tabela176[[#This Row],[Código]],6),".SA")))</f>
        <v>DUQE3.SA</v>
      </c>
      <c r="C41" s="3" t="s">
        <v>637</v>
      </c>
      <c r="D41" s="3" t="s">
        <v>446</v>
      </c>
      <c r="E41" s="3" t="s">
        <v>638</v>
      </c>
      <c r="F41" s="3" t="s">
        <v>638</v>
      </c>
      <c r="G41" s="3" t="s">
        <v>638</v>
      </c>
      <c r="H41" s="51">
        <v>41689</v>
      </c>
      <c r="J41" s="3" t="e">
        <f t="shared" si="7"/>
        <v>#VALUE!</v>
      </c>
      <c r="K41" s="3">
        <f t="shared" si="7"/>
        <v>28</v>
      </c>
      <c r="L41" s="3">
        <f t="shared" si="7"/>
        <v>28</v>
      </c>
      <c r="M41" s="3">
        <f t="shared" si="7"/>
        <v>28</v>
      </c>
      <c r="P41" s="14" t="s">
        <v>635</v>
      </c>
      <c r="Q41" s="10" t="str">
        <f t="shared" si="8"/>
        <v>MET DUQUE   -ON</v>
      </c>
      <c r="R41" s="51">
        <f t="shared" si="9"/>
        <v>41689</v>
      </c>
      <c r="S41" s="5" t="e">
        <f t="shared" si="10"/>
        <v>#VALUE!</v>
      </c>
      <c r="T41" s="5">
        <f t="shared" si="11"/>
        <v>28</v>
      </c>
      <c r="U41" s="5">
        <f t="shared" si="12"/>
        <v>28</v>
      </c>
      <c r="V41" s="5">
        <f t="shared" si="13"/>
        <v>28</v>
      </c>
    </row>
    <row r="42" spans="1:22" x14ac:dyDescent="0.2">
      <c r="A42" s="33" t="str">
        <f>IF(Tabela176[[#This Row],[Código]]="IBOV","^BVSP",IF(Tabela176[[#This Row],[Código]]="","",CONCATENATE(LEFT(Tabela176[[#This Row],[Código]],6),".SA")))</f>
        <v>DUQE4.SA</v>
      </c>
      <c r="C42" s="3" t="s">
        <v>639</v>
      </c>
      <c r="D42" s="3" t="s">
        <v>736</v>
      </c>
      <c r="E42" s="3" t="s">
        <v>741</v>
      </c>
      <c r="F42" s="3" t="s">
        <v>741</v>
      </c>
      <c r="G42" s="3" t="s">
        <v>736</v>
      </c>
      <c r="H42" s="51">
        <v>41689</v>
      </c>
      <c r="J42" s="3">
        <f t="shared" si="7"/>
        <v>4.9000000000000004</v>
      </c>
      <c r="K42" s="3">
        <f t="shared" si="7"/>
        <v>5</v>
      </c>
      <c r="L42" s="3">
        <f t="shared" si="7"/>
        <v>5</v>
      </c>
      <c r="M42" s="3">
        <f t="shared" si="7"/>
        <v>4.9000000000000004</v>
      </c>
      <c r="P42" s="14" t="s">
        <v>636</v>
      </c>
      <c r="Q42" s="10" t="str">
        <f t="shared" si="8"/>
        <v>MET DUQUE   -PN</v>
      </c>
      <c r="R42" s="51">
        <f t="shared" si="9"/>
        <v>41689</v>
      </c>
      <c r="S42" s="5">
        <f t="shared" si="10"/>
        <v>4.9000000000000004</v>
      </c>
      <c r="T42" s="5">
        <f t="shared" si="11"/>
        <v>5</v>
      </c>
      <c r="U42" s="5">
        <f t="shared" si="12"/>
        <v>5</v>
      </c>
      <c r="V42" s="5">
        <f t="shared" si="13"/>
        <v>4.9000000000000004</v>
      </c>
    </row>
    <row r="43" spans="1:22" x14ac:dyDescent="0.2">
      <c r="A43" s="33" t="str">
        <f>IF(Tabela176[[#This Row],[Código]]="IBOV","^BVSP",IF(Tabela176[[#This Row],[Código]]="","",CONCATENATE(LEFT(Tabela176[[#This Row],[Código]],6),".SA")))</f>
        <v>PMAM3.SA</v>
      </c>
      <c r="C43" s="3" t="s">
        <v>642</v>
      </c>
      <c r="D43" s="3" t="s">
        <v>1591</v>
      </c>
      <c r="E43" s="3" t="s">
        <v>991</v>
      </c>
      <c r="F43" s="3" t="s">
        <v>1591</v>
      </c>
      <c r="G43" s="3" t="s">
        <v>984</v>
      </c>
      <c r="H43" s="51">
        <v>41689</v>
      </c>
      <c r="J43" s="3">
        <f t="shared" si="7"/>
        <v>3.72</v>
      </c>
      <c r="K43" s="3">
        <f t="shared" si="7"/>
        <v>3.65</v>
      </c>
      <c r="L43" s="3">
        <f t="shared" si="7"/>
        <v>3.72</v>
      </c>
      <c r="M43" s="3">
        <f t="shared" si="7"/>
        <v>3.55</v>
      </c>
      <c r="P43" s="14" t="s">
        <v>641</v>
      </c>
      <c r="Q43" s="10" t="str">
        <f t="shared" si="8"/>
        <v xml:space="preserve">PARANAPANEMA-ON  </v>
      </c>
      <c r="R43" s="51">
        <f t="shared" si="9"/>
        <v>41689</v>
      </c>
      <c r="S43" s="5">
        <f t="shared" si="10"/>
        <v>3.72</v>
      </c>
      <c r="T43" s="5">
        <f t="shared" si="11"/>
        <v>3.65</v>
      </c>
      <c r="U43" s="5">
        <f t="shared" si="12"/>
        <v>3.72</v>
      </c>
      <c r="V43" s="5">
        <f t="shared" si="13"/>
        <v>3.55</v>
      </c>
    </row>
    <row r="44" spans="1:22" x14ac:dyDescent="0.2">
      <c r="A44" s="33" t="str">
        <f>IF(Tabela176[[#This Row],[Código]]="IBOV","^BVSP",IF(Tabela176[[#This Row],[Código]]="","",CONCATENATE(LEFT(Tabela176[[#This Row],[Código]],6),".SA")))</f>
        <v>TIBR3.SA</v>
      </c>
      <c r="C44" s="3" t="s">
        <v>648</v>
      </c>
      <c r="D44" s="3" t="s">
        <v>446</v>
      </c>
      <c r="E44" s="3" t="s">
        <v>537</v>
      </c>
      <c r="F44" s="3" t="s">
        <v>537</v>
      </c>
      <c r="G44" s="3" t="s">
        <v>537</v>
      </c>
      <c r="H44" s="51">
        <v>41689</v>
      </c>
      <c r="J44" s="3" t="e">
        <f t="shared" si="7"/>
        <v>#VALUE!</v>
      </c>
      <c r="K44" s="3">
        <f t="shared" si="7"/>
        <v>0.18</v>
      </c>
      <c r="L44" s="3">
        <f t="shared" si="7"/>
        <v>0.18</v>
      </c>
      <c r="M44" s="3">
        <f t="shared" si="7"/>
        <v>0.18</v>
      </c>
      <c r="P44" s="14" t="s">
        <v>644</v>
      </c>
      <c r="Q44" s="10" t="str">
        <f t="shared" si="8"/>
        <v>MILLENNIUM  -ON</v>
      </c>
      <c r="R44" s="51">
        <f t="shared" si="9"/>
        <v>41689</v>
      </c>
      <c r="S44" s="5" t="e">
        <f t="shared" si="10"/>
        <v>#VALUE!</v>
      </c>
      <c r="T44" s="5">
        <f t="shared" si="11"/>
        <v>0.18</v>
      </c>
      <c r="U44" s="5">
        <f t="shared" si="12"/>
        <v>0.18</v>
      </c>
      <c r="V44" s="5">
        <f t="shared" si="13"/>
        <v>0.18</v>
      </c>
    </row>
    <row r="45" spans="1:22" x14ac:dyDescent="0.2">
      <c r="A45" s="33" t="str">
        <f>IF(Tabela176[[#This Row],[Código]]="IBOV","^BVSP",IF(Tabela176[[#This Row],[Código]]="","",CONCATENATE(LEFT(Tabela176[[#This Row],[Código]],6),".SA")))</f>
        <v>TIBR5.SA</v>
      </c>
      <c r="C45" s="3" t="s">
        <v>649</v>
      </c>
      <c r="D45" s="3" t="s">
        <v>742</v>
      </c>
      <c r="E45" s="3" t="s">
        <v>742</v>
      </c>
      <c r="F45" s="3" t="s">
        <v>742</v>
      </c>
      <c r="G45" s="3" t="s">
        <v>742</v>
      </c>
      <c r="H45" s="51">
        <v>41689</v>
      </c>
      <c r="J45" s="3">
        <f t="shared" si="7"/>
        <v>0.23</v>
      </c>
      <c r="K45" s="3">
        <f t="shared" si="7"/>
        <v>0.23</v>
      </c>
      <c r="L45" s="3">
        <f t="shared" si="7"/>
        <v>0.23</v>
      </c>
      <c r="M45" s="3">
        <f t="shared" si="7"/>
        <v>0.23</v>
      </c>
      <c r="P45" s="14" t="s">
        <v>645</v>
      </c>
      <c r="Q45" s="10" t="str">
        <f t="shared" si="8"/>
        <v>MILLENNIUM  -PNA</v>
      </c>
      <c r="R45" s="51">
        <f t="shared" si="9"/>
        <v>41689</v>
      </c>
      <c r="S45" s="5">
        <f t="shared" si="10"/>
        <v>0.23</v>
      </c>
      <c r="T45" s="5">
        <f t="shared" si="11"/>
        <v>0.23</v>
      </c>
      <c r="U45" s="5">
        <f t="shared" si="12"/>
        <v>0.23</v>
      </c>
      <c r="V45" s="5">
        <f t="shared" si="13"/>
        <v>0.23</v>
      </c>
    </row>
    <row r="46" spans="1:22" x14ac:dyDescent="0.2">
      <c r="A46" s="33" t="str">
        <f>IF(Tabela176[[#This Row],[Código]]="IBOV","^BVSP",IF(Tabela176[[#This Row],[Código]]="","",CONCATENATE(LEFT(Tabela176[[#This Row],[Código]],6),".SA")))</f>
        <v>TIBR6.SA</v>
      </c>
      <c r="C46" s="3" t="s">
        <v>650</v>
      </c>
      <c r="D46" s="3" t="s">
        <v>735</v>
      </c>
      <c r="E46" s="3" t="s">
        <v>735</v>
      </c>
      <c r="F46" s="3" t="s">
        <v>735</v>
      </c>
      <c r="G46" s="3" t="s">
        <v>735</v>
      </c>
      <c r="H46" s="51">
        <v>41689</v>
      </c>
      <c r="J46" s="3">
        <f t="shared" si="7"/>
        <v>0.24</v>
      </c>
      <c r="K46" s="3">
        <f t="shared" si="7"/>
        <v>0.24</v>
      </c>
      <c r="L46" s="3">
        <f t="shared" si="7"/>
        <v>0.24</v>
      </c>
      <c r="M46" s="3">
        <f t="shared" si="7"/>
        <v>0.24</v>
      </c>
      <c r="P46" s="14" t="s">
        <v>646</v>
      </c>
      <c r="Q46" s="10" t="str">
        <f t="shared" si="8"/>
        <v>MILLENNIUM  -PNB</v>
      </c>
      <c r="R46" s="46">
        <f t="shared" si="9"/>
        <v>41689</v>
      </c>
      <c r="S46" s="6">
        <f t="shared" si="10"/>
        <v>0.24</v>
      </c>
      <c r="T46" s="6">
        <f t="shared" si="11"/>
        <v>0.24</v>
      </c>
      <c r="U46" s="6">
        <f t="shared" si="12"/>
        <v>0.24</v>
      </c>
      <c r="V46" s="6">
        <f t="shared" si="13"/>
        <v>0.24</v>
      </c>
    </row>
    <row r="47" spans="1:22" x14ac:dyDescent="0.2">
      <c r="A47" s="33" t="str">
        <f>IF(Tabela176[[#This Row],[Código]]="IBOV","^BVSP",IF(Tabela176[[#This Row],[Código]]="","",CONCATENATE(LEFT(Tabela176[[#This Row],[Código]],6),".SA")))</f>
        <v>GPCP3.SA</v>
      </c>
      <c r="C47" s="3" t="s">
        <v>668</v>
      </c>
      <c r="D47" s="3" t="s">
        <v>438</v>
      </c>
      <c r="E47" s="3" t="s">
        <v>438</v>
      </c>
      <c r="F47" s="3" t="s">
        <v>1821</v>
      </c>
      <c r="G47" s="3" t="s">
        <v>438</v>
      </c>
      <c r="H47" s="51">
        <v>41689</v>
      </c>
      <c r="J47" s="3">
        <f t="shared" si="7"/>
        <v>0.49</v>
      </c>
      <c r="K47" s="3">
        <f t="shared" si="7"/>
        <v>0.49</v>
      </c>
      <c r="L47" s="3">
        <f t="shared" si="7"/>
        <v>0.51</v>
      </c>
      <c r="M47" s="3">
        <f t="shared" si="7"/>
        <v>0.49</v>
      </c>
      <c r="P47" s="14" t="s">
        <v>667</v>
      </c>
      <c r="Q47" s="10" t="str">
        <f t="shared" si="8"/>
        <v>GPC PART    -ON</v>
      </c>
      <c r="R47" s="51">
        <f t="shared" si="9"/>
        <v>41689</v>
      </c>
      <c r="S47" s="5">
        <f t="shared" si="10"/>
        <v>0.49</v>
      </c>
      <c r="T47" s="5">
        <f t="shared" si="11"/>
        <v>0.49</v>
      </c>
      <c r="U47" s="5">
        <f t="shared" si="12"/>
        <v>0.51</v>
      </c>
      <c r="V47" s="5">
        <f t="shared" si="13"/>
        <v>0.49</v>
      </c>
    </row>
    <row r="48" spans="1:22" x14ac:dyDescent="0.2">
      <c r="A48" s="33" t="str">
        <f>IF(Tabela176[[#This Row],[Código]]="IBOV","^BVSP",IF(Tabela176[[#This Row],[Código]]="","",CONCATENATE(LEFT(Tabela176[[#This Row],[Código]],6),".SA")))</f>
        <v>RHDS3.SA</v>
      </c>
      <c r="C48" s="3" t="s">
        <v>670</v>
      </c>
      <c r="D48" s="3" t="s">
        <v>813</v>
      </c>
      <c r="E48" s="3" t="s">
        <v>813</v>
      </c>
      <c r="F48" s="3" t="s">
        <v>813</v>
      </c>
      <c r="G48" s="3" t="s">
        <v>813</v>
      </c>
      <c r="H48" s="51">
        <v>41689</v>
      </c>
      <c r="J48" s="3">
        <f t="shared" si="7"/>
        <v>7.0000000000000007E-2</v>
      </c>
      <c r="K48" s="3">
        <f t="shared" si="7"/>
        <v>7.0000000000000007E-2</v>
      </c>
      <c r="L48" s="3">
        <f t="shared" si="7"/>
        <v>7.0000000000000007E-2</v>
      </c>
      <c r="M48" s="3">
        <f t="shared" si="7"/>
        <v>7.0000000000000007E-2</v>
      </c>
      <c r="P48" s="14" t="s">
        <v>669</v>
      </c>
      <c r="Q48" s="10" t="str">
        <f t="shared" si="8"/>
        <v>M G POLIEST -ON</v>
      </c>
      <c r="R48" s="51">
        <f t="shared" si="9"/>
        <v>41689</v>
      </c>
      <c r="S48" s="5">
        <f t="shared" si="10"/>
        <v>7.0000000000000007E-2</v>
      </c>
      <c r="T48" s="5">
        <f t="shared" si="11"/>
        <v>7.0000000000000007E-2</v>
      </c>
      <c r="U48" s="5">
        <f t="shared" si="12"/>
        <v>7.0000000000000007E-2</v>
      </c>
      <c r="V48" s="5">
        <f t="shared" si="13"/>
        <v>7.0000000000000007E-2</v>
      </c>
    </row>
    <row r="49" spans="1:22" x14ac:dyDescent="0.2">
      <c r="A49" s="33" t="str">
        <f>IF(Tabela176[[#This Row],[Código]]="IBOV","^BVSP",IF(Tabela176[[#This Row],[Código]]="","",CONCATENATE(LEFT(Tabela176[[#This Row],[Código]],6),".SA")))</f>
        <v>NUTR3M.SA</v>
      </c>
      <c r="C49" s="3" t="s">
        <v>333</v>
      </c>
      <c r="D49" s="3" t="s">
        <v>711</v>
      </c>
      <c r="E49" s="3" t="s">
        <v>711</v>
      </c>
      <c r="F49" s="3" t="s">
        <v>711</v>
      </c>
      <c r="G49" s="3" t="s">
        <v>711</v>
      </c>
      <c r="H49" s="51">
        <v>41670</v>
      </c>
      <c r="J49" s="3">
        <f t="shared" si="7"/>
        <v>1.51</v>
      </c>
      <c r="K49" s="3">
        <f t="shared" si="7"/>
        <v>1.51</v>
      </c>
      <c r="L49" s="3">
        <f t="shared" si="7"/>
        <v>1.51</v>
      </c>
      <c r="M49" s="3">
        <f t="shared" si="7"/>
        <v>1.51</v>
      </c>
      <c r="P49" s="15" t="s">
        <v>332</v>
      </c>
      <c r="Q49" s="10" t="str">
        <f t="shared" si="8"/>
        <v xml:space="preserve">NUTRIPLANT  -ON  </v>
      </c>
      <c r="R49" s="51">
        <f t="shared" si="9"/>
        <v>41670</v>
      </c>
      <c r="S49" s="5">
        <f t="shared" si="10"/>
        <v>1.51</v>
      </c>
      <c r="T49" s="5">
        <f t="shared" si="11"/>
        <v>1.51</v>
      </c>
      <c r="U49" s="5">
        <f t="shared" si="12"/>
        <v>1.51</v>
      </c>
      <c r="V49" s="5">
        <f t="shared" si="13"/>
        <v>1.51</v>
      </c>
    </row>
    <row r="50" spans="1:22" x14ac:dyDescent="0.2">
      <c r="A50" s="33" t="str">
        <f>IF(Tabela176[[#This Row],[Código]]="IBOV","^BVSP",IF(Tabela176[[#This Row],[Código]]="","",CONCATENATE(LEFT(Tabela176[[#This Row],[Código]],6),".SA")))</f>
        <v>CCXC3.SA</v>
      </c>
      <c r="C50" s="3" t="s">
        <v>675</v>
      </c>
      <c r="D50" s="3" t="s">
        <v>1822</v>
      </c>
      <c r="E50" s="3" t="s">
        <v>1992</v>
      </c>
      <c r="F50" s="3" t="s">
        <v>1823</v>
      </c>
      <c r="G50" s="3" t="s">
        <v>1993</v>
      </c>
      <c r="H50" s="51">
        <v>41689</v>
      </c>
      <c r="J50" s="3">
        <f t="shared" si="7"/>
        <v>1.03</v>
      </c>
      <c r="K50" s="3">
        <f t="shared" si="7"/>
        <v>0.99</v>
      </c>
      <c r="L50" s="3">
        <f t="shared" si="7"/>
        <v>1.04</v>
      </c>
      <c r="M50" s="3">
        <f t="shared" si="7"/>
        <v>0.96</v>
      </c>
      <c r="P50" s="15" t="s">
        <v>674</v>
      </c>
      <c r="Q50" s="10" t="str">
        <f t="shared" si="8"/>
        <v xml:space="preserve">CCX CARVAO  -ON  </v>
      </c>
      <c r="R50" s="46">
        <f t="shared" si="9"/>
        <v>41689</v>
      </c>
      <c r="S50" s="6">
        <f t="shared" si="10"/>
        <v>1.03</v>
      </c>
      <c r="T50" s="6">
        <f t="shared" si="11"/>
        <v>0.99</v>
      </c>
      <c r="U50" s="6">
        <f t="shared" si="12"/>
        <v>1.04</v>
      </c>
      <c r="V50" s="6">
        <f t="shared" si="13"/>
        <v>0.96</v>
      </c>
    </row>
    <row r="51" spans="1:22" x14ac:dyDescent="0.2">
      <c r="A51" s="33" t="str">
        <f>IF(Tabela176[[#This Row],[Código]]="IBOV","^BVSP",IF(Tabela176[[#This Row],[Código]]="","",CONCATENATE(LEFT(Tabela176[[#This Row],[Código]],6),".SA")))</f>
        <v>MMXM3.SA</v>
      </c>
      <c r="C51" s="3" t="s">
        <v>678</v>
      </c>
      <c r="D51" s="3" t="s">
        <v>1824</v>
      </c>
      <c r="E51" s="3" t="s">
        <v>1401</v>
      </c>
      <c r="F51" s="3" t="s">
        <v>1254</v>
      </c>
      <c r="G51" s="3" t="s">
        <v>997</v>
      </c>
      <c r="H51" s="51">
        <v>41689</v>
      </c>
      <c r="J51" s="3">
        <f t="shared" si="7"/>
        <v>2.93</v>
      </c>
      <c r="K51" s="3">
        <f t="shared" si="7"/>
        <v>2.96</v>
      </c>
      <c r="L51" s="3">
        <f t="shared" si="7"/>
        <v>3.01</v>
      </c>
      <c r="M51" s="3">
        <f t="shared" si="7"/>
        <v>2.9</v>
      </c>
      <c r="P51" s="14" t="s">
        <v>677</v>
      </c>
      <c r="Q51" s="10" t="str">
        <f t="shared" si="8"/>
        <v xml:space="preserve">MMX MINER   -ON  </v>
      </c>
      <c r="R51" s="51">
        <f t="shared" si="9"/>
        <v>41689</v>
      </c>
      <c r="S51" s="5">
        <f t="shared" si="10"/>
        <v>2.93</v>
      </c>
      <c r="T51" s="5">
        <f t="shared" si="11"/>
        <v>2.96</v>
      </c>
      <c r="U51" s="5">
        <f t="shared" si="12"/>
        <v>3.01</v>
      </c>
      <c r="V51" s="5">
        <f t="shared" si="13"/>
        <v>2.9</v>
      </c>
    </row>
    <row r="52" spans="1:22" x14ac:dyDescent="0.2">
      <c r="A52" s="33" t="str">
        <f>IF(Tabela176[[#This Row],[Código]]="IBOV","^BVSP",IF(Tabela176[[#This Row],[Código]]="","",CONCATENATE(LEFT(Tabela176[[#This Row],[Código]],6),".SA")))</f>
        <v>SNSY3.SA</v>
      </c>
      <c r="C52" s="3" t="s">
        <v>684</v>
      </c>
      <c r="D52" s="3" t="s">
        <v>685</v>
      </c>
      <c r="E52" s="3" t="s">
        <v>686</v>
      </c>
      <c r="F52" s="3" t="s">
        <v>686</v>
      </c>
      <c r="G52" s="3" t="s">
        <v>685</v>
      </c>
      <c r="H52" s="51">
        <v>41689</v>
      </c>
      <c r="J52" s="3">
        <f t="shared" si="7"/>
        <v>1.34</v>
      </c>
      <c r="K52" s="3">
        <f t="shared" si="7"/>
        <v>2</v>
      </c>
      <c r="L52" s="3">
        <f t="shared" si="7"/>
        <v>2</v>
      </c>
      <c r="M52" s="3">
        <f t="shared" si="7"/>
        <v>1.34</v>
      </c>
      <c r="P52" s="14" t="s">
        <v>679</v>
      </c>
      <c r="Q52" s="10" t="str">
        <f t="shared" si="8"/>
        <v>SANSUY      -ON</v>
      </c>
      <c r="R52" s="51">
        <f t="shared" si="9"/>
        <v>41689</v>
      </c>
      <c r="S52" s="5">
        <f t="shared" si="10"/>
        <v>1.34</v>
      </c>
      <c r="T52" s="5">
        <f t="shared" si="11"/>
        <v>2</v>
      </c>
      <c r="U52" s="5">
        <f t="shared" si="12"/>
        <v>2</v>
      </c>
      <c r="V52" s="5">
        <f t="shared" si="13"/>
        <v>1.34</v>
      </c>
    </row>
    <row r="53" spans="1:22" x14ac:dyDescent="0.2">
      <c r="A53" s="33" t="str">
        <f>IF(Tabela176[[#This Row],[Código]]="IBOV","^BVSP",IF(Tabela176[[#This Row],[Código]]="","",CONCATENATE(LEFT(Tabela176[[#This Row],[Código]],6),".SA")))</f>
        <v>SNSY5.SA</v>
      </c>
      <c r="C53" s="3" t="s">
        <v>687</v>
      </c>
      <c r="D53" s="3" t="s">
        <v>484</v>
      </c>
      <c r="E53" s="3" t="s">
        <v>1012</v>
      </c>
      <c r="F53" s="3" t="s">
        <v>1012</v>
      </c>
      <c r="G53" s="3" t="s">
        <v>484</v>
      </c>
      <c r="H53" s="51">
        <v>41689</v>
      </c>
      <c r="J53" s="3">
        <f t="shared" si="7"/>
        <v>0.75</v>
      </c>
      <c r="K53" s="3">
        <f t="shared" si="7"/>
        <v>0.77</v>
      </c>
      <c r="L53" s="3">
        <f t="shared" si="7"/>
        <v>0.77</v>
      </c>
      <c r="M53" s="3">
        <f t="shared" si="7"/>
        <v>0.75</v>
      </c>
      <c r="P53" s="14" t="s">
        <v>680</v>
      </c>
      <c r="Q53" s="10" t="str">
        <f t="shared" si="8"/>
        <v>SANSUY      -PNA</v>
      </c>
      <c r="R53" s="51">
        <f t="shared" si="9"/>
        <v>41689</v>
      </c>
      <c r="S53" s="5">
        <f t="shared" si="10"/>
        <v>0.75</v>
      </c>
      <c r="T53" s="5">
        <f t="shared" si="11"/>
        <v>0.77</v>
      </c>
      <c r="U53" s="5">
        <f t="shared" si="12"/>
        <v>0.77</v>
      </c>
      <c r="V53" s="5">
        <f t="shared" si="13"/>
        <v>0.75</v>
      </c>
    </row>
    <row r="54" spans="1:22" x14ac:dyDescent="0.2">
      <c r="A54" s="33" t="str">
        <f>IF(Tabela176[[#This Row],[Código]]="IBOV","^BVSP",IF(Tabela176[[#This Row],[Código]]="","",CONCATENATE(LEFT(Tabela176[[#This Row],[Código]],6),".SA")))</f>
        <v>SNSY6.SA</v>
      </c>
      <c r="C54" s="3" t="s">
        <v>688</v>
      </c>
      <c r="D54" s="3" t="s">
        <v>446</v>
      </c>
      <c r="E54" s="61" t="s">
        <v>689</v>
      </c>
      <c r="F54" s="61" t="s">
        <v>689</v>
      </c>
      <c r="G54" s="61" t="s">
        <v>689</v>
      </c>
      <c r="H54" s="51">
        <v>41689</v>
      </c>
      <c r="J54" s="3" t="e">
        <f t="shared" si="7"/>
        <v>#VALUE!</v>
      </c>
      <c r="K54" s="3">
        <f t="shared" si="7"/>
        <v>3</v>
      </c>
      <c r="L54" s="3">
        <f t="shared" si="7"/>
        <v>3</v>
      </c>
      <c r="M54" s="3">
        <f t="shared" si="7"/>
        <v>3</v>
      </c>
      <c r="P54" s="14" t="s">
        <v>681</v>
      </c>
      <c r="Q54" s="10" t="str">
        <f t="shared" si="8"/>
        <v>SANSUY      -PNB</v>
      </c>
      <c r="R54" s="51">
        <f t="shared" si="9"/>
        <v>41689</v>
      </c>
      <c r="S54" s="5" t="e">
        <f t="shared" si="10"/>
        <v>#VALUE!</v>
      </c>
      <c r="T54" s="5">
        <f t="shared" si="11"/>
        <v>3</v>
      </c>
      <c r="U54" s="5">
        <f t="shared" si="12"/>
        <v>3</v>
      </c>
      <c r="V54" s="5">
        <f t="shared" si="13"/>
        <v>3</v>
      </c>
    </row>
    <row r="55" spans="1:22" x14ac:dyDescent="0.2">
      <c r="A55" s="33" t="str">
        <f>IF(Tabela176[[#This Row],[Código]]="IBOV","^BVSP",IF(Tabela176[[#This Row],[Código]]="","",CONCATENATE(LEFT(Tabela176[[#This Row],[Código]],6),".SA")))</f>
        <v>MSPA3.SA</v>
      </c>
      <c r="C55" s="3" t="s">
        <v>692</v>
      </c>
      <c r="D55" s="3" t="s">
        <v>990</v>
      </c>
      <c r="E55" s="3" t="s">
        <v>990</v>
      </c>
      <c r="F55" s="3" t="s">
        <v>990</v>
      </c>
      <c r="G55" s="3" t="s">
        <v>990</v>
      </c>
      <c r="H55" s="51">
        <v>41689</v>
      </c>
      <c r="J55" s="3">
        <f t="shared" si="7"/>
        <v>27.3</v>
      </c>
      <c r="K55" s="3">
        <f t="shared" si="7"/>
        <v>27.3</v>
      </c>
      <c r="L55" s="3">
        <f t="shared" si="7"/>
        <v>27.3</v>
      </c>
      <c r="M55" s="3">
        <f t="shared" si="7"/>
        <v>27.3</v>
      </c>
      <c r="P55" s="43" t="s">
        <v>690</v>
      </c>
      <c r="Q55" s="10" t="str">
        <f t="shared" si="8"/>
        <v>MELHOR SP   -ON</v>
      </c>
      <c r="R55" s="51">
        <f t="shared" si="9"/>
        <v>41689</v>
      </c>
      <c r="S55" s="5">
        <f t="shared" si="10"/>
        <v>27.3</v>
      </c>
      <c r="T55" s="5">
        <f t="shared" si="11"/>
        <v>27.3</v>
      </c>
      <c r="U55" s="5">
        <f t="shared" si="12"/>
        <v>27.3</v>
      </c>
      <c r="V55" s="5">
        <f t="shared" si="13"/>
        <v>27.3</v>
      </c>
    </row>
    <row r="56" spans="1:22" x14ac:dyDescent="0.2">
      <c r="A56" s="33" t="str">
        <f>IF(Tabela176[[#This Row],[Código]]="IBOV","^BVSP",IF(Tabela176[[#This Row],[Código]]="","",CONCATENATE(LEFT(Tabela176[[#This Row],[Código]],6),".SA")))</f>
        <v>MSPA4.SA</v>
      </c>
      <c r="C56" s="3" t="s">
        <v>693</v>
      </c>
      <c r="D56" s="3" t="s">
        <v>434</v>
      </c>
      <c r="E56" s="3" t="s">
        <v>434</v>
      </c>
      <c r="F56" s="3" t="s">
        <v>434</v>
      </c>
      <c r="G56" s="3" t="s">
        <v>434</v>
      </c>
      <c r="H56" s="51">
        <v>41689</v>
      </c>
      <c r="J56" s="3">
        <f t="shared" si="7"/>
        <v>27</v>
      </c>
      <c r="K56" s="3">
        <f t="shared" si="7"/>
        <v>27</v>
      </c>
      <c r="L56" s="3">
        <f t="shared" si="7"/>
        <v>27</v>
      </c>
      <c r="M56" s="3">
        <f t="shared" si="7"/>
        <v>27</v>
      </c>
      <c r="P56" s="15" t="s">
        <v>691</v>
      </c>
      <c r="Q56" s="10" t="str">
        <f t="shared" si="8"/>
        <v>MELHOR SP   -PN</v>
      </c>
      <c r="R56" s="51">
        <f t="shared" si="9"/>
        <v>41689</v>
      </c>
      <c r="S56" s="5">
        <f t="shared" si="10"/>
        <v>27</v>
      </c>
      <c r="T56" s="5">
        <f t="shared" si="11"/>
        <v>27</v>
      </c>
      <c r="U56" s="5">
        <f t="shared" si="12"/>
        <v>27</v>
      </c>
      <c r="V56" s="5">
        <f t="shared" si="13"/>
        <v>27</v>
      </c>
    </row>
    <row r="57" spans="1:22" x14ac:dyDescent="0.2">
      <c r="A57" s="33" t="str">
        <f>IF(Tabela176[[#This Row],[Código]]="IBOV","^BVSP",IF(Tabela176[[#This Row],[Código]]="","",CONCATENATE(LEFT(Tabela176[[#This Row],[Código]],6),".SA")))</f>
        <v>FIBR3.SA</v>
      </c>
      <c r="C57" s="3" t="s">
        <v>695</v>
      </c>
      <c r="D57" s="3" t="s">
        <v>1826</v>
      </c>
      <c r="E57" s="3" t="s">
        <v>1188</v>
      </c>
      <c r="F57" s="3" t="s">
        <v>1994</v>
      </c>
      <c r="G57" s="3" t="s">
        <v>1827</v>
      </c>
      <c r="H57" s="51">
        <v>41689</v>
      </c>
      <c r="J57" s="3">
        <f t="shared" si="7"/>
        <v>25.66</v>
      </c>
      <c r="K57" s="3">
        <f t="shared" si="7"/>
        <v>26.35</v>
      </c>
      <c r="L57" s="3">
        <f t="shared" si="7"/>
        <v>26.67</v>
      </c>
      <c r="M57" s="3">
        <f t="shared" si="7"/>
        <v>25.58</v>
      </c>
      <c r="P57" s="10" t="s">
        <v>694</v>
      </c>
      <c r="Q57" s="10" t="str">
        <f t="shared" si="8"/>
        <v xml:space="preserve">FIBRIA      -ON  </v>
      </c>
      <c r="R57" s="51">
        <f t="shared" si="9"/>
        <v>41689</v>
      </c>
      <c r="S57" s="5">
        <f t="shared" si="10"/>
        <v>25.66</v>
      </c>
      <c r="T57" s="5">
        <f t="shared" si="11"/>
        <v>26.35</v>
      </c>
      <c r="U57" s="5">
        <f t="shared" si="12"/>
        <v>26.67</v>
      </c>
      <c r="V57" s="5">
        <f t="shared" si="13"/>
        <v>25.58</v>
      </c>
    </row>
    <row r="58" spans="1:22" x14ac:dyDescent="0.2">
      <c r="A58" s="33" t="str">
        <f>IF(Tabela176[[#This Row],[Código]]="IBOV","^BVSP",IF(Tabela176[[#This Row],[Código]]="","",CONCATENATE(LEFT(Tabela176[[#This Row],[Código]],6),".SA")))</f>
        <v>KLBN11.SA</v>
      </c>
      <c r="C58" s="3" t="s">
        <v>697</v>
      </c>
      <c r="D58" s="3" t="s">
        <v>1828</v>
      </c>
      <c r="E58" s="3" t="s">
        <v>1995</v>
      </c>
      <c r="F58" s="3" t="s">
        <v>1829</v>
      </c>
      <c r="G58" s="3" t="s">
        <v>1830</v>
      </c>
      <c r="H58" s="51">
        <v>41689</v>
      </c>
      <c r="J58" s="3">
        <f t="shared" si="7"/>
        <v>60.3</v>
      </c>
      <c r="K58" s="3">
        <f t="shared" si="7"/>
        <v>60.06</v>
      </c>
      <c r="L58" s="3">
        <f t="shared" si="7"/>
        <v>60.57</v>
      </c>
      <c r="M58" s="3">
        <f t="shared" si="7"/>
        <v>59.47</v>
      </c>
      <c r="P58" s="14" t="s">
        <v>696</v>
      </c>
      <c r="Q58" s="10" t="str">
        <f t="shared" si="8"/>
        <v xml:space="preserve">KLABIN S/A  -UNT </v>
      </c>
      <c r="R58" s="51">
        <f t="shared" si="9"/>
        <v>41689</v>
      </c>
      <c r="S58" s="5">
        <f t="shared" si="10"/>
        <v>60.3</v>
      </c>
      <c r="T58" s="5">
        <f t="shared" si="11"/>
        <v>60.06</v>
      </c>
      <c r="U58" s="5">
        <f t="shared" si="12"/>
        <v>60.57</v>
      </c>
      <c r="V58" s="5">
        <f t="shared" si="13"/>
        <v>59.47</v>
      </c>
    </row>
    <row r="59" spans="1:22" x14ac:dyDescent="0.2">
      <c r="A59" s="33" t="str">
        <f>IF(Tabela176[[#This Row],[Código]]="IBOV","^BVSP",IF(Tabela176[[#This Row],[Código]]="","",CONCATENATE(LEFT(Tabela176[[#This Row],[Código]],6),".SA")))</f>
        <v>SUZB3.SA</v>
      </c>
      <c r="C59" s="3" t="s">
        <v>699</v>
      </c>
      <c r="D59" s="3" t="s">
        <v>446</v>
      </c>
      <c r="E59" s="61" t="s">
        <v>190</v>
      </c>
      <c r="F59" s="61" t="s">
        <v>190</v>
      </c>
      <c r="G59" s="61" t="s">
        <v>190</v>
      </c>
      <c r="H59" s="51">
        <v>41689</v>
      </c>
      <c r="J59" s="3" t="e">
        <f t="shared" si="7"/>
        <v>#VALUE!</v>
      </c>
      <c r="K59" s="3">
        <f t="shared" si="7"/>
        <v>4</v>
      </c>
      <c r="L59" s="3">
        <f t="shared" si="7"/>
        <v>4</v>
      </c>
      <c r="M59" s="3">
        <f t="shared" si="7"/>
        <v>4</v>
      </c>
      <c r="P59" s="14" t="s">
        <v>698</v>
      </c>
      <c r="Q59" s="10" t="str">
        <f t="shared" si="8"/>
        <v xml:space="preserve">SUZANO PAPEL-ON  </v>
      </c>
      <c r="R59" s="46">
        <f t="shared" si="9"/>
        <v>41689</v>
      </c>
      <c r="S59" s="6" t="e">
        <f t="shared" si="10"/>
        <v>#VALUE!</v>
      </c>
      <c r="T59" s="6">
        <f t="shared" si="11"/>
        <v>4</v>
      </c>
      <c r="U59" s="6">
        <f t="shared" si="12"/>
        <v>4</v>
      </c>
      <c r="V59" s="6">
        <f t="shared" si="13"/>
        <v>4</v>
      </c>
    </row>
    <row r="60" spans="1:22" x14ac:dyDescent="0.2">
      <c r="A60" s="33" t="str">
        <f>IF(Tabela176[[#This Row],[Código]]="IBOV","^BVSP",IF(Tabela176[[#This Row],[Código]]="","",CONCATENATE(LEFT(Tabela176[[#This Row],[Código]],6),".SA")))</f>
        <v>EUCA3.SA</v>
      </c>
      <c r="C60" s="3" t="s">
        <v>701</v>
      </c>
      <c r="D60" s="3" t="s">
        <v>446</v>
      </c>
      <c r="E60" s="61" t="s">
        <v>702</v>
      </c>
      <c r="F60" s="61" t="s">
        <v>702</v>
      </c>
      <c r="G60" s="61" t="s">
        <v>702</v>
      </c>
      <c r="H60" s="51">
        <v>41689</v>
      </c>
      <c r="J60" s="3" t="e">
        <f t="shared" si="7"/>
        <v>#VALUE!</v>
      </c>
      <c r="K60" s="3">
        <f t="shared" si="7"/>
        <v>7.11</v>
      </c>
      <c r="L60" s="3">
        <f t="shared" si="7"/>
        <v>7.11</v>
      </c>
      <c r="M60" s="3">
        <f t="shared" si="7"/>
        <v>7.11</v>
      </c>
      <c r="P60" s="14" t="s">
        <v>700</v>
      </c>
      <c r="Q60" s="10" t="str">
        <f t="shared" si="8"/>
        <v xml:space="preserve">EUCATEX     -ON  </v>
      </c>
      <c r="R60" s="51">
        <f t="shared" si="9"/>
        <v>41689</v>
      </c>
      <c r="S60" s="5" t="e">
        <f t="shared" si="10"/>
        <v>#VALUE!</v>
      </c>
      <c r="T60" s="5">
        <f t="shared" si="11"/>
        <v>7.11</v>
      </c>
      <c r="U60" s="5">
        <f t="shared" si="12"/>
        <v>7.11</v>
      </c>
      <c r="V60" s="5">
        <f t="shared" si="13"/>
        <v>7.11</v>
      </c>
    </row>
    <row r="61" spans="1:22" x14ac:dyDescent="0.2">
      <c r="A61" s="33" t="str">
        <f>IF(Tabela176[[#This Row],[Código]]="IBOV","^BVSP",IF(Tabela176[[#This Row],[Código]]="","",CONCATENATE(LEFT(Tabela176[[#This Row],[Código]],6),".SA")))</f>
        <v>MTIG3.SA</v>
      </c>
      <c r="C61" s="3" t="s">
        <v>706</v>
      </c>
      <c r="D61" s="3" t="s">
        <v>682</v>
      </c>
      <c r="E61" s="3" t="s">
        <v>682</v>
      </c>
      <c r="F61" s="3" t="s">
        <v>682</v>
      </c>
      <c r="G61" s="3" t="s">
        <v>682</v>
      </c>
      <c r="H61" s="51">
        <v>41689</v>
      </c>
      <c r="J61" s="3">
        <f t="shared" si="7"/>
        <v>0.61</v>
      </c>
      <c r="K61" s="3">
        <f t="shared" si="7"/>
        <v>0.61</v>
      </c>
      <c r="L61" s="3">
        <f t="shared" si="7"/>
        <v>0.61</v>
      </c>
      <c r="M61" s="3">
        <f t="shared" si="7"/>
        <v>0.61</v>
      </c>
      <c r="P61" s="14" t="s">
        <v>704</v>
      </c>
      <c r="Q61" s="10" t="str">
        <f t="shared" si="8"/>
        <v>METAL IGUACU-ON</v>
      </c>
      <c r="R61" s="51">
        <f t="shared" si="9"/>
        <v>41689</v>
      </c>
      <c r="S61" s="5">
        <f t="shared" si="10"/>
        <v>0.61</v>
      </c>
      <c r="T61" s="5">
        <f t="shared" si="11"/>
        <v>0.61</v>
      </c>
      <c r="U61" s="5">
        <f t="shared" si="12"/>
        <v>0.61</v>
      </c>
      <c r="V61" s="5">
        <f t="shared" si="13"/>
        <v>0.61</v>
      </c>
    </row>
    <row r="62" spans="1:22" x14ac:dyDescent="0.2">
      <c r="A62" s="33" t="str">
        <f>IF(Tabela176[[#This Row],[Código]]="IBOV","^BVSP",IF(Tabela176[[#This Row],[Código]]="","",CONCATENATE(LEFT(Tabela176[[#This Row],[Código]],6),".SA")))</f>
        <v>MTIG4.SA</v>
      </c>
      <c r="C62" s="3" t="s">
        <v>707</v>
      </c>
      <c r="D62" s="3" t="s">
        <v>576</v>
      </c>
      <c r="E62" s="3" t="s">
        <v>576</v>
      </c>
      <c r="F62" s="3" t="s">
        <v>576</v>
      </c>
      <c r="G62" s="3" t="s">
        <v>794</v>
      </c>
      <c r="H62" s="51">
        <v>41689</v>
      </c>
      <c r="J62" s="3">
        <f t="shared" si="7"/>
        <v>0.11</v>
      </c>
      <c r="K62" s="3">
        <f t="shared" si="7"/>
        <v>0.11</v>
      </c>
      <c r="L62" s="3">
        <f t="shared" si="7"/>
        <v>0.11</v>
      </c>
      <c r="M62" s="3">
        <f t="shared" si="7"/>
        <v>0.1</v>
      </c>
      <c r="P62" s="14" t="s">
        <v>705</v>
      </c>
      <c r="Q62" s="10" t="str">
        <f t="shared" si="8"/>
        <v>METAL IGUACU-PN</v>
      </c>
      <c r="R62" s="51">
        <f t="shared" si="9"/>
        <v>41689</v>
      </c>
      <c r="S62" s="5">
        <f t="shared" si="10"/>
        <v>0.11</v>
      </c>
      <c r="T62" s="5">
        <f t="shared" si="11"/>
        <v>0.11</v>
      </c>
      <c r="U62" s="5">
        <f t="shared" si="12"/>
        <v>0.11</v>
      </c>
      <c r="V62" s="5">
        <f t="shared" si="13"/>
        <v>0.1</v>
      </c>
    </row>
    <row r="63" spans="1:22" x14ac:dyDescent="0.2">
      <c r="A63" s="33" t="str">
        <f>IF(Tabela176[[#This Row],[Código]]="IBOV","^BVSP",IF(Tabela176[[#This Row],[Código]]="","",CONCATENATE(LEFT(Tabela176[[#This Row],[Código]],6),".SA")))</f>
        <v>CAFE4.SA</v>
      </c>
      <c r="C63" s="3" t="s">
        <v>873</v>
      </c>
      <c r="D63" s="3" t="s">
        <v>446</v>
      </c>
      <c r="E63" s="3" t="s">
        <v>408</v>
      </c>
      <c r="F63" s="3" t="s">
        <v>408</v>
      </c>
      <c r="G63" s="3" t="s">
        <v>408</v>
      </c>
      <c r="H63" s="51">
        <v>41689</v>
      </c>
      <c r="J63" s="3" t="e">
        <f t="shared" si="7"/>
        <v>#VALUE!</v>
      </c>
      <c r="K63" s="3">
        <f t="shared" si="7"/>
        <v>0.5</v>
      </c>
      <c r="L63" s="3">
        <f t="shared" si="7"/>
        <v>0.5</v>
      </c>
      <c r="M63" s="3">
        <f t="shared" si="7"/>
        <v>0.5</v>
      </c>
      <c r="P63" s="3" t="s">
        <v>870</v>
      </c>
      <c r="Q63" s="10" t="str">
        <f t="shared" si="8"/>
        <v>CAF BRASILIA-PN *</v>
      </c>
      <c r="R63" s="51">
        <f t="shared" si="9"/>
        <v>41689</v>
      </c>
      <c r="S63" s="5" t="e">
        <f t="shared" si="10"/>
        <v>#VALUE!</v>
      </c>
      <c r="T63" s="5">
        <f t="shared" si="11"/>
        <v>0.5</v>
      </c>
      <c r="U63" s="5">
        <f t="shared" si="12"/>
        <v>0.5</v>
      </c>
      <c r="V63" s="5">
        <f t="shared" si="13"/>
        <v>0.5</v>
      </c>
    </row>
    <row r="64" spans="1:22" x14ac:dyDescent="0.2">
      <c r="A64" s="33" t="str">
        <f>IF(Tabela176[[#This Row],[Código]]="IBOV","^BVSP",IF(Tabela176[[#This Row],[Código]]="","",CONCATENATE(LEFT(Tabela176[[#This Row],[Código]],6),".SA")))</f>
        <v>PEAB3.SA</v>
      </c>
      <c r="C64" s="3" t="s">
        <v>712</v>
      </c>
      <c r="D64" s="3" t="s">
        <v>127</v>
      </c>
      <c r="E64" s="3" t="s">
        <v>127</v>
      </c>
      <c r="F64" s="3" t="s">
        <v>127</v>
      </c>
      <c r="G64" s="3" t="s">
        <v>127</v>
      </c>
      <c r="H64" s="51">
        <v>41689</v>
      </c>
      <c r="J64" s="3">
        <f t="shared" si="7"/>
        <v>30</v>
      </c>
      <c r="K64" s="3">
        <f t="shared" si="7"/>
        <v>30</v>
      </c>
      <c r="L64" s="3">
        <f t="shared" si="7"/>
        <v>30</v>
      </c>
      <c r="M64" s="3">
        <f t="shared" si="7"/>
        <v>30</v>
      </c>
      <c r="P64" s="14" t="s">
        <v>709</v>
      </c>
      <c r="Q64" s="10" t="str">
        <f t="shared" si="8"/>
        <v>PAR AL BAHIA-ON</v>
      </c>
      <c r="R64" s="51">
        <f t="shared" si="9"/>
        <v>41689</v>
      </c>
      <c r="S64" s="5">
        <f t="shared" si="10"/>
        <v>30</v>
      </c>
      <c r="T64" s="5">
        <f t="shared" si="11"/>
        <v>30</v>
      </c>
      <c r="U64" s="5">
        <f t="shared" si="12"/>
        <v>30</v>
      </c>
      <c r="V64" s="5">
        <f t="shared" si="13"/>
        <v>30</v>
      </c>
    </row>
    <row r="65" spans="1:22" x14ac:dyDescent="0.2">
      <c r="A65" s="33" t="str">
        <f>IF(Tabela176[[#This Row],[Código]]="IBOV","^BVSP",IF(Tabela176[[#This Row],[Código]]="","",CONCATENATE(LEFT(Tabela176[[#This Row],[Código]],6),".SA")))</f>
        <v>PEAB4.SA</v>
      </c>
      <c r="C65" s="3" t="s">
        <v>713</v>
      </c>
      <c r="D65" s="3" t="s">
        <v>127</v>
      </c>
      <c r="E65" s="3" t="s">
        <v>127</v>
      </c>
      <c r="F65" s="3" t="s">
        <v>127</v>
      </c>
      <c r="G65" s="3" t="s">
        <v>127</v>
      </c>
      <c r="H65" s="51">
        <v>41689</v>
      </c>
      <c r="J65" s="3">
        <f t="shared" si="7"/>
        <v>30</v>
      </c>
      <c r="K65" s="3">
        <f t="shared" si="7"/>
        <v>30</v>
      </c>
      <c r="L65" s="3">
        <f t="shared" si="7"/>
        <v>30</v>
      </c>
      <c r="M65" s="3">
        <f t="shared" si="7"/>
        <v>30</v>
      </c>
      <c r="P65" s="14" t="s">
        <v>710</v>
      </c>
      <c r="Q65" s="10" t="str">
        <f t="shared" si="8"/>
        <v>PAR AL BAHIA-PN</v>
      </c>
      <c r="R65" s="51">
        <f t="shared" si="9"/>
        <v>41689</v>
      </c>
      <c r="S65" s="5">
        <f t="shared" si="10"/>
        <v>30</v>
      </c>
      <c r="T65" s="5">
        <f t="shared" si="11"/>
        <v>30</v>
      </c>
      <c r="U65" s="5">
        <f t="shared" si="12"/>
        <v>30</v>
      </c>
      <c r="V65" s="5">
        <f t="shared" si="13"/>
        <v>30</v>
      </c>
    </row>
    <row r="66" spans="1:22" x14ac:dyDescent="0.2">
      <c r="A66" s="33" t="str">
        <f>IF(Tabela176[[#This Row],[Código]]="IBOV","^BVSP",IF(Tabela176[[#This Row],[Código]]="","",CONCATENATE(LEFT(Tabela176[[#This Row],[Código]],6),".SA")))</f>
        <v>SULA3.SA</v>
      </c>
      <c r="C66" s="3" t="s">
        <v>716</v>
      </c>
      <c r="D66" s="3" t="s">
        <v>446</v>
      </c>
      <c r="E66" s="3" t="s">
        <v>447</v>
      </c>
      <c r="F66" s="3" t="s">
        <v>446</v>
      </c>
      <c r="G66" s="3" t="s">
        <v>446</v>
      </c>
      <c r="H66" s="51" t="s">
        <v>446</v>
      </c>
      <c r="J66" s="3" t="e">
        <f t="shared" si="7"/>
        <v>#VALUE!</v>
      </c>
      <c r="K66" s="3">
        <f t="shared" si="7"/>
        <v>0</v>
      </c>
      <c r="L66" s="3" t="e">
        <f t="shared" si="7"/>
        <v>#VALUE!</v>
      </c>
      <c r="M66" s="3" t="e">
        <f t="shared" si="7"/>
        <v>#VALUE!</v>
      </c>
      <c r="P66" s="10" t="s">
        <v>714</v>
      </c>
      <c r="Q66" s="10" t="str">
        <f t="shared" si="8"/>
        <v xml:space="preserve">SUL AMERICA -ON  </v>
      </c>
      <c r="R66" s="51" t="str">
        <f t="shared" si="9"/>
        <v>N/A</v>
      </c>
      <c r="S66" s="5" t="e">
        <f t="shared" si="10"/>
        <v>#VALUE!</v>
      </c>
      <c r="T66" s="5">
        <f t="shared" si="11"/>
        <v>0</v>
      </c>
      <c r="U66" s="5" t="e">
        <f t="shared" si="12"/>
        <v>#VALUE!</v>
      </c>
      <c r="V66" s="5" t="e">
        <f t="shared" si="13"/>
        <v>#VALUE!</v>
      </c>
    </row>
    <row r="67" spans="1:22" x14ac:dyDescent="0.2">
      <c r="A67" s="33" t="str">
        <f>IF(Tabela176[[#This Row],[Código]]="IBOV","^BVSP",IF(Tabela176[[#This Row],[Código]]="","",CONCATENATE(LEFT(Tabela176[[#This Row],[Código]],6),".SA")))</f>
        <v>SULA4.SA</v>
      </c>
      <c r="C67" s="3" t="s">
        <v>717</v>
      </c>
      <c r="D67" s="3" t="s">
        <v>446</v>
      </c>
      <c r="E67" s="3" t="s">
        <v>447</v>
      </c>
      <c r="F67" s="3" t="s">
        <v>446</v>
      </c>
      <c r="G67" s="3" t="s">
        <v>446</v>
      </c>
      <c r="H67" s="51" t="s">
        <v>446</v>
      </c>
      <c r="J67" s="3" t="e">
        <f t="shared" si="7"/>
        <v>#VALUE!</v>
      </c>
      <c r="K67" s="3">
        <f t="shared" si="7"/>
        <v>0</v>
      </c>
      <c r="L67" s="3" t="e">
        <f t="shared" si="7"/>
        <v>#VALUE!</v>
      </c>
      <c r="M67" s="3" t="e">
        <f t="shared" si="7"/>
        <v>#VALUE!</v>
      </c>
      <c r="P67" s="14" t="s">
        <v>715</v>
      </c>
      <c r="Q67" s="10" t="str">
        <f t="shared" si="8"/>
        <v xml:space="preserve">SUL AMERICA -PN  </v>
      </c>
      <c r="R67" s="51" t="str">
        <f t="shared" si="9"/>
        <v>N/A</v>
      </c>
      <c r="S67" s="5" t="e">
        <f t="shared" si="10"/>
        <v>#VALUE!</v>
      </c>
      <c r="T67" s="5">
        <f t="shared" si="11"/>
        <v>0</v>
      </c>
      <c r="U67" s="5" t="e">
        <f t="shared" si="12"/>
        <v>#VALUE!</v>
      </c>
      <c r="V67" s="5" t="e">
        <f t="shared" si="13"/>
        <v>#VALUE!</v>
      </c>
    </row>
    <row r="68" spans="1:22" x14ac:dyDescent="0.2">
      <c r="A68" s="33" t="str">
        <f>IF(Tabela176[[#This Row],[Código]]="IBOV","^BVSP",IF(Tabela176[[#This Row],[Código]]="","",CONCATENATE(LEFT(Tabela176[[#This Row],[Código]],6),".SA")))</f>
        <v>BTTL3.SA</v>
      </c>
      <c r="C68" s="3" t="s">
        <v>720</v>
      </c>
      <c r="D68" s="3" t="s">
        <v>1831</v>
      </c>
      <c r="E68" s="3" t="s">
        <v>972</v>
      </c>
      <c r="F68" s="3" t="s">
        <v>972</v>
      </c>
      <c r="G68" s="3" t="s">
        <v>1831</v>
      </c>
      <c r="H68" s="51">
        <v>41689</v>
      </c>
      <c r="J68" s="3">
        <f t="shared" si="7"/>
        <v>0.73</v>
      </c>
      <c r="K68" s="3">
        <f t="shared" si="7"/>
        <v>0.79</v>
      </c>
      <c r="L68" s="3">
        <f t="shared" si="7"/>
        <v>0.79</v>
      </c>
      <c r="M68" s="3">
        <f t="shared" si="7"/>
        <v>0.73</v>
      </c>
      <c r="P68" s="14" t="s">
        <v>718</v>
      </c>
      <c r="Q68" s="10" t="str">
        <f t="shared" si="8"/>
        <v>BATTISTELLA -ON</v>
      </c>
      <c r="R68" s="51">
        <f t="shared" si="9"/>
        <v>41689</v>
      </c>
      <c r="S68" s="5">
        <f t="shared" si="10"/>
        <v>0.73</v>
      </c>
      <c r="T68" s="5">
        <f t="shared" si="11"/>
        <v>0.79</v>
      </c>
      <c r="U68" s="5">
        <f t="shared" si="12"/>
        <v>0.79</v>
      </c>
      <c r="V68" s="5">
        <f t="shared" si="13"/>
        <v>0.73</v>
      </c>
    </row>
    <row r="69" spans="1:22" x14ac:dyDescent="0.2">
      <c r="A69" s="33" t="str">
        <f>IF(Tabela176[[#This Row],[Código]]="IBOV","^BVSP",IF(Tabela176[[#This Row],[Código]]="","",CONCATENATE(LEFT(Tabela176[[#This Row],[Código]],6),".SA")))</f>
        <v>BTTL4.SA</v>
      </c>
      <c r="C69" s="3" t="s">
        <v>721</v>
      </c>
      <c r="D69" s="3" t="s">
        <v>922</v>
      </c>
      <c r="E69" s="3" t="s">
        <v>922</v>
      </c>
      <c r="F69" s="3" t="s">
        <v>922</v>
      </c>
      <c r="G69" s="3" t="s">
        <v>922</v>
      </c>
      <c r="H69" s="51">
        <v>41689</v>
      </c>
      <c r="J69" s="3">
        <f t="shared" si="7"/>
        <v>0.8</v>
      </c>
      <c r="K69" s="3">
        <f t="shared" si="7"/>
        <v>0.8</v>
      </c>
      <c r="L69" s="3">
        <f t="shared" si="7"/>
        <v>0.8</v>
      </c>
      <c r="M69" s="3">
        <f t="shared" si="7"/>
        <v>0.8</v>
      </c>
      <c r="P69" s="14" t="s">
        <v>719</v>
      </c>
      <c r="Q69" s="10" t="str">
        <f t="shared" si="8"/>
        <v>BATTISTELLA -PN</v>
      </c>
      <c r="R69" s="51">
        <f t="shared" si="9"/>
        <v>41689</v>
      </c>
      <c r="S69" s="5">
        <f t="shared" si="10"/>
        <v>0.8</v>
      </c>
      <c r="T69" s="5">
        <f t="shared" si="11"/>
        <v>0.8</v>
      </c>
      <c r="U69" s="5">
        <f t="shared" si="12"/>
        <v>0.8</v>
      </c>
      <c r="V69" s="5">
        <f t="shared" si="13"/>
        <v>0.8</v>
      </c>
    </row>
    <row r="70" spans="1:22" x14ac:dyDescent="0.2">
      <c r="A70" s="33" t="str">
        <f>IF(Tabela176[[#This Row],[Código]]="IBOV","^BVSP",IF(Tabela176[[#This Row],[Código]]="","",CONCATENATE(LEFT(Tabela176[[#This Row],[Código]],6),".SA")))</f>
        <v>HBTS3.SA</v>
      </c>
      <c r="C70" s="3" t="s">
        <v>724</v>
      </c>
      <c r="D70" s="3" t="s">
        <v>446</v>
      </c>
      <c r="E70" s="3" t="s">
        <v>447</v>
      </c>
      <c r="F70" s="3" t="s">
        <v>446</v>
      </c>
      <c r="G70" s="3" t="s">
        <v>446</v>
      </c>
      <c r="H70" s="51" t="s">
        <v>446</v>
      </c>
      <c r="J70" s="3" t="e">
        <f t="shared" si="7"/>
        <v>#VALUE!</v>
      </c>
      <c r="K70" s="3">
        <f t="shared" si="7"/>
        <v>0</v>
      </c>
      <c r="L70" s="3" t="e">
        <f t="shared" si="7"/>
        <v>#VALUE!</v>
      </c>
      <c r="M70" s="3" t="e">
        <f t="shared" si="7"/>
        <v>#VALUE!</v>
      </c>
      <c r="P70" s="14" t="s">
        <v>722</v>
      </c>
      <c r="Q70" s="10" t="str">
        <f t="shared" si="8"/>
        <v>HABITASUL   -ON</v>
      </c>
      <c r="R70" s="51" t="str">
        <f t="shared" si="9"/>
        <v>N/A</v>
      </c>
      <c r="S70" s="5" t="e">
        <f t="shared" si="10"/>
        <v>#VALUE!</v>
      </c>
      <c r="T70" s="5">
        <f t="shared" si="11"/>
        <v>0</v>
      </c>
      <c r="U70" s="5" t="e">
        <f t="shared" si="12"/>
        <v>#VALUE!</v>
      </c>
      <c r="V70" s="5" t="e">
        <f t="shared" si="13"/>
        <v>#VALUE!</v>
      </c>
    </row>
    <row r="71" spans="1:22" x14ac:dyDescent="0.2">
      <c r="A71" s="33" t="str">
        <f>IF(Tabela176[[#This Row],[Código]]="IBOV","^BVSP",IF(Tabela176[[#This Row],[Código]]="","",CONCATENATE(LEFT(Tabela176[[#This Row],[Código]],6),".SA")))</f>
        <v>HBTS6.SA</v>
      </c>
      <c r="C71" s="3" t="s">
        <v>725</v>
      </c>
      <c r="D71" s="3" t="s">
        <v>446</v>
      </c>
      <c r="E71" s="3" t="s">
        <v>447</v>
      </c>
      <c r="F71" s="3" t="s">
        <v>446</v>
      </c>
      <c r="G71" s="3" t="s">
        <v>446</v>
      </c>
      <c r="H71" s="51" t="s">
        <v>446</v>
      </c>
      <c r="J71" s="3" t="e">
        <f t="shared" si="7"/>
        <v>#VALUE!</v>
      </c>
      <c r="K71" s="3">
        <f t="shared" si="7"/>
        <v>0</v>
      </c>
      <c r="L71" s="3" t="e">
        <f t="shared" si="7"/>
        <v>#VALUE!</v>
      </c>
      <c r="M71" s="3" t="e">
        <f t="shared" si="7"/>
        <v>#VALUE!</v>
      </c>
      <c r="P71" s="14" t="s">
        <v>723</v>
      </c>
      <c r="Q71" s="10" t="str">
        <f t="shared" ref="Q71:Q102" si="14">IF(A71="","",C71)</f>
        <v>HABITASUL   -PNB</v>
      </c>
      <c r="R71" s="46" t="str">
        <f t="shared" ref="R71:R102" si="15">IF(A71="","",H71)</f>
        <v>N/A</v>
      </c>
      <c r="S71" s="6" t="e">
        <f t="shared" ref="S71:S102" si="16">J71</f>
        <v>#VALUE!</v>
      </c>
      <c r="T71" s="6">
        <f t="shared" ref="T71:T102" si="17">K71</f>
        <v>0</v>
      </c>
      <c r="U71" s="6" t="e">
        <f t="shared" ref="U71:U102" si="18">L71</f>
        <v>#VALUE!</v>
      </c>
      <c r="V71" s="6" t="e">
        <f t="shared" ref="V71:V102" si="19">M71</f>
        <v>#VALUE!</v>
      </c>
    </row>
    <row r="72" spans="1:22" x14ac:dyDescent="0.2">
      <c r="A72" s="33" t="str">
        <f>IF(Tabela176[[#This Row],[Código]]="IBOV","^BVSP",IF(Tabela176[[#This Row],[Código]]="","",CONCATENATE(LEFT(Tabela176[[#This Row],[Código]],6),".SA")))</f>
        <v>DOCA3.SA</v>
      </c>
      <c r="C72" s="3" t="s">
        <v>728</v>
      </c>
      <c r="D72" s="3" t="s">
        <v>136</v>
      </c>
      <c r="E72" s="3" t="s">
        <v>136</v>
      </c>
      <c r="F72" s="3" t="s">
        <v>136</v>
      </c>
      <c r="G72" s="3" t="s">
        <v>136</v>
      </c>
      <c r="H72" s="51">
        <v>41689</v>
      </c>
      <c r="J72" s="3">
        <f t="shared" ref="J72:M135" si="20">IF($A72="",0,VALUE(CONCATENATE(LEFT(D72,LEN(D72)-3),",",RIGHT(D72,2))))</f>
        <v>11</v>
      </c>
      <c r="K72" s="3">
        <f t="shared" si="20"/>
        <v>11</v>
      </c>
      <c r="L72" s="3">
        <f t="shared" si="20"/>
        <v>11</v>
      </c>
      <c r="M72" s="3">
        <f t="shared" si="20"/>
        <v>11</v>
      </c>
      <c r="P72" s="15" t="s">
        <v>726</v>
      </c>
      <c r="Q72" s="10" t="str">
        <f t="shared" si="14"/>
        <v>DOCAS       -ON</v>
      </c>
      <c r="R72" s="51">
        <f t="shared" si="15"/>
        <v>41689</v>
      </c>
      <c r="S72" s="5">
        <f t="shared" si="16"/>
        <v>11</v>
      </c>
      <c r="T72" s="5">
        <f t="shared" si="17"/>
        <v>11</v>
      </c>
      <c r="U72" s="5">
        <f t="shared" si="18"/>
        <v>11</v>
      </c>
      <c r="V72" s="5">
        <f t="shared" si="19"/>
        <v>11</v>
      </c>
    </row>
    <row r="73" spans="1:22" x14ac:dyDescent="0.2">
      <c r="A73" s="33" t="str">
        <f>IF(Tabela176[[#This Row],[Código]]="IBOV","^BVSP",IF(Tabela176[[#This Row],[Código]]="","",CONCATENATE(LEFT(Tabela176[[#This Row],[Código]],6),".SA")))</f>
        <v>DOCA4.SA</v>
      </c>
      <c r="C73" s="3" t="s">
        <v>729</v>
      </c>
      <c r="D73" s="3" t="s">
        <v>730</v>
      </c>
      <c r="E73" s="3" t="s">
        <v>730</v>
      </c>
      <c r="F73" s="3" t="s">
        <v>730</v>
      </c>
      <c r="G73" s="3" t="s">
        <v>730</v>
      </c>
      <c r="H73" s="51">
        <v>41689</v>
      </c>
      <c r="J73" s="3">
        <f t="shared" si="20"/>
        <v>5.01</v>
      </c>
      <c r="K73" s="3">
        <f t="shared" si="20"/>
        <v>5.01</v>
      </c>
      <c r="L73" s="3">
        <f t="shared" si="20"/>
        <v>5.01</v>
      </c>
      <c r="M73" s="3">
        <f t="shared" si="20"/>
        <v>5.01</v>
      </c>
      <c r="P73" s="14" t="s">
        <v>727</v>
      </c>
      <c r="Q73" s="10" t="str">
        <f t="shared" si="14"/>
        <v>DOCAS       -PN</v>
      </c>
      <c r="R73" s="51">
        <f t="shared" si="15"/>
        <v>41689</v>
      </c>
      <c r="S73" s="5">
        <f t="shared" si="16"/>
        <v>5.01</v>
      </c>
      <c r="T73" s="5">
        <f t="shared" si="17"/>
        <v>5.01</v>
      </c>
      <c r="U73" s="5">
        <f t="shared" si="18"/>
        <v>5.01</v>
      </c>
      <c r="V73" s="5">
        <f t="shared" si="19"/>
        <v>5.01</v>
      </c>
    </row>
    <row r="74" spans="1:22" x14ac:dyDescent="0.2">
      <c r="A74" s="33" t="str">
        <f>IF(Tabela176[[#This Row],[Código]]="IBOV","^BVSP",IF(Tabela176[[#This Row],[Código]]="","",CONCATENATE(LEFT(Tabela176[[#This Row],[Código]],6),".SA")))</f>
        <v>JBDU3.SA</v>
      </c>
      <c r="C74" s="3" t="s">
        <v>733</v>
      </c>
      <c r="D74" s="3" t="s">
        <v>1832</v>
      </c>
      <c r="E74" s="3" t="s">
        <v>1257</v>
      </c>
      <c r="F74" s="3" t="s">
        <v>1257</v>
      </c>
      <c r="G74" s="3" t="s">
        <v>1832</v>
      </c>
      <c r="H74" s="51">
        <v>41689</v>
      </c>
      <c r="J74" s="3">
        <f t="shared" si="20"/>
        <v>0.26</v>
      </c>
      <c r="K74" s="3">
        <f t="shared" si="20"/>
        <v>0.27</v>
      </c>
      <c r="L74" s="3">
        <f t="shared" si="20"/>
        <v>0.27</v>
      </c>
      <c r="M74" s="3">
        <f t="shared" si="20"/>
        <v>0.26</v>
      </c>
      <c r="P74" s="14" t="s">
        <v>731</v>
      </c>
      <c r="Q74" s="10" t="str">
        <f t="shared" si="14"/>
        <v>J B DUARTE  -ON</v>
      </c>
      <c r="R74" s="51">
        <f t="shared" si="15"/>
        <v>41689</v>
      </c>
      <c r="S74" s="5">
        <f t="shared" si="16"/>
        <v>0.26</v>
      </c>
      <c r="T74" s="5">
        <f t="shared" si="17"/>
        <v>0.27</v>
      </c>
      <c r="U74" s="5">
        <f t="shared" si="18"/>
        <v>0.27</v>
      </c>
      <c r="V74" s="5">
        <f t="shared" si="19"/>
        <v>0.26</v>
      </c>
    </row>
    <row r="75" spans="1:22" x14ac:dyDescent="0.2">
      <c r="A75" s="33" t="str">
        <f>IF(Tabela176[[#This Row],[Código]]="IBOV","^BVSP",IF(Tabela176[[#This Row],[Código]]="","",CONCATENATE(LEFT(Tabela176[[#This Row],[Código]],6),".SA")))</f>
        <v>JBDU4.SA</v>
      </c>
      <c r="C75" s="3" t="s">
        <v>734</v>
      </c>
      <c r="D75" s="3" t="s">
        <v>537</v>
      </c>
      <c r="E75" s="3" t="s">
        <v>1258</v>
      </c>
      <c r="F75" s="3" t="s">
        <v>1258</v>
      </c>
      <c r="G75" s="3" t="s">
        <v>751</v>
      </c>
      <c r="H75" s="51">
        <v>41689</v>
      </c>
      <c r="J75" s="3">
        <f t="shared" si="20"/>
        <v>0.18</v>
      </c>
      <c r="K75" s="3">
        <f t="shared" si="20"/>
        <v>0.19</v>
      </c>
      <c r="L75" s="3">
        <f t="shared" si="20"/>
        <v>0.19</v>
      </c>
      <c r="M75" s="3">
        <f t="shared" si="20"/>
        <v>0.17</v>
      </c>
      <c r="P75" s="14" t="s">
        <v>732</v>
      </c>
      <c r="Q75" s="10" t="str">
        <f t="shared" si="14"/>
        <v>J B DUARTE  -PN</v>
      </c>
      <c r="R75" s="51">
        <f t="shared" si="15"/>
        <v>41689</v>
      </c>
      <c r="S75" s="5">
        <f t="shared" si="16"/>
        <v>0.18</v>
      </c>
      <c r="T75" s="5">
        <f t="shared" si="17"/>
        <v>0.19</v>
      </c>
      <c r="U75" s="5">
        <f t="shared" si="18"/>
        <v>0.19</v>
      </c>
      <c r="V75" s="5">
        <f t="shared" si="19"/>
        <v>0.17</v>
      </c>
    </row>
    <row r="76" spans="1:22" x14ac:dyDescent="0.2">
      <c r="A76" s="33" t="str">
        <f>IF(Tabela176[[#This Row],[Código]]="IBOV","^BVSP",IF(Tabela176[[#This Row],[Código]]="","",CONCATENATE(LEFT(Tabela176[[#This Row],[Código]],6),".SA")))</f>
        <v>AGRO3.SA</v>
      </c>
      <c r="C76" s="3" t="s">
        <v>743</v>
      </c>
      <c r="D76" s="3" t="s">
        <v>1833</v>
      </c>
      <c r="E76" s="3" t="s">
        <v>1833</v>
      </c>
      <c r="F76" s="3" t="s">
        <v>1833</v>
      </c>
      <c r="G76" s="3" t="s">
        <v>1833</v>
      </c>
      <c r="H76" s="51">
        <v>41689</v>
      </c>
      <c r="J76" s="3">
        <f t="shared" si="20"/>
        <v>7.98</v>
      </c>
      <c r="K76" s="3">
        <f t="shared" si="20"/>
        <v>7.98</v>
      </c>
      <c r="L76" s="3">
        <f t="shared" si="20"/>
        <v>7.98</v>
      </c>
      <c r="M76" s="3">
        <f t="shared" si="20"/>
        <v>7.98</v>
      </c>
      <c r="P76" s="14" t="s">
        <v>737</v>
      </c>
      <c r="Q76" s="10" t="str">
        <f t="shared" si="14"/>
        <v xml:space="preserve">BRASILAGRO  -ON  </v>
      </c>
      <c r="R76" s="51">
        <f t="shared" si="15"/>
        <v>41689</v>
      </c>
      <c r="S76" s="5">
        <f t="shared" si="16"/>
        <v>7.98</v>
      </c>
      <c r="T76" s="5">
        <f t="shared" si="17"/>
        <v>7.98</v>
      </c>
      <c r="U76" s="5">
        <f t="shared" si="18"/>
        <v>7.98</v>
      </c>
      <c r="V76" s="5">
        <f t="shared" si="19"/>
        <v>7.98</v>
      </c>
    </row>
    <row r="77" spans="1:22" x14ac:dyDescent="0.2">
      <c r="A77" s="33" t="str">
        <f>IF(Tabela176[[#This Row],[Código]]="IBOV","^BVSP",IF(Tabela176[[#This Row],[Código]]="","",CONCATENATE(LEFT(Tabela176[[#This Row],[Código]],6),".SA")))</f>
        <v>CORR3.SA</v>
      </c>
      <c r="C77" s="3" t="s">
        <v>744</v>
      </c>
      <c r="D77" s="3" t="s">
        <v>446</v>
      </c>
      <c r="E77" s="3" t="s">
        <v>447</v>
      </c>
      <c r="F77" s="3" t="s">
        <v>446</v>
      </c>
      <c r="G77" s="3" t="s">
        <v>446</v>
      </c>
      <c r="H77" s="51" t="s">
        <v>446</v>
      </c>
      <c r="J77" s="3" t="e">
        <f t="shared" si="20"/>
        <v>#VALUE!</v>
      </c>
      <c r="K77" s="3">
        <f t="shared" si="20"/>
        <v>0</v>
      </c>
      <c r="L77" s="3" t="e">
        <f t="shared" si="20"/>
        <v>#VALUE!</v>
      </c>
      <c r="M77" s="3" t="e">
        <f t="shared" si="20"/>
        <v>#VALUE!</v>
      </c>
      <c r="P77" s="15" t="s">
        <v>738</v>
      </c>
      <c r="Q77" s="10" t="str">
        <f t="shared" si="14"/>
        <v>COR RIBEIRO -ON</v>
      </c>
      <c r="R77" s="51" t="str">
        <f t="shared" si="15"/>
        <v>N/A</v>
      </c>
      <c r="S77" s="5" t="e">
        <f t="shared" si="16"/>
        <v>#VALUE!</v>
      </c>
      <c r="T77" s="5">
        <f t="shared" si="17"/>
        <v>0</v>
      </c>
      <c r="U77" s="5" t="e">
        <f t="shared" si="18"/>
        <v>#VALUE!</v>
      </c>
      <c r="V77" s="5" t="e">
        <f t="shared" si="19"/>
        <v>#VALUE!</v>
      </c>
    </row>
    <row r="78" spans="1:22" x14ac:dyDescent="0.2">
      <c r="A78" s="33" t="str">
        <f>IF(Tabela176[[#This Row],[Código]]="IBOV","^BVSP",IF(Tabela176[[#This Row],[Código]]="","",CONCATENATE(LEFT(Tabela176[[#This Row],[Código]],6),".SA")))</f>
        <v>CORR4.SA</v>
      </c>
      <c r="C78" s="3" t="s">
        <v>745</v>
      </c>
      <c r="D78" s="3" t="s">
        <v>446</v>
      </c>
      <c r="E78" s="3" t="s">
        <v>746</v>
      </c>
      <c r="F78" s="3" t="s">
        <v>746</v>
      </c>
      <c r="G78" s="3" t="s">
        <v>746</v>
      </c>
      <c r="H78" s="51">
        <v>41689</v>
      </c>
      <c r="J78" s="3" t="e">
        <f t="shared" si="20"/>
        <v>#VALUE!</v>
      </c>
      <c r="K78" s="3">
        <f t="shared" si="20"/>
        <v>210.01</v>
      </c>
      <c r="L78" s="3">
        <f t="shared" si="20"/>
        <v>210.01</v>
      </c>
      <c r="M78" s="3">
        <f t="shared" si="20"/>
        <v>210.01</v>
      </c>
      <c r="P78" s="15" t="s">
        <v>739</v>
      </c>
      <c r="Q78" s="10" t="str">
        <f t="shared" si="14"/>
        <v>COR RIBEIRO -PN</v>
      </c>
      <c r="R78" s="51">
        <f t="shared" si="15"/>
        <v>41689</v>
      </c>
      <c r="S78" s="5" t="e">
        <f t="shared" si="16"/>
        <v>#VALUE!</v>
      </c>
      <c r="T78" s="5">
        <f t="shared" si="17"/>
        <v>210.01</v>
      </c>
      <c r="U78" s="5">
        <f t="shared" si="18"/>
        <v>210.01</v>
      </c>
      <c r="V78" s="5">
        <f t="shared" si="19"/>
        <v>210.01</v>
      </c>
    </row>
    <row r="79" spans="1:22" x14ac:dyDescent="0.2">
      <c r="A79" s="33" t="str">
        <f>IF(Tabela176[[#This Row],[Código]]="IBOV","^BVSP",IF(Tabela176[[#This Row],[Código]]="","",CONCATENATE(LEFT(Tabela176[[#This Row],[Código]],6),".SA")))</f>
        <v>GSHP3.SA</v>
      </c>
      <c r="C79" s="3" t="s">
        <v>753</v>
      </c>
      <c r="D79" s="3" t="s">
        <v>976</v>
      </c>
      <c r="E79" s="3" t="s">
        <v>947</v>
      </c>
      <c r="F79" s="3" t="s">
        <v>976</v>
      </c>
      <c r="G79" s="3" t="s">
        <v>1834</v>
      </c>
      <c r="H79" s="51">
        <v>41689</v>
      </c>
      <c r="J79" s="3">
        <f t="shared" si="20"/>
        <v>7.2</v>
      </c>
      <c r="K79" s="3">
        <f t="shared" si="20"/>
        <v>7</v>
      </c>
      <c r="L79" s="3">
        <f t="shared" si="20"/>
        <v>7.2</v>
      </c>
      <c r="M79" s="3">
        <f t="shared" si="20"/>
        <v>6.95</v>
      </c>
      <c r="P79" s="15" t="s">
        <v>752</v>
      </c>
      <c r="Q79" s="10" t="str">
        <f t="shared" si="14"/>
        <v xml:space="preserve">GENERALSHOPP-ON  </v>
      </c>
      <c r="R79" s="51">
        <f t="shared" si="15"/>
        <v>41689</v>
      </c>
      <c r="S79" s="5">
        <f t="shared" si="16"/>
        <v>7.2</v>
      </c>
      <c r="T79" s="5">
        <f t="shared" si="17"/>
        <v>7</v>
      </c>
      <c r="U79" s="5">
        <f t="shared" si="18"/>
        <v>7.2</v>
      </c>
      <c r="V79" s="5">
        <f t="shared" si="19"/>
        <v>6.95</v>
      </c>
    </row>
    <row r="80" spans="1:22" x14ac:dyDescent="0.2">
      <c r="A80" s="33" t="str">
        <f>IF(Tabela176[[#This Row],[Código]]="IBOV","^BVSP",IF(Tabela176[[#This Row],[Código]]="","",CONCATENATE(LEFT(Tabela176[[#This Row],[Código]],6),".SA")))</f>
        <v>MULT4.SA</v>
      </c>
      <c r="C80" s="3" t="s">
        <v>755</v>
      </c>
      <c r="D80" s="3" t="s">
        <v>446</v>
      </c>
      <c r="E80" s="3" t="s">
        <v>447</v>
      </c>
      <c r="F80" s="3" t="s">
        <v>446</v>
      </c>
      <c r="G80" s="3" t="s">
        <v>446</v>
      </c>
      <c r="H80" s="51" t="s">
        <v>446</v>
      </c>
      <c r="J80" s="3" t="e">
        <f t="shared" si="20"/>
        <v>#VALUE!</v>
      </c>
      <c r="K80" s="3">
        <f t="shared" si="20"/>
        <v>0</v>
      </c>
      <c r="L80" s="3" t="e">
        <f t="shared" si="20"/>
        <v>#VALUE!</v>
      </c>
      <c r="M80" s="3" t="e">
        <f t="shared" si="20"/>
        <v>#VALUE!</v>
      </c>
      <c r="P80" s="15" t="s">
        <v>754</v>
      </c>
      <c r="Q80" s="10" t="str">
        <f t="shared" si="14"/>
        <v>MULT4.SA</v>
      </c>
      <c r="R80" s="51" t="str">
        <f t="shared" si="15"/>
        <v>N/A</v>
      </c>
      <c r="S80" s="5" t="e">
        <f t="shared" si="16"/>
        <v>#VALUE!</v>
      </c>
      <c r="T80" s="5">
        <f t="shared" si="17"/>
        <v>0</v>
      </c>
      <c r="U80" s="5" t="e">
        <f t="shared" si="18"/>
        <v>#VALUE!</v>
      </c>
      <c r="V80" s="5" t="e">
        <f t="shared" si="19"/>
        <v>#VALUE!</v>
      </c>
    </row>
    <row r="81" spans="1:22" x14ac:dyDescent="0.2">
      <c r="A81" s="33" t="str">
        <f>IF(Tabela176[[#This Row],[Código]]="IBOV","^BVSP",IF(Tabela176[[#This Row],[Código]]="","",CONCATENATE(LEFT(Tabela176[[#This Row],[Código]],6),".SA")))</f>
        <v>TEMP3.SA</v>
      </c>
      <c r="C81" s="3" t="s">
        <v>758</v>
      </c>
      <c r="D81" s="3" t="s">
        <v>1242</v>
      </c>
      <c r="E81" s="3" t="s">
        <v>227</v>
      </c>
      <c r="F81" s="3" t="s">
        <v>1242</v>
      </c>
      <c r="G81" s="3" t="s">
        <v>460</v>
      </c>
      <c r="H81" s="51">
        <v>41689</v>
      </c>
      <c r="J81" s="3">
        <f t="shared" si="20"/>
        <v>3.66</v>
      </c>
      <c r="K81" s="3">
        <f t="shared" si="20"/>
        <v>3.6</v>
      </c>
      <c r="L81" s="3">
        <f t="shared" si="20"/>
        <v>3.66</v>
      </c>
      <c r="M81" s="3">
        <f t="shared" si="20"/>
        <v>3.5</v>
      </c>
      <c r="P81" s="14" t="s">
        <v>756</v>
      </c>
      <c r="Q81" s="10" t="str">
        <f t="shared" si="14"/>
        <v xml:space="preserve">TEMPO PART  -ON  </v>
      </c>
      <c r="R81" s="51">
        <f t="shared" si="15"/>
        <v>41689</v>
      </c>
      <c r="S81" s="5">
        <f t="shared" si="16"/>
        <v>3.66</v>
      </c>
      <c r="T81" s="5">
        <f t="shared" si="17"/>
        <v>3.6</v>
      </c>
      <c r="U81" s="5">
        <f t="shared" si="18"/>
        <v>3.66</v>
      </c>
      <c r="V81" s="5">
        <f t="shared" si="19"/>
        <v>3.5</v>
      </c>
    </row>
    <row r="82" spans="1:22" x14ac:dyDescent="0.2">
      <c r="A82" s="33" t="str">
        <f>IF(Tabela176[[#This Row],[Código]]="IBOV","^BVSP",IF(Tabela176[[#This Row],[Código]]="","",CONCATENATE(LEFT(Tabela176[[#This Row],[Código]],6),".SA")))</f>
        <v>DASA3.SA</v>
      </c>
      <c r="C82" s="3" t="s">
        <v>760</v>
      </c>
      <c r="D82" s="3" t="s">
        <v>1592</v>
      </c>
      <c r="E82" s="3" t="s">
        <v>1064</v>
      </c>
      <c r="F82" s="3" t="s">
        <v>1996</v>
      </c>
      <c r="G82" s="3" t="s">
        <v>1592</v>
      </c>
      <c r="H82" s="51">
        <v>41689</v>
      </c>
      <c r="J82" s="3">
        <f t="shared" si="20"/>
        <v>15.02</v>
      </c>
      <c r="K82" s="3">
        <f t="shared" si="20"/>
        <v>15.04</v>
      </c>
      <c r="L82" s="3">
        <f t="shared" si="20"/>
        <v>15.09</v>
      </c>
      <c r="M82" s="3">
        <f t="shared" si="20"/>
        <v>15.02</v>
      </c>
      <c r="P82" s="14" t="s">
        <v>759</v>
      </c>
      <c r="Q82" s="10" t="str">
        <f t="shared" si="14"/>
        <v xml:space="preserve">DASA        -ON  </v>
      </c>
      <c r="R82" s="51">
        <f t="shared" si="15"/>
        <v>41689</v>
      </c>
      <c r="S82" s="5">
        <f t="shared" si="16"/>
        <v>15.02</v>
      </c>
      <c r="T82" s="5">
        <f t="shared" si="17"/>
        <v>15.04</v>
      </c>
      <c r="U82" s="5">
        <f t="shared" si="18"/>
        <v>15.09</v>
      </c>
      <c r="V82" s="5">
        <f t="shared" si="19"/>
        <v>15.02</v>
      </c>
    </row>
    <row r="83" spans="1:22" x14ac:dyDescent="0.2">
      <c r="A83" s="33" t="str">
        <f>IF(Tabela176[[#This Row],[Código]]="IBOV","^BVSP",IF(Tabela176[[#This Row],[Código]]="","",CONCATENATE(LEFT(Tabela176[[#This Row],[Código]],6),".SA")))</f>
        <v>FLRY3.SA</v>
      </c>
      <c r="C83" s="3" t="s">
        <v>762</v>
      </c>
      <c r="D83" s="3" t="s">
        <v>1217</v>
      </c>
      <c r="E83" s="3" t="s">
        <v>962</v>
      </c>
      <c r="F83" s="3" t="s">
        <v>1835</v>
      </c>
      <c r="G83" s="3" t="s">
        <v>1836</v>
      </c>
      <c r="H83" s="51">
        <v>41689</v>
      </c>
      <c r="J83" s="3">
        <f t="shared" si="20"/>
        <v>18.399999999999999</v>
      </c>
      <c r="K83" s="3">
        <f t="shared" si="20"/>
        <v>18.5</v>
      </c>
      <c r="L83" s="3">
        <f t="shared" si="20"/>
        <v>18.600000000000001</v>
      </c>
      <c r="M83" s="3">
        <f t="shared" si="20"/>
        <v>18.32</v>
      </c>
      <c r="P83" s="14" t="s">
        <v>761</v>
      </c>
      <c r="Q83" s="10" t="str">
        <f t="shared" si="14"/>
        <v xml:space="preserve">FLEURY      -ON  </v>
      </c>
      <c r="R83" s="46">
        <f t="shared" si="15"/>
        <v>41689</v>
      </c>
      <c r="S83" s="6">
        <f t="shared" si="16"/>
        <v>18.399999999999999</v>
      </c>
      <c r="T83" s="6">
        <f t="shared" si="17"/>
        <v>18.5</v>
      </c>
      <c r="U83" s="6">
        <f t="shared" si="18"/>
        <v>18.600000000000001</v>
      </c>
      <c r="V83" s="6">
        <f t="shared" si="19"/>
        <v>18.32</v>
      </c>
    </row>
    <row r="84" spans="1:22" x14ac:dyDescent="0.2">
      <c r="A84" s="33" t="str">
        <f>IF(Tabela176[[#This Row],[Código]]="IBOV","^BVSP",IF(Tabela176[[#This Row],[Código]]="","",CONCATENATE(LEFT(Tabela176[[#This Row],[Código]],6),".SA")))</f>
        <v>ODPV3.SA</v>
      </c>
      <c r="C84" s="3" t="s">
        <v>764</v>
      </c>
      <c r="D84" s="3" t="s">
        <v>1212</v>
      </c>
      <c r="E84" s="3" t="s">
        <v>1211</v>
      </c>
      <c r="F84" s="3" t="s">
        <v>1752</v>
      </c>
      <c r="G84" s="3" t="s">
        <v>1838</v>
      </c>
      <c r="H84" s="51">
        <v>41689</v>
      </c>
      <c r="J84" s="3">
        <f t="shared" si="20"/>
        <v>8.81</v>
      </c>
      <c r="K84" s="3">
        <f t="shared" si="20"/>
        <v>8.86</v>
      </c>
      <c r="L84" s="3">
        <f t="shared" si="20"/>
        <v>8.91</v>
      </c>
      <c r="M84" s="3">
        <f t="shared" si="20"/>
        <v>8.76</v>
      </c>
      <c r="P84" s="43" t="s">
        <v>763</v>
      </c>
      <c r="Q84" s="10" t="str">
        <f t="shared" si="14"/>
        <v xml:space="preserve">ODONTOPREV  -ON  </v>
      </c>
      <c r="R84" s="51">
        <f t="shared" si="15"/>
        <v>41689</v>
      </c>
      <c r="S84" s="5">
        <f t="shared" si="16"/>
        <v>8.81</v>
      </c>
      <c r="T84" s="5">
        <f t="shared" si="17"/>
        <v>8.86</v>
      </c>
      <c r="U84" s="5">
        <f t="shared" si="18"/>
        <v>8.91</v>
      </c>
      <c r="V84" s="5">
        <f t="shared" si="19"/>
        <v>8.76</v>
      </c>
    </row>
    <row r="85" spans="1:22" x14ac:dyDescent="0.2">
      <c r="A85" s="33" t="str">
        <f>IF(Tabela176[[#This Row],[Código]]="IBOV","^BVSP",IF(Tabela176[[#This Row],[Código]]="","",CONCATENATE(LEFT(Tabela176[[#This Row],[Código]],6),".SA")))</f>
        <v>QUAL3.SA</v>
      </c>
      <c r="C85" s="3" t="s">
        <v>766</v>
      </c>
      <c r="D85" s="3" t="s">
        <v>1652</v>
      </c>
      <c r="E85" s="3" t="s">
        <v>1251</v>
      </c>
      <c r="F85" s="3" t="s">
        <v>1997</v>
      </c>
      <c r="G85" s="3" t="s">
        <v>1839</v>
      </c>
      <c r="H85" s="51">
        <v>41689</v>
      </c>
      <c r="J85" s="3">
        <f t="shared" si="20"/>
        <v>19.8</v>
      </c>
      <c r="K85" s="3">
        <f t="shared" si="20"/>
        <v>19.649999999999999</v>
      </c>
      <c r="L85" s="3">
        <f t="shared" si="20"/>
        <v>19.809999999999999</v>
      </c>
      <c r="M85" s="3">
        <f t="shared" si="20"/>
        <v>19.18</v>
      </c>
      <c r="P85" s="15" t="s">
        <v>765</v>
      </c>
      <c r="Q85" s="10" t="str">
        <f t="shared" si="14"/>
        <v xml:space="preserve">QUALICORP   -ON  </v>
      </c>
      <c r="R85" s="51">
        <f t="shared" si="15"/>
        <v>41689</v>
      </c>
      <c r="S85" s="5">
        <f t="shared" si="16"/>
        <v>19.8</v>
      </c>
      <c r="T85" s="5">
        <f t="shared" si="17"/>
        <v>19.649999999999999</v>
      </c>
      <c r="U85" s="5">
        <f t="shared" si="18"/>
        <v>19.809999999999999</v>
      </c>
      <c r="V85" s="5">
        <f t="shared" si="19"/>
        <v>19.18</v>
      </c>
    </row>
    <row r="86" spans="1:22" x14ac:dyDescent="0.2">
      <c r="A86" s="33" t="str">
        <f>IF(Tabela176[[#This Row],[Código]]="IBOV","^BVSP",IF(Tabela176[[#This Row],[Código]]="","",CONCATENATE(LEFT(Tabela176[[#This Row],[Código]],6),".SA")))</f>
        <v>BIOM3M.SA</v>
      </c>
      <c r="C86" s="3" t="s">
        <v>768</v>
      </c>
      <c r="D86" s="3" t="s">
        <v>342</v>
      </c>
      <c r="E86" s="3" t="s">
        <v>805</v>
      </c>
      <c r="F86" s="3" t="s">
        <v>805</v>
      </c>
      <c r="G86" s="3" t="s">
        <v>342</v>
      </c>
      <c r="H86" s="51">
        <v>41670</v>
      </c>
      <c r="J86" s="3">
        <f t="shared" si="20"/>
        <v>9.5</v>
      </c>
      <c r="K86" s="3">
        <f t="shared" si="20"/>
        <v>9.75</v>
      </c>
      <c r="L86" s="3">
        <f t="shared" si="20"/>
        <v>9.75</v>
      </c>
      <c r="M86" s="3">
        <f t="shared" si="20"/>
        <v>9.5</v>
      </c>
      <c r="P86" s="15" t="s">
        <v>767</v>
      </c>
      <c r="Q86" s="10" t="str">
        <f t="shared" si="14"/>
        <v xml:space="preserve">BIOMM       -ON  </v>
      </c>
      <c r="R86" s="51">
        <f t="shared" si="15"/>
        <v>41670</v>
      </c>
      <c r="S86" s="5">
        <f t="shared" si="16"/>
        <v>9.5</v>
      </c>
      <c r="T86" s="5">
        <f t="shared" si="17"/>
        <v>9.75</v>
      </c>
      <c r="U86" s="5">
        <f t="shared" si="18"/>
        <v>9.75</v>
      </c>
      <c r="V86" s="5">
        <f t="shared" si="19"/>
        <v>9.5</v>
      </c>
    </row>
    <row r="87" spans="1:22" x14ac:dyDescent="0.2">
      <c r="A87" s="33" t="str">
        <f>IF(Tabela176[[#This Row],[Código]]="IBOV","^BVSP",IF(Tabela176[[#This Row],[Código]]="","",CONCATENATE(LEFT(Tabela176[[#This Row],[Código]],6),".SA")))</f>
        <v>CREM3.SA</v>
      </c>
      <c r="C87" s="3" t="s">
        <v>770</v>
      </c>
      <c r="D87" s="3" t="s">
        <v>1840</v>
      </c>
      <c r="E87" s="3" t="s">
        <v>1270</v>
      </c>
      <c r="F87" s="3" t="s">
        <v>1840</v>
      </c>
      <c r="G87" s="3" t="s">
        <v>1841</v>
      </c>
      <c r="H87" s="51">
        <v>41689</v>
      </c>
      <c r="J87" s="3">
        <f t="shared" si="20"/>
        <v>14.27</v>
      </c>
      <c r="K87" s="3">
        <f t="shared" si="20"/>
        <v>13.62</v>
      </c>
      <c r="L87" s="3">
        <f t="shared" si="20"/>
        <v>14.27</v>
      </c>
      <c r="M87" s="3">
        <f t="shared" si="20"/>
        <v>13.53</v>
      </c>
      <c r="P87" s="15" t="s">
        <v>769</v>
      </c>
      <c r="Q87" s="10" t="str">
        <f t="shared" si="14"/>
        <v xml:space="preserve">CREMER      -ON  </v>
      </c>
      <c r="R87" s="51">
        <f t="shared" si="15"/>
        <v>41689</v>
      </c>
      <c r="S87" s="5">
        <f t="shared" si="16"/>
        <v>14.27</v>
      </c>
      <c r="T87" s="5">
        <f t="shared" si="17"/>
        <v>13.62</v>
      </c>
      <c r="U87" s="5">
        <f t="shared" si="18"/>
        <v>14.27</v>
      </c>
      <c r="V87" s="5">
        <f t="shared" si="19"/>
        <v>13.53</v>
      </c>
    </row>
    <row r="88" spans="1:22" x14ac:dyDescent="0.2">
      <c r="A88" s="33" t="str">
        <f>IF(Tabela176[[#This Row],[Código]]="IBOV","^BVSP",IF(Tabela176[[#This Row],[Código]]="","",CONCATENATE(LEFT(Tabela176[[#This Row],[Código]],6),".SA")))</f>
        <v>NATU3.SA</v>
      </c>
      <c r="C88" s="3" t="s">
        <v>814</v>
      </c>
      <c r="D88" s="3" t="s">
        <v>1842</v>
      </c>
      <c r="E88" s="3" t="s">
        <v>1998</v>
      </c>
      <c r="F88" s="3" t="s">
        <v>1843</v>
      </c>
      <c r="G88" s="3" t="s">
        <v>1999</v>
      </c>
      <c r="H88" s="51">
        <v>41689</v>
      </c>
      <c r="J88" s="3">
        <f t="shared" si="20"/>
        <v>35.159999999999997</v>
      </c>
      <c r="K88" s="3">
        <f t="shared" si="20"/>
        <v>35.520000000000003</v>
      </c>
      <c r="L88" s="3">
        <f t="shared" si="20"/>
        <v>36.25</v>
      </c>
      <c r="M88" s="3">
        <f t="shared" si="20"/>
        <v>34.5</v>
      </c>
      <c r="P88" s="15" t="s">
        <v>811</v>
      </c>
      <c r="Q88" s="10" t="str">
        <f t="shared" si="14"/>
        <v xml:space="preserve">NATURA      -ON  </v>
      </c>
      <c r="R88" s="51">
        <f t="shared" si="15"/>
        <v>41689</v>
      </c>
      <c r="S88" s="5">
        <f t="shared" si="16"/>
        <v>35.159999999999997</v>
      </c>
      <c r="T88" s="5">
        <f t="shared" si="17"/>
        <v>35.520000000000003</v>
      </c>
      <c r="U88" s="5">
        <f t="shared" si="18"/>
        <v>36.25</v>
      </c>
      <c r="V88" s="5">
        <f t="shared" si="19"/>
        <v>34.5</v>
      </c>
    </row>
    <row r="89" spans="1:22" x14ac:dyDescent="0.2">
      <c r="A89" s="33" t="str">
        <f>IF(Tabela176[[#This Row],[Código]]="IBOV","^BVSP",IF(Tabela176[[#This Row],[Código]]="","",CONCATENATE(LEFT(Tabela176[[#This Row],[Código]],6),".SA")))</f>
        <v>BOBR3.SA</v>
      </c>
      <c r="C89" s="3" t="s">
        <v>818</v>
      </c>
      <c r="D89" s="3" t="s">
        <v>446</v>
      </c>
      <c r="E89" s="3" t="s">
        <v>447</v>
      </c>
      <c r="F89" s="3" t="s">
        <v>446</v>
      </c>
      <c r="G89" s="3" t="s">
        <v>446</v>
      </c>
      <c r="H89" s="51" t="s">
        <v>446</v>
      </c>
      <c r="J89" s="3" t="e">
        <f t="shared" si="20"/>
        <v>#VALUE!</v>
      </c>
      <c r="K89" s="3">
        <f t="shared" si="20"/>
        <v>0</v>
      </c>
      <c r="L89" s="3" t="e">
        <f t="shared" si="20"/>
        <v>#VALUE!</v>
      </c>
      <c r="M89" s="3" t="e">
        <f t="shared" si="20"/>
        <v>#VALUE!</v>
      </c>
      <c r="P89" s="10" t="s">
        <v>816</v>
      </c>
      <c r="Q89" s="10" t="str">
        <f t="shared" si="14"/>
        <v>BOMBRIL     -ON</v>
      </c>
      <c r="R89" s="51" t="str">
        <f t="shared" si="15"/>
        <v>N/A</v>
      </c>
      <c r="S89" s="5" t="e">
        <f t="shared" si="16"/>
        <v>#VALUE!</v>
      </c>
      <c r="T89" s="5">
        <f t="shared" si="17"/>
        <v>0</v>
      </c>
      <c r="U89" s="5" t="e">
        <f t="shared" si="18"/>
        <v>#VALUE!</v>
      </c>
      <c r="V89" s="5" t="e">
        <f t="shared" si="19"/>
        <v>#VALUE!</v>
      </c>
    </row>
    <row r="90" spans="1:22" x14ac:dyDescent="0.2">
      <c r="A90" s="33" t="str">
        <f>IF(Tabela176[[#This Row],[Código]]="IBOV","^BVSP",IF(Tabela176[[#This Row],[Código]]="","",CONCATENATE(LEFT(Tabela176[[#This Row],[Código]],6),".SA")))</f>
        <v>BOBR4.SA</v>
      </c>
      <c r="C90" s="3" t="s">
        <v>819</v>
      </c>
      <c r="D90" s="3" t="s">
        <v>1296</v>
      </c>
      <c r="E90" s="3" t="s">
        <v>1296</v>
      </c>
      <c r="F90" s="3" t="s">
        <v>1296</v>
      </c>
      <c r="G90" s="3" t="s">
        <v>1296</v>
      </c>
      <c r="H90" s="51">
        <v>41689</v>
      </c>
      <c r="J90" s="3">
        <f t="shared" si="20"/>
        <v>5.99</v>
      </c>
      <c r="K90" s="3">
        <f t="shared" si="20"/>
        <v>5.99</v>
      </c>
      <c r="L90" s="3">
        <f t="shared" si="20"/>
        <v>5.99</v>
      </c>
      <c r="M90" s="3">
        <f t="shared" si="20"/>
        <v>5.99</v>
      </c>
      <c r="P90" s="10" t="s">
        <v>817</v>
      </c>
      <c r="Q90" s="10" t="str">
        <f t="shared" si="14"/>
        <v>BOMBRIL     -PN</v>
      </c>
      <c r="R90" s="51">
        <f t="shared" si="15"/>
        <v>41689</v>
      </c>
      <c r="S90" s="5">
        <f t="shared" si="16"/>
        <v>5.99</v>
      </c>
      <c r="T90" s="5">
        <f t="shared" si="17"/>
        <v>5.99</v>
      </c>
      <c r="U90" s="5">
        <f t="shared" si="18"/>
        <v>5.99</v>
      </c>
      <c r="V90" s="5">
        <f t="shared" si="19"/>
        <v>5.99</v>
      </c>
    </row>
    <row r="91" spans="1:22" x14ac:dyDescent="0.2">
      <c r="A91" s="33" t="str">
        <f>IF(Tabela176[[#This Row],[Código]]="IBOV","^BVSP",IF(Tabela176[[#This Row],[Código]]="","",CONCATENATE(LEFT(Tabela176[[#This Row],[Código]],6),".SA")))</f>
        <v>CRUZ3.SA</v>
      </c>
      <c r="C91" s="3" t="s">
        <v>822</v>
      </c>
      <c r="D91" s="3" t="s">
        <v>1652</v>
      </c>
      <c r="E91" s="3" t="s">
        <v>1066</v>
      </c>
      <c r="F91" s="3" t="s">
        <v>2000</v>
      </c>
      <c r="G91" s="3" t="s">
        <v>1652</v>
      </c>
      <c r="H91" s="51">
        <v>41689</v>
      </c>
      <c r="J91" s="3">
        <f t="shared" si="20"/>
        <v>19.8</v>
      </c>
      <c r="K91" s="3">
        <f t="shared" si="20"/>
        <v>20.38</v>
      </c>
      <c r="L91" s="3">
        <f t="shared" si="20"/>
        <v>20.440000000000001</v>
      </c>
      <c r="M91" s="3">
        <f t="shared" si="20"/>
        <v>19.8</v>
      </c>
      <c r="P91" s="10" t="s">
        <v>820</v>
      </c>
      <c r="Q91" s="10" t="str">
        <f t="shared" si="14"/>
        <v>SOUZA CRUZ  -ON</v>
      </c>
      <c r="R91" s="51">
        <f t="shared" si="15"/>
        <v>41689</v>
      </c>
      <c r="S91" s="5">
        <f t="shared" si="16"/>
        <v>19.8</v>
      </c>
      <c r="T91" s="5">
        <f t="shared" si="17"/>
        <v>20.38</v>
      </c>
      <c r="U91" s="5">
        <f t="shared" si="18"/>
        <v>20.440000000000001</v>
      </c>
      <c r="V91" s="5">
        <f t="shared" si="19"/>
        <v>19.8</v>
      </c>
    </row>
    <row r="92" spans="1:22" x14ac:dyDescent="0.2">
      <c r="A92" s="33" t="str">
        <f>IF(Tabela176[[#This Row],[Código]]="IBOV","^BVSP",IF(Tabela176[[#This Row],[Código]]="","",CONCATENATE(LEFT(Tabela176[[#This Row],[Código]],6),".SA")))</f>
        <v>LAME3.SA</v>
      </c>
      <c r="C92" s="3" t="s">
        <v>826</v>
      </c>
      <c r="D92" s="3" t="s">
        <v>1566</v>
      </c>
      <c r="E92" s="3" t="s">
        <v>1203</v>
      </c>
      <c r="F92" s="3" t="s">
        <v>2001</v>
      </c>
      <c r="G92" s="3" t="s">
        <v>1844</v>
      </c>
      <c r="H92" s="51">
        <v>41689</v>
      </c>
      <c r="J92" s="3">
        <f t="shared" si="20"/>
        <v>12.07</v>
      </c>
      <c r="K92" s="3">
        <f t="shared" si="20"/>
        <v>12.12</v>
      </c>
      <c r="L92" s="3">
        <f t="shared" si="20"/>
        <v>12.19</v>
      </c>
      <c r="M92" s="3">
        <f t="shared" si="20"/>
        <v>11.91</v>
      </c>
      <c r="P92" s="16" t="s">
        <v>824</v>
      </c>
      <c r="Q92" s="10" t="str">
        <f t="shared" si="14"/>
        <v>LOJAS AMERIC-ON</v>
      </c>
      <c r="R92" s="51">
        <f t="shared" si="15"/>
        <v>41689</v>
      </c>
      <c r="S92" s="5">
        <f t="shared" si="16"/>
        <v>12.07</v>
      </c>
      <c r="T92" s="5">
        <f t="shared" si="17"/>
        <v>12.12</v>
      </c>
      <c r="U92" s="5">
        <f t="shared" si="18"/>
        <v>12.19</v>
      </c>
      <c r="V92" s="5">
        <f t="shared" si="19"/>
        <v>11.91</v>
      </c>
    </row>
    <row r="93" spans="1:22" x14ac:dyDescent="0.2">
      <c r="A93" s="33" t="str">
        <f>IF(Tabela176[[#This Row],[Código]]="IBOV","^BVSP",IF(Tabela176[[#This Row],[Código]]="","",CONCATENATE(LEFT(Tabela176[[#This Row],[Código]],6),".SA")))</f>
        <v>LAME4.SA</v>
      </c>
      <c r="C93" s="3" t="s">
        <v>827</v>
      </c>
      <c r="D93" s="3" t="s">
        <v>1845</v>
      </c>
      <c r="E93" s="3" t="s">
        <v>2002</v>
      </c>
      <c r="F93" s="3" t="s">
        <v>1321</v>
      </c>
      <c r="G93" s="3" t="s">
        <v>1846</v>
      </c>
      <c r="H93" s="51">
        <v>41689</v>
      </c>
      <c r="J93" s="3">
        <f t="shared" si="20"/>
        <v>13.71</v>
      </c>
      <c r="K93" s="3">
        <f t="shared" si="20"/>
        <v>13.94</v>
      </c>
      <c r="L93" s="3">
        <f t="shared" si="20"/>
        <v>14</v>
      </c>
      <c r="M93" s="3">
        <f t="shared" si="20"/>
        <v>13.64</v>
      </c>
      <c r="P93" s="16" t="s">
        <v>825</v>
      </c>
      <c r="Q93" s="10" t="str">
        <f t="shared" si="14"/>
        <v>LOJAS AMERIC-PN</v>
      </c>
      <c r="R93" s="51">
        <f t="shared" si="15"/>
        <v>41689</v>
      </c>
      <c r="S93" s="5">
        <f t="shared" si="16"/>
        <v>13.71</v>
      </c>
      <c r="T93" s="5">
        <f t="shared" si="17"/>
        <v>13.94</v>
      </c>
      <c r="U93" s="5">
        <f t="shared" si="18"/>
        <v>14</v>
      </c>
      <c r="V93" s="5">
        <f t="shared" si="19"/>
        <v>13.64</v>
      </c>
    </row>
    <row r="94" spans="1:22" x14ac:dyDescent="0.2">
      <c r="A94" s="33" t="str">
        <f>IF(Tabela176[[#This Row],[Código]]="IBOV","^BVSP",IF(Tabela176[[#This Row],[Código]]="","",CONCATENATE(LEFT(Tabela176[[#This Row],[Código]],6),".SA")))</f>
        <v>BTOW3.SA</v>
      </c>
      <c r="C94" s="3" t="s">
        <v>829</v>
      </c>
      <c r="D94" s="3" t="s">
        <v>1847</v>
      </c>
      <c r="E94" s="3" t="s">
        <v>2003</v>
      </c>
      <c r="F94" s="3" t="s">
        <v>2004</v>
      </c>
      <c r="G94" s="3" t="s">
        <v>1847</v>
      </c>
      <c r="H94" s="51">
        <v>41689</v>
      </c>
      <c r="J94" s="3">
        <f t="shared" si="20"/>
        <v>21.68</v>
      </c>
      <c r="K94" s="3">
        <f t="shared" si="20"/>
        <v>22.32</v>
      </c>
      <c r="L94" s="3">
        <f t="shared" si="20"/>
        <v>22.36</v>
      </c>
      <c r="M94" s="3">
        <f t="shared" si="20"/>
        <v>21.68</v>
      </c>
      <c r="P94" s="14" t="s">
        <v>828</v>
      </c>
      <c r="Q94" s="10" t="str">
        <f t="shared" si="14"/>
        <v xml:space="preserve">B2W DIGITAL -ON  </v>
      </c>
      <c r="R94" s="51">
        <f t="shared" si="15"/>
        <v>41689</v>
      </c>
      <c r="S94" s="5">
        <f t="shared" si="16"/>
        <v>21.68</v>
      </c>
      <c r="T94" s="5">
        <f t="shared" si="17"/>
        <v>22.32</v>
      </c>
      <c r="U94" s="5">
        <f t="shared" si="18"/>
        <v>22.36</v>
      </c>
      <c r="V94" s="5">
        <f t="shared" si="19"/>
        <v>21.68</v>
      </c>
    </row>
    <row r="95" spans="1:22" x14ac:dyDescent="0.2">
      <c r="A95" s="33" t="str">
        <f>IF(Tabela176[[#This Row],[Código]]="IBOV","^BVSP",IF(Tabela176[[#This Row],[Código]]="","",CONCATENATE(LEFT(Tabela176[[#This Row],[Código]],6),".SA")))</f>
        <v>HYPE3.SA</v>
      </c>
      <c r="C95" s="3" t="s">
        <v>831</v>
      </c>
      <c r="D95" s="3" t="s">
        <v>1849</v>
      </c>
      <c r="E95" s="3" t="s">
        <v>1592</v>
      </c>
      <c r="F95" s="3" t="s">
        <v>1819</v>
      </c>
      <c r="G95" s="3" t="s">
        <v>1850</v>
      </c>
      <c r="H95" s="51">
        <v>41689</v>
      </c>
      <c r="J95" s="3">
        <f t="shared" si="20"/>
        <v>14.88</v>
      </c>
      <c r="K95" s="3">
        <f t="shared" si="20"/>
        <v>15.02</v>
      </c>
      <c r="L95" s="3">
        <f t="shared" si="20"/>
        <v>15.2</v>
      </c>
      <c r="M95" s="3">
        <f t="shared" si="20"/>
        <v>14.87</v>
      </c>
      <c r="P95" s="14" t="s">
        <v>830</v>
      </c>
      <c r="Q95" s="10" t="str">
        <f t="shared" si="14"/>
        <v xml:space="preserve">HYPERMARCAS -ON  </v>
      </c>
      <c r="R95" s="51">
        <f t="shared" si="15"/>
        <v>41689</v>
      </c>
      <c r="S95" s="5">
        <f t="shared" si="16"/>
        <v>14.88</v>
      </c>
      <c r="T95" s="5">
        <f t="shared" si="17"/>
        <v>15.02</v>
      </c>
      <c r="U95" s="5">
        <f t="shared" si="18"/>
        <v>15.2</v>
      </c>
      <c r="V95" s="5">
        <f t="shared" si="19"/>
        <v>14.87</v>
      </c>
    </row>
    <row r="96" spans="1:22" x14ac:dyDescent="0.2">
      <c r="A96" s="33" t="str">
        <f>IF(Tabela176[[#This Row],[Código]]="IBOV","^BVSP",IF(Tabela176[[#This Row],[Código]]="","",CONCATENATE(LEFT(Tabela176[[#This Row],[Código]],6),".SA")))</f>
        <v>RADL3.SA</v>
      </c>
      <c r="C96" s="3" t="s">
        <v>834</v>
      </c>
      <c r="D96" s="3" t="s">
        <v>1263</v>
      </c>
      <c r="E96" s="3" t="s">
        <v>2005</v>
      </c>
      <c r="F96" s="3" t="s">
        <v>1219</v>
      </c>
      <c r="G96" s="3" t="s">
        <v>1852</v>
      </c>
      <c r="H96" s="51">
        <v>41689</v>
      </c>
      <c r="J96" s="3">
        <f t="shared" si="20"/>
        <v>14.05</v>
      </c>
      <c r="K96" s="3">
        <f t="shared" si="20"/>
        <v>14.33</v>
      </c>
      <c r="L96" s="3">
        <f t="shared" si="20"/>
        <v>14.38</v>
      </c>
      <c r="M96" s="3">
        <f t="shared" si="20"/>
        <v>14.01</v>
      </c>
      <c r="P96" s="14" t="s">
        <v>832</v>
      </c>
      <c r="Q96" s="10" t="str">
        <f t="shared" si="14"/>
        <v xml:space="preserve">RAIADROGASIL-ON  </v>
      </c>
      <c r="R96" s="51">
        <f t="shared" si="15"/>
        <v>41689</v>
      </c>
      <c r="S96" s="5">
        <f t="shared" si="16"/>
        <v>14.05</v>
      </c>
      <c r="T96" s="5">
        <f t="shared" si="17"/>
        <v>14.33</v>
      </c>
      <c r="U96" s="5">
        <f t="shared" si="18"/>
        <v>14.38</v>
      </c>
      <c r="V96" s="5">
        <f t="shared" si="19"/>
        <v>14.01</v>
      </c>
    </row>
    <row r="97" spans="1:22" x14ac:dyDescent="0.2">
      <c r="A97" s="33" t="str">
        <f>IF(Tabela176[[#This Row],[Código]]="IBOV","^BVSP",IF(Tabela176[[#This Row],[Código]]="","",CONCATENATE(LEFT(Tabela176[[#This Row],[Código]],6),".SA")))</f>
        <v>BPHA3.SA</v>
      </c>
      <c r="C97" s="3" t="s">
        <v>836</v>
      </c>
      <c r="D97" s="3" t="s">
        <v>1677</v>
      </c>
      <c r="E97" s="3" t="s">
        <v>1074</v>
      </c>
      <c r="F97" s="3" t="s">
        <v>1073</v>
      </c>
      <c r="G97" s="3" t="s">
        <v>2006</v>
      </c>
      <c r="H97" s="51">
        <v>41689</v>
      </c>
      <c r="J97" s="3">
        <f t="shared" si="20"/>
        <v>4.58</v>
      </c>
      <c r="K97" s="3">
        <f t="shared" si="20"/>
        <v>4.5</v>
      </c>
      <c r="L97" s="3">
        <f t="shared" si="20"/>
        <v>4.67</v>
      </c>
      <c r="M97" s="3">
        <f t="shared" si="20"/>
        <v>4.45</v>
      </c>
      <c r="P97" s="15" t="s">
        <v>835</v>
      </c>
      <c r="Q97" s="10" t="str">
        <f t="shared" si="14"/>
        <v xml:space="preserve">BR PHARMA   -ON  </v>
      </c>
      <c r="R97" s="51">
        <f t="shared" si="15"/>
        <v>41689</v>
      </c>
      <c r="S97" s="5">
        <f t="shared" si="16"/>
        <v>4.58</v>
      </c>
      <c r="T97" s="5">
        <f t="shared" si="17"/>
        <v>4.5</v>
      </c>
      <c r="U97" s="5">
        <f t="shared" si="18"/>
        <v>4.67</v>
      </c>
      <c r="V97" s="5">
        <f t="shared" si="19"/>
        <v>4.45</v>
      </c>
    </row>
    <row r="98" spans="1:22" x14ac:dyDescent="0.2">
      <c r="A98" s="33" t="str">
        <f>IF(Tabela176[[#This Row],[Código]]="IBOV","^BVSP",IF(Tabela176[[#This Row],[Código]]="","",CONCATENATE(LEFT(Tabela176[[#This Row],[Código]],6),".SA")))</f>
        <v>PNVL3.SA</v>
      </c>
      <c r="C98" s="3" t="s">
        <v>839</v>
      </c>
      <c r="D98" s="3" t="s">
        <v>1594</v>
      </c>
      <c r="E98" s="3" t="s">
        <v>1595</v>
      </c>
      <c r="F98" s="3" t="s">
        <v>1595</v>
      </c>
      <c r="G98" s="3" t="s">
        <v>1594</v>
      </c>
      <c r="H98" s="51">
        <v>41689</v>
      </c>
      <c r="J98" s="3">
        <f t="shared" si="20"/>
        <v>175</v>
      </c>
      <c r="K98" s="3">
        <f t="shared" si="20"/>
        <v>178</v>
      </c>
      <c r="L98" s="3">
        <f t="shared" si="20"/>
        <v>178</v>
      </c>
      <c r="M98" s="3">
        <f t="shared" si="20"/>
        <v>175</v>
      </c>
      <c r="P98" s="10" t="s">
        <v>837</v>
      </c>
      <c r="Q98" s="10" t="str">
        <f t="shared" si="14"/>
        <v>DIMED       -ON</v>
      </c>
      <c r="R98" s="51">
        <f t="shared" si="15"/>
        <v>41689</v>
      </c>
      <c r="S98" s="5">
        <f t="shared" si="16"/>
        <v>175</v>
      </c>
      <c r="T98" s="5">
        <f t="shared" si="17"/>
        <v>178</v>
      </c>
      <c r="U98" s="5">
        <f t="shared" si="18"/>
        <v>178</v>
      </c>
      <c r="V98" s="5">
        <f t="shared" si="19"/>
        <v>175</v>
      </c>
    </row>
    <row r="99" spans="1:22" x14ac:dyDescent="0.2">
      <c r="A99" s="33" t="str">
        <f>IF(Tabela176[[#This Row],[Código]]="IBOV","^BVSP",IF(Tabela176[[#This Row],[Código]]="","",CONCATENATE(LEFT(Tabela176[[#This Row],[Código]],6),".SA")))</f>
        <v>PNVL4.SA</v>
      </c>
      <c r="C99" s="3" t="s">
        <v>840</v>
      </c>
      <c r="D99" s="3" t="s">
        <v>841</v>
      </c>
      <c r="E99" s="3" t="s">
        <v>842</v>
      </c>
      <c r="F99" s="3" t="s">
        <v>842</v>
      </c>
      <c r="G99" s="3" t="s">
        <v>841</v>
      </c>
      <c r="H99" s="51">
        <v>41689</v>
      </c>
      <c r="J99" s="3">
        <f t="shared" si="20"/>
        <v>188</v>
      </c>
      <c r="K99" s="3">
        <f t="shared" si="20"/>
        <v>190</v>
      </c>
      <c r="L99" s="3">
        <f t="shared" si="20"/>
        <v>190</v>
      </c>
      <c r="M99" s="3">
        <f t="shared" si="20"/>
        <v>188</v>
      </c>
      <c r="P99" s="14" t="s">
        <v>838</v>
      </c>
      <c r="Q99" s="10" t="str">
        <f t="shared" si="14"/>
        <v>DIMED       -PN</v>
      </c>
      <c r="R99" s="51">
        <f t="shared" si="15"/>
        <v>41689</v>
      </c>
      <c r="S99" s="5">
        <f t="shared" si="16"/>
        <v>188</v>
      </c>
      <c r="T99" s="5">
        <f t="shared" si="17"/>
        <v>190</v>
      </c>
      <c r="U99" s="5">
        <f t="shared" si="18"/>
        <v>190</v>
      </c>
      <c r="V99" s="5">
        <f t="shared" si="19"/>
        <v>188</v>
      </c>
    </row>
    <row r="100" spans="1:22" x14ac:dyDescent="0.2">
      <c r="A100" s="33" t="str">
        <f>IF(Tabela176[[#This Row],[Código]]="IBOV","^BVSP",IF(Tabela176[[#This Row],[Código]]="","",CONCATENATE(LEFT(Tabela176[[#This Row],[Código]],6),".SA")))</f>
        <v>PFRM3.SA</v>
      </c>
      <c r="C100" s="3" t="s">
        <v>844</v>
      </c>
      <c r="D100" s="3" t="s">
        <v>1222</v>
      </c>
      <c r="E100" s="3" t="s">
        <v>1305</v>
      </c>
      <c r="F100" s="3" t="s">
        <v>1013</v>
      </c>
      <c r="G100" s="3" t="s">
        <v>1204</v>
      </c>
      <c r="H100" s="51">
        <v>41689</v>
      </c>
      <c r="J100" s="3">
        <f t="shared" si="20"/>
        <v>16.329999999999998</v>
      </c>
      <c r="K100" s="3">
        <f t="shared" si="20"/>
        <v>16.260000000000002</v>
      </c>
      <c r="L100" s="3">
        <f t="shared" si="20"/>
        <v>16.38</v>
      </c>
      <c r="M100" s="3">
        <f t="shared" si="20"/>
        <v>16.2</v>
      </c>
      <c r="P100" s="14" t="s">
        <v>843</v>
      </c>
      <c r="Q100" s="10" t="str">
        <f t="shared" si="14"/>
        <v xml:space="preserve">PROFARMA    -ON  </v>
      </c>
      <c r="R100" s="51">
        <f t="shared" si="15"/>
        <v>41689</v>
      </c>
      <c r="S100" s="5">
        <f t="shared" si="16"/>
        <v>16.329999999999998</v>
      </c>
      <c r="T100" s="5">
        <f t="shared" si="17"/>
        <v>16.260000000000002</v>
      </c>
      <c r="U100" s="5">
        <f t="shared" si="18"/>
        <v>16.38</v>
      </c>
      <c r="V100" s="5">
        <f t="shared" si="19"/>
        <v>16.2</v>
      </c>
    </row>
    <row r="101" spans="1:22" x14ac:dyDescent="0.2">
      <c r="A101" s="33" t="str">
        <f>IF(Tabela176[[#This Row],[Código]]="IBOV","^BVSP",IF(Tabela176[[#This Row],[Código]]="","",CONCATENATE(LEFT(Tabela176[[#This Row],[Código]],6),".SA")))</f>
        <v>PCAR3.SA</v>
      </c>
      <c r="C101" s="3" t="s">
        <v>848</v>
      </c>
      <c r="D101" s="3" t="s">
        <v>446</v>
      </c>
      <c r="E101" s="3" t="s">
        <v>849</v>
      </c>
      <c r="F101" s="3" t="s">
        <v>849</v>
      </c>
      <c r="G101" s="3" t="s">
        <v>849</v>
      </c>
      <c r="H101" s="51">
        <v>41689</v>
      </c>
      <c r="J101" s="3" t="e">
        <f t="shared" si="20"/>
        <v>#VALUE!</v>
      </c>
      <c r="K101" s="3">
        <f t="shared" si="20"/>
        <v>74.989999999999995</v>
      </c>
      <c r="L101" s="3">
        <f t="shared" si="20"/>
        <v>74.989999999999995</v>
      </c>
      <c r="M101" s="3">
        <f t="shared" si="20"/>
        <v>74.989999999999995</v>
      </c>
      <c r="P101" s="10" t="s">
        <v>846</v>
      </c>
      <c r="Q101" s="10" t="str">
        <f t="shared" si="14"/>
        <v xml:space="preserve">P.ACUCAR-CBD-ON  </v>
      </c>
      <c r="R101" s="51">
        <f t="shared" si="15"/>
        <v>41689</v>
      </c>
      <c r="S101" s="5" t="e">
        <f t="shared" si="16"/>
        <v>#VALUE!</v>
      </c>
      <c r="T101" s="5">
        <f t="shared" si="17"/>
        <v>74.989999999999995</v>
      </c>
      <c r="U101" s="5">
        <f t="shared" si="18"/>
        <v>74.989999999999995</v>
      </c>
      <c r="V101" s="5">
        <f t="shared" si="19"/>
        <v>74.989999999999995</v>
      </c>
    </row>
    <row r="102" spans="1:22" x14ac:dyDescent="0.2">
      <c r="A102" s="33" t="str">
        <f>IF(Tabela176[[#This Row],[Código]]="IBOV","^BVSP",IF(Tabela176[[#This Row],[Código]]="","",CONCATENATE(LEFT(Tabela176[[#This Row],[Código]],6),".SA")))</f>
        <v>PCAR4.SA</v>
      </c>
      <c r="C102" s="3" t="s">
        <v>850</v>
      </c>
      <c r="D102" s="3" t="s">
        <v>1853</v>
      </c>
      <c r="E102" s="3" t="s">
        <v>2007</v>
      </c>
      <c r="F102" s="3" t="s">
        <v>2008</v>
      </c>
      <c r="G102" s="3" t="s">
        <v>1854</v>
      </c>
      <c r="H102" s="51">
        <v>41689</v>
      </c>
      <c r="J102" s="3">
        <f t="shared" si="20"/>
        <v>94.2</v>
      </c>
      <c r="K102" s="3">
        <f t="shared" si="20"/>
        <v>95.95</v>
      </c>
      <c r="L102" s="3">
        <f t="shared" si="20"/>
        <v>96.15</v>
      </c>
      <c r="M102" s="3">
        <f t="shared" si="20"/>
        <v>93.22</v>
      </c>
      <c r="P102" s="10" t="s">
        <v>847</v>
      </c>
      <c r="Q102" s="10" t="str">
        <f t="shared" si="14"/>
        <v xml:space="preserve">P.ACUCAR-CBD-PN  </v>
      </c>
      <c r="R102" s="51">
        <f t="shared" si="15"/>
        <v>41689</v>
      </c>
      <c r="S102" s="5">
        <f t="shared" si="16"/>
        <v>94.2</v>
      </c>
      <c r="T102" s="5">
        <f t="shared" si="17"/>
        <v>95.95</v>
      </c>
      <c r="U102" s="5">
        <f t="shared" si="18"/>
        <v>96.15</v>
      </c>
      <c r="V102" s="5">
        <f t="shared" si="19"/>
        <v>93.22</v>
      </c>
    </row>
    <row r="103" spans="1:22" x14ac:dyDescent="0.2">
      <c r="A103" s="33" t="str">
        <f>IF(Tabela176[[#This Row],[Código]]="IBOV","^BVSP",IF(Tabela176[[#This Row],[Código]]="","",CONCATENATE(LEFT(Tabela176[[#This Row],[Código]],6),".SA")))</f>
        <v>ABEV3.SA</v>
      </c>
      <c r="C103" s="3" t="s">
        <v>853</v>
      </c>
      <c r="D103" s="3" t="s">
        <v>777</v>
      </c>
      <c r="E103" s="3" t="s">
        <v>1596</v>
      </c>
      <c r="F103" s="3" t="s">
        <v>1305</v>
      </c>
      <c r="G103" s="3" t="s">
        <v>1196</v>
      </c>
      <c r="H103" s="51">
        <v>41689</v>
      </c>
      <c r="J103" s="3">
        <f t="shared" si="20"/>
        <v>16</v>
      </c>
      <c r="K103" s="3">
        <f t="shared" si="20"/>
        <v>16.22</v>
      </c>
      <c r="L103" s="3">
        <f t="shared" si="20"/>
        <v>16.260000000000002</v>
      </c>
      <c r="M103" s="3">
        <f t="shared" si="20"/>
        <v>15.9</v>
      </c>
      <c r="P103" s="15" t="s">
        <v>852</v>
      </c>
      <c r="Q103" s="10" t="str">
        <f t="shared" ref="Q103:Q112" si="21">IF(A103="","",C103)</f>
        <v>AMBEV S/A   -ON</v>
      </c>
      <c r="R103" s="51">
        <f t="shared" ref="R103:R112" si="22">IF(A103="","",H103)</f>
        <v>41689</v>
      </c>
      <c r="S103" s="5">
        <f t="shared" ref="S103:S112" si="23">J103</f>
        <v>16</v>
      </c>
      <c r="T103" s="5">
        <f t="shared" ref="T103:T112" si="24">K103</f>
        <v>16.22</v>
      </c>
      <c r="U103" s="5">
        <f t="shared" ref="U103:U112" si="25">L103</f>
        <v>16.260000000000002</v>
      </c>
      <c r="V103" s="5">
        <f t="shared" ref="V103:V112" si="26">M103</f>
        <v>15.9</v>
      </c>
    </row>
    <row r="104" spans="1:22" x14ac:dyDescent="0.2">
      <c r="A104" s="33" t="str">
        <f>IF(Tabela176[[#This Row],[Código]]="IBOV","^BVSP",IF(Tabela176[[#This Row],[Código]]="","",CONCATENATE(LEFT(Tabela176[[#This Row],[Código]],6),".SA")))</f>
        <v>VIGR3.SA</v>
      </c>
      <c r="C104" s="3" t="s">
        <v>284</v>
      </c>
      <c r="D104" s="3" t="s">
        <v>987</v>
      </c>
      <c r="E104" s="3" t="s">
        <v>947</v>
      </c>
      <c r="F104" s="3" t="s">
        <v>799</v>
      </c>
      <c r="G104" s="3" t="s">
        <v>947</v>
      </c>
      <c r="H104" s="51">
        <v>41689</v>
      </c>
      <c r="J104" s="3">
        <f t="shared" si="20"/>
        <v>7.01</v>
      </c>
      <c r="K104" s="3">
        <f t="shared" si="20"/>
        <v>7</v>
      </c>
      <c r="L104" s="3">
        <f t="shared" si="20"/>
        <v>7.02</v>
      </c>
      <c r="M104" s="3">
        <f t="shared" si="20"/>
        <v>7</v>
      </c>
      <c r="P104" s="15" t="s">
        <v>283</v>
      </c>
      <c r="Q104" s="10" t="str">
        <f t="shared" si="21"/>
        <v xml:space="preserve">VIGOR FOOD  -ON  </v>
      </c>
      <c r="R104" s="51">
        <f t="shared" si="22"/>
        <v>41689</v>
      </c>
      <c r="S104" s="5">
        <f t="shared" si="23"/>
        <v>7.01</v>
      </c>
      <c r="T104" s="5">
        <f t="shared" si="24"/>
        <v>7</v>
      </c>
      <c r="U104" s="5">
        <f t="shared" si="25"/>
        <v>7.02</v>
      </c>
      <c r="V104" s="5">
        <f t="shared" si="26"/>
        <v>7</v>
      </c>
    </row>
    <row r="105" spans="1:22" x14ac:dyDescent="0.2">
      <c r="A105" s="33" t="str">
        <f>IF(Tabela176[[#This Row],[Código]]="IBOV","^BVSP",IF(Tabela176[[#This Row],[Código]]="","",CONCATENATE(LEFT(Tabela176[[#This Row],[Código]],6),".SA")))</f>
        <v>CLAN3.SA</v>
      </c>
      <c r="C105" s="3" t="s">
        <v>856</v>
      </c>
      <c r="D105" s="3" t="s">
        <v>446</v>
      </c>
      <c r="E105" s="3" t="s">
        <v>447</v>
      </c>
      <c r="F105" s="3" t="s">
        <v>446</v>
      </c>
      <c r="G105" s="3" t="s">
        <v>446</v>
      </c>
      <c r="H105" s="51" t="s">
        <v>446</v>
      </c>
      <c r="J105" s="3" t="e">
        <f t="shared" si="20"/>
        <v>#VALUE!</v>
      </c>
      <c r="K105" s="3">
        <f t="shared" si="20"/>
        <v>0</v>
      </c>
      <c r="L105" s="3" t="e">
        <f t="shared" si="20"/>
        <v>#VALUE!</v>
      </c>
      <c r="M105" s="3" t="e">
        <f t="shared" si="20"/>
        <v>#VALUE!</v>
      </c>
      <c r="P105" s="15" t="s">
        <v>854</v>
      </c>
      <c r="Q105" s="10" t="str">
        <f t="shared" si="21"/>
        <v>CLARION     -ON</v>
      </c>
      <c r="R105" s="51" t="str">
        <f t="shared" si="22"/>
        <v>N/A</v>
      </c>
      <c r="S105" s="5" t="e">
        <f t="shared" si="23"/>
        <v>#VALUE!</v>
      </c>
      <c r="T105" s="5">
        <f t="shared" si="24"/>
        <v>0</v>
      </c>
      <c r="U105" s="5" t="e">
        <f t="shared" si="25"/>
        <v>#VALUE!</v>
      </c>
      <c r="V105" s="5" t="e">
        <f t="shared" si="26"/>
        <v>#VALUE!</v>
      </c>
    </row>
    <row r="106" spans="1:22" x14ac:dyDescent="0.2">
      <c r="A106" s="33" t="str">
        <f>IF(Tabela176[[#This Row],[Código]]="IBOV","^BVSP",IF(Tabela176[[#This Row],[Código]]="","",CONCATENATE(LEFT(Tabela176[[#This Row],[Código]],6),".SA")))</f>
        <v>CLAN4.SA</v>
      </c>
      <c r="C106" s="3" t="s">
        <v>857</v>
      </c>
      <c r="D106" s="3" t="s">
        <v>446</v>
      </c>
      <c r="E106" s="3" t="s">
        <v>689</v>
      </c>
      <c r="F106" s="3" t="s">
        <v>689</v>
      </c>
      <c r="G106" s="3" t="s">
        <v>689</v>
      </c>
      <c r="H106" s="51">
        <v>41689</v>
      </c>
      <c r="J106" s="3" t="e">
        <f t="shared" si="20"/>
        <v>#VALUE!</v>
      </c>
      <c r="K106" s="3">
        <f t="shared" si="20"/>
        <v>3</v>
      </c>
      <c r="L106" s="3">
        <f t="shared" si="20"/>
        <v>3</v>
      </c>
      <c r="M106" s="3">
        <f t="shared" si="20"/>
        <v>3</v>
      </c>
      <c r="P106" s="14" t="s">
        <v>855</v>
      </c>
      <c r="Q106" s="10" t="str">
        <f t="shared" si="21"/>
        <v>CLARION     -PN</v>
      </c>
      <c r="R106" s="51">
        <f t="shared" si="22"/>
        <v>41689</v>
      </c>
      <c r="S106" s="5" t="e">
        <f t="shared" si="23"/>
        <v>#VALUE!</v>
      </c>
      <c r="T106" s="5">
        <f t="shared" si="24"/>
        <v>3</v>
      </c>
      <c r="U106" s="5">
        <f t="shared" si="25"/>
        <v>3</v>
      </c>
      <c r="V106" s="5">
        <f t="shared" si="26"/>
        <v>3</v>
      </c>
    </row>
    <row r="107" spans="1:22" x14ac:dyDescent="0.2">
      <c r="A107" s="33" t="str">
        <f>IF(Tabela176[[#This Row],[Código]]="IBOV","^BVSP",IF(Tabela176[[#This Row],[Código]]="","",CONCATENATE(LEFT(Tabela176[[#This Row],[Código]],6),".SA")))</f>
        <v>MNPR3.SA</v>
      </c>
      <c r="C107" s="3" t="s">
        <v>860</v>
      </c>
      <c r="D107" s="3" t="s">
        <v>813</v>
      </c>
      <c r="E107" s="3" t="s">
        <v>813</v>
      </c>
      <c r="F107" s="3" t="s">
        <v>683</v>
      </c>
      <c r="G107" s="3" t="s">
        <v>813</v>
      </c>
      <c r="H107" s="51">
        <v>41689</v>
      </c>
      <c r="J107" s="3">
        <f t="shared" si="20"/>
        <v>7.0000000000000007E-2</v>
      </c>
      <c r="K107" s="3">
        <f t="shared" si="20"/>
        <v>7.0000000000000007E-2</v>
      </c>
      <c r="L107" s="3">
        <f t="shared" si="20"/>
        <v>0.08</v>
      </c>
      <c r="M107" s="3">
        <f t="shared" si="20"/>
        <v>7.0000000000000007E-2</v>
      </c>
      <c r="P107" s="14" t="s">
        <v>859</v>
      </c>
      <c r="Q107" s="10" t="str">
        <f t="shared" si="21"/>
        <v>MINUPAR     -ON</v>
      </c>
      <c r="R107" s="51">
        <f t="shared" si="22"/>
        <v>41689</v>
      </c>
      <c r="S107" s="5">
        <f t="shared" si="23"/>
        <v>7.0000000000000007E-2</v>
      </c>
      <c r="T107" s="5">
        <f t="shared" si="24"/>
        <v>7.0000000000000007E-2</v>
      </c>
      <c r="U107" s="5">
        <f t="shared" si="25"/>
        <v>0.08</v>
      </c>
      <c r="V107" s="5">
        <f t="shared" si="26"/>
        <v>7.0000000000000007E-2</v>
      </c>
    </row>
    <row r="108" spans="1:22" x14ac:dyDescent="0.2">
      <c r="A108" s="33" t="str">
        <f>IF(Tabela176[[#This Row],[Código]]="IBOV","^BVSP",IF(Tabela176[[#This Row],[Código]]="","",CONCATENATE(LEFT(Tabela176[[#This Row],[Código]],6),".SA")))</f>
        <v>BAUH3.SA</v>
      </c>
      <c r="C108" s="3" t="s">
        <v>863</v>
      </c>
      <c r="D108" s="3" t="s">
        <v>446</v>
      </c>
      <c r="E108" s="3" t="s">
        <v>447</v>
      </c>
      <c r="F108" s="3" t="s">
        <v>446</v>
      </c>
      <c r="G108" s="3" t="s">
        <v>446</v>
      </c>
      <c r="H108" s="51" t="s">
        <v>446</v>
      </c>
      <c r="J108" s="3" t="e">
        <f t="shared" si="20"/>
        <v>#VALUE!</v>
      </c>
      <c r="K108" s="3">
        <f t="shared" si="20"/>
        <v>0</v>
      </c>
      <c r="L108" s="3" t="e">
        <f t="shared" si="20"/>
        <v>#VALUE!</v>
      </c>
      <c r="M108" s="3" t="e">
        <f t="shared" si="20"/>
        <v>#VALUE!</v>
      </c>
      <c r="P108" s="14" t="s">
        <v>861</v>
      </c>
      <c r="Q108" s="10" t="str">
        <f t="shared" si="21"/>
        <v>EXCELSIOR   -ON</v>
      </c>
      <c r="R108" s="51" t="str">
        <f t="shared" si="22"/>
        <v>N/A</v>
      </c>
      <c r="S108" s="5" t="e">
        <f t="shared" si="23"/>
        <v>#VALUE!</v>
      </c>
      <c r="T108" s="5">
        <f t="shared" si="24"/>
        <v>0</v>
      </c>
      <c r="U108" s="5" t="e">
        <f t="shared" si="25"/>
        <v>#VALUE!</v>
      </c>
      <c r="V108" s="5" t="e">
        <f t="shared" si="26"/>
        <v>#VALUE!</v>
      </c>
    </row>
    <row r="109" spans="1:22" x14ac:dyDescent="0.2">
      <c r="A109" s="33" t="str">
        <f>IF(Tabela176[[#This Row],[Código]]="IBOV","^BVSP",IF(Tabela176[[#This Row],[Código]]="","",CONCATENATE(LEFT(Tabela176[[#This Row],[Código]],6),".SA")))</f>
        <v>BAUH4.SA</v>
      </c>
      <c r="C109" s="3" t="s">
        <v>864</v>
      </c>
      <c r="D109" s="3" t="s">
        <v>943</v>
      </c>
      <c r="E109" s="3" t="s">
        <v>943</v>
      </c>
      <c r="F109" s="3" t="s">
        <v>943</v>
      </c>
      <c r="G109" s="3" t="s">
        <v>943</v>
      </c>
      <c r="H109" s="51">
        <v>41689</v>
      </c>
      <c r="J109" s="3">
        <f t="shared" si="20"/>
        <v>9.3000000000000007</v>
      </c>
      <c r="K109" s="3">
        <f t="shared" si="20"/>
        <v>9.3000000000000007</v>
      </c>
      <c r="L109" s="3">
        <f t="shared" si="20"/>
        <v>9.3000000000000007</v>
      </c>
      <c r="M109" s="3">
        <f t="shared" si="20"/>
        <v>9.3000000000000007</v>
      </c>
      <c r="P109" s="14" t="s">
        <v>862</v>
      </c>
      <c r="Q109" s="10" t="str">
        <f t="shared" si="21"/>
        <v>EXCELSIOR   -PN</v>
      </c>
      <c r="R109" s="51">
        <f t="shared" si="22"/>
        <v>41689</v>
      </c>
      <c r="S109" s="5">
        <f t="shared" si="23"/>
        <v>9.3000000000000007</v>
      </c>
      <c r="T109" s="5">
        <f t="shared" si="24"/>
        <v>9.3000000000000007</v>
      </c>
      <c r="U109" s="5">
        <f t="shared" si="25"/>
        <v>9.3000000000000007</v>
      </c>
      <c r="V109" s="5">
        <f t="shared" si="26"/>
        <v>9.3000000000000007</v>
      </c>
    </row>
    <row r="110" spans="1:22" x14ac:dyDescent="0.2">
      <c r="A110" s="33" t="str">
        <f>IF(Tabela176[[#This Row],[Código]]="IBOV","^BVSP",IF(Tabela176[[#This Row],[Código]]="","",CONCATENATE(LEFT(Tabela176[[#This Row],[Código]],6),".SA")))</f>
        <v>BEEF3.SA</v>
      </c>
      <c r="C110" s="3" t="s">
        <v>867</v>
      </c>
      <c r="D110" s="3" t="s">
        <v>803</v>
      </c>
      <c r="E110" s="3" t="s">
        <v>2009</v>
      </c>
      <c r="F110" s="3" t="s">
        <v>2010</v>
      </c>
      <c r="G110" s="3" t="s">
        <v>1165</v>
      </c>
      <c r="H110" s="51">
        <v>41689</v>
      </c>
      <c r="J110" s="3">
        <f t="shared" si="20"/>
        <v>10.17</v>
      </c>
      <c r="K110" s="3">
        <f t="shared" si="20"/>
        <v>10.11</v>
      </c>
      <c r="L110" s="3">
        <f t="shared" si="20"/>
        <v>10.18</v>
      </c>
      <c r="M110" s="3">
        <f t="shared" si="20"/>
        <v>9.93</v>
      </c>
      <c r="P110" s="15" t="s">
        <v>866</v>
      </c>
      <c r="Q110" s="10" t="str">
        <f t="shared" si="21"/>
        <v xml:space="preserve">MINERVA     -ON  </v>
      </c>
      <c r="R110" s="51">
        <f t="shared" si="22"/>
        <v>41689</v>
      </c>
      <c r="S110" s="5">
        <f t="shared" si="23"/>
        <v>10.17</v>
      </c>
      <c r="T110" s="5">
        <f t="shared" si="24"/>
        <v>10.11</v>
      </c>
      <c r="U110" s="5">
        <f t="shared" si="25"/>
        <v>10.18</v>
      </c>
      <c r="V110" s="5">
        <f t="shared" si="26"/>
        <v>9.93</v>
      </c>
    </row>
    <row r="111" spans="1:22" x14ac:dyDescent="0.2">
      <c r="A111" s="33" t="str">
        <f>IF(Tabela176[[#This Row],[Código]]="IBOV","^BVSP",IF(Tabela176[[#This Row],[Código]]="","",CONCATENATE(LEFT(Tabela176[[#This Row],[Código]],6),".SA")))</f>
        <v>MRFG3.SA</v>
      </c>
      <c r="C111" s="3" t="s">
        <v>868</v>
      </c>
      <c r="D111" s="3" t="s">
        <v>991</v>
      </c>
      <c r="E111" s="3" t="s">
        <v>1458</v>
      </c>
      <c r="F111" s="3" t="s">
        <v>2011</v>
      </c>
      <c r="G111" s="3" t="s">
        <v>1856</v>
      </c>
      <c r="H111" s="51">
        <v>41689</v>
      </c>
      <c r="J111" s="3">
        <f t="shared" si="20"/>
        <v>3.65</v>
      </c>
      <c r="K111" s="3">
        <f t="shared" si="20"/>
        <v>3.74</v>
      </c>
      <c r="L111" s="3">
        <f t="shared" si="20"/>
        <v>3.76</v>
      </c>
      <c r="M111" s="3">
        <f t="shared" si="20"/>
        <v>3.47</v>
      </c>
      <c r="P111" s="14" t="s">
        <v>865</v>
      </c>
      <c r="Q111" s="10" t="str">
        <f t="shared" si="21"/>
        <v xml:space="preserve">MARFRIG     -ON  </v>
      </c>
      <c r="R111" s="51">
        <f t="shared" si="22"/>
        <v>41689</v>
      </c>
      <c r="S111" s="5">
        <f t="shared" si="23"/>
        <v>3.65</v>
      </c>
      <c r="T111" s="5">
        <f t="shared" si="24"/>
        <v>3.74</v>
      </c>
      <c r="U111" s="5">
        <f t="shared" si="25"/>
        <v>3.76</v>
      </c>
      <c r="V111" s="5">
        <f t="shared" si="26"/>
        <v>3.47</v>
      </c>
    </row>
    <row r="112" spans="1:22" x14ac:dyDescent="0.2">
      <c r="A112" s="33" t="str">
        <f>IF(Tabela176[[#This Row],[Código]]="IBOV","^BVSP",IF(Tabela176[[#This Row],[Código]]="","",CONCATENATE(LEFT(Tabela176[[#This Row],[Código]],6),".SA")))</f>
        <v>CAFE3.SA</v>
      </c>
      <c r="C112" s="3" t="s">
        <v>871</v>
      </c>
      <c r="D112" s="3" t="s">
        <v>446</v>
      </c>
      <c r="E112" s="3" t="s">
        <v>686</v>
      </c>
      <c r="F112" s="3" t="s">
        <v>686</v>
      </c>
      <c r="G112" s="3" t="s">
        <v>686</v>
      </c>
      <c r="H112" s="51">
        <v>41689</v>
      </c>
      <c r="J112" s="3" t="e">
        <f t="shared" si="20"/>
        <v>#VALUE!</v>
      </c>
      <c r="K112" s="3">
        <f t="shared" si="20"/>
        <v>2</v>
      </c>
      <c r="L112" s="3">
        <f t="shared" si="20"/>
        <v>2</v>
      </c>
      <c r="M112" s="3">
        <f t="shared" si="20"/>
        <v>2</v>
      </c>
      <c r="P112" s="3" t="s">
        <v>869</v>
      </c>
      <c r="Q112" s="10" t="str">
        <f t="shared" si="21"/>
        <v>CAF BRASILIA-ON *</v>
      </c>
      <c r="R112" s="51">
        <f t="shared" si="22"/>
        <v>41689</v>
      </c>
      <c r="S112" s="5" t="e">
        <f t="shared" si="23"/>
        <v>#VALUE!</v>
      </c>
      <c r="T112" s="5">
        <f t="shared" si="24"/>
        <v>2</v>
      </c>
      <c r="U112" s="5">
        <f t="shared" si="25"/>
        <v>2</v>
      </c>
      <c r="V112" s="5">
        <f t="shared" si="26"/>
        <v>2</v>
      </c>
    </row>
    <row r="113" spans="1:22" x14ac:dyDescent="0.2">
      <c r="A113" s="33"/>
      <c r="C113" s="3" t="s">
        <v>101</v>
      </c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P113" s="3" t="s">
        <v>870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 x14ac:dyDescent="0.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 x14ac:dyDescent="0.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 x14ac:dyDescent="0.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 x14ac:dyDescent="0.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 x14ac:dyDescent="0.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 x14ac:dyDescent="0.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 x14ac:dyDescent="0.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 x14ac:dyDescent="0.2">
      <c r="A121" s="33" t="e">
        <f>IF(Tabela176[[#This Row],[Código]]="IBOV","^BVSP",IF(Tabela176[[#This Row],[Código]]="","",CONCATENATE(LEFT(Tabela176[[#This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 x14ac:dyDescent="0.2">
      <c r="A122" s="33" t="e">
        <f>IF(Tabela176[[#This Row],[Código]]="IBOV","^BVSP",IF(Tabela176[[#This Row],[Código]]="","",CONCATENATE(LEFT(Tabela176[[#This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 x14ac:dyDescent="0.2">
      <c r="A123" s="33" t="e">
        <f>IF(Tabela176[[#This Row],[Código]]="IBOV","^BVSP",IF(Tabela176[[#This Row],[Código]]="","",CONCATENATE(LEFT(Tabela176[[#This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 x14ac:dyDescent="0.2">
      <c r="A124" s="33" t="e">
        <f>IF(Tabela176[[#This Row],[Código]]="IBOV","^BVSP",IF(Tabela176[[#This Row],[Código]]="","",CONCATENATE(LEFT(Tabela176[[#This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 x14ac:dyDescent="0.2">
      <c r="A125" s="33" t="e">
        <f>IF(Tabela176[[#This Row],[Código]]="IBOV","^BVSP",IF(Tabela176[[#This Row],[Código]]="","",CONCATENATE(LEFT(Tabela176[[#This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 x14ac:dyDescent="0.2">
      <c r="A126" s="33" t="e">
        <f>IF(Tabela176[[#This Row],[Código]]="IBOV","^BVSP",IF(Tabela176[[#This Row],[Código]]="","",CONCATENATE(LEFT(Tabela176[[#This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 x14ac:dyDescent="0.2">
      <c r="A127" s="33" t="e">
        <f>IF(Tabela176[[#This Row],[Código]]="IBOV","^BVSP",IF(Tabela176[[#This Row],[Código]]="","",CONCATENATE(LEFT(Tabela176[[#This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 x14ac:dyDescent="0.2">
      <c r="A128" s="33" t="e">
        <f>IF(Tabela176[[#This Row],[Código]]="IBOV","^BVSP",IF(Tabela176[[#This Row],[Código]]="","",CONCATENATE(LEFT(Tabela176[[#This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 x14ac:dyDescent="0.2">
      <c r="A129" s="33" t="e">
        <f>IF(Tabela176[[#This Row],[Código]]="IBOV","^BVSP",IF(Tabela176[[#This Row],[Código]]="","",CONCATENATE(LEFT(Tabela176[[#This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 x14ac:dyDescent="0.2">
      <c r="A130" s="33" t="e">
        <f>IF(Tabela176[[#This Row],[Código]]="IBOV","^BVSP",IF(Tabela176[[#This Row],[Código]]="","",CONCATENATE(LEFT(Tabela176[[#This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 x14ac:dyDescent="0.2">
      <c r="A131" s="33" t="e">
        <f>IF(Tabela176[[#This Row],[Código]]="IBOV","^BVSP",IF(Tabela176[[#This Row],[Código]]="","",CONCATENATE(LEFT(Tabela176[[#This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 x14ac:dyDescent="0.2">
      <c r="A132" s="33" t="e">
        <f>IF(Tabela176[[#This Row],[Código]]="IBOV","^BVSP",IF(Tabela176[[#This Row],[Código]]="","",CONCATENATE(LEFT(Tabela176[[#This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 x14ac:dyDescent="0.2">
      <c r="A133" s="33" t="e">
        <f>IF(Tabela176[[#This Row],[Código]]="IBOV","^BVSP",IF(Tabela176[[#This Row],[Código]]="","",CONCATENATE(LEFT(Tabela176[[#This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 x14ac:dyDescent="0.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 x14ac:dyDescent="0.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 x14ac:dyDescent="0.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 x14ac:dyDescent="0.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 x14ac:dyDescent="0.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 x14ac:dyDescent="0.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 x14ac:dyDescent="0.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 x14ac:dyDescent="0.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 x14ac:dyDescent="0.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 x14ac:dyDescent="0.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 x14ac:dyDescent="0.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 x14ac:dyDescent="0.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 x14ac:dyDescent="0.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 x14ac:dyDescent="0.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 x14ac:dyDescent="0.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 x14ac:dyDescent="0.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 x14ac:dyDescent="0.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 x14ac:dyDescent="0.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 x14ac:dyDescent="0.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 x14ac:dyDescent="0.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 x14ac:dyDescent="0.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 x14ac:dyDescent="0.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 x14ac:dyDescent="0.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 x14ac:dyDescent="0.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 x14ac:dyDescent="0.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 x14ac:dyDescent="0.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 x14ac:dyDescent="0.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 x14ac:dyDescent="0.2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 x14ac:dyDescent="0.2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 x14ac:dyDescent="0.2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 x14ac:dyDescent="0.2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 x14ac:dyDescent="0.2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 x14ac:dyDescent="0.2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 x14ac:dyDescent="0.2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 x14ac:dyDescent="0.2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 x14ac:dyDescent="0.2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 x14ac:dyDescent="0.2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 x14ac:dyDescent="0.2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 x14ac:dyDescent="0.2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 x14ac:dyDescent="0.2">
      <c r="A173" s="33"/>
    </row>
    <row r="174" spans="1:13" x14ac:dyDescent="0.2">
      <c r="A174" s="33"/>
    </row>
    <row r="175" spans="1:13" x14ac:dyDescent="0.2">
      <c r="A175" s="33"/>
    </row>
    <row r="176" spans="1:13" x14ac:dyDescent="0.2">
      <c r="A176" s="33"/>
    </row>
    <row r="177" spans="1:1" x14ac:dyDescent="0.2">
      <c r="A177" s="33"/>
    </row>
    <row r="178" spans="1:1" x14ac:dyDescent="0.2">
      <c r="A178" s="33"/>
    </row>
    <row r="179" spans="1:1" x14ac:dyDescent="0.2">
      <c r="A179" s="33"/>
    </row>
    <row r="180" spans="1:1" x14ac:dyDescent="0.2">
      <c r="A180" s="33"/>
    </row>
    <row r="181" spans="1:1" x14ac:dyDescent="0.2">
      <c r="A181" s="33"/>
    </row>
    <row r="182" spans="1:1" x14ac:dyDescent="0.2">
      <c r="A182" s="33"/>
    </row>
    <row r="183" spans="1:1" x14ac:dyDescent="0.2">
      <c r="A183" s="33"/>
    </row>
    <row r="184" spans="1:1" x14ac:dyDescent="0.2">
      <c r="A184" s="33"/>
    </row>
    <row r="185" spans="1:1" x14ac:dyDescent="0.2">
      <c r="A185" s="33"/>
    </row>
    <row r="186" spans="1:1" x14ac:dyDescent="0.2">
      <c r="A186" s="33"/>
    </row>
    <row r="187" spans="1:1" x14ac:dyDescent="0.2">
      <c r="A187" s="33"/>
    </row>
    <row r="188" spans="1:1" x14ac:dyDescent="0.2">
      <c r="A188" s="33"/>
    </row>
    <row r="189" spans="1:1" x14ac:dyDescent="0.2">
      <c r="A189" s="33"/>
    </row>
    <row r="190" spans="1:1" x14ac:dyDescent="0.2">
      <c r="A190" s="33"/>
    </row>
    <row r="191" spans="1:1" x14ac:dyDescent="0.2">
      <c r="A191" s="33"/>
    </row>
    <row r="192" spans="1:1" x14ac:dyDescent="0.2">
      <c r="A192" s="33"/>
    </row>
    <row r="193" spans="1:1" x14ac:dyDescent="0.2">
      <c r="A193" s="33"/>
    </row>
    <row r="194" spans="1:1" x14ac:dyDescent="0.2">
      <c r="A194" s="33"/>
    </row>
    <row r="195" spans="1:1" x14ac:dyDescent="0.2">
      <c r="A195" s="33"/>
    </row>
    <row r="196" spans="1:1" x14ac:dyDescent="0.2">
      <c r="A196" s="33"/>
    </row>
    <row r="197" spans="1:1" x14ac:dyDescent="0.2">
      <c r="A197" s="33"/>
    </row>
    <row r="198" spans="1:1" x14ac:dyDescent="0.2">
      <c r="A198" s="33"/>
    </row>
    <row r="199" spans="1:1" x14ac:dyDescent="0.2">
      <c r="A199" s="33"/>
    </row>
    <row r="200" spans="1:1" x14ac:dyDescent="0.2">
      <c r="A200" s="33"/>
    </row>
    <row r="201" spans="1:1" x14ac:dyDescent="0.2">
      <c r="A201" s="33"/>
    </row>
    <row r="202" spans="1:1" x14ac:dyDescent="0.2">
      <c r="A202" s="33"/>
    </row>
    <row r="203" spans="1:1" x14ac:dyDescent="0.2">
      <c r="A203" s="33"/>
    </row>
    <row r="204" spans="1:1" x14ac:dyDescent="0.2">
      <c r="A204" s="33"/>
    </row>
    <row r="205" spans="1:1" x14ac:dyDescent="0.2">
      <c r="A205" s="33"/>
    </row>
    <row r="206" spans="1:1" x14ac:dyDescent="0.2">
      <c r="A206" s="33"/>
    </row>
    <row r="207" spans="1:1" x14ac:dyDescent="0.2">
      <c r="A207" s="33"/>
    </row>
    <row r="208" spans="1:1" x14ac:dyDescent="0.2">
      <c r="A208" s="33"/>
    </row>
    <row r="209" spans="1:1" x14ac:dyDescent="0.2">
      <c r="A209" s="33"/>
    </row>
    <row r="210" spans="1:1" x14ac:dyDescent="0.2">
      <c r="A210" s="33"/>
    </row>
    <row r="211" spans="1:1" x14ac:dyDescent="0.2">
      <c r="A211" s="33"/>
    </row>
    <row r="212" spans="1:1" x14ac:dyDescent="0.2">
      <c r="A212" s="33"/>
    </row>
    <row r="213" spans="1:1" x14ac:dyDescent="0.2">
      <c r="A213" s="33"/>
    </row>
    <row r="214" spans="1:1" x14ac:dyDescent="0.2">
      <c r="A214" s="33"/>
    </row>
    <row r="215" spans="1:1" x14ac:dyDescent="0.2">
      <c r="A215" s="33"/>
    </row>
    <row r="216" spans="1:1" x14ac:dyDescent="0.2">
      <c r="A216" s="33"/>
    </row>
    <row r="217" spans="1:1" x14ac:dyDescent="0.2">
      <c r="A217" s="33"/>
    </row>
    <row r="218" spans="1:1" x14ac:dyDescent="0.2">
      <c r="A218" s="33"/>
    </row>
    <row r="219" spans="1:1" x14ac:dyDescent="0.2">
      <c r="A219" s="33"/>
    </row>
    <row r="220" spans="1:1" x14ac:dyDescent="0.2">
      <c r="A220" s="33"/>
    </row>
    <row r="221" spans="1:1" x14ac:dyDescent="0.2">
      <c r="A221" s="33"/>
    </row>
    <row r="222" spans="1:1" x14ac:dyDescent="0.2">
      <c r="A222" s="33"/>
    </row>
    <row r="223" spans="1:1" x14ac:dyDescent="0.2">
      <c r="A223" s="33"/>
    </row>
    <row r="224" spans="1:1" x14ac:dyDescent="0.2">
      <c r="A224" s="33"/>
    </row>
    <row r="225" spans="1:1" x14ac:dyDescent="0.2">
      <c r="A225" s="33"/>
    </row>
    <row r="226" spans="1:1" x14ac:dyDescent="0.2">
      <c r="A226" s="33"/>
    </row>
    <row r="227" spans="1:1" x14ac:dyDescent="0.2">
      <c r="A227" s="33"/>
    </row>
    <row r="228" spans="1:1" x14ac:dyDescent="0.2">
      <c r="A228" s="33"/>
    </row>
    <row r="229" spans="1:1" x14ac:dyDescent="0.2">
      <c r="A229" s="33"/>
    </row>
    <row r="230" spans="1:1" x14ac:dyDescent="0.2">
      <c r="A230" s="33"/>
    </row>
    <row r="231" spans="1:1" x14ac:dyDescent="0.2">
      <c r="A231" s="33"/>
    </row>
    <row r="232" spans="1:1" x14ac:dyDescent="0.2">
      <c r="A232" s="33"/>
    </row>
    <row r="233" spans="1:1" x14ac:dyDescent="0.2">
      <c r="A233" s="33"/>
    </row>
    <row r="234" spans="1:1" x14ac:dyDescent="0.2">
      <c r="A234" s="33"/>
    </row>
    <row r="235" spans="1:1" x14ac:dyDescent="0.2">
      <c r="A235" s="33"/>
    </row>
    <row r="236" spans="1:1" x14ac:dyDescent="0.2">
      <c r="A236" s="33"/>
    </row>
    <row r="237" spans="1:1" x14ac:dyDescent="0.2">
      <c r="A237" s="33"/>
    </row>
    <row r="238" spans="1:1" x14ac:dyDescent="0.2">
      <c r="A238" s="33"/>
    </row>
    <row r="239" spans="1:1" x14ac:dyDescent="0.2">
      <c r="A239" s="33"/>
    </row>
    <row r="240" spans="1:1" x14ac:dyDescent="0.2">
      <c r="A240" s="33"/>
    </row>
    <row r="241" spans="1:1" x14ac:dyDescent="0.2">
      <c r="A241" s="33"/>
    </row>
    <row r="242" spans="1:1" x14ac:dyDescent="0.2">
      <c r="A242" s="33"/>
    </row>
    <row r="243" spans="1:1" x14ac:dyDescent="0.2">
      <c r="A243" s="33"/>
    </row>
    <row r="244" spans="1:1" x14ac:dyDescent="0.2">
      <c r="A244" s="33"/>
    </row>
    <row r="245" spans="1:1" x14ac:dyDescent="0.2">
      <c r="A245" s="33"/>
    </row>
    <row r="246" spans="1:1" x14ac:dyDescent="0.2">
      <c r="A246" s="33"/>
    </row>
    <row r="247" spans="1:1" x14ac:dyDescent="0.2">
      <c r="A247" s="33"/>
    </row>
    <row r="248" spans="1:1" x14ac:dyDescent="0.2">
      <c r="A248" s="33"/>
    </row>
    <row r="249" spans="1:1" x14ac:dyDescent="0.2">
      <c r="A249" s="33"/>
    </row>
    <row r="250" spans="1:1" x14ac:dyDescent="0.2">
      <c r="A250" s="33"/>
    </row>
    <row r="251" spans="1:1" x14ac:dyDescent="0.2">
      <c r="A251" s="33"/>
    </row>
    <row r="252" spans="1:1" x14ac:dyDescent="0.2">
      <c r="A252" s="33"/>
    </row>
    <row r="253" spans="1:1" x14ac:dyDescent="0.2">
      <c r="A253" s="33"/>
    </row>
    <row r="254" spans="1:1" x14ac:dyDescent="0.2">
      <c r="A254" s="33"/>
    </row>
    <row r="255" spans="1:1" x14ac:dyDescent="0.2">
      <c r="A255" s="33"/>
    </row>
    <row r="256" spans="1:1" x14ac:dyDescent="0.2">
      <c r="A256" s="33"/>
    </row>
    <row r="257" spans="1:1" x14ac:dyDescent="0.2">
      <c r="A257" s="33"/>
    </row>
    <row r="258" spans="1:1" x14ac:dyDescent="0.2">
      <c r="A258" s="33"/>
    </row>
    <row r="259" spans="1:1" x14ac:dyDescent="0.2">
      <c r="A259" s="33"/>
    </row>
    <row r="260" spans="1:1" x14ac:dyDescent="0.2">
      <c r="A260" s="33"/>
    </row>
    <row r="261" spans="1:1" x14ac:dyDescent="0.2">
      <c r="A261" s="33"/>
    </row>
    <row r="262" spans="1:1" x14ac:dyDescent="0.2">
      <c r="A262" s="33"/>
    </row>
    <row r="263" spans="1:1" x14ac:dyDescent="0.2">
      <c r="A263" s="33"/>
    </row>
    <row r="264" spans="1:1" x14ac:dyDescent="0.2">
      <c r="A264" s="33"/>
    </row>
    <row r="265" spans="1:1" x14ac:dyDescent="0.2">
      <c r="A265" s="33"/>
    </row>
    <row r="266" spans="1:1" x14ac:dyDescent="0.2">
      <c r="A266" s="33"/>
    </row>
    <row r="267" spans="1:1" x14ac:dyDescent="0.2">
      <c r="A267" s="33"/>
    </row>
    <row r="268" spans="1:1" x14ac:dyDescent="0.2">
      <c r="A268" s="33"/>
    </row>
    <row r="269" spans="1:1" x14ac:dyDescent="0.2">
      <c r="A269" s="33"/>
    </row>
    <row r="270" spans="1:1" x14ac:dyDescent="0.2">
      <c r="A270" s="33"/>
    </row>
    <row r="271" spans="1:1" x14ac:dyDescent="0.2">
      <c r="A271" s="33"/>
    </row>
    <row r="272" spans="1:1" x14ac:dyDescent="0.2">
      <c r="A272" s="33"/>
    </row>
    <row r="273" spans="1:1" x14ac:dyDescent="0.2">
      <c r="A273" s="33"/>
    </row>
    <row r="274" spans="1:1" x14ac:dyDescent="0.2">
      <c r="A274" s="33"/>
    </row>
    <row r="275" spans="1:1" x14ac:dyDescent="0.2">
      <c r="A275" s="33"/>
    </row>
    <row r="276" spans="1:1" x14ac:dyDescent="0.2">
      <c r="A276" s="33"/>
    </row>
    <row r="277" spans="1:1" x14ac:dyDescent="0.2">
      <c r="A277" s="33"/>
    </row>
    <row r="278" spans="1:1" x14ac:dyDescent="0.2">
      <c r="A278" s="33"/>
    </row>
    <row r="279" spans="1:1" x14ac:dyDescent="0.2">
      <c r="A279" s="33"/>
    </row>
    <row r="280" spans="1:1" x14ac:dyDescent="0.2">
      <c r="A280" s="33"/>
    </row>
    <row r="281" spans="1:1" x14ac:dyDescent="0.2">
      <c r="A281" s="33"/>
    </row>
    <row r="282" spans="1:1" x14ac:dyDescent="0.2">
      <c r="A282" s="33"/>
    </row>
    <row r="283" spans="1:1" x14ac:dyDescent="0.2">
      <c r="A283" s="33"/>
    </row>
    <row r="284" spans="1:1" x14ac:dyDescent="0.2">
      <c r="A284" s="33"/>
    </row>
    <row r="285" spans="1:1" x14ac:dyDescent="0.2">
      <c r="A285" s="33"/>
    </row>
    <row r="286" spans="1:1" x14ac:dyDescent="0.2">
      <c r="A286" s="33"/>
    </row>
    <row r="287" spans="1:1" x14ac:dyDescent="0.2">
      <c r="A287" s="33"/>
    </row>
    <row r="288" spans="1:1" x14ac:dyDescent="0.2">
      <c r="A288" s="33"/>
    </row>
    <row r="289" spans="1:1" x14ac:dyDescent="0.2">
      <c r="A289" s="33"/>
    </row>
    <row r="290" spans="1:1" x14ac:dyDescent="0.2">
      <c r="A290" s="33"/>
    </row>
    <row r="291" spans="1:1" x14ac:dyDescent="0.2">
      <c r="A291" s="33"/>
    </row>
    <row r="292" spans="1:1" x14ac:dyDescent="0.2">
      <c r="A292" s="33"/>
    </row>
    <row r="293" spans="1:1" x14ac:dyDescent="0.2">
      <c r="A293" s="33"/>
    </row>
    <row r="294" spans="1:1" x14ac:dyDescent="0.2">
      <c r="A294" s="33"/>
    </row>
    <row r="295" spans="1:1" x14ac:dyDescent="0.2">
      <c r="A295" s="33"/>
    </row>
    <row r="296" spans="1:1" x14ac:dyDescent="0.2">
      <c r="A296" s="33"/>
    </row>
    <row r="297" spans="1:1" x14ac:dyDescent="0.2">
      <c r="A297" s="33"/>
    </row>
    <row r="298" spans="1:1" x14ac:dyDescent="0.2">
      <c r="A298" s="33"/>
    </row>
    <row r="299" spans="1:1" x14ac:dyDescent="0.2">
      <c r="A299" s="33"/>
    </row>
    <row r="300" spans="1:1" x14ac:dyDescent="0.2">
      <c r="A300" s="33"/>
    </row>
    <row r="301" spans="1:1" x14ac:dyDescent="0.2">
      <c r="A301" s="33"/>
    </row>
    <row r="302" spans="1:1" x14ac:dyDescent="0.2">
      <c r="A302" s="33"/>
    </row>
    <row r="303" spans="1:1" x14ac:dyDescent="0.2">
      <c r="A303" s="33"/>
    </row>
    <row r="304" spans="1:1" x14ac:dyDescent="0.2">
      <c r="A304" s="33"/>
    </row>
    <row r="305" spans="1:1" x14ac:dyDescent="0.2">
      <c r="A305" s="33"/>
    </row>
    <row r="306" spans="1:1" x14ac:dyDescent="0.2">
      <c r="A306" s="33"/>
    </row>
    <row r="307" spans="1:1" x14ac:dyDescent="0.2">
      <c r="A307" s="33"/>
    </row>
    <row r="308" spans="1:1" x14ac:dyDescent="0.2">
      <c r="A308" s="33"/>
    </row>
    <row r="309" spans="1:1" x14ac:dyDescent="0.2">
      <c r="A309" s="33"/>
    </row>
    <row r="310" spans="1:1" x14ac:dyDescent="0.2">
      <c r="A310" s="33"/>
    </row>
    <row r="311" spans="1:1" x14ac:dyDescent="0.2">
      <c r="A311" s="33"/>
    </row>
    <row r="312" spans="1:1" x14ac:dyDescent="0.2">
      <c r="A312" s="33"/>
    </row>
    <row r="313" spans="1:1" x14ac:dyDescent="0.2">
      <c r="A313" s="33"/>
    </row>
    <row r="314" spans="1:1" x14ac:dyDescent="0.2">
      <c r="A314" s="33"/>
    </row>
    <row r="315" spans="1:1" x14ac:dyDescent="0.2">
      <c r="A315" s="33"/>
    </row>
    <row r="316" spans="1:1" x14ac:dyDescent="0.2">
      <c r="A316" s="33"/>
    </row>
    <row r="317" spans="1:1" x14ac:dyDescent="0.2">
      <c r="A317" s="33"/>
    </row>
    <row r="318" spans="1:1" x14ac:dyDescent="0.2">
      <c r="A318" s="33"/>
    </row>
    <row r="319" spans="1:1" x14ac:dyDescent="0.2">
      <c r="A319" s="33"/>
    </row>
    <row r="320" spans="1:1" x14ac:dyDescent="0.2">
      <c r="A320" s="33"/>
    </row>
    <row r="321" spans="1:1" x14ac:dyDescent="0.2">
      <c r="A321" s="33"/>
    </row>
    <row r="322" spans="1:1" x14ac:dyDescent="0.2">
      <c r="A322" s="33"/>
    </row>
    <row r="323" spans="1:1" x14ac:dyDescent="0.2">
      <c r="A323" s="33"/>
    </row>
    <row r="324" spans="1:1" x14ac:dyDescent="0.2">
      <c r="A324" s="33"/>
    </row>
    <row r="325" spans="1:1" x14ac:dyDescent="0.2">
      <c r="A325" s="33"/>
    </row>
    <row r="326" spans="1:1" x14ac:dyDescent="0.2">
      <c r="A326" s="33"/>
    </row>
    <row r="327" spans="1:1" x14ac:dyDescent="0.2">
      <c r="A327" s="33"/>
    </row>
    <row r="328" spans="1:1" x14ac:dyDescent="0.2">
      <c r="A328" s="33"/>
    </row>
    <row r="329" spans="1:1" x14ac:dyDescent="0.2">
      <c r="A329" s="33"/>
    </row>
    <row r="330" spans="1:1" x14ac:dyDescent="0.2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tualizar_Yahoo">
                <anchor moveWithCells="1">
                  <from>
                    <xdr:col>17</xdr:col>
                    <xdr:colOff>66675</xdr:colOff>
                    <xdr:row>0</xdr:row>
                    <xdr:rowOff>114300</xdr:rowOff>
                  </from>
                  <to>
                    <xdr:col>18</xdr:col>
                    <xdr:colOff>200025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/>
  <dimension ref="A1:V330"/>
  <sheetViews>
    <sheetView workbookViewId="0">
      <selection activeCell="H2" sqref="H2"/>
    </sheetView>
  </sheetViews>
  <sheetFormatPr defaultRowHeight="11.25" x14ac:dyDescent="0.2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 x14ac:dyDescent="0.2">
      <c r="A1" s="3" t="s">
        <v>42</v>
      </c>
      <c r="C1" s="3" t="s">
        <v>1524</v>
      </c>
    </row>
    <row r="2" spans="1:22" x14ac:dyDescent="0.2">
      <c r="A2" s="3" t="s">
        <v>43</v>
      </c>
      <c r="C2" s="3" t="s">
        <v>46</v>
      </c>
    </row>
    <row r="3" spans="1:22" x14ac:dyDescent="0.2">
      <c r="A3" s="3" t="s">
        <v>44</v>
      </c>
    </row>
    <row r="4" spans="1:22" x14ac:dyDescent="0.2">
      <c r="A4" s="3" t="s">
        <v>45</v>
      </c>
    </row>
    <row r="6" spans="1:22" x14ac:dyDescent="0.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 x14ac:dyDescent="0.2">
      <c r="A7" s="33" t="str">
        <f>IF(Tabela1768[[#This Row],[Código]]="IBOV","^BVSP",IF(Tabela1768[[#This Row],[Código]]="","",CONCATENATE(LEFT(Tabela1768[[#This Row],[Código]],6),".SA")))</f>
        <v>ABRE11.SA</v>
      </c>
      <c r="C7" s="3" t="s">
        <v>1179</v>
      </c>
      <c r="D7" s="3" t="s">
        <v>1233</v>
      </c>
      <c r="E7" s="3" t="s">
        <v>2012</v>
      </c>
      <c r="F7" s="3" t="s">
        <v>2013</v>
      </c>
      <c r="G7" s="3" t="s">
        <v>1063</v>
      </c>
      <c r="H7" s="51">
        <v>41689</v>
      </c>
      <c r="J7" s="3">
        <f>IF($A7="",0,VALUE(CONCATENATE(LEFT(D7,LEN(D7)-3),",",RIGHT(D7,2))))</f>
        <v>27.1</v>
      </c>
      <c r="K7" s="3">
        <f t="shared" ref="K7:M22" si="0">IF($A7="",0,VALUE(CONCATENATE(LEFT(E7,LEN(E7)-3),",",RIGHT(E7,2))))</f>
        <v>27.51</v>
      </c>
      <c r="L7" s="3">
        <f t="shared" si="0"/>
        <v>27.7</v>
      </c>
      <c r="M7" s="3">
        <f t="shared" si="0"/>
        <v>26.29</v>
      </c>
      <c r="P7" s="14" t="s">
        <v>1174</v>
      </c>
      <c r="Q7" s="10" t="str">
        <f>IF(A7="","",C7)</f>
        <v xml:space="preserve">ABRIL EDUCA -UNT </v>
      </c>
      <c r="R7" s="51">
        <f>IF(A7="","",H7)</f>
        <v>41689</v>
      </c>
      <c r="S7" s="5">
        <f>J7</f>
        <v>27.1</v>
      </c>
      <c r="T7" s="5">
        <f>K7</f>
        <v>27.51</v>
      </c>
      <c r="U7" s="5">
        <f>L7</f>
        <v>27.7</v>
      </c>
      <c r="V7" s="5">
        <f>M7</f>
        <v>26.29</v>
      </c>
    </row>
    <row r="8" spans="1:22" x14ac:dyDescent="0.2">
      <c r="A8" s="33" t="str">
        <f>IF(Tabela1768[[#This Row],[Código]]="IBOV","^BVSP",IF(Tabela1768[[#This Row],[Código]]="","",CONCATENATE(LEFT(Tabela1768[[#This Row],[Código]],6),".SA")))</f>
        <v>ABRE3.SA</v>
      </c>
      <c r="C8" s="3" t="s">
        <v>1177</v>
      </c>
      <c r="D8" s="3" t="s">
        <v>446</v>
      </c>
      <c r="E8" s="3" t="s">
        <v>447</v>
      </c>
      <c r="F8" s="3" t="s">
        <v>446</v>
      </c>
      <c r="G8" s="3" t="s">
        <v>446</v>
      </c>
      <c r="H8" s="51" t="s">
        <v>446</v>
      </c>
      <c r="J8" s="3" t="e">
        <f t="shared" ref="J8:M71" si="1">IF($A8="",0,VALUE(CONCATENATE(LEFT(D8,LEN(D8)-3),",",RIGHT(D8,2))))</f>
        <v>#VALUE!</v>
      </c>
      <c r="K8" s="3">
        <f t="shared" si="0"/>
        <v>0</v>
      </c>
      <c r="L8" s="3" t="e">
        <f t="shared" si="0"/>
        <v>#VALUE!</v>
      </c>
      <c r="M8" s="3" t="e">
        <f t="shared" si="0"/>
        <v>#VALUE!</v>
      </c>
      <c r="P8" s="14" t="s">
        <v>1175</v>
      </c>
      <c r="Q8" s="10" t="str">
        <f>IF(A8="","",C8)</f>
        <v>ABRE3.SA</v>
      </c>
      <c r="R8" s="46" t="str">
        <f>IF(A8="","",H8)</f>
        <v>N/A</v>
      </c>
      <c r="S8" s="6" t="e">
        <f>J8</f>
        <v>#VALUE!</v>
      </c>
      <c r="T8" s="6">
        <f>K8</f>
        <v>0</v>
      </c>
      <c r="U8" s="6" t="e">
        <f>L8</f>
        <v>#VALUE!</v>
      </c>
      <c r="V8" s="6" t="e">
        <f>M8</f>
        <v>#VALUE!</v>
      </c>
    </row>
    <row r="9" spans="1:22" x14ac:dyDescent="0.2">
      <c r="A9" s="33" t="str">
        <f>IF(Tabela1768[[#This Row],[Código]]="IBOV","^BVSP",IF(Tabela1768[[#This Row],[Código]]="","",CONCATENATE(LEFT(Tabela1768[[#This Row],[Código]],6),".SA")))</f>
        <v>ABRE4.SA</v>
      </c>
      <c r="C9" s="3" t="s">
        <v>1178</v>
      </c>
      <c r="D9" s="3" t="s">
        <v>446</v>
      </c>
      <c r="E9" s="3" t="s">
        <v>447</v>
      </c>
      <c r="F9" s="3" t="s">
        <v>446</v>
      </c>
      <c r="G9" s="3" t="s">
        <v>446</v>
      </c>
      <c r="H9" s="51" t="s">
        <v>446</v>
      </c>
      <c r="J9" s="3" t="e">
        <f t="shared" si="1"/>
        <v>#VALUE!</v>
      </c>
      <c r="K9" s="3">
        <f t="shared" si="0"/>
        <v>0</v>
      </c>
      <c r="L9" s="3" t="e">
        <f t="shared" si="0"/>
        <v>#VALUE!</v>
      </c>
      <c r="M9" s="3" t="e">
        <f t="shared" si="0"/>
        <v>#VALUE!</v>
      </c>
      <c r="P9" s="15" t="s">
        <v>1176</v>
      </c>
      <c r="Q9" s="10" t="str">
        <f>IF(A9="","",C9)</f>
        <v>ABRE4.SA</v>
      </c>
      <c r="R9" s="51" t="str">
        <f>IF(A9="","",H9)</f>
        <v>N/A</v>
      </c>
      <c r="S9" s="5" t="e">
        <f>J9</f>
        <v>#VALUE!</v>
      </c>
      <c r="T9" s="5">
        <f>K9</f>
        <v>0</v>
      </c>
      <c r="U9" s="5" t="e">
        <f>L9</f>
        <v>#VALUE!</v>
      </c>
      <c r="V9" s="5" t="e">
        <f>M9</f>
        <v>#VALUE!</v>
      </c>
    </row>
    <row r="10" spans="1:22" x14ac:dyDescent="0.2">
      <c r="A10" s="33" t="str">
        <f>IF(Tabela1768[[#This Row],[Código]]="IBOV","^BVSP",IF(Tabela1768[[#This Row],[Código]]="","",CONCATENATE(LEFT(Tabela1768[[#This Row],[Código]],6),".SA")))</f>
        <v>AHEB3.SA</v>
      </c>
      <c r="C10" s="3" t="s">
        <v>898</v>
      </c>
      <c r="D10" s="3" t="s">
        <v>446</v>
      </c>
      <c r="E10" s="3" t="s">
        <v>405</v>
      </c>
      <c r="F10" s="3" t="s">
        <v>405</v>
      </c>
      <c r="G10" s="3" t="s">
        <v>405</v>
      </c>
      <c r="H10" s="51">
        <v>41689</v>
      </c>
      <c r="J10" s="3" t="e">
        <f t="shared" si="1"/>
        <v>#VALUE!</v>
      </c>
      <c r="K10" s="3">
        <f t="shared" si="0"/>
        <v>19.5</v>
      </c>
      <c r="L10" s="3">
        <f t="shared" si="0"/>
        <v>19.5</v>
      </c>
      <c r="M10" s="3">
        <f t="shared" si="0"/>
        <v>19.5</v>
      </c>
      <c r="P10" s="10" t="s">
        <v>895</v>
      </c>
      <c r="Q10" s="10" t="str">
        <f>IF(A10="","",C10)</f>
        <v>SPTURIS     -ON</v>
      </c>
      <c r="R10" s="51">
        <f>IF(A10="","",H10)</f>
        <v>41689</v>
      </c>
      <c r="S10" s="5" t="e">
        <f>J10</f>
        <v>#VALUE!</v>
      </c>
      <c r="T10" s="5">
        <f>K10</f>
        <v>19.5</v>
      </c>
      <c r="U10" s="5">
        <f>L10</f>
        <v>19.5</v>
      </c>
      <c r="V10" s="5">
        <f>M10</f>
        <v>19.5</v>
      </c>
    </row>
    <row r="11" spans="1:22" x14ac:dyDescent="0.2">
      <c r="A11" s="33" t="str">
        <f>IF(Tabela1768[[#This Row],[Código]]="IBOV","^BVSP",IF(Tabela1768[[#This Row],[Código]]="","",CONCATENATE(LEFT(Tabela1768[[#This Row],[Código]],6),".SA")))</f>
        <v>AHEB5.SA</v>
      </c>
      <c r="C11" s="3" t="s">
        <v>899</v>
      </c>
      <c r="D11" s="3" t="s">
        <v>900</v>
      </c>
      <c r="E11" s="3" t="s">
        <v>900</v>
      </c>
      <c r="F11" s="3" t="s">
        <v>900</v>
      </c>
      <c r="G11" s="3" t="s">
        <v>900</v>
      </c>
      <c r="H11" s="51">
        <v>41689</v>
      </c>
      <c r="J11" s="3">
        <f t="shared" si="1"/>
        <v>20.010000000000002</v>
      </c>
      <c r="K11" s="3">
        <f t="shared" si="0"/>
        <v>20.010000000000002</v>
      </c>
      <c r="L11" s="3">
        <f t="shared" si="0"/>
        <v>20.010000000000002</v>
      </c>
      <c r="M11" s="3">
        <f t="shared" si="0"/>
        <v>20.010000000000002</v>
      </c>
      <c r="P11" s="10" t="s">
        <v>896</v>
      </c>
      <c r="Q11" s="10" t="str">
        <f>IF(A11="","",C11)</f>
        <v>SPTURIS     -PNA</v>
      </c>
      <c r="R11" s="51">
        <f>IF(A11="","",H11)</f>
        <v>41689</v>
      </c>
      <c r="S11" s="5">
        <f>J11</f>
        <v>20.010000000000002</v>
      </c>
      <c r="T11" s="5">
        <f>K11</f>
        <v>20.010000000000002</v>
      </c>
      <c r="U11" s="5">
        <f>L11</f>
        <v>20.010000000000002</v>
      </c>
      <c r="V11" s="5">
        <f>M11</f>
        <v>20.010000000000002</v>
      </c>
    </row>
    <row r="12" spans="1:22" x14ac:dyDescent="0.2">
      <c r="A12" s="33" t="str">
        <f>IF(Tabela1768[[#This Row],[Código]]="IBOV","^BVSP",IF(Tabela1768[[#This Row],[Código]]="","",CONCATENATE(LEFT(Tabela1768[[#This Row],[Código]],6),".SA")))</f>
        <v>AHEB6.SA</v>
      </c>
      <c r="C12" s="3" t="s">
        <v>901</v>
      </c>
      <c r="D12" s="3" t="s">
        <v>446</v>
      </c>
      <c r="E12" s="3" t="s">
        <v>902</v>
      </c>
      <c r="F12" s="3" t="s">
        <v>902</v>
      </c>
      <c r="G12" s="3" t="s">
        <v>902</v>
      </c>
      <c r="H12" s="51">
        <v>41689</v>
      </c>
      <c r="J12" s="3" t="e">
        <f t="shared" si="1"/>
        <v>#VALUE!</v>
      </c>
      <c r="K12" s="3">
        <f t="shared" si="0"/>
        <v>35.01</v>
      </c>
      <c r="L12" s="3">
        <f t="shared" si="0"/>
        <v>35.01</v>
      </c>
      <c r="M12" s="3">
        <f t="shared" si="0"/>
        <v>35.01</v>
      </c>
      <c r="P12" s="10" t="s">
        <v>897</v>
      </c>
      <c r="Q12" s="10" t="str">
        <f>IF(A12="","",C12)</f>
        <v>SPTURIS     -PNB</v>
      </c>
      <c r="R12" s="51">
        <f>IF(A12="","",H12)</f>
        <v>41689</v>
      </c>
      <c r="S12" s="5" t="e">
        <f>J12</f>
        <v>#VALUE!</v>
      </c>
      <c r="T12" s="5">
        <f>K12</f>
        <v>35.01</v>
      </c>
      <c r="U12" s="5">
        <f>L12</f>
        <v>35.01</v>
      </c>
      <c r="V12" s="5">
        <f>M12</f>
        <v>35.01</v>
      </c>
    </row>
    <row r="13" spans="1:22" x14ac:dyDescent="0.2">
      <c r="A13" s="33" t="str">
        <f>IF(Tabela1768[[#This Row],[Código]]="IBOV","^BVSP",IF(Tabela1768[[#This Row],[Código]]="","",CONCATENATE(LEFT(Tabela1768[[#This Row],[Código]],6),".SA")))</f>
        <v>ALPA3.SA</v>
      </c>
      <c r="C13" s="3" t="s">
        <v>1145</v>
      </c>
      <c r="D13" s="3" t="s">
        <v>960</v>
      </c>
      <c r="E13" s="3" t="s">
        <v>960</v>
      </c>
      <c r="F13" s="3" t="s">
        <v>960</v>
      </c>
      <c r="G13" s="3" t="s">
        <v>960</v>
      </c>
      <c r="H13" s="51">
        <v>41689</v>
      </c>
      <c r="J13" s="3">
        <f t="shared" si="1"/>
        <v>12</v>
      </c>
      <c r="K13" s="3">
        <f t="shared" si="0"/>
        <v>12</v>
      </c>
      <c r="L13" s="3">
        <f t="shared" si="0"/>
        <v>12</v>
      </c>
      <c r="M13" s="3">
        <f t="shared" si="0"/>
        <v>12</v>
      </c>
      <c r="P13" s="3" t="s">
        <v>1143</v>
      </c>
      <c r="Q13" s="10" t="str">
        <f>IF(A13="","",C13)</f>
        <v xml:space="preserve">ALPARGATAS  -ON  </v>
      </c>
      <c r="R13" s="51">
        <f>IF(A13="","",H13)</f>
        <v>41689</v>
      </c>
      <c r="S13" s="5">
        <f>J13</f>
        <v>12</v>
      </c>
      <c r="T13" s="5">
        <f>K13</f>
        <v>12</v>
      </c>
      <c r="U13" s="5">
        <f>L13</f>
        <v>12</v>
      </c>
      <c r="V13" s="5">
        <f>M13</f>
        <v>12</v>
      </c>
    </row>
    <row r="14" spans="1:22" x14ac:dyDescent="0.2">
      <c r="A14" s="33" t="str">
        <f>IF(Tabela1768[[#This Row],[Código]]="IBOV","^BVSP",IF(Tabela1768[[#This Row],[Código]]="","",CONCATENATE(LEFT(Tabela1768[[#This Row],[Código]],6),".SA")))</f>
        <v>ALPA4.SA</v>
      </c>
      <c r="C14" s="3" t="s">
        <v>1146</v>
      </c>
      <c r="D14" s="3" t="s">
        <v>1051</v>
      </c>
      <c r="E14" s="3" t="s">
        <v>2014</v>
      </c>
      <c r="F14" s="3" t="s">
        <v>2015</v>
      </c>
      <c r="G14" s="3" t="s">
        <v>1857</v>
      </c>
      <c r="H14" s="51">
        <v>41689</v>
      </c>
      <c r="J14" s="3">
        <f t="shared" si="1"/>
        <v>12.45</v>
      </c>
      <c r="K14" s="3">
        <f t="shared" si="0"/>
        <v>12.53</v>
      </c>
      <c r="L14" s="3">
        <f t="shared" si="0"/>
        <v>12.64</v>
      </c>
      <c r="M14" s="3">
        <f t="shared" si="0"/>
        <v>12.34</v>
      </c>
      <c r="P14" s="14" t="s">
        <v>1144</v>
      </c>
      <c r="Q14" s="10" t="str">
        <f>IF(A14="","",C14)</f>
        <v xml:space="preserve">ALPARGATAS  -PN  </v>
      </c>
      <c r="R14" s="51">
        <f>IF(A14="","",H14)</f>
        <v>41689</v>
      </c>
      <c r="S14" s="5">
        <f>J14</f>
        <v>12.45</v>
      </c>
      <c r="T14" s="5">
        <f>K14</f>
        <v>12.53</v>
      </c>
      <c r="U14" s="5">
        <f>L14</f>
        <v>12.64</v>
      </c>
      <c r="V14" s="5">
        <f>M14</f>
        <v>12.34</v>
      </c>
    </row>
    <row r="15" spans="1:22" x14ac:dyDescent="0.2">
      <c r="A15" s="33" t="str">
        <f>IF(Tabela1768[[#This Row],[Código]]="IBOV","^BVSP",IF(Tabela1768[[#This Row],[Código]]="","",CONCATENATE(LEFT(Tabela1768[[#This Row],[Código]],6),".SA")))</f>
        <v>AMAR3.SA</v>
      </c>
      <c r="C15" s="3" t="s">
        <v>1320</v>
      </c>
      <c r="D15" s="3" t="s">
        <v>1858</v>
      </c>
      <c r="E15" s="3" t="s">
        <v>1072</v>
      </c>
      <c r="F15" s="3" t="s">
        <v>1859</v>
      </c>
      <c r="G15" s="3" t="s">
        <v>1023</v>
      </c>
      <c r="H15" s="51">
        <v>41689</v>
      </c>
      <c r="J15" s="3">
        <f t="shared" si="1"/>
        <v>13.56</v>
      </c>
      <c r="K15" s="3">
        <f t="shared" si="0"/>
        <v>13.41</v>
      </c>
      <c r="L15" s="3">
        <f t="shared" si="0"/>
        <v>13.81</v>
      </c>
      <c r="M15" s="3">
        <f t="shared" si="0"/>
        <v>13.29</v>
      </c>
      <c r="P15" s="15" t="s">
        <v>1319</v>
      </c>
      <c r="Q15" s="10" t="str">
        <f>IF(A15="","",C15)</f>
        <v xml:space="preserve">LOJAS MARISA-ON  </v>
      </c>
      <c r="R15" s="51">
        <f>IF(A15="","",H15)</f>
        <v>41689</v>
      </c>
      <c r="S15" s="5">
        <f>J15</f>
        <v>13.56</v>
      </c>
      <c r="T15" s="5">
        <f>K15</f>
        <v>13.41</v>
      </c>
      <c r="U15" s="5">
        <f>L15</f>
        <v>13.81</v>
      </c>
      <c r="V15" s="5">
        <f>M15</f>
        <v>13.29</v>
      </c>
    </row>
    <row r="16" spans="1:22" x14ac:dyDescent="0.2">
      <c r="A16" s="33" t="str">
        <f>IF(Tabela1768[[#This Row],[Código]]="IBOV","^BVSP",IF(Tabela1768[[#This Row],[Código]]="","",CONCATENATE(LEFT(Tabela1768[[#This Row],[Código]],6),".SA")))</f>
        <v>ARZZ3.SA</v>
      </c>
      <c r="C16" s="3" t="s">
        <v>1299</v>
      </c>
      <c r="D16" s="3" t="s">
        <v>1025</v>
      </c>
      <c r="E16" s="3" t="s">
        <v>1046</v>
      </c>
      <c r="F16" s="3" t="s">
        <v>2016</v>
      </c>
      <c r="G16" s="3" t="s">
        <v>1860</v>
      </c>
      <c r="H16" s="51">
        <v>41689</v>
      </c>
      <c r="J16" s="3">
        <f t="shared" si="1"/>
        <v>26</v>
      </c>
      <c r="K16" s="3">
        <f t="shared" si="0"/>
        <v>27.12</v>
      </c>
      <c r="L16" s="3">
        <f t="shared" si="0"/>
        <v>27.68</v>
      </c>
      <c r="M16" s="3">
        <f t="shared" si="0"/>
        <v>25.63</v>
      </c>
      <c r="P16" s="15" t="s">
        <v>1298</v>
      </c>
      <c r="Q16" s="10" t="str">
        <f>IF(A16="","",C16)</f>
        <v xml:space="preserve">AREZZO CO   -ON  </v>
      </c>
      <c r="R16" s="51">
        <f>IF(A16="","",H16)</f>
        <v>41689</v>
      </c>
      <c r="S16" s="5">
        <f>J16</f>
        <v>26</v>
      </c>
      <c r="T16" s="5">
        <f>K16</f>
        <v>27.12</v>
      </c>
      <c r="U16" s="5">
        <f>L16</f>
        <v>27.68</v>
      </c>
      <c r="V16" s="5">
        <f>M16</f>
        <v>25.63</v>
      </c>
    </row>
    <row r="17" spans="1:22" x14ac:dyDescent="0.2">
      <c r="A17" s="33" t="str">
        <f>IF(Tabela1768[[#This Row],[Código]]="IBOV","^BVSP",IF(Tabela1768[[#This Row],[Código]]="","",CONCATENATE(LEFT(Tabela1768[[#This Row],[Código]],6),".SA")))</f>
        <v>BISA3.SA</v>
      </c>
      <c r="C17" s="3" t="s">
        <v>1332</v>
      </c>
      <c r="D17" s="3" t="s">
        <v>1559</v>
      </c>
      <c r="E17" s="3" t="s">
        <v>1886</v>
      </c>
      <c r="F17" s="3" t="s">
        <v>1397</v>
      </c>
      <c r="G17" s="3" t="s">
        <v>1278</v>
      </c>
      <c r="H17" s="51">
        <v>41689</v>
      </c>
      <c r="J17" s="3">
        <f t="shared" si="1"/>
        <v>1.44</v>
      </c>
      <c r="K17" s="3">
        <f t="shared" si="0"/>
        <v>1.46</v>
      </c>
      <c r="L17" s="3">
        <f t="shared" si="0"/>
        <v>1.5</v>
      </c>
      <c r="M17" s="3">
        <f t="shared" si="0"/>
        <v>1.42</v>
      </c>
      <c r="P17" s="10" t="s">
        <v>1331</v>
      </c>
      <c r="Q17" s="10" t="str">
        <f>IF(A17="","",C17)</f>
        <v xml:space="preserve">BROOKFIELD  -ON  </v>
      </c>
      <c r="R17" s="51">
        <f>IF(A17="","",H17)</f>
        <v>41689</v>
      </c>
      <c r="S17" s="5">
        <f>J17</f>
        <v>1.44</v>
      </c>
      <c r="T17" s="5">
        <f>K17</f>
        <v>1.46</v>
      </c>
      <c r="U17" s="5">
        <f>L17</f>
        <v>1.5</v>
      </c>
      <c r="V17" s="5">
        <f>M17</f>
        <v>1.42</v>
      </c>
    </row>
    <row r="18" spans="1:22" x14ac:dyDescent="0.2">
      <c r="A18" s="33" t="str">
        <f>IF(Tabela1768[[#This Row],[Código]]="IBOV","^BVSP",IF(Tabela1768[[#This Row],[Código]]="","",CONCATENATE(LEFT(Tabela1768[[#This Row],[Código]],6),".SA")))</f>
        <v>BMKS3.SA</v>
      </c>
      <c r="C18" s="3" t="s">
        <v>907</v>
      </c>
      <c r="D18" s="3" t="s">
        <v>908</v>
      </c>
      <c r="E18" s="3" t="s">
        <v>908</v>
      </c>
      <c r="F18" s="3" t="s">
        <v>908</v>
      </c>
      <c r="G18" s="3" t="s">
        <v>908</v>
      </c>
      <c r="H18" s="51">
        <v>41689</v>
      </c>
      <c r="J18" s="3">
        <f t="shared" si="1"/>
        <v>350</v>
      </c>
      <c r="K18" s="3">
        <f t="shared" si="0"/>
        <v>350</v>
      </c>
      <c r="L18" s="3">
        <f t="shared" si="0"/>
        <v>350</v>
      </c>
      <c r="M18" s="3">
        <f t="shared" si="0"/>
        <v>350</v>
      </c>
      <c r="P18" s="14" t="s">
        <v>906</v>
      </c>
      <c r="Q18" s="10" t="str">
        <f>IF(A18="","",C18)</f>
        <v>BIC MONARK  -ON</v>
      </c>
      <c r="R18" s="51">
        <f>IF(A18="","",H18)</f>
        <v>41689</v>
      </c>
      <c r="S18" s="5">
        <f>J18</f>
        <v>350</v>
      </c>
      <c r="T18" s="5">
        <f>K18</f>
        <v>350</v>
      </c>
      <c r="U18" s="5">
        <f>L18</f>
        <v>350</v>
      </c>
      <c r="V18" s="5">
        <f>M18</f>
        <v>350</v>
      </c>
    </row>
    <row r="19" spans="1:22" x14ac:dyDescent="0.2">
      <c r="A19" s="33" t="str">
        <f>IF(Tabela1768[[#This Row],[Código]]="IBOV","^BVSP",IF(Tabela1768[[#This Row],[Código]]="","",CONCATENATE(LEFT(Tabela1768[[#This Row],[Código]],6),".SA")))</f>
        <v>BMTO3.SA</v>
      </c>
      <c r="C19" s="3" t="s">
        <v>920</v>
      </c>
      <c r="D19" s="3" t="s">
        <v>484</v>
      </c>
      <c r="E19" s="3" t="s">
        <v>484</v>
      </c>
      <c r="F19" s="3" t="s">
        <v>484</v>
      </c>
      <c r="G19" s="3" t="s">
        <v>484</v>
      </c>
      <c r="H19" s="51">
        <v>41689</v>
      </c>
      <c r="J19" s="3">
        <f t="shared" si="1"/>
        <v>0.75</v>
      </c>
      <c r="K19" s="3">
        <f t="shared" si="0"/>
        <v>0.75</v>
      </c>
      <c r="L19" s="3">
        <f t="shared" si="0"/>
        <v>0.75</v>
      </c>
      <c r="M19" s="3">
        <f t="shared" si="0"/>
        <v>0.75</v>
      </c>
      <c r="P19" s="15" t="s">
        <v>918</v>
      </c>
      <c r="Q19" s="10" t="str">
        <f>IF(A19="","",C19)</f>
        <v>BRASMOTOR   -ON</v>
      </c>
      <c r="R19" s="51">
        <f>IF(A19="","",H19)</f>
        <v>41689</v>
      </c>
      <c r="S19" s="5">
        <f>J19</f>
        <v>0.75</v>
      </c>
      <c r="T19" s="5">
        <f>K19</f>
        <v>0.75</v>
      </c>
      <c r="U19" s="5">
        <f>L19</f>
        <v>0.75</v>
      </c>
      <c r="V19" s="5">
        <f>M19</f>
        <v>0.75</v>
      </c>
    </row>
    <row r="20" spans="1:22" x14ac:dyDescent="0.2">
      <c r="A20" s="33" t="str">
        <f>IF(Tabela1768[[#This Row],[Código]]="IBOV","^BVSP",IF(Tabela1768[[#This Row],[Código]]="","",CONCATENATE(LEFT(Tabela1768[[#This Row],[Código]],6),".SA")))</f>
        <v>BMTO4.SA</v>
      </c>
      <c r="C20" s="3" t="s">
        <v>921</v>
      </c>
      <c r="D20" s="3" t="s">
        <v>972</v>
      </c>
      <c r="E20" s="3" t="s">
        <v>1256</v>
      </c>
      <c r="F20" s="3" t="s">
        <v>973</v>
      </c>
      <c r="G20" s="3" t="s">
        <v>972</v>
      </c>
      <c r="H20" s="51">
        <v>41689</v>
      </c>
      <c r="J20" s="3">
        <f t="shared" si="1"/>
        <v>0.79</v>
      </c>
      <c r="K20" s="3">
        <f t="shared" si="0"/>
        <v>0.81</v>
      </c>
      <c r="L20" s="3">
        <f t="shared" si="0"/>
        <v>0.82</v>
      </c>
      <c r="M20" s="3">
        <f t="shared" si="0"/>
        <v>0.79</v>
      </c>
      <c r="P20" s="15" t="s">
        <v>919</v>
      </c>
      <c r="Q20" s="10" t="str">
        <f>IF(A20="","",C20)</f>
        <v>BRASMOTOR   -PN</v>
      </c>
      <c r="R20" s="51">
        <f>IF(A20="","",H20)</f>
        <v>41689</v>
      </c>
      <c r="S20" s="5">
        <f>J20</f>
        <v>0.79</v>
      </c>
      <c r="T20" s="5">
        <f>K20</f>
        <v>0.81</v>
      </c>
      <c r="U20" s="5">
        <f>L20</f>
        <v>0.82</v>
      </c>
      <c r="V20" s="5">
        <f>M20</f>
        <v>0.79</v>
      </c>
    </row>
    <row r="21" spans="1:22" x14ac:dyDescent="0.2">
      <c r="A21" s="33" t="str">
        <f>IF(Tabela1768[[#This Row],[Código]]="IBOV","^BVSP",IF(Tabela1768[[#This Row],[Código]]="","",CONCATENATE(LEFT(Tabela1768[[#This Row],[Código]],6),".SA")))</f>
        <v>BSEV3.SA</v>
      </c>
      <c r="C21" s="3" t="s">
        <v>884</v>
      </c>
      <c r="D21" s="3" t="s">
        <v>1157</v>
      </c>
      <c r="E21" s="3" t="s">
        <v>1157</v>
      </c>
      <c r="F21" s="3" t="s">
        <v>1157</v>
      </c>
      <c r="G21" s="3" t="s">
        <v>1157</v>
      </c>
      <c r="H21" s="51">
        <v>41689</v>
      </c>
      <c r="J21" s="3">
        <f t="shared" si="1"/>
        <v>9.01</v>
      </c>
      <c r="K21" s="3">
        <f t="shared" si="0"/>
        <v>9.01</v>
      </c>
      <c r="L21" s="3">
        <f t="shared" si="0"/>
        <v>9.01</v>
      </c>
      <c r="M21" s="3">
        <f t="shared" si="0"/>
        <v>9.01</v>
      </c>
      <c r="P21" s="14" t="s">
        <v>883</v>
      </c>
      <c r="Q21" s="10" t="str">
        <f>IF(A21="","",C21)</f>
        <v xml:space="preserve">BIOSEV      -ON  </v>
      </c>
      <c r="R21" s="51">
        <f>IF(A21="","",H21)</f>
        <v>41689</v>
      </c>
      <c r="S21" s="5">
        <f>J21</f>
        <v>9.01</v>
      </c>
      <c r="T21" s="5">
        <f>K21</f>
        <v>9.01</v>
      </c>
      <c r="U21" s="5">
        <f>L21</f>
        <v>9.01</v>
      </c>
      <c r="V21" s="5">
        <f>M21</f>
        <v>9.01</v>
      </c>
    </row>
    <row r="22" spans="1:22" x14ac:dyDescent="0.2">
      <c r="A22" s="33" t="str">
        <f>IF(Tabela1768[[#This Row],[Código]]="IBOV","^BVSP",IF(Tabela1768[[#This Row],[Código]]="","",CONCATENATE(LEFT(Tabela1768[[#This Row],[Código]],6),".SA")))</f>
        <v>CALI3.SA</v>
      </c>
      <c r="C22" s="3" t="s">
        <v>1335</v>
      </c>
      <c r="D22" s="3" t="s">
        <v>446</v>
      </c>
      <c r="E22" s="3" t="s">
        <v>1336</v>
      </c>
      <c r="F22" s="3" t="s">
        <v>1336</v>
      </c>
      <c r="G22" s="3" t="s">
        <v>1336</v>
      </c>
      <c r="H22" s="51">
        <v>41689</v>
      </c>
      <c r="J22" s="3" t="e">
        <f t="shared" si="1"/>
        <v>#VALUE!</v>
      </c>
      <c r="K22" s="3">
        <f t="shared" si="0"/>
        <v>126.01</v>
      </c>
      <c r="L22" s="3">
        <f t="shared" si="0"/>
        <v>126.01</v>
      </c>
      <c r="M22" s="3">
        <f t="shared" si="0"/>
        <v>126.01</v>
      </c>
      <c r="P22" s="16" t="s">
        <v>1333</v>
      </c>
      <c r="Q22" s="10" t="str">
        <f>IF(A22="","",C22)</f>
        <v>CONST A LIND-ON</v>
      </c>
      <c r="R22" s="51">
        <f>IF(A22="","",H22)</f>
        <v>41689</v>
      </c>
      <c r="S22" s="5" t="e">
        <f>J22</f>
        <v>#VALUE!</v>
      </c>
      <c r="T22" s="5">
        <f>K22</f>
        <v>126.01</v>
      </c>
      <c r="U22" s="5">
        <f>L22</f>
        <v>126.01</v>
      </c>
      <c r="V22" s="5">
        <f>M22</f>
        <v>126.01</v>
      </c>
    </row>
    <row r="23" spans="1:22" x14ac:dyDescent="0.2">
      <c r="A23" s="33" t="str">
        <f>IF(Tabela1768[[#This Row],[Código]]="IBOV","^BVSP",IF(Tabela1768[[#This Row],[Código]]="","",CONCATENATE(LEFT(Tabela1768[[#This Row],[Código]],6),".SA")))</f>
        <v>CALI4.SA</v>
      </c>
      <c r="C23" s="3" t="s">
        <v>1337</v>
      </c>
      <c r="D23" s="3" t="s">
        <v>1338</v>
      </c>
      <c r="E23" s="3" t="s">
        <v>1338</v>
      </c>
      <c r="F23" s="3" t="s">
        <v>1338</v>
      </c>
      <c r="G23" s="3" t="s">
        <v>1338</v>
      </c>
      <c r="H23" s="51">
        <v>41689</v>
      </c>
      <c r="J23" s="3">
        <f t="shared" si="1"/>
        <v>250</v>
      </c>
      <c r="K23" s="3">
        <f t="shared" si="1"/>
        <v>250</v>
      </c>
      <c r="L23" s="3">
        <f t="shared" si="1"/>
        <v>250</v>
      </c>
      <c r="M23" s="3">
        <f t="shared" si="1"/>
        <v>250</v>
      </c>
      <c r="P23" s="16" t="s">
        <v>1334</v>
      </c>
      <c r="Q23" s="10" t="str">
        <f>IF(A23="","",C23)</f>
        <v>CONST A LIND-PN</v>
      </c>
      <c r="R23" s="51">
        <f>IF(A23="","",H23)</f>
        <v>41689</v>
      </c>
      <c r="S23" s="5">
        <f>J23</f>
        <v>250</v>
      </c>
      <c r="T23" s="5">
        <f>K23</f>
        <v>250</v>
      </c>
      <c r="U23" s="5">
        <f>L23</f>
        <v>250</v>
      </c>
      <c r="V23" s="5">
        <f>M23</f>
        <v>250</v>
      </c>
    </row>
    <row r="24" spans="1:22" x14ac:dyDescent="0.2">
      <c r="A24" s="33" t="str">
        <f>IF(Tabela1768[[#This Row],[Código]]="IBOV","^BVSP",IF(Tabela1768[[#This Row],[Código]]="","",CONCATENATE(LEFT(Tabela1768[[#This Row],[Código]],6),".SA")))</f>
        <v>CAMB3.SA</v>
      </c>
      <c r="C24" s="3" t="s">
        <v>1150</v>
      </c>
      <c r="D24" s="3" t="s">
        <v>446</v>
      </c>
      <c r="E24" s="3" t="s">
        <v>447</v>
      </c>
      <c r="F24" s="3" t="s">
        <v>446</v>
      </c>
      <c r="G24" s="3" t="s">
        <v>446</v>
      </c>
      <c r="H24" s="51" t="s">
        <v>446</v>
      </c>
      <c r="J24" s="3" t="e">
        <f t="shared" si="1"/>
        <v>#VALUE!</v>
      </c>
      <c r="K24" s="3">
        <f t="shared" si="1"/>
        <v>0</v>
      </c>
      <c r="L24" s="3" t="e">
        <f t="shared" si="1"/>
        <v>#VALUE!</v>
      </c>
      <c r="M24" s="3" t="e">
        <f t="shared" si="1"/>
        <v>#VALUE!</v>
      </c>
      <c r="P24" s="14" t="s">
        <v>1148</v>
      </c>
      <c r="Q24" s="10" t="str">
        <f>IF(A24="","",C24)</f>
        <v>CAMBUCI     -ON</v>
      </c>
      <c r="R24" s="51" t="str">
        <f>IF(A24="","",H24)</f>
        <v>N/A</v>
      </c>
      <c r="S24" s="5" t="e">
        <f>J24</f>
        <v>#VALUE!</v>
      </c>
      <c r="T24" s="5">
        <f>K24</f>
        <v>0</v>
      </c>
      <c r="U24" s="5" t="e">
        <f>L24</f>
        <v>#VALUE!</v>
      </c>
      <c r="V24" s="5" t="e">
        <f>M24</f>
        <v>#VALUE!</v>
      </c>
    </row>
    <row r="25" spans="1:22" x14ac:dyDescent="0.2">
      <c r="A25" s="33" t="str">
        <f>IF(Tabela1768[[#This Row],[Código]]="IBOV","^BVSP",IF(Tabela1768[[#This Row],[Código]]="","",CONCATENATE(LEFT(Tabela1768[[#This Row],[Código]],6),".SA")))</f>
        <v>CAMB4.SA</v>
      </c>
      <c r="C25" s="3" t="s">
        <v>1151</v>
      </c>
      <c r="D25" s="3" t="s">
        <v>1050</v>
      </c>
      <c r="E25" s="3" t="s">
        <v>2017</v>
      </c>
      <c r="F25" s="3" t="s">
        <v>2017</v>
      </c>
      <c r="G25" s="3" t="s">
        <v>1050</v>
      </c>
      <c r="H25" s="51">
        <v>41689</v>
      </c>
      <c r="J25" s="3">
        <f t="shared" si="1"/>
        <v>2.15</v>
      </c>
      <c r="K25" s="3">
        <f t="shared" si="1"/>
        <v>2.2200000000000002</v>
      </c>
      <c r="L25" s="3">
        <f t="shared" si="1"/>
        <v>2.2200000000000002</v>
      </c>
      <c r="M25" s="3">
        <f t="shared" si="1"/>
        <v>2.15</v>
      </c>
      <c r="P25" s="10" t="s">
        <v>1149</v>
      </c>
      <c r="Q25" s="10" t="str">
        <f>IF(A25="","",C25)</f>
        <v>CAMBUCI     -PN</v>
      </c>
      <c r="R25" s="51">
        <f>IF(A25="","",H25)</f>
        <v>41689</v>
      </c>
      <c r="S25" s="5">
        <f>J25</f>
        <v>2.15</v>
      </c>
      <c r="T25" s="5">
        <f>K25</f>
        <v>2.2200000000000002</v>
      </c>
      <c r="U25" s="5">
        <f>L25</f>
        <v>2.2200000000000002</v>
      </c>
      <c r="V25" s="5">
        <f>M25</f>
        <v>2.15</v>
      </c>
    </row>
    <row r="26" spans="1:22" x14ac:dyDescent="0.2">
      <c r="A26" s="33" t="str">
        <f>IF(Tabela1768[[#This Row],[Código]]="IBOV","^BVSP",IF(Tabela1768[[#This Row],[Código]]="","",CONCATENATE(LEFT(Tabela1768[[#This Row],[Código]],6),".SA")))</f>
        <v>CEDO3.SA</v>
      </c>
      <c r="C26" s="3" t="s">
        <v>938</v>
      </c>
      <c r="D26" s="3" t="s">
        <v>775</v>
      </c>
      <c r="E26" s="3" t="s">
        <v>775</v>
      </c>
      <c r="F26" s="3" t="s">
        <v>775</v>
      </c>
      <c r="G26" s="3" t="s">
        <v>775</v>
      </c>
      <c r="H26" s="51">
        <v>41689</v>
      </c>
      <c r="J26" s="3">
        <f t="shared" si="1"/>
        <v>11.5</v>
      </c>
      <c r="K26" s="3">
        <f t="shared" si="1"/>
        <v>11.5</v>
      </c>
      <c r="L26" s="3">
        <f t="shared" si="1"/>
        <v>11.5</v>
      </c>
      <c r="M26" s="3">
        <f t="shared" si="1"/>
        <v>11.5</v>
      </c>
      <c r="P26" s="14" t="s">
        <v>936</v>
      </c>
      <c r="Q26" s="10" t="str">
        <f>IF(A26="","",C26)</f>
        <v xml:space="preserve">CEDRO       -ON  </v>
      </c>
      <c r="R26" s="51">
        <f>IF(A26="","",H26)</f>
        <v>41689</v>
      </c>
      <c r="S26" s="5">
        <f>J26</f>
        <v>11.5</v>
      </c>
      <c r="T26" s="5">
        <f>K26</f>
        <v>11.5</v>
      </c>
      <c r="U26" s="5">
        <f>L26</f>
        <v>11.5</v>
      </c>
      <c r="V26" s="5">
        <f>M26</f>
        <v>11.5</v>
      </c>
    </row>
    <row r="27" spans="1:22" x14ac:dyDescent="0.2">
      <c r="A27" s="33" t="str">
        <f>IF(Tabela1768[[#This Row],[Código]]="IBOV","^BVSP",IF(Tabela1768[[#This Row],[Código]]="","",CONCATENATE(LEFT(Tabela1768[[#This Row],[Código]],6),".SA")))</f>
        <v>CEDO4.SA</v>
      </c>
      <c r="C27" s="3" t="s">
        <v>939</v>
      </c>
      <c r="D27" s="3" t="s">
        <v>1883</v>
      </c>
      <c r="E27" s="3" t="s">
        <v>940</v>
      </c>
      <c r="F27" s="3" t="s">
        <v>940</v>
      </c>
      <c r="G27" s="3" t="s">
        <v>1883</v>
      </c>
      <c r="H27" s="51">
        <v>41689</v>
      </c>
      <c r="J27" s="3">
        <f t="shared" si="1"/>
        <v>10.5</v>
      </c>
      <c r="K27" s="3">
        <f t="shared" si="1"/>
        <v>11.1</v>
      </c>
      <c r="L27" s="3">
        <f t="shared" si="1"/>
        <v>11.1</v>
      </c>
      <c r="M27" s="3">
        <f t="shared" si="1"/>
        <v>10.5</v>
      </c>
      <c r="P27" s="14" t="s">
        <v>937</v>
      </c>
      <c r="Q27" s="10" t="str">
        <f>IF(A27="","",C27)</f>
        <v xml:space="preserve">CEDRO       -PN  </v>
      </c>
      <c r="R27" s="51">
        <f>IF(A27="","",H27)</f>
        <v>41689</v>
      </c>
      <c r="S27" s="5">
        <f>J27</f>
        <v>10.5</v>
      </c>
      <c r="T27" s="5">
        <f>K27</f>
        <v>11.1</v>
      </c>
      <c r="U27" s="5">
        <f>L27</f>
        <v>11.1</v>
      </c>
      <c r="V27" s="5">
        <f>M27</f>
        <v>10.5</v>
      </c>
    </row>
    <row r="28" spans="1:22" x14ac:dyDescent="0.2">
      <c r="A28" s="33" t="str">
        <f>IF(Tabela1768[[#This Row],[Código]]="IBOV","^BVSP",IF(Tabela1768[[#This Row],[Código]]="","",CONCATENATE(LEFT(Tabela1768[[#This Row],[Código]],6),".SA")))</f>
        <v>CGRA3.SA</v>
      </c>
      <c r="C28" s="3" t="s">
        <v>1302</v>
      </c>
      <c r="D28" s="3" t="s">
        <v>2018</v>
      </c>
      <c r="E28" s="3" t="s">
        <v>2018</v>
      </c>
      <c r="F28" s="3" t="s">
        <v>2018</v>
      </c>
      <c r="G28" s="3" t="s">
        <v>2018</v>
      </c>
      <c r="H28" s="51">
        <v>41689</v>
      </c>
      <c r="J28" s="3">
        <f t="shared" si="1"/>
        <v>15.8</v>
      </c>
      <c r="K28" s="3">
        <f t="shared" si="1"/>
        <v>15.8</v>
      </c>
      <c r="L28" s="3">
        <f t="shared" si="1"/>
        <v>15.8</v>
      </c>
      <c r="M28" s="3">
        <f t="shared" si="1"/>
        <v>15.8</v>
      </c>
      <c r="P28" s="15" t="s">
        <v>1300</v>
      </c>
      <c r="Q28" s="10" t="str">
        <f>IF(A28="","",C28)</f>
        <v>GRAZZIOTIN  -ON</v>
      </c>
      <c r="R28" s="51">
        <f>IF(A28="","",H28)</f>
        <v>41689</v>
      </c>
      <c r="S28" s="5">
        <f>J28</f>
        <v>15.8</v>
      </c>
      <c r="T28" s="5">
        <f>K28</f>
        <v>15.8</v>
      </c>
      <c r="U28" s="5">
        <f>L28</f>
        <v>15.8</v>
      </c>
      <c r="V28" s="5">
        <f>M28</f>
        <v>15.8</v>
      </c>
    </row>
    <row r="29" spans="1:22" x14ac:dyDescent="0.2">
      <c r="A29" s="33" t="str">
        <f>IF(Tabela1768[[#This Row],[Código]]="IBOV","^BVSP",IF(Tabela1768[[#This Row],[Código]]="","",CONCATENATE(LEFT(Tabela1768[[#This Row],[Código]],6),".SA")))</f>
        <v>CGRA4.SA</v>
      </c>
      <c r="C29" s="3" t="s">
        <v>1304</v>
      </c>
      <c r="D29" s="3" t="s">
        <v>1306</v>
      </c>
      <c r="E29" s="3" t="s">
        <v>2019</v>
      </c>
      <c r="F29" s="3" t="s">
        <v>2019</v>
      </c>
      <c r="G29" s="3" t="s">
        <v>1306</v>
      </c>
      <c r="H29" s="51">
        <v>41689</v>
      </c>
      <c r="J29" s="3">
        <f>IF($A29="",0,VALUE(CONCATENATE(LEFT(D29,LEN(D29)-3),",",RIGHT(D29,2))))</f>
        <v>16.21</v>
      </c>
      <c r="K29" s="3">
        <f t="shared" si="1"/>
        <v>16.52</v>
      </c>
      <c r="L29" s="3">
        <f t="shared" si="1"/>
        <v>16.52</v>
      </c>
      <c r="M29" s="3">
        <f t="shared" si="1"/>
        <v>16.21</v>
      </c>
      <c r="P29" s="14" t="s">
        <v>1301</v>
      </c>
      <c r="Q29" s="10" t="str">
        <f>IF(A29="","",C29)</f>
        <v>GRAZZIOTIN  -PN</v>
      </c>
      <c r="R29" s="51">
        <f>IF(A29="","",H29)</f>
        <v>41689</v>
      </c>
      <c r="S29" s="5">
        <f>J29</f>
        <v>16.21</v>
      </c>
      <c r="T29" s="5">
        <f>K29</f>
        <v>16.52</v>
      </c>
      <c r="U29" s="5">
        <f>L29</f>
        <v>16.52</v>
      </c>
      <c r="V29" s="5">
        <f>M29</f>
        <v>16.21</v>
      </c>
    </row>
    <row r="30" spans="1:22" x14ac:dyDescent="0.2">
      <c r="A30" s="33" t="str">
        <f>IF(Tabela1768[[#This Row],[Código]]="IBOV","^BVSP",IF(Tabela1768[[#This Row],[Código]]="","",CONCATENATE(LEFT(Tabela1768[[#This Row],[Código]],6),".SA")))</f>
        <v>CRDE3.SA</v>
      </c>
      <c r="C30" s="3" t="s">
        <v>1347</v>
      </c>
      <c r="D30" s="3" t="s">
        <v>1861</v>
      </c>
      <c r="E30" s="3" t="s">
        <v>2020</v>
      </c>
      <c r="F30" s="3" t="s">
        <v>1861</v>
      </c>
      <c r="G30" s="3" t="s">
        <v>2020</v>
      </c>
      <c r="H30" s="51">
        <v>41689</v>
      </c>
      <c r="J30" s="3">
        <f t="shared" si="1"/>
        <v>3.48</v>
      </c>
      <c r="K30" s="3">
        <f t="shared" si="1"/>
        <v>3.31</v>
      </c>
      <c r="L30" s="3">
        <f t="shared" si="1"/>
        <v>3.48</v>
      </c>
      <c r="M30" s="3">
        <f t="shared" si="1"/>
        <v>3.31</v>
      </c>
      <c r="P30" s="14" t="s">
        <v>1339</v>
      </c>
      <c r="Q30" s="10" t="str">
        <f>IF(A30="","",C30)</f>
        <v xml:space="preserve">CR2         -ON  </v>
      </c>
      <c r="R30" s="51">
        <f>IF(A30="","",H30)</f>
        <v>41689</v>
      </c>
      <c r="S30" s="5">
        <f>J30</f>
        <v>3.48</v>
      </c>
      <c r="T30" s="5">
        <f>K30</f>
        <v>3.31</v>
      </c>
      <c r="U30" s="5">
        <f>L30</f>
        <v>3.48</v>
      </c>
      <c r="V30" s="5">
        <f>M30</f>
        <v>3.31</v>
      </c>
    </row>
    <row r="31" spans="1:22" x14ac:dyDescent="0.2">
      <c r="A31" s="33" t="str">
        <f>IF(Tabela1768[[#This Row],[Código]]="IBOV","^BVSP",IF(Tabela1768[[#This Row],[Código]]="","",CONCATENATE(LEFT(Tabela1768[[#This Row],[Código]],6),".SA")))</f>
        <v>CTKA3.SA</v>
      </c>
      <c r="C31" s="3" t="s">
        <v>1119</v>
      </c>
      <c r="D31" s="3" t="s">
        <v>1120</v>
      </c>
      <c r="E31" s="3" t="s">
        <v>1120</v>
      </c>
      <c r="F31" s="3" t="s">
        <v>1120</v>
      </c>
      <c r="G31" s="3" t="s">
        <v>1120</v>
      </c>
      <c r="H31" s="51">
        <v>41689</v>
      </c>
      <c r="J31" s="3">
        <f t="shared" si="1"/>
        <v>2.2000000000000002</v>
      </c>
      <c r="K31" s="3">
        <f t="shared" si="1"/>
        <v>2.2000000000000002</v>
      </c>
      <c r="L31" s="3">
        <f t="shared" si="1"/>
        <v>2.2000000000000002</v>
      </c>
      <c r="M31" s="3">
        <f t="shared" si="1"/>
        <v>2.2000000000000002</v>
      </c>
      <c r="P31" s="14" t="s">
        <v>1117</v>
      </c>
      <c r="Q31" s="10" t="str">
        <f>IF(A31="","",C31)</f>
        <v>KARSTEN     -ON</v>
      </c>
      <c r="R31" s="51">
        <f>IF(A31="","",H31)</f>
        <v>41689</v>
      </c>
      <c r="S31" s="5">
        <f>J31</f>
        <v>2.2000000000000002</v>
      </c>
      <c r="T31" s="5">
        <f>K31</f>
        <v>2.2000000000000002</v>
      </c>
      <c r="U31" s="5">
        <f>L31</f>
        <v>2.2000000000000002</v>
      </c>
      <c r="V31" s="5">
        <f>M31</f>
        <v>2.2000000000000002</v>
      </c>
    </row>
    <row r="32" spans="1:22" x14ac:dyDescent="0.2">
      <c r="A32" s="33" t="str">
        <f>IF(Tabela1768[[#This Row],[Código]]="IBOV","^BVSP",IF(Tabela1768[[#This Row],[Código]]="","",CONCATENATE(LEFT(Tabela1768[[#This Row],[Código]],6),".SA")))</f>
        <v>CTKA4.SA</v>
      </c>
      <c r="C32" s="3" t="s">
        <v>1121</v>
      </c>
      <c r="D32" s="3" t="s">
        <v>1163</v>
      </c>
      <c r="E32" s="3" t="s">
        <v>1163</v>
      </c>
      <c r="F32" s="3" t="s">
        <v>1163</v>
      </c>
      <c r="G32" s="3" t="s">
        <v>1163</v>
      </c>
      <c r="H32" s="51">
        <v>41689</v>
      </c>
      <c r="J32" s="3">
        <f t="shared" si="1"/>
        <v>0.65</v>
      </c>
      <c r="K32" s="3">
        <f t="shared" si="1"/>
        <v>0.65</v>
      </c>
      <c r="L32" s="3">
        <f t="shared" si="1"/>
        <v>0.65</v>
      </c>
      <c r="M32" s="3">
        <f t="shared" si="1"/>
        <v>0.65</v>
      </c>
      <c r="P32" s="14" t="s">
        <v>1118</v>
      </c>
      <c r="Q32" s="10" t="str">
        <f>IF(A32="","",C32)</f>
        <v>KARSTEN     -PN</v>
      </c>
      <c r="R32" s="51">
        <f>IF(A32="","",H32)</f>
        <v>41689</v>
      </c>
      <c r="S32" s="5">
        <f>J32</f>
        <v>0.65</v>
      </c>
      <c r="T32" s="5">
        <f>K32</f>
        <v>0.65</v>
      </c>
      <c r="U32" s="5">
        <f>L32</f>
        <v>0.65</v>
      </c>
      <c r="V32" s="5">
        <f>M32</f>
        <v>0.65</v>
      </c>
    </row>
    <row r="33" spans="1:22" x14ac:dyDescent="0.2">
      <c r="A33" s="33" t="str">
        <f>IF(Tabela1768[[#This Row],[Código]]="IBOV","^BVSP",IF(Tabela1768[[#This Row],[Código]]="","",CONCATENATE(LEFT(Tabela1768[[#This Row],[Código]],6),".SA")))</f>
        <v>CTNM3.SA</v>
      </c>
      <c r="C33" s="3" t="s">
        <v>1099</v>
      </c>
      <c r="D33" s="3" t="s">
        <v>1100</v>
      </c>
      <c r="E33" s="3" t="s">
        <v>1100</v>
      </c>
      <c r="F33" s="3" t="s">
        <v>1100</v>
      </c>
      <c r="G33" s="3" t="s">
        <v>1100</v>
      </c>
      <c r="H33" s="51">
        <v>41689</v>
      </c>
      <c r="J33" s="3">
        <f t="shared" si="1"/>
        <v>2.4700000000000002</v>
      </c>
      <c r="K33" s="3">
        <f t="shared" si="1"/>
        <v>2.4700000000000002</v>
      </c>
      <c r="L33" s="3">
        <f t="shared" si="1"/>
        <v>2.4700000000000002</v>
      </c>
      <c r="M33" s="3">
        <f t="shared" si="1"/>
        <v>2.4700000000000002</v>
      </c>
      <c r="P33" s="14" t="s">
        <v>1097</v>
      </c>
      <c r="Q33" s="10" t="str">
        <f>IF(A33="","",C33)</f>
        <v>COTEMINAS   -ON</v>
      </c>
      <c r="R33" s="51">
        <f>IF(A33="","",H33)</f>
        <v>41689</v>
      </c>
      <c r="S33" s="5">
        <f>J33</f>
        <v>2.4700000000000002</v>
      </c>
      <c r="T33" s="5">
        <f>K33</f>
        <v>2.4700000000000002</v>
      </c>
      <c r="U33" s="5">
        <f>L33</f>
        <v>2.4700000000000002</v>
      </c>
      <c r="V33" s="5">
        <f>M33</f>
        <v>2.4700000000000002</v>
      </c>
    </row>
    <row r="34" spans="1:22" x14ac:dyDescent="0.2">
      <c r="A34" s="33" t="str">
        <f>IF(Tabela1768[[#This Row],[Código]]="IBOV","^BVSP",IF(Tabela1768[[#This Row],[Código]]="","",CONCATENATE(LEFT(Tabela1768[[#This Row],[Código]],6),".SA")))</f>
        <v>CTNM4.SA</v>
      </c>
      <c r="C34" s="3" t="s">
        <v>1101</v>
      </c>
      <c r="D34" s="3" t="s">
        <v>1049</v>
      </c>
      <c r="E34" s="3" t="s">
        <v>1162</v>
      </c>
      <c r="F34" s="3" t="s">
        <v>1162</v>
      </c>
      <c r="G34" s="3" t="s">
        <v>1288</v>
      </c>
      <c r="H34" s="51">
        <v>41689</v>
      </c>
      <c r="J34" s="3">
        <f t="shared" si="1"/>
        <v>2.12</v>
      </c>
      <c r="K34" s="3">
        <f t="shared" si="1"/>
        <v>2.14</v>
      </c>
      <c r="L34" s="3">
        <f t="shared" si="1"/>
        <v>2.14</v>
      </c>
      <c r="M34" s="3">
        <f t="shared" si="1"/>
        <v>2.1</v>
      </c>
      <c r="P34" s="14" t="s">
        <v>1098</v>
      </c>
      <c r="Q34" s="10" t="str">
        <f>IF(A34="","",C34)</f>
        <v>COTEMINAS   -PN</v>
      </c>
      <c r="R34" s="51">
        <f>IF(A34="","",H34)</f>
        <v>41689</v>
      </c>
      <c r="S34" s="5">
        <f>J34</f>
        <v>2.12</v>
      </c>
      <c r="T34" s="5">
        <f>K34</f>
        <v>2.14</v>
      </c>
      <c r="U34" s="5">
        <f>L34</f>
        <v>2.14</v>
      </c>
      <c r="V34" s="5">
        <f>M34</f>
        <v>2.1</v>
      </c>
    </row>
    <row r="35" spans="1:22" x14ac:dyDescent="0.2">
      <c r="A35" s="33" t="str">
        <f>IF(Tabela1768[[#This Row],[Código]]="IBOV","^BVSP",IF(Tabela1768[[#This Row],[Código]]="","",CONCATENATE(LEFT(Tabela1768[[#This Row],[Código]],6),".SA")))</f>
        <v>CTSA3.SA</v>
      </c>
      <c r="C35" s="3" t="s">
        <v>1104</v>
      </c>
      <c r="D35" s="3" t="s">
        <v>741</v>
      </c>
      <c r="E35" s="3" t="s">
        <v>741</v>
      </c>
      <c r="F35" s="3" t="s">
        <v>741</v>
      </c>
      <c r="G35" s="3" t="s">
        <v>741</v>
      </c>
      <c r="H35" s="51">
        <v>41689</v>
      </c>
      <c r="J35" s="3">
        <f t="shared" si="1"/>
        <v>5</v>
      </c>
      <c r="K35" s="3">
        <f t="shared" si="1"/>
        <v>5</v>
      </c>
      <c r="L35" s="3">
        <f t="shared" si="1"/>
        <v>5</v>
      </c>
      <c r="M35" s="3">
        <f t="shared" si="1"/>
        <v>5</v>
      </c>
      <c r="P35" s="14" t="s">
        <v>1102</v>
      </c>
      <c r="Q35" s="10" t="str">
        <f>IF(A35="","",C35)</f>
        <v>SANTANENSE  -ON</v>
      </c>
      <c r="R35" s="46">
        <f>IF(A35="","",H35)</f>
        <v>41689</v>
      </c>
      <c r="S35" s="6">
        <f>J35</f>
        <v>5</v>
      </c>
      <c r="T35" s="6">
        <f>K35</f>
        <v>5</v>
      </c>
      <c r="U35" s="6">
        <f>L35</f>
        <v>5</v>
      </c>
      <c r="V35" s="6">
        <f>M35</f>
        <v>5</v>
      </c>
    </row>
    <row r="36" spans="1:22" x14ac:dyDescent="0.2">
      <c r="A36" s="33" t="str">
        <f>IF(Tabela1768[[#This Row],[Código]]="IBOV","^BVSP",IF(Tabela1768[[#This Row],[Código]]="","",CONCATENATE(LEFT(Tabela1768[[#This Row],[Código]],6),".SA")))</f>
        <v>CTSA4.SA</v>
      </c>
      <c r="C36" s="3" t="s">
        <v>1105</v>
      </c>
      <c r="D36" s="3" t="s">
        <v>985</v>
      </c>
      <c r="E36" s="3" t="s">
        <v>985</v>
      </c>
      <c r="F36" s="3" t="s">
        <v>985</v>
      </c>
      <c r="G36" s="3" t="s">
        <v>985</v>
      </c>
      <c r="H36" s="51">
        <v>41689</v>
      </c>
      <c r="J36" s="3">
        <f t="shared" si="1"/>
        <v>5.97</v>
      </c>
      <c r="K36" s="3">
        <f t="shared" si="1"/>
        <v>5.97</v>
      </c>
      <c r="L36" s="3">
        <f t="shared" si="1"/>
        <v>5.97</v>
      </c>
      <c r="M36" s="3">
        <f t="shared" si="1"/>
        <v>5.97</v>
      </c>
      <c r="P36" s="14" t="s">
        <v>1103</v>
      </c>
      <c r="Q36" s="10" t="str">
        <f>IF(A36="","",C36)</f>
        <v>SANTANENSE  -PN</v>
      </c>
      <c r="R36" s="51">
        <f>IF(A36="","",H36)</f>
        <v>41689</v>
      </c>
      <c r="S36" s="5">
        <f>J36</f>
        <v>5.97</v>
      </c>
      <c r="T36" s="5">
        <f>K36</f>
        <v>5.97</v>
      </c>
      <c r="U36" s="5">
        <f>L36</f>
        <v>5.97</v>
      </c>
      <c r="V36" s="5">
        <f>M36</f>
        <v>5.97</v>
      </c>
    </row>
    <row r="37" spans="1:22" x14ac:dyDescent="0.2">
      <c r="A37" s="33" t="str">
        <f>IF(Tabela1768[[#This Row],[Código]]="IBOV","^BVSP",IF(Tabela1768[[#This Row],[Código]]="","",CONCATENATE(LEFT(Tabela1768[[#This Row],[Código]],6),".SA")))</f>
        <v>CTSA8.SA</v>
      </c>
      <c r="C37" s="3" t="s">
        <v>1107</v>
      </c>
      <c r="D37" s="3" t="s">
        <v>446</v>
      </c>
      <c r="E37" s="3" t="s">
        <v>447</v>
      </c>
      <c r="F37" s="3" t="s">
        <v>446</v>
      </c>
      <c r="G37" s="3" t="s">
        <v>446</v>
      </c>
      <c r="H37" s="51" t="s">
        <v>446</v>
      </c>
      <c r="J37" s="3" t="e">
        <f t="shared" si="1"/>
        <v>#VALUE!</v>
      </c>
      <c r="K37" s="3">
        <f t="shared" si="1"/>
        <v>0</v>
      </c>
      <c r="L37" s="3" t="e">
        <f t="shared" si="1"/>
        <v>#VALUE!</v>
      </c>
      <c r="M37" s="3" t="e">
        <f t="shared" si="1"/>
        <v>#VALUE!</v>
      </c>
      <c r="P37" s="14" t="s">
        <v>1106</v>
      </c>
      <c r="Q37" s="10" t="str">
        <f>IF(A37="","",C37)</f>
        <v>SANTANENSE  -PND</v>
      </c>
      <c r="R37" s="51" t="str">
        <f>IF(A37="","",H37)</f>
        <v>N/A</v>
      </c>
      <c r="S37" s="5" t="e">
        <f>J37</f>
        <v>#VALUE!</v>
      </c>
      <c r="T37" s="5">
        <f>K37</f>
        <v>0</v>
      </c>
      <c r="U37" s="5" t="e">
        <f>L37</f>
        <v>#VALUE!</v>
      </c>
      <c r="V37" s="5" t="e">
        <f>M37</f>
        <v>#VALUE!</v>
      </c>
    </row>
    <row r="38" spans="1:22" x14ac:dyDescent="0.2">
      <c r="A38" s="33" t="str">
        <f>IF(Tabela1768[[#This Row],[Código]]="IBOV","^BVSP",IF(Tabela1768[[#This Row],[Código]]="","",CONCATENATE(LEFT(Tabela1768[[#This Row],[Código]],6),".SA")))</f>
        <v>CVCB3.SA</v>
      </c>
      <c r="C38" s="3" t="s">
        <v>894</v>
      </c>
      <c r="D38" s="3" t="s">
        <v>1862</v>
      </c>
      <c r="E38" s="3" t="s">
        <v>2021</v>
      </c>
      <c r="F38" s="3" t="s">
        <v>1862</v>
      </c>
      <c r="G38" s="3" t="s">
        <v>2021</v>
      </c>
      <c r="H38" s="51">
        <v>41689</v>
      </c>
      <c r="J38" s="3">
        <f t="shared" si="1"/>
        <v>12.93</v>
      </c>
      <c r="K38" s="3">
        <f t="shared" si="1"/>
        <v>12.46</v>
      </c>
      <c r="L38" s="3">
        <f t="shared" si="1"/>
        <v>12.93</v>
      </c>
      <c r="M38" s="3">
        <f t="shared" si="1"/>
        <v>12.46</v>
      </c>
      <c r="P38" s="15" t="s">
        <v>893</v>
      </c>
      <c r="Q38" s="10" t="str">
        <f>IF(A38="","",C38)</f>
        <v xml:space="preserve">CVC BRASIL  -ON  </v>
      </c>
      <c r="R38" s="51">
        <f>IF(A38="","",H38)</f>
        <v>41689</v>
      </c>
      <c r="S38" s="5">
        <f>J38</f>
        <v>12.93</v>
      </c>
      <c r="T38" s="5">
        <f>K38</f>
        <v>12.46</v>
      </c>
      <c r="U38" s="5">
        <f>L38</f>
        <v>12.93</v>
      </c>
      <c r="V38" s="5">
        <f>M38</f>
        <v>12.46</v>
      </c>
    </row>
    <row r="39" spans="1:22" x14ac:dyDescent="0.2">
      <c r="A39" s="33" t="str">
        <f>IF(Tabela1768[[#This Row],[Código]]="IBOV","^BVSP",IF(Tabela1768[[#This Row],[Código]]="","",CONCATENATE(LEFT(Tabela1768[[#This Row],[Código]],6),".SA")))</f>
        <v>CYRE3.SA</v>
      </c>
      <c r="C39" s="3" t="s">
        <v>1348</v>
      </c>
      <c r="D39" s="3" t="s">
        <v>1271</v>
      </c>
      <c r="E39" s="3" t="s">
        <v>2022</v>
      </c>
      <c r="F39" s="3" t="s">
        <v>1270</v>
      </c>
      <c r="G39" s="3" t="s">
        <v>1621</v>
      </c>
      <c r="H39" s="51">
        <v>41689</v>
      </c>
      <c r="J39" s="3">
        <f t="shared" si="1"/>
        <v>13.21</v>
      </c>
      <c r="K39" s="3">
        <f t="shared" si="1"/>
        <v>13.43</v>
      </c>
      <c r="L39" s="3">
        <f t="shared" si="1"/>
        <v>13.62</v>
      </c>
      <c r="M39" s="3">
        <f t="shared" si="1"/>
        <v>13.06</v>
      </c>
      <c r="P39" s="14" t="s">
        <v>1340</v>
      </c>
      <c r="Q39" s="10" t="str">
        <f>IF(A39="","",C39)</f>
        <v xml:space="preserve">CYRELA REALT-ON  </v>
      </c>
      <c r="R39" s="51">
        <f>IF(A39="","",H39)</f>
        <v>41689</v>
      </c>
      <c r="S39" s="5">
        <f>J39</f>
        <v>13.21</v>
      </c>
      <c r="T39" s="5">
        <f>K39</f>
        <v>13.43</v>
      </c>
      <c r="U39" s="5">
        <f>L39</f>
        <v>13.62</v>
      </c>
      <c r="V39" s="5">
        <f>M39</f>
        <v>13.06</v>
      </c>
    </row>
    <row r="40" spans="1:22" x14ac:dyDescent="0.2">
      <c r="A40" s="33" t="str">
        <f>IF(Tabela1768[[#This Row],[Código]]="IBOV","^BVSP",IF(Tabela1768[[#This Row],[Código]]="","",CONCATENATE(LEFT(Tabela1768[[#This Row],[Código]],6),".SA")))</f>
        <v>DIRR3.SA</v>
      </c>
      <c r="C40" s="3" t="s">
        <v>1350</v>
      </c>
      <c r="D40" s="3" t="s">
        <v>1864</v>
      </c>
      <c r="E40" s="3" t="s">
        <v>342</v>
      </c>
      <c r="F40" s="3" t="s">
        <v>1866</v>
      </c>
      <c r="G40" s="3" t="s">
        <v>2023</v>
      </c>
      <c r="H40" s="51">
        <v>41689</v>
      </c>
      <c r="J40" s="3">
        <f t="shared" si="1"/>
        <v>9.57</v>
      </c>
      <c r="K40" s="3">
        <f t="shared" si="1"/>
        <v>9.5</v>
      </c>
      <c r="L40" s="3">
        <f t="shared" si="1"/>
        <v>9.61</v>
      </c>
      <c r="M40" s="3">
        <f t="shared" si="1"/>
        <v>9.4700000000000006</v>
      </c>
      <c r="P40" s="14" t="s">
        <v>1341</v>
      </c>
      <c r="Q40" s="10" t="str">
        <f>IF(A40="","",C40)</f>
        <v xml:space="preserve">DIRECIONAL  -ON  </v>
      </c>
      <c r="R40" s="51">
        <f>IF(A40="","",H40)</f>
        <v>41689</v>
      </c>
      <c r="S40" s="5">
        <f>J40</f>
        <v>9.57</v>
      </c>
      <c r="T40" s="5">
        <f>K40</f>
        <v>9.5</v>
      </c>
      <c r="U40" s="5">
        <f>L40</f>
        <v>9.61</v>
      </c>
      <c r="V40" s="5">
        <f>M40</f>
        <v>9.4700000000000006</v>
      </c>
    </row>
    <row r="41" spans="1:22" x14ac:dyDescent="0.2">
      <c r="A41" s="33" t="str">
        <f>IF(Tabela1768[[#This Row],[Código]]="IBOV","^BVSP",IF(Tabela1768[[#This Row],[Código]]="","",CONCATENATE(LEFT(Tabela1768[[#This Row],[Código]],6),".SA")))</f>
        <v>DOHL3.SA</v>
      </c>
      <c r="C41" s="3" t="s">
        <v>1110</v>
      </c>
      <c r="D41" s="3" t="s">
        <v>772</v>
      </c>
      <c r="E41" s="3" t="s">
        <v>772</v>
      </c>
      <c r="F41" s="3" t="s">
        <v>772</v>
      </c>
      <c r="G41" s="3" t="s">
        <v>772</v>
      </c>
      <c r="H41" s="51">
        <v>41689</v>
      </c>
      <c r="J41" s="3">
        <f t="shared" si="1"/>
        <v>5.5</v>
      </c>
      <c r="K41" s="3">
        <f t="shared" si="1"/>
        <v>5.5</v>
      </c>
      <c r="L41" s="3">
        <f t="shared" si="1"/>
        <v>5.5</v>
      </c>
      <c r="M41" s="3">
        <f t="shared" si="1"/>
        <v>5.5</v>
      </c>
      <c r="P41" s="15" t="s">
        <v>1108</v>
      </c>
      <c r="Q41" s="10" t="str">
        <f>IF(A41="","",C41)</f>
        <v>DOHLER      -ON</v>
      </c>
      <c r="R41" s="51">
        <f>IF(A41="","",H41)</f>
        <v>41689</v>
      </c>
      <c r="S41" s="5">
        <f>J41</f>
        <v>5.5</v>
      </c>
      <c r="T41" s="5">
        <f>K41</f>
        <v>5.5</v>
      </c>
      <c r="U41" s="5">
        <f>L41</f>
        <v>5.5</v>
      </c>
      <c r="V41" s="5">
        <f>M41</f>
        <v>5.5</v>
      </c>
    </row>
    <row r="42" spans="1:22" x14ac:dyDescent="0.2">
      <c r="A42" s="33" t="str">
        <f>IF(Tabela1768[[#This Row],[Código]]="IBOV","^BVSP",IF(Tabela1768[[#This Row],[Código]]="","",CONCATENATE(LEFT(Tabela1768[[#This Row],[Código]],6),".SA")))</f>
        <v>DOHL4.SA</v>
      </c>
      <c r="C42" s="3" t="s">
        <v>1111</v>
      </c>
      <c r="D42" s="3" t="s">
        <v>1209</v>
      </c>
      <c r="E42" s="3" t="s">
        <v>736</v>
      </c>
      <c r="F42" s="3" t="s">
        <v>1209</v>
      </c>
      <c r="G42" s="3" t="s">
        <v>736</v>
      </c>
      <c r="H42" s="51">
        <v>41689</v>
      </c>
      <c r="J42" s="3">
        <f t="shared" si="1"/>
        <v>5.0999999999999996</v>
      </c>
      <c r="K42" s="3">
        <f t="shared" si="1"/>
        <v>4.9000000000000004</v>
      </c>
      <c r="L42" s="3">
        <f t="shared" si="1"/>
        <v>5.0999999999999996</v>
      </c>
      <c r="M42" s="3">
        <f t="shared" si="1"/>
        <v>4.9000000000000004</v>
      </c>
      <c r="P42" s="15" t="s">
        <v>1109</v>
      </c>
      <c r="Q42" s="10" t="str">
        <f>IF(A42="","",C42)</f>
        <v>DOHLER      -PN</v>
      </c>
      <c r="R42" s="46">
        <f>IF(A42="","",H42)</f>
        <v>41689</v>
      </c>
      <c r="S42" s="6">
        <f>J42</f>
        <v>5.0999999999999996</v>
      </c>
      <c r="T42" s="6">
        <f>K42</f>
        <v>4.9000000000000004</v>
      </c>
      <c r="U42" s="6">
        <f>L42</f>
        <v>5.0999999999999996</v>
      </c>
      <c r="V42" s="6">
        <f>M42</f>
        <v>4.9000000000000004</v>
      </c>
    </row>
    <row r="43" spans="1:22" x14ac:dyDescent="0.2">
      <c r="A43" s="33" t="str">
        <f>IF(Tabela1768[[#This Row],[Código]]="IBOV","^BVSP",IF(Tabela1768[[#This Row],[Código]]="","",CONCATENATE(LEFT(Tabela1768[[#This Row],[Código]],6),".SA")))</f>
        <v>ECPR3.SA</v>
      </c>
      <c r="C43" s="3" t="s">
        <v>1114</v>
      </c>
      <c r="D43" s="3" t="s">
        <v>1115</v>
      </c>
      <c r="E43" s="3" t="s">
        <v>1115</v>
      </c>
      <c r="F43" s="3" t="s">
        <v>1115</v>
      </c>
      <c r="G43" s="3" t="s">
        <v>1115</v>
      </c>
      <c r="H43" s="51">
        <v>41689</v>
      </c>
      <c r="J43" s="3">
        <f t="shared" si="1"/>
        <v>31.86</v>
      </c>
      <c r="K43" s="3">
        <f t="shared" si="1"/>
        <v>31.86</v>
      </c>
      <c r="L43" s="3">
        <f t="shared" si="1"/>
        <v>31.86</v>
      </c>
      <c r="M43" s="3">
        <f t="shared" si="1"/>
        <v>31.86</v>
      </c>
      <c r="P43" s="14" t="s">
        <v>1112</v>
      </c>
      <c r="Q43" s="10" t="str">
        <f>IF(A43="","",C43)</f>
        <v>ENCORPAR    -ON</v>
      </c>
      <c r="R43" s="51">
        <f>IF(A43="","",H43)</f>
        <v>41689</v>
      </c>
      <c r="S43" s="5">
        <f>J43</f>
        <v>31.86</v>
      </c>
      <c r="T43" s="5">
        <f>K43</f>
        <v>31.86</v>
      </c>
      <c r="U43" s="5">
        <f>L43</f>
        <v>31.86</v>
      </c>
      <c r="V43" s="5">
        <f>M43</f>
        <v>31.86</v>
      </c>
    </row>
    <row r="44" spans="1:22" x14ac:dyDescent="0.2">
      <c r="A44" s="33" t="str">
        <f>IF(Tabela1768[[#This Row],[Código]]="IBOV","^BVSP",IF(Tabela1768[[#This Row],[Código]]="","",CONCATENATE(LEFT(Tabela1768[[#This Row],[Código]],6),".SA")))</f>
        <v>ECPR4.SA</v>
      </c>
      <c r="C44" s="3" t="s">
        <v>1116</v>
      </c>
      <c r="D44" s="3" t="s">
        <v>1004</v>
      </c>
      <c r="E44" s="3" t="s">
        <v>1004</v>
      </c>
      <c r="F44" s="3" t="s">
        <v>1004</v>
      </c>
      <c r="G44" s="3" t="s">
        <v>1004</v>
      </c>
      <c r="H44" s="51">
        <v>41689</v>
      </c>
      <c r="J44" s="3">
        <f t="shared" si="1"/>
        <v>49</v>
      </c>
      <c r="K44" s="3">
        <f t="shared" si="1"/>
        <v>49</v>
      </c>
      <c r="L44" s="3">
        <f t="shared" si="1"/>
        <v>49</v>
      </c>
      <c r="M44" s="3">
        <f t="shared" si="1"/>
        <v>49</v>
      </c>
      <c r="P44" s="14" t="s">
        <v>1113</v>
      </c>
      <c r="Q44" s="10" t="str">
        <f>IF(A44="","",C44)</f>
        <v>ENCORPAR    -PN</v>
      </c>
      <c r="R44" s="51">
        <f>IF(A44="","",H44)</f>
        <v>41689</v>
      </c>
      <c r="S44" s="5">
        <f>J44</f>
        <v>49</v>
      </c>
      <c r="T44" s="5">
        <f>K44</f>
        <v>49</v>
      </c>
      <c r="U44" s="5">
        <f>L44</f>
        <v>49</v>
      </c>
      <c r="V44" s="5">
        <f>M44</f>
        <v>49</v>
      </c>
    </row>
    <row r="45" spans="1:22" x14ac:dyDescent="0.2">
      <c r="A45" s="33" t="str">
        <f>IF(Tabela1768[[#This Row],[Código]]="IBOV","^BVSP",IF(Tabela1768[[#This Row],[Código]]="","",CONCATENATE(LEFT(Tabela1768[[#This Row],[Código]],6),".SA")))</f>
        <v>ESTR3.SA</v>
      </c>
      <c r="C45" s="3" t="s">
        <v>1084</v>
      </c>
      <c r="D45" s="3" t="s">
        <v>741</v>
      </c>
      <c r="E45" s="3" t="s">
        <v>741</v>
      </c>
      <c r="F45" s="3" t="s">
        <v>741</v>
      </c>
      <c r="G45" s="3" t="s">
        <v>741</v>
      </c>
      <c r="H45" s="51">
        <v>41689</v>
      </c>
      <c r="J45" s="3">
        <f t="shared" si="1"/>
        <v>5</v>
      </c>
      <c r="K45" s="3">
        <f t="shared" si="1"/>
        <v>5</v>
      </c>
      <c r="L45" s="3">
        <f t="shared" si="1"/>
        <v>5</v>
      </c>
      <c r="M45" s="3">
        <f t="shared" si="1"/>
        <v>5</v>
      </c>
      <c r="P45" s="15" t="s">
        <v>1082</v>
      </c>
      <c r="Q45" s="10" t="str">
        <f>IF(A45="","",C45)</f>
        <v>ESTRELA     -ON</v>
      </c>
      <c r="R45" s="51">
        <f>IF(A45="","",H45)</f>
        <v>41689</v>
      </c>
      <c r="S45" s="5">
        <f>J45</f>
        <v>5</v>
      </c>
      <c r="T45" s="5">
        <f>K45</f>
        <v>5</v>
      </c>
      <c r="U45" s="5">
        <f>L45</f>
        <v>5</v>
      </c>
      <c r="V45" s="5">
        <f>M45</f>
        <v>5</v>
      </c>
    </row>
    <row r="46" spans="1:22" x14ac:dyDescent="0.2">
      <c r="A46" s="33" t="str">
        <f>IF(Tabela1768[[#This Row],[Código]]="IBOV","^BVSP",IF(Tabela1768[[#This Row],[Código]]="","",CONCATENATE(LEFT(Tabela1768[[#This Row],[Código]],6),".SA")))</f>
        <v>ESTR4.SA</v>
      </c>
      <c r="C46" s="3" t="s">
        <v>1085</v>
      </c>
      <c r="D46" s="3" t="s">
        <v>1258</v>
      </c>
      <c r="E46" s="3" t="s">
        <v>804</v>
      </c>
      <c r="F46" s="3" t="s">
        <v>804</v>
      </c>
      <c r="G46" s="3" t="s">
        <v>537</v>
      </c>
      <c r="H46" s="51">
        <v>41689</v>
      </c>
      <c r="J46" s="3">
        <f t="shared" si="1"/>
        <v>0.19</v>
      </c>
      <c r="K46" s="3">
        <f t="shared" si="1"/>
        <v>0.2</v>
      </c>
      <c r="L46" s="3">
        <f t="shared" si="1"/>
        <v>0.2</v>
      </c>
      <c r="M46" s="3">
        <f t="shared" si="1"/>
        <v>0.18</v>
      </c>
      <c r="P46" s="14" t="s">
        <v>1083</v>
      </c>
      <c r="Q46" s="10" t="str">
        <f>IF(A46="","",C46)</f>
        <v>ESTRELA     -PN</v>
      </c>
      <c r="R46" s="51">
        <f>IF(A46="","",H46)</f>
        <v>41689</v>
      </c>
      <c r="S46" s="5">
        <f>J46</f>
        <v>0.19</v>
      </c>
      <c r="T46" s="5">
        <f>K46</f>
        <v>0.2</v>
      </c>
      <c r="U46" s="5">
        <f>L46</f>
        <v>0.2</v>
      </c>
      <c r="V46" s="5">
        <f>M46</f>
        <v>0.18</v>
      </c>
    </row>
    <row r="47" spans="1:22" x14ac:dyDescent="0.2">
      <c r="A47" s="33" t="str">
        <f>IF(Tabela1768[[#This Row],[Código]]="IBOV","^BVSP",IF(Tabela1768[[#This Row],[Código]]="","",CONCATENATE(LEFT(Tabela1768[[#This Row],[Código]],6),".SA")))</f>
        <v>EVEN3.SA</v>
      </c>
      <c r="C47" s="3" t="s">
        <v>1351</v>
      </c>
      <c r="D47" s="3" t="s">
        <v>1867</v>
      </c>
      <c r="E47" s="3" t="s">
        <v>1868</v>
      </c>
      <c r="F47" s="3" t="s">
        <v>2024</v>
      </c>
      <c r="G47" s="3" t="s">
        <v>1869</v>
      </c>
      <c r="H47" s="51">
        <v>41689</v>
      </c>
      <c r="J47" s="3">
        <f t="shared" si="1"/>
        <v>6.71</v>
      </c>
      <c r="K47" s="3">
        <f t="shared" si="1"/>
        <v>6.92</v>
      </c>
      <c r="L47" s="3">
        <f t="shared" si="1"/>
        <v>7.03</v>
      </c>
      <c r="M47" s="3">
        <f t="shared" si="1"/>
        <v>6.68</v>
      </c>
      <c r="P47" s="15" t="s">
        <v>1342</v>
      </c>
      <c r="Q47" s="10" t="str">
        <f>IF(A47="","",C47)</f>
        <v xml:space="preserve">EVEN        -ON  </v>
      </c>
      <c r="R47" s="51">
        <f>IF(A47="","",H47)</f>
        <v>41689</v>
      </c>
      <c r="S47" s="5">
        <f>J47</f>
        <v>6.71</v>
      </c>
      <c r="T47" s="5">
        <f>K47</f>
        <v>6.92</v>
      </c>
      <c r="U47" s="5">
        <f>L47</f>
        <v>7.03</v>
      </c>
      <c r="V47" s="5">
        <f>M47</f>
        <v>6.68</v>
      </c>
    </row>
    <row r="48" spans="1:22" x14ac:dyDescent="0.2">
      <c r="A48" s="33" t="str">
        <f>IF(Tabela1768[[#This Row],[Código]]="IBOV","^BVSP",IF(Tabela1768[[#This Row],[Código]]="","",CONCATENATE(LEFT(Tabela1768[[#This Row],[Código]],6),".SA")))</f>
        <v>EZTC3.SA</v>
      </c>
      <c r="C48" s="3" t="s">
        <v>1353</v>
      </c>
      <c r="D48" s="3" t="s">
        <v>1870</v>
      </c>
      <c r="E48" s="3" t="s">
        <v>2025</v>
      </c>
      <c r="F48" s="3" t="s">
        <v>2026</v>
      </c>
      <c r="G48" s="3" t="s">
        <v>1871</v>
      </c>
      <c r="H48" s="51">
        <v>41689</v>
      </c>
      <c r="J48" s="3">
        <f t="shared" si="1"/>
        <v>24.3</v>
      </c>
      <c r="K48" s="3">
        <f t="shared" si="1"/>
        <v>25.02</v>
      </c>
      <c r="L48" s="3">
        <f t="shared" si="1"/>
        <v>25.05</v>
      </c>
      <c r="M48" s="3">
        <f t="shared" si="1"/>
        <v>24.28</v>
      </c>
      <c r="P48" s="10" t="s">
        <v>1343</v>
      </c>
      <c r="Q48" s="10" t="str">
        <f>IF(A48="","",C48)</f>
        <v xml:space="preserve">EZTEC       -ON  </v>
      </c>
      <c r="R48" s="51">
        <f>IF(A48="","",H48)</f>
        <v>41689</v>
      </c>
      <c r="S48" s="5">
        <f>J48</f>
        <v>24.3</v>
      </c>
      <c r="T48" s="5">
        <f>K48</f>
        <v>25.02</v>
      </c>
      <c r="U48" s="5">
        <f>L48</f>
        <v>25.05</v>
      </c>
      <c r="V48" s="5">
        <f>M48</f>
        <v>24.28</v>
      </c>
    </row>
    <row r="49" spans="1:22" x14ac:dyDescent="0.2">
      <c r="A49" s="33" t="str">
        <f>IF(Tabela1768[[#This Row],[Código]]="IBOV","^BVSP",IF(Tabela1768[[#This Row],[Código]]="","",CONCATENATE(LEFT(Tabela1768[[#This Row],[Código]],6),".SA")))</f>
        <v>GFSA3.SA</v>
      </c>
      <c r="C49" s="3" t="s">
        <v>1354</v>
      </c>
      <c r="D49" s="3" t="s">
        <v>1825</v>
      </c>
      <c r="E49" s="3" t="s">
        <v>2027</v>
      </c>
      <c r="F49" s="3" t="s">
        <v>1933</v>
      </c>
      <c r="G49" s="3" t="s">
        <v>1255</v>
      </c>
      <c r="H49" s="51">
        <v>41689</v>
      </c>
      <c r="J49" s="3">
        <f t="shared" si="1"/>
        <v>2.97</v>
      </c>
      <c r="K49" s="3">
        <f t="shared" si="1"/>
        <v>3.12</v>
      </c>
      <c r="L49" s="3">
        <f t="shared" si="1"/>
        <v>3.13</v>
      </c>
      <c r="M49" s="3">
        <f t="shared" si="1"/>
        <v>2.92</v>
      </c>
      <c r="P49" s="14" t="s">
        <v>1344</v>
      </c>
      <c r="Q49" s="10" t="str">
        <f>IF(A49="","",C49)</f>
        <v xml:space="preserve">GAFISA      -ON  </v>
      </c>
      <c r="R49" s="51">
        <f>IF(A49="","",H49)</f>
        <v>41689</v>
      </c>
      <c r="S49" s="5">
        <f>J49</f>
        <v>2.97</v>
      </c>
      <c r="T49" s="5">
        <f>K49</f>
        <v>3.12</v>
      </c>
      <c r="U49" s="5">
        <f>L49</f>
        <v>3.13</v>
      </c>
      <c r="V49" s="5">
        <f>M49</f>
        <v>2.92</v>
      </c>
    </row>
    <row r="50" spans="1:22" x14ac:dyDescent="0.2">
      <c r="A50" s="33" t="str">
        <f>IF(Tabela1768[[#This Row],[Código]]="IBOV","^BVSP",IF(Tabela1768[[#This Row],[Código]]="","",CONCATENATE(LEFT(Tabela1768[[#This Row],[Código]],6),".SA")))</f>
        <v>GUAR3.SA</v>
      </c>
      <c r="C50" s="3" t="s">
        <v>1309</v>
      </c>
      <c r="D50" s="3" t="s">
        <v>1872</v>
      </c>
      <c r="E50" s="3" t="s">
        <v>2028</v>
      </c>
      <c r="F50" s="3" t="s">
        <v>2029</v>
      </c>
      <c r="G50" s="3" t="s">
        <v>1873</v>
      </c>
      <c r="H50" s="51">
        <v>41689</v>
      </c>
      <c r="J50" s="3">
        <f t="shared" si="1"/>
        <v>89.95</v>
      </c>
      <c r="K50" s="3">
        <f t="shared" si="1"/>
        <v>90.68</v>
      </c>
      <c r="L50" s="3">
        <f t="shared" si="1"/>
        <v>91</v>
      </c>
      <c r="M50" s="3">
        <f t="shared" si="1"/>
        <v>89</v>
      </c>
      <c r="P50" s="14" t="s">
        <v>1307</v>
      </c>
      <c r="Q50" s="10" t="str">
        <f>IF(A50="","",C50)</f>
        <v>GUARARAPES  -ON</v>
      </c>
      <c r="R50" s="51">
        <f>IF(A50="","",H50)</f>
        <v>41689</v>
      </c>
      <c r="S50" s="5">
        <f>J50</f>
        <v>89.95</v>
      </c>
      <c r="T50" s="5">
        <f>K50</f>
        <v>90.68</v>
      </c>
      <c r="U50" s="5">
        <f>L50</f>
        <v>91</v>
      </c>
      <c r="V50" s="5">
        <f>M50</f>
        <v>89</v>
      </c>
    </row>
    <row r="51" spans="1:22" x14ac:dyDescent="0.2">
      <c r="A51" s="33" t="str">
        <f>IF(Tabela1768[[#This Row],[Código]]="IBOV","^BVSP",IF(Tabela1768[[#This Row],[Código]]="","",CONCATENATE(LEFT(Tabela1768[[#This Row],[Código]],6),".SA")))</f>
        <v>GUAR4.SA</v>
      </c>
      <c r="C51" s="3" t="s">
        <v>1310</v>
      </c>
      <c r="D51" s="3" t="s">
        <v>1874</v>
      </c>
      <c r="E51" s="3" t="s">
        <v>2030</v>
      </c>
      <c r="F51" s="3" t="s">
        <v>1874</v>
      </c>
      <c r="G51" s="3" t="s">
        <v>1311</v>
      </c>
      <c r="H51" s="51">
        <v>41689</v>
      </c>
      <c r="J51" s="3">
        <f t="shared" si="1"/>
        <v>83.99</v>
      </c>
      <c r="K51" s="3">
        <f t="shared" si="1"/>
        <v>81.900000000000006</v>
      </c>
      <c r="L51" s="3">
        <f t="shared" si="1"/>
        <v>83.99</v>
      </c>
      <c r="M51" s="3">
        <f t="shared" si="1"/>
        <v>81.5</v>
      </c>
      <c r="P51" s="14" t="s">
        <v>1308</v>
      </c>
      <c r="Q51" s="10" t="str">
        <f>IF(A51="","",C51)</f>
        <v>GUARARAPES  -PN</v>
      </c>
      <c r="R51" s="46">
        <f>IF(A51="","",H51)</f>
        <v>41689</v>
      </c>
      <c r="S51" s="6">
        <f>J51</f>
        <v>83.99</v>
      </c>
      <c r="T51" s="6">
        <f>K51</f>
        <v>81.900000000000006</v>
      </c>
      <c r="U51" s="6">
        <f>L51</f>
        <v>83.99</v>
      </c>
      <c r="V51" s="6">
        <f>M51</f>
        <v>81.5</v>
      </c>
    </row>
    <row r="52" spans="1:22" x14ac:dyDescent="0.2">
      <c r="A52" s="33" t="str">
        <f>IF(Tabela1768[[#This Row],[Código]]="IBOV","^BVSP",IF(Tabela1768[[#This Row],[Código]]="","",CONCATENATE(LEFT(Tabela1768[[#This Row],[Código]],6),".SA")))</f>
        <v>HBOR3.SA</v>
      </c>
      <c r="C52" s="3" t="s">
        <v>1356</v>
      </c>
      <c r="D52" s="3" t="s">
        <v>1357</v>
      </c>
      <c r="E52" s="3" t="s">
        <v>1868</v>
      </c>
      <c r="F52" s="3" t="s">
        <v>2031</v>
      </c>
      <c r="G52" s="3" t="s">
        <v>1357</v>
      </c>
      <c r="H52" s="51">
        <v>41689</v>
      </c>
      <c r="J52" s="3">
        <f t="shared" si="1"/>
        <v>6.64</v>
      </c>
      <c r="K52" s="3">
        <f t="shared" si="1"/>
        <v>6.92</v>
      </c>
      <c r="L52" s="3">
        <f t="shared" si="1"/>
        <v>6.94</v>
      </c>
      <c r="M52" s="3">
        <f t="shared" si="1"/>
        <v>6.64</v>
      </c>
      <c r="P52" s="14" t="s">
        <v>1345</v>
      </c>
      <c r="Q52" s="10" t="str">
        <f>IF(A52="","",C52)</f>
        <v xml:space="preserve">HELBOR      -ON  </v>
      </c>
      <c r="R52" s="51">
        <f>IF(A52="","",H52)</f>
        <v>41689</v>
      </c>
      <c r="S52" s="5">
        <f>J52</f>
        <v>6.64</v>
      </c>
      <c r="T52" s="5">
        <f>K52</f>
        <v>6.92</v>
      </c>
      <c r="U52" s="5">
        <f>L52</f>
        <v>6.94</v>
      </c>
      <c r="V52" s="5">
        <f>M52</f>
        <v>6.64</v>
      </c>
    </row>
    <row r="53" spans="1:22" x14ac:dyDescent="0.2">
      <c r="A53" s="33" t="str">
        <f>IF(Tabela1768[[#This Row],[Código]]="IBOV","^BVSP",IF(Tabela1768[[#This Row],[Código]]="","",CONCATENATE(LEFT(Tabela1768[[#This Row],[Código]],6),".SA")))</f>
        <v>HETA3.SA</v>
      </c>
      <c r="C53" s="3" t="s">
        <v>1093</v>
      </c>
      <c r="D53" s="3" t="s">
        <v>966</v>
      </c>
      <c r="E53" s="3" t="s">
        <v>682</v>
      </c>
      <c r="F53" s="3" t="s">
        <v>682</v>
      </c>
      <c r="G53" s="3" t="s">
        <v>966</v>
      </c>
      <c r="H53" s="51">
        <v>41689</v>
      </c>
      <c r="J53" s="3">
        <f t="shared" si="1"/>
        <v>0.6</v>
      </c>
      <c r="K53" s="3">
        <f t="shared" si="1"/>
        <v>0.61</v>
      </c>
      <c r="L53" s="3">
        <f t="shared" si="1"/>
        <v>0.61</v>
      </c>
      <c r="M53" s="3">
        <f t="shared" si="1"/>
        <v>0.6</v>
      </c>
      <c r="P53" s="14" t="s">
        <v>1091</v>
      </c>
      <c r="Q53" s="10" t="str">
        <f>IF(A53="","",C53)</f>
        <v>HERCULES    -ON</v>
      </c>
      <c r="R53" s="51">
        <f>IF(A53="","",H53)</f>
        <v>41689</v>
      </c>
      <c r="S53" s="5">
        <f>J53</f>
        <v>0.6</v>
      </c>
      <c r="T53" s="5">
        <f>K53</f>
        <v>0.61</v>
      </c>
      <c r="U53" s="5">
        <f>L53</f>
        <v>0.61</v>
      </c>
      <c r="V53" s="5">
        <f>M53</f>
        <v>0.6</v>
      </c>
    </row>
    <row r="54" spans="1:22" x14ac:dyDescent="0.2">
      <c r="A54" s="33" t="str">
        <f>IF(Tabela1768[[#This Row],[Código]]="IBOV","^BVSP",IF(Tabela1768[[#This Row],[Código]]="","",CONCATENATE(LEFT(Tabela1768[[#This Row],[Código]],6),".SA")))</f>
        <v>HETA4.SA</v>
      </c>
      <c r="C54" s="3" t="s">
        <v>1094</v>
      </c>
      <c r="D54" s="3" t="s">
        <v>1095</v>
      </c>
      <c r="E54" s="61" t="s">
        <v>1095</v>
      </c>
      <c r="F54" s="61" t="s">
        <v>1095</v>
      </c>
      <c r="G54" s="61" t="s">
        <v>1095</v>
      </c>
      <c r="H54" s="51">
        <v>41689</v>
      </c>
      <c r="J54" s="3">
        <f t="shared" si="1"/>
        <v>0.3</v>
      </c>
      <c r="K54" s="3">
        <f t="shared" si="1"/>
        <v>0.3</v>
      </c>
      <c r="L54" s="3">
        <f t="shared" si="1"/>
        <v>0.3</v>
      </c>
      <c r="M54" s="3">
        <f t="shared" si="1"/>
        <v>0.3</v>
      </c>
      <c r="P54" s="14" t="s">
        <v>1092</v>
      </c>
      <c r="Q54" s="10" t="str">
        <f>IF(A54="","",C54)</f>
        <v>HERCULES    -PN</v>
      </c>
      <c r="R54" s="51">
        <f>IF(A54="","",H54)</f>
        <v>41689</v>
      </c>
      <c r="S54" s="5">
        <f>J54</f>
        <v>0.3</v>
      </c>
      <c r="T54" s="5">
        <f>K54</f>
        <v>0.3</v>
      </c>
      <c r="U54" s="5">
        <f>L54</f>
        <v>0.3</v>
      </c>
      <c r="V54" s="5">
        <f>M54</f>
        <v>0.3</v>
      </c>
    </row>
    <row r="55" spans="1:22" x14ac:dyDescent="0.2">
      <c r="A55" s="33" t="str">
        <f>IF(Tabela1768[[#This Row],[Código]]="IBOV","^BVSP",IF(Tabela1768[[#This Row],[Código]]="","",CONCATENATE(LEFT(Tabela1768[[#This Row],[Código]],6),".SA")))</f>
        <v>HGTX3.SA</v>
      </c>
      <c r="C55" s="3" t="s">
        <v>934</v>
      </c>
      <c r="D55" s="3" t="s">
        <v>1161</v>
      </c>
      <c r="E55" s="3" t="s">
        <v>1037</v>
      </c>
      <c r="F55" s="3" t="s">
        <v>1161</v>
      </c>
      <c r="G55" s="3" t="s">
        <v>1875</v>
      </c>
      <c r="H55" s="51">
        <v>41689</v>
      </c>
      <c r="J55" s="3">
        <f t="shared" si="1"/>
        <v>24.2</v>
      </c>
      <c r="K55" s="3">
        <f t="shared" si="1"/>
        <v>23.88</v>
      </c>
      <c r="L55" s="3">
        <f t="shared" si="1"/>
        <v>24.2</v>
      </c>
      <c r="M55" s="3">
        <f t="shared" si="1"/>
        <v>23.72</v>
      </c>
      <c r="P55" s="14" t="s">
        <v>933</v>
      </c>
      <c r="Q55" s="10" t="str">
        <f>IF(A55="","",C55)</f>
        <v xml:space="preserve">CIA HERING  -ON  </v>
      </c>
      <c r="R55" s="51">
        <f>IF(A55="","",H55)</f>
        <v>41689</v>
      </c>
      <c r="S55" s="5">
        <f>J55</f>
        <v>24.2</v>
      </c>
      <c r="T55" s="5">
        <f>K55</f>
        <v>23.88</v>
      </c>
      <c r="U55" s="5">
        <f>L55</f>
        <v>24.2</v>
      </c>
      <c r="V55" s="5">
        <f>M55</f>
        <v>23.72</v>
      </c>
    </row>
    <row r="56" spans="1:22" x14ac:dyDescent="0.2">
      <c r="A56" s="33" t="str">
        <f>IF(Tabela1768[[#This Row],[Código]]="IBOV","^BVSP",IF(Tabela1768[[#This Row],[Código]]="","",CONCATENATE(LEFT(Tabela1768[[#This Row],[Código]],6),".SA")))</f>
        <v>IGBR3.SA</v>
      </c>
      <c r="C56" s="3" t="s">
        <v>932</v>
      </c>
      <c r="D56" s="3" t="s">
        <v>1876</v>
      </c>
      <c r="E56" s="3" t="s">
        <v>1055</v>
      </c>
      <c r="F56" s="3" t="s">
        <v>999</v>
      </c>
      <c r="G56" s="3" t="s">
        <v>1209</v>
      </c>
      <c r="H56" s="51">
        <v>41689</v>
      </c>
      <c r="J56" s="3">
        <f t="shared" si="1"/>
        <v>5.56</v>
      </c>
      <c r="K56" s="3">
        <f t="shared" si="1"/>
        <v>5.17</v>
      </c>
      <c r="L56" s="3">
        <f t="shared" si="1"/>
        <v>6</v>
      </c>
      <c r="M56" s="3">
        <f t="shared" si="1"/>
        <v>5.0999999999999996</v>
      </c>
      <c r="P56" s="14" t="s">
        <v>931</v>
      </c>
      <c r="Q56" s="10" t="str">
        <f>IF(A56="","",C56)</f>
        <v>IGB S/A     -ON</v>
      </c>
      <c r="R56" s="51">
        <f>IF(A56="","",H56)</f>
        <v>41689</v>
      </c>
      <c r="S56" s="5">
        <f>J56</f>
        <v>5.56</v>
      </c>
      <c r="T56" s="5">
        <f>K56</f>
        <v>5.17</v>
      </c>
      <c r="U56" s="5">
        <f>L56</f>
        <v>6</v>
      </c>
      <c r="V56" s="5">
        <f>M56</f>
        <v>5.0999999999999996</v>
      </c>
    </row>
    <row r="57" spans="1:22" x14ac:dyDescent="0.2">
      <c r="A57" s="33" t="str">
        <f>IF(Tabela1768[[#This Row],[Código]]="IBOV","^BVSP",IF(Tabela1768[[#This Row],[Código]]="","",CONCATENATE(LEFT(Tabela1768[[#This Row],[Código]],6),".SA")))</f>
        <v>IGUA3.SA</v>
      </c>
      <c r="C57" s="3" t="s">
        <v>877</v>
      </c>
      <c r="D57" s="3" t="s">
        <v>878</v>
      </c>
      <c r="E57" s="3" t="s">
        <v>878</v>
      </c>
      <c r="F57" s="3" t="s">
        <v>878</v>
      </c>
      <c r="G57" s="3" t="s">
        <v>878</v>
      </c>
      <c r="H57" s="51">
        <v>41689</v>
      </c>
      <c r="J57" s="3">
        <f t="shared" si="1"/>
        <v>3.75</v>
      </c>
      <c r="K57" s="3">
        <f t="shared" si="1"/>
        <v>3.75</v>
      </c>
      <c r="L57" s="3">
        <f t="shared" si="1"/>
        <v>3.75</v>
      </c>
      <c r="M57" s="3">
        <f t="shared" si="1"/>
        <v>3.75</v>
      </c>
      <c r="P57" s="14" t="s">
        <v>874</v>
      </c>
      <c r="Q57" s="10" t="str">
        <f>IF(A57="","",C57)</f>
        <v>IGUACU CAFE -ON</v>
      </c>
      <c r="R57" s="51">
        <f>IF(A57="","",H57)</f>
        <v>41689</v>
      </c>
      <c r="S57" s="5">
        <f>J57</f>
        <v>3.75</v>
      </c>
      <c r="T57" s="5">
        <f>K57</f>
        <v>3.75</v>
      </c>
      <c r="U57" s="5">
        <f>L57</f>
        <v>3.75</v>
      </c>
      <c r="V57" s="5">
        <f>M57</f>
        <v>3.75</v>
      </c>
    </row>
    <row r="58" spans="1:22" x14ac:dyDescent="0.2">
      <c r="A58" s="33" t="str">
        <f>IF(Tabela1768[[#This Row],[Código]]="IBOV","^BVSP",IF(Tabela1768[[#This Row],[Código]]="","",CONCATENATE(LEFT(Tabela1768[[#This Row],[Código]],6),".SA")))</f>
        <v>IGUA5.SA</v>
      </c>
      <c r="C58" s="3" t="s">
        <v>879</v>
      </c>
      <c r="D58" s="3" t="s">
        <v>1015</v>
      </c>
      <c r="E58" s="3" t="s">
        <v>1015</v>
      </c>
      <c r="F58" s="3" t="s">
        <v>1015</v>
      </c>
      <c r="G58" s="3" t="s">
        <v>1015</v>
      </c>
      <c r="H58" s="51">
        <v>41689</v>
      </c>
      <c r="J58" s="3">
        <f t="shared" si="1"/>
        <v>2.81</v>
      </c>
      <c r="K58" s="3">
        <f t="shared" si="1"/>
        <v>2.81</v>
      </c>
      <c r="L58" s="3">
        <f t="shared" si="1"/>
        <v>2.81</v>
      </c>
      <c r="M58" s="3">
        <f t="shared" si="1"/>
        <v>2.81</v>
      </c>
      <c r="P58" s="15" t="s">
        <v>875</v>
      </c>
      <c r="Q58" s="10" t="str">
        <f>IF(A58="","",C58)</f>
        <v>IGUACU CAFE -PNA</v>
      </c>
      <c r="R58" s="51">
        <f>IF(A58="","",H58)</f>
        <v>41689</v>
      </c>
      <c r="S58" s="5">
        <f>J58</f>
        <v>2.81</v>
      </c>
      <c r="T58" s="5">
        <f>K58</f>
        <v>2.81</v>
      </c>
      <c r="U58" s="5">
        <f>L58</f>
        <v>2.81</v>
      </c>
      <c r="V58" s="5">
        <f>M58</f>
        <v>2.81</v>
      </c>
    </row>
    <row r="59" spans="1:22" x14ac:dyDescent="0.2">
      <c r="A59" s="33" t="str">
        <f>IF(Tabela1768[[#This Row],[Código]]="IBOV","^BVSP",IF(Tabela1768[[#This Row],[Código]]="","",CONCATENATE(LEFT(Tabela1768[[#This Row],[Código]],6),".SA")))</f>
        <v>IGUA6.SA</v>
      </c>
      <c r="C59" s="3" t="s">
        <v>880</v>
      </c>
      <c r="D59" s="3" t="s">
        <v>796</v>
      </c>
      <c r="E59" s="61" t="s">
        <v>796</v>
      </c>
      <c r="F59" s="61" t="s">
        <v>796</v>
      </c>
      <c r="G59" s="61" t="s">
        <v>796</v>
      </c>
      <c r="H59" s="51">
        <v>41689</v>
      </c>
      <c r="J59" s="3">
        <f t="shared" si="1"/>
        <v>3.3</v>
      </c>
      <c r="K59" s="3">
        <f t="shared" si="1"/>
        <v>3.3</v>
      </c>
      <c r="L59" s="3">
        <f t="shared" si="1"/>
        <v>3.3</v>
      </c>
      <c r="M59" s="3">
        <f t="shared" si="1"/>
        <v>3.3</v>
      </c>
      <c r="P59" s="14" t="s">
        <v>876</v>
      </c>
      <c r="Q59" s="10" t="str">
        <f>IF(A59="","",C59)</f>
        <v>IGUACU CAFE -PNB</v>
      </c>
      <c r="R59" s="51">
        <f>IF(A59="","",H59)</f>
        <v>41689</v>
      </c>
      <c r="S59" s="5">
        <f>J59</f>
        <v>3.3</v>
      </c>
      <c r="T59" s="5">
        <f>K59</f>
        <v>3.3</v>
      </c>
      <c r="U59" s="5">
        <f>L59</f>
        <v>3.3</v>
      </c>
      <c r="V59" s="5">
        <f>M59</f>
        <v>3.3</v>
      </c>
    </row>
    <row r="60" spans="1:22" x14ac:dyDescent="0.2">
      <c r="A60" s="33" t="str">
        <f>IF(Tabela1768[[#This Row],[Código]]="IBOV","^BVSP",IF(Tabela1768[[#This Row],[Código]]="","",CONCATENATE(LEFT(Tabela1768[[#This Row],[Código]],6),".SA")))</f>
        <v>IMCH3.SA</v>
      </c>
      <c r="C60" s="3" t="s">
        <v>1292</v>
      </c>
      <c r="D60" s="3" t="s">
        <v>1293</v>
      </c>
      <c r="E60" s="61" t="s">
        <v>1215</v>
      </c>
      <c r="F60" s="61" t="s">
        <v>1221</v>
      </c>
      <c r="G60" s="61" t="s">
        <v>777</v>
      </c>
      <c r="H60" s="51">
        <v>41689</v>
      </c>
      <c r="J60" s="3">
        <f t="shared" si="1"/>
        <v>16.399999999999999</v>
      </c>
      <c r="K60" s="3">
        <f t="shared" si="1"/>
        <v>16.45</v>
      </c>
      <c r="L60" s="3">
        <f t="shared" si="1"/>
        <v>16.5</v>
      </c>
      <c r="M60" s="3">
        <f t="shared" si="1"/>
        <v>16</v>
      </c>
      <c r="P60" s="14" t="s">
        <v>1283</v>
      </c>
      <c r="Q60" s="10" t="str">
        <f>IF(A60="","",C60)</f>
        <v xml:space="preserve">IMC HOLDINGS-ON  </v>
      </c>
      <c r="R60" s="51">
        <f>IF(A60="","",H60)</f>
        <v>41689</v>
      </c>
      <c r="S60" s="5">
        <f>J60</f>
        <v>16.399999999999999</v>
      </c>
      <c r="T60" s="5">
        <f>K60</f>
        <v>16.45</v>
      </c>
      <c r="U60" s="5">
        <f>L60</f>
        <v>16.5</v>
      </c>
      <c r="V60" s="5">
        <f>M60</f>
        <v>16</v>
      </c>
    </row>
    <row r="61" spans="1:22" x14ac:dyDescent="0.2">
      <c r="A61" s="33" t="str">
        <f>IF(Tabela1768[[#This Row],[Código]]="IBOV","^BVSP",IF(Tabela1768[[#This Row],[Código]]="","",CONCATENATE(LEFT(Tabela1768[[#This Row],[Código]],6),".SA")))</f>
        <v>JFEN3.SA</v>
      </c>
      <c r="C61" s="3" t="s">
        <v>1370</v>
      </c>
      <c r="D61" s="3" t="s">
        <v>979</v>
      </c>
      <c r="E61" s="3" t="s">
        <v>1371</v>
      </c>
      <c r="F61" s="3" t="s">
        <v>1371</v>
      </c>
      <c r="G61" s="3" t="s">
        <v>979</v>
      </c>
      <c r="H61" s="51">
        <v>41689</v>
      </c>
      <c r="J61" s="3">
        <f t="shared" si="1"/>
        <v>5.3</v>
      </c>
      <c r="K61" s="3">
        <f t="shared" si="1"/>
        <v>5.39</v>
      </c>
      <c r="L61" s="3">
        <f t="shared" si="1"/>
        <v>5.39</v>
      </c>
      <c r="M61" s="3">
        <f t="shared" si="1"/>
        <v>5.3</v>
      </c>
      <c r="P61" s="10" t="s">
        <v>1360</v>
      </c>
      <c r="Q61" s="10" t="str">
        <f>IF(A61="","",C61)</f>
        <v>JOAO FORTES -ON</v>
      </c>
      <c r="R61" s="51">
        <f>IF(A61="","",H61)</f>
        <v>41689</v>
      </c>
      <c r="S61" s="5">
        <f>J61</f>
        <v>5.3</v>
      </c>
      <c r="T61" s="5">
        <f>K61</f>
        <v>5.39</v>
      </c>
      <c r="U61" s="5">
        <f>L61</f>
        <v>5.39</v>
      </c>
      <c r="V61" s="5">
        <f>M61</f>
        <v>5.3</v>
      </c>
    </row>
    <row r="62" spans="1:22" x14ac:dyDescent="0.2">
      <c r="A62" s="33" t="str">
        <f>IF(Tabela1768[[#This Row],[Código]]="IBOV","^BVSP",IF(Tabela1768[[#This Row],[Código]]="","",CONCATENATE(LEFT(Tabela1768[[#This Row],[Código]],6),".SA")))</f>
        <v>JHSF3.SA</v>
      </c>
      <c r="C62" s="3" t="s">
        <v>1358</v>
      </c>
      <c r="D62" s="3" t="s">
        <v>1359</v>
      </c>
      <c r="E62" s="3" t="s">
        <v>964</v>
      </c>
      <c r="F62" s="3" t="s">
        <v>1445</v>
      </c>
      <c r="G62" s="3" t="s">
        <v>1779</v>
      </c>
      <c r="H62" s="51">
        <v>41689</v>
      </c>
      <c r="J62" s="3">
        <f t="shared" si="1"/>
        <v>4.1900000000000004</v>
      </c>
      <c r="K62" s="3">
        <f t="shared" si="1"/>
        <v>4.1500000000000004</v>
      </c>
      <c r="L62" s="3">
        <f t="shared" si="1"/>
        <v>4.2</v>
      </c>
      <c r="M62" s="3">
        <f t="shared" si="1"/>
        <v>4.07</v>
      </c>
      <c r="P62" s="10" t="s">
        <v>1346</v>
      </c>
      <c r="Q62" s="10" t="str">
        <f>IF(A62="","",C62)</f>
        <v xml:space="preserve">JHSF PART   -ON  </v>
      </c>
      <c r="R62" s="51">
        <f>IF(A62="","",H62)</f>
        <v>41689</v>
      </c>
      <c r="S62" s="5">
        <f>J62</f>
        <v>4.1900000000000004</v>
      </c>
      <c r="T62" s="5">
        <f>K62</f>
        <v>4.1500000000000004</v>
      </c>
      <c r="U62" s="5">
        <f>L62</f>
        <v>4.2</v>
      </c>
      <c r="V62" s="5">
        <f>M62</f>
        <v>4.07</v>
      </c>
    </row>
    <row r="63" spans="1:22" x14ac:dyDescent="0.2">
      <c r="A63" s="33" t="str">
        <f>IF(Tabela1768[[#This Row],[Código]]="IBOV","^BVSP",IF(Tabela1768[[#This Row],[Código]]="","",CONCATENATE(LEFT(Tabela1768[[#This Row],[Código]],6),".SA")))</f>
        <v>JOPA3.SA</v>
      </c>
      <c r="C63" s="3" t="s">
        <v>256</v>
      </c>
      <c r="D63" s="3" t="s">
        <v>800</v>
      </c>
      <c r="E63" s="3" t="s">
        <v>800</v>
      </c>
      <c r="F63" s="3" t="s">
        <v>800</v>
      </c>
      <c r="G63" s="3" t="s">
        <v>800</v>
      </c>
      <c r="H63" s="51">
        <v>41689</v>
      </c>
      <c r="J63" s="3">
        <f t="shared" si="1"/>
        <v>17.010000000000002</v>
      </c>
      <c r="K63" s="3">
        <f t="shared" si="1"/>
        <v>17.010000000000002</v>
      </c>
      <c r="L63" s="3">
        <f t="shared" si="1"/>
        <v>17.010000000000002</v>
      </c>
      <c r="M63" s="3">
        <f t="shared" si="1"/>
        <v>17.010000000000002</v>
      </c>
      <c r="P63" s="14" t="s">
        <v>254</v>
      </c>
      <c r="Q63" s="10" t="str">
        <f>IF(A63="","",C63)</f>
        <v>JOSAPAR     -ON</v>
      </c>
      <c r="R63" s="46">
        <f>IF(A63="","",H63)</f>
        <v>41689</v>
      </c>
      <c r="S63" s="6">
        <f>J63</f>
        <v>17.010000000000002</v>
      </c>
      <c r="T63" s="6">
        <f>K63</f>
        <v>17.010000000000002</v>
      </c>
      <c r="U63" s="5">
        <f>L63</f>
        <v>17.010000000000002</v>
      </c>
      <c r="V63" s="5">
        <f>M63</f>
        <v>17.010000000000002</v>
      </c>
    </row>
    <row r="64" spans="1:22" x14ac:dyDescent="0.2">
      <c r="A64" s="33" t="str">
        <f>IF(Tabela1768[[#This Row],[Código]]="IBOV","^BVSP",IF(Tabela1768[[#This Row],[Código]]="","",CONCATENATE(LEFT(Tabela1768[[#This Row],[Código]],6),".SA")))</f>
        <v>JOPA4.SA</v>
      </c>
      <c r="C64" s="3" t="s">
        <v>257</v>
      </c>
      <c r="D64" s="3" t="s">
        <v>415</v>
      </c>
      <c r="E64" s="3" t="s">
        <v>415</v>
      </c>
      <c r="F64" s="3" t="s">
        <v>415</v>
      </c>
      <c r="G64" s="3" t="s">
        <v>415</v>
      </c>
      <c r="H64" s="51">
        <v>41689</v>
      </c>
      <c r="J64" s="3">
        <f t="shared" si="1"/>
        <v>20</v>
      </c>
      <c r="K64" s="3">
        <f t="shared" si="1"/>
        <v>20</v>
      </c>
      <c r="L64" s="3">
        <f t="shared" si="1"/>
        <v>20</v>
      </c>
      <c r="M64" s="3">
        <f t="shared" si="1"/>
        <v>20</v>
      </c>
      <c r="P64" s="14" t="s">
        <v>255</v>
      </c>
      <c r="Q64" s="10" t="str">
        <f>IF(A64="","",C64)</f>
        <v>JOSAPAR     -PN</v>
      </c>
      <c r="R64" s="51">
        <f>IF(A64="","",H64)</f>
        <v>41689</v>
      </c>
      <c r="S64" s="5">
        <f>J64</f>
        <v>20</v>
      </c>
      <c r="T64" s="5">
        <f>K64</f>
        <v>20</v>
      </c>
      <c r="U64" s="5">
        <f>L64</f>
        <v>20</v>
      </c>
      <c r="V64" s="5">
        <f>M64</f>
        <v>20</v>
      </c>
    </row>
    <row r="65" spans="1:22" x14ac:dyDescent="0.2">
      <c r="A65" s="33" t="str">
        <f>IF(Tabela1768[[#This Row],[Código]]="IBOV","^BVSP",IF(Tabela1768[[#This Row],[Código]]="","",CONCATENATE(LEFT(Tabela1768[[#This Row],[Código]],6),".SA")))</f>
        <v>LHER3.SA</v>
      </c>
      <c r="C65" s="3" t="s">
        <v>1314</v>
      </c>
      <c r="D65" s="3" t="s">
        <v>446</v>
      </c>
      <c r="E65" s="3" t="s">
        <v>447</v>
      </c>
      <c r="F65" s="3" t="s">
        <v>446</v>
      </c>
      <c r="G65" s="3" t="s">
        <v>446</v>
      </c>
      <c r="H65" s="51" t="s">
        <v>446</v>
      </c>
      <c r="J65" s="3" t="e">
        <f t="shared" si="1"/>
        <v>#VALUE!</v>
      </c>
      <c r="K65" s="3">
        <f t="shared" si="1"/>
        <v>0</v>
      </c>
      <c r="L65" s="3" t="e">
        <f t="shared" si="1"/>
        <v>#VALUE!</v>
      </c>
      <c r="M65" s="3" t="e">
        <f t="shared" si="1"/>
        <v>#VALUE!</v>
      </c>
      <c r="P65" s="43" t="s">
        <v>1312</v>
      </c>
      <c r="Q65" s="10" t="str">
        <f>IF(A65="","",C65)</f>
        <v>LOJAS HERING-ON</v>
      </c>
      <c r="R65" s="51" t="str">
        <f>IF(A65="","",H65)</f>
        <v>N/A</v>
      </c>
      <c r="S65" s="5" t="e">
        <f>J65</f>
        <v>#VALUE!</v>
      </c>
      <c r="T65" s="5">
        <f>K65</f>
        <v>0</v>
      </c>
      <c r="U65" s="5" t="e">
        <f>L65</f>
        <v>#VALUE!</v>
      </c>
      <c r="V65" s="5" t="e">
        <f>M65</f>
        <v>#VALUE!</v>
      </c>
    </row>
    <row r="66" spans="1:22" x14ac:dyDescent="0.2">
      <c r="A66" s="33" t="str">
        <f>IF(Tabela1768[[#This Row],[Código]]="IBOV","^BVSP",IF(Tabela1768[[#This Row],[Código]]="","",CONCATENATE(LEFT(Tabela1768[[#This Row],[Código]],6),".SA")))</f>
        <v>LHER4.SA</v>
      </c>
      <c r="C66" s="3" t="s">
        <v>1315</v>
      </c>
      <c r="D66" s="3" t="s">
        <v>446</v>
      </c>
      <c r="E66" s="3" t="s">
        <v>1316</v>
      </c>
      <c r="F66" s="3" t="s">
        <v>1316</v>
      </c>
      <c r="G66" s="3" t="s">
        <v>1316</v>
      </c>
      <c r="H66" s="51">
        <v>41689</v>
      </c>
      <c r="J66" s="3" t="e">
        <f t="shared" si="1"/>
        <v>#VALUE!</v>
      </c>
      <c r="K66" s="3">
        <f t="shared" si="1"/>
        <v>65</v>
      </c>
      <c r="L66" s="3">
        <f t="shared" si="1"/>
        <v>65</v>
      </c>
      <c r="M66" s="3">
        <f t="shared" si="1"/>
        <v>65</v>
      </c>
      <c r="P66" s="15" t="s">
        <v>1313</v>
      </c>
      <c r="Q66" s="10" t="str">
        <f>IF(A66="","",C66)</f>
        <v>LOJAS HERING-PN</v>
      </c>
      <c r="R66" s="51">
        <f>IF(A66="","",H66)</f>
        <v>41689</v>
      </c>
      <c r="S66" s="5" t="e">
        <f>J66</f>
        <v>#VALUE!</v>
      </c>
      <c r="T66" s="5">
        <f>K66</f>
        <v>65</v>
      </c>
      <c r="U66" s="5">
        <f>L66</f>
        <v>65</v>
      </c>
      <c r="V66" s="5">
        <f>M66</f>
        <v>65</v>
      </c>
    </row>
    <row r="67" spans="1:22" x14ac:dyDescent="0.2">
      <c r="A67" s="33" t="str">
        <f>IF(Tabela1768[[#This Row],[Código]]="IBOV","^BVSP",IF(Tabela1768[[#This Row],[Código]]="","",CONCATENATE(LEFT(Tabela1768[[#This Row],[Código]],6),".SA")))</f>
        <v>LLIS3.SA</v>
      </c>
      <c r="C67" s="3" t="s">
        <v>1295</v>
      </c>
      <c r="D67" s="3" t="s">
        <v>1877</v>
      </c>
      <c r="E67" s="3" t="s">
        <v>1877</v>
      </c>
      <c r="F67" s="3" t="s">
        <v>2032</v>
      </c>
      <c r="G67" s="3" t="s">
        <v>1878</v>
      </c>
      <c r="H67" s="51">
        <v>41689</v>
      </c>
      <c r="J67" s="3">
        <f t="shared" si="1"/>
        <v>5.89</v>
      </c>
      <c r="K67" s="3">
        <f t="shared" si="1"/>
        <v>5.89</v>
      </c>
      <c r="L67" s="3">
        <f t="shared" si="1"/>
        <v>5.9</v>
      </c>
      <c r="M67" s="3">
        <f t="shared" si="1"/>
        <v>5.73</v>
      </c>
      <c r="P67" s="15" t="s">
        <v>1294</v>
      </c>
      <c r="Q67" s="10" t="str">
        <f>IF(A67="","",C67)</f>
        <v xml:space="preserve">LE LIS BLANC-ON  </v>
      </c>
      <c r="R67" s="51">
        <f>IF(A67="","",H67)</f>
        <v>41689</v>
      </c>
      <c r="S67" s="5">
        <f>J67</f>
        <v>5.89</v>
      </c>
      <c r="T67" s="5">
        <f>K67</f>
        <v>5.89</v>
      </c>
      <c r="U67" s="5">
        <f>L67</f>
        <v>5.9</v>
      </c>
      <c r="V67" s="5">
        <f>M67</f>
        <v>5.73</v>
      </c>
    </row>
    <row r="68" spans="1:22" x14ac:dyDescent="0.2">
      <c r="A68" s="33" t="str">
        <f>IF(Tabela1768[[#This Row],[Código]]="IBOV","^BVSP",IF(Tabela1768[[#This Row],[Código]]="","",CONCATENATE(LEFT(Tabela1768[[#This Row],[Código]],6),".SA")))</f>
        <v>LREN3.SA</v>
      </c>
      <c r="C68" s="3" t="s">
        <v>1318</v>
      </c>
      <c r="D68" s="3" t="s">
        <v>1879</v>
      </c>
      <c r="E68" s="3" t="s">
        <v>2033</v>
      </c>
      <c r="F68" s="3" t="s">
        <v>2034</v>
      </c>
      <c r="G68" s="3" t="s">
        <v>1880</v>
      </c>
      <c r="H68" s="51">
        <v>41689</v>
      </c>
      <c r="J68" s="3">
        <f t="shared" si="1"/>
        <v>53.59</v>
      </c>
      <c r="K68" s="3">
        <f t="shared" si="1"/>
        <v>54.11</v>
      </c>
      <c r="L68" s="3">
        <f t="shared" si="1"/>
        <v>54.89</v>
      </c>
      <c r="M68" s="3">
        <f t="shared" si="1"/>
        <v>52.86</v>
      </c>
      <c r="P68" s="15" t="s">
        <v>1317</v>
      </c>
      <c r="Q68" s="10" t="str">
        <f>IF(A68="","",C68)</f>
        <v xml:space="preserve">LOJAS RENNER-ON  </v>
      </c>
      <c r="R68" s="51">
        <f>IF(A68="","",H68)</f>
        <v>41689</v>
      </c>
      <c r="S68" s="5">
        <f>J68</f>
        <v>53.59</v>
      </c>
      <c r="T68" s="5">
        <f>K68</f>
        <v>54.11</v>
      </c>
      <c r="U68" s="5">
        <f>L68</f>
        <v>54.89</v>
      </c>
      <c r="V68" s="5">
        <f>M68</f>
        <v>52.86</v>
      </c>
    </row>
    <row r="69" spans="1:22" x14ac:dyDescent="0.2">
      <c r="A69" s="33" t="str">
        <f>IF(Tabela1768[[#This Row],[Código]]="IBOV","^BVSP",IF(Tabela1768[[#This Row],[Código]]="","",CONCATENATE(LEFT(Tabela1768[[#This Row],[Código]],6),".SA")))</f>
        <v>MGLU3.SA</v>
      </c>
      <c r="C69" s="3" t="s">
        <v>924</v>
      </c>
      <c r="D69" s="3" t="s">
        <v>1058</v>
      </c>
      <c r="E69" s="3" t="s">
        <v>2035</v>
      </c>
      <c r="F69" s="3" t="s">
        <v>1057</v>
      </c>
      <c r="G69" s="3" t="s">
        <v>2036</v>
      </c>
      <c r="H69" s="51">
        <v>41689</v>
      </c>
      <c r="J69" s="3">
        <f t="shared" si="1"/>
        <v>7.77</v>
      </c>
      <c r="K69" s="3">
        <f t="shared" si="1"/>
        <v>7.49</v>
      </c>
      <c r="L69" s="3">
        <f t="shared" si="1"/>
        <v>7.82</v>
      </c>
      <c r="M69" s="3">
        <f t="shared" si="1"/>
        <v>7.42</v>
      </c>
      <c r="P69" s="15" t="s">
        <v>923</v>
      </c>
      <c r="Q69" s="10" t="str">
        <f>IF(A69="","",C69)</f>
        <v xml:space="preserve">MAGAZ LUIZA -ON  </v>
      </c>
      <c r="R69" s="51">
        <f>IF(A69="","",H69)</f>
        <v>41689</v>
      </c>
      <c r="S69" s="5">
        <f>J69</f>
        <v>7.77</v>
      </c>
      <c r="T69" s="5">
        <f>K69</f>
        <v>7.49</v>
      </c>
      <c r="U69" s="5">
        <f>L69</f>
        <v>7.82</v>
      </c>
      <c r="V69" s="5">
        <f>M69</f>
        <v>7.42</v>
      </c>
    </row>
    <row r="70" spans="1:22" x14ac:dyDescent="0.2">
      <c r="A70" s="33" t="str">
        <f>IF(Tabela1768[[#This Row],[Código]]="IBOV","^BVSP",IF(Tabela1768[[#This Row],[Código]]="","",CONCATENATE(LEFT(Tabela1768[[#This Row],[Código]],6),".SA")))</f>
        <v>MNDL3.SA</v>
      </c>
      <c r="C70" s="3" t="s">
        <v>1164</v>
      </c>
      <c r="D70" s="3" t="s">
        <v>1881</v>
      </c>
      <c r="E70" s="3" t="s">
        <v>1289</v>
      </c>
      <c r="F70" s="3" t="s">
        <v>1289</v>
      </c>
      <c r="G70" s="3" t="s">
        <v>1280</v>
      </c>
      <c r="H70" s="51">
        <v>41689</v>
      </c>
      <c r="J70" s="3">
        <f t="shared" si="1"/>
        <v>9.9</v>
      </c>
      <c r="K70" s="3">
        <f t="shared" si="1"/>
        <v>9.91</v>
      </c>
      <c r="L70" s="3">
        <f t="shared" si="1"/>
        <v>9.91</v>
      </c>
      <c r="M70" s="3">
        <f t="shared" si="1"/>
        <v>9.81</v>
      </c>
      <c r="P70" s="14" t="s">
        <v>1155</v>
      </c>
      <c r="Q70" s="10" t="str">
        <f>IF(A70="","",C70)</f>
        <v>MUNDIAL     -ON</v>
      </c>
      <c r="R70" s="51">
        <f>IF(A70="","",H70)</f>
        <v>41689</v>
      </c>
      <c r="S70" s="5">
        <f>J70</f>
        <v>9.9</v>
      </c>
      <c r="T70" s="5">
        <f>K70</f>
        <v>9.91</v>
      </c>
      <c r="U70" s="5">
        <f>L70</f>
        <v>9.91</v>
      </c>
      <c r="V70" s="5">
        <f>M70</f>
        <v>9.81</v>
      </c>
    </row>
    <row r="71" spans="1:22" x14ac:dyDescent="0.2">
      <c r="A71" s="33" t="str">
        <f>IF(Tabela1768[[#This Row],[Código]]="IBOV","^BVSP",IF(Tabela1768[[#This Row],[Código]]="","",CONCATENATE(LEFT(Tabela1768[[#This Row],[Código]],6),".SA")))</f>
        <v>MRVE3.SA</v>
      </c>
      <c r="C71" s="3" t="s">
        <v>1372</v>
      </c>
      <c r="D71" s="3" t="s">
        <v>1059</v>
      </c>
      <c r="E71" s="3" t="s">
        <v>1198</v>
      </c>
      <c r="F71" s="3" t="s">
        <v>2037</v>
      </c>
      <c r="G71" s="3" t="s">
        <v>1205</v>
      </c>
      <c r="H71" s="51">
        <v>41689</v>
      </c>
      <c r="J71" s="3">
        <f t="shared" si="1"/>
        <v>7.86</v>
      </c>
      <c r="K71" s="3">
        <f t="shared" si="1"/>
        <v>8.11</v>
      </c>
      <c r="L71" s="3">
        <f t="shared" si="1"/>
        <v>8.32</v>
      </c>
      <c r="M71" s="3">
        <f t="shared" si="1"/>
        <v>7.78</v>
      </c>
      <c r="P71" s="15" t="s">
        <v>1361</v>
      </c>
      <c r="Q71" s="10" t="str">
        <f>IF(A71="","",C71)</f>
        <v xml:space="preserve">MRV         -ON  </v>
      </c>
      <c r="R71" s="51">
        <f>IF(A71="","",H71)</f>
        <v>41689</v>
      </c>
      <c r="S71" s="5">
        <f>J71</f>
        <v>7.86</v>
      </c>
      <c r="T71" s="5">
        <f>K71</f>
        <v>8.11</v>
      </c>
      <c r="U71" s="5">
        <f>L71</f>
        <v>8.32</v>
      </c>
      <c r="V71" s="5">
        <f>M71</f>
        <v>7.78</v>
      </c>
    </row>
    <row r="72" spans="1:22" x14ac:dyDescent="0.2">
      <c r="A72" s="33" t="str">
        <f>IF(Tabela1768[[#This Row],[Código]]="IBOV","^BVSP",IF(Tabela1768[[#This Row],[Código]]="","",CONCATENATE(LEFT(Tabela1768[[#This Row],[Código]],6),".SA")))</f>
        <v>NAFG3.SA</v>
      </c>
      <c r="C72" s="3" t="s">
        <v>1088</v>
      </c>
      <c r="D72" s="3" t="s">
        <v>446</v>
      </c>
      <c r="E72" s="3" t="s">
        <v>447</v>
      </c>
      <c r="F72" s="3" t="s">
        <v>446</v>
      </c>
      <c r="G72" s="3" t="s">
        <v>446</v>
      </c>
      <c r="H72" s="51" t="s">
        <v>446</v>
      </c>
      <c r="J72" s="3" t="e">
        <f t="shared" ref="J72:M135" si="2">IF($A72="",0,VALUE(CONCATENATE(LEFT(D72,LEN(D72)-3),",",RIGHT(D72,2))))</f>
        <v>#VALUE!</v>
      </c>
      <c r="K72" s="3">
        <f t="shared" si="2"/>
        <v>0</v>
      </c>
      <c r="L72" s="3" t="e">
        <f t="shared" si="2"/>
        <v>#VALUE!</v>
      </c>
      <c r="M72" s="3" t="e">
        <f t="shared" si="2"/>
        <v>#VALUE!</v>
      </c>
      <c r="P72" s="14" t="s">
        <v>1086</v>
      </c>
      <c r="Q72" s="10" t="str">
        <f>IF(A72="","",C72)</f>
        <v>NADIR FIGUEI-ON</v>
      </c>
      <c r="R72" s="51" t="str">
        <f>IF(A72="","",H72)</f>
        <v>N/A</v>
      </c>
      <c r="S72" s="5" t="e">
        <f>J72</f>
        <v>#VALUE!</v>
      </c>
      <c r="T72" s="5">
        <f>K72</f>
        <v>0</v>
      </c>
      <c r="U72" s="5" t="e">
        <f>L72</f>
        <v>#VALUE!</v>
      </c>
      <c r="V72" s="5" t="e">
        <f>M72</f>
        <v>#VALUE!</v>
      </c>
    </row>
    <row r="73" spans="1:22" x14ac:dyDescent="0.2">
      <c r="A73" s="33" t="str">
        <f>IF(Tabela1768[[#This Row],[Código]]="IBOV","^BVSP",IF(Tabela1768[[#This Row],[Código]]="","",CONCATENATE(LEFT(Tabela1768[[#This Row],[Código]],6),".SA")))</f>
        <v>NAFG4.SA</v>
      </c>
      <c r="C73" s="3" t="s">
        <v>1089</v>
      </c>
      <c r="D73" s="3" t="s">
        <v>1001</v>
      </c>
      <c r="E73" s="3" t="s">
        <v>413</v>
      </c>
      <c r="F73" s="3" t="s">
        <v>413</v>
      </c>
      <c r="G73" s="3" t="s">
        <v>1001</v>
      </c>
      <c r="H73" s="51">
        <v>41689</v>
      </c>
      <c r="J73" s="3">
        <f t="shared" si="2"/>
        <v>14.71</v>
      </c>
      <c r="K73" s="3">
        <f t="shared" si="2"/>
        <v>15</v>
      </c>
      <c r="L73" s="3">
        <f t="shared" si="2"/>
        <v>15</v>
      </c>
      <c r="M73" s="3">
        <f t="shared" si="2"/>
        <v>14.71</v>
      </c>
      <c r="P73" s="14" t="s">
        <v>1087</v>
      </c>
      <c r="Q73" s="10" t="str">
        <f>IF(A73="","",C73)</f>
        <v>NADIR FIGUEI-PN</v>
      </c>
      <c r="R73" s="51">
        <f>IF(A73="","",H73)</f>
        <v>41689</v>
      </c>
      <c r="S73" s="5">
        <f>J73</f>
        <v>14.71</v>
      </c>
      <c r="T73" s="5">
        <f>K73</f>
        <v>15</v>
      </c>
      <c r="U73" s="5">
        <f>L73</f>
        <v>15</v>
      </c>
      <c r="V73" s="5">
        <f>M73</f>
        <v>14.71</v>
      </c>
    </row>
    <row r="74" spans="1:22" x14ac:dyDescent="0.2">
      <c r="A74" s="33" t="str">
        <f>IF(Tabela1768[[#This Row],[Código]]="IBOV","^BVSP",IF(Tabela1768[[#This Row],[Código]]="","",CONCATENATE(LEFT(Tabela1768[[#This Row],[Código]],6),".SA")))</f>
        <v>NETC3.SA</v>
      </c>
      <c r="C74" s="3" t="s">
        <v>1171</v>
      </c>
      <c r="D74" s="3" t="s">
        <v>2038</v>
      </c>
      <c r="E74" s="3" t="s">
        <v>2038</v>
      </c>
      <c r="F74" s="3" t="s">
        <v>2038</v>
      </c>
      <c r="G74" s="3" t="s">
        <v>2038</v>
      </c>
      <c r="H74" s="51">
        <v>41689</v>
      </c>
      <c r="J74" s="3">
        <f t="shared" si="2"/>
        <v>29.73</v>
      </c>
      <c r="K74" s="3">
        <f t="shared" si="2"/>
        <v>29.73</v>
      </c>
      <c r="L74" s="3">
        <f t="shared" si="2"/>
        <v>29.73</v>
      </c>
      <c r="M74" s="3">
        <f t="shared" si="2"/>
        <v>29.73</v>
      </c>
      <c r="P74" s="14" t="s">
        <v>1169</v>
      </c>
      <c r="Q74" s="10" t="str">
        <f>IF(A74="","",C74)</f>
        <v>NET         -ON</v>
      </c>
      <c r="R74" s="51">
        <f>IF(A74="","",H74)</f>
        <v>41689</v>
      </c>
      <c r="S74" s="5">
        <f>J74</f>
        <v>29.73</v>
      </c>
      <c r="T74" s="5">
        <f>K74</f>
        <v>29.73</v>
      </c>
      <c r="U74" s="5">
        <f>L74</f>
        <v>29.73</v>
      </c>
      <c r="V74" s="5">
        <f>M74</f>
        <v>29.73</v>
      </c>
    </row>
    <row r="75" spans="1:22" x14ac:dyDescent="0.2">
      <c r="A75" s="33" t="str">
        <f>IF(Tabela1768[[#This Row],[Código]]="IBOV","^BVSP",IF(Tabela1768[[#This Row],[Código]]="","",CONCATENATE(LEFT(Tabela1768[[#This Row],[Código]],6),".SA")))</f>
        <v>NETC4.SA</v>
      </c>
      <c r="C75" s="3" t="s">
        <v>1172</v>
      </c>
      <c r="D75" s="3" t="s">
        <v>1233</v>
      </c>
      <c r="E75" s="3" t="s">
        <v>1742</v>
      </c>
      <c r="F75" s="3" t="s">
        <v>1742</v>
      </c>
      <c r="G75" s="3" t="s">
        <v>1233</v>
      </c>
      <c r="H75" s="51">
        <v>41689</v>
      </c>
      <c r="J75" s="3">
        <f t="shared" si="2"/>
        <v>27.1</v>
      </c>
      <c r="K75" s="3">
        <f t="shared" si="2"/>
        <v>29</v>
      </c>
      <c r="L75" s="3">
        <f t="shared" si="2"/>
        <v>29</v>
      </c>
      <c r="M75" s="3">
        <f t="shared" si="2"/>
        <v>27.1</v>
      </c>
      <c r="P75" s="14" t="s">
        <v>1170</v>
      </c>
      <c r="Q75" s="10" t="str">
        <f>IF(A75="","",C75)</f>
        <v>NET         -PN</v>
      </c>
      <c r="R75" s="51">
        <f>IF(A75="","",H75)</f>
        <v>41689</v>
      </c>
      <c r="S75" s="5">
        <f>J75</f>
        <v>27.1</v>
      </c>
      <c r="T75" s="5">
        <f>K75</f>
        <v>29</v>
      </c>
      <c r="U75" s="5">
        <f>L75</f>
        <v>29</v>
      </c>
      <c r="V75" s="5">
        <f>M75</f>
        <v>27.1</v>
      </c>
    </row>
    <row r="76" spans="1:22" x14ac:dyDescent="0.2">
      <c r="A76" s="33" t="str">
        <f>IF(Tabela1768[[#This Row],[Código]]="IBOV","^BVSP",IF(Tabela1768[[#This Row],[Código]]="","",CONCATENATE(LEFT(Tabela1768[[#This Row],[Código]],6),".SA")))</f>
        <v>PDGR3.SA</v>
      </c>
      <c r="C76" s="3" t="s">
        <v>1374</v>
      </c>
      <c r="D76" s="3" t="s">
        <v>1133</v>
      </c>
      <c r="E76" s="3" t="s">
        <v>1054</v>
      </c>
      <c r="F76" s="3" t="s">
        <v>2039</v>
      </c>
      <c r="G76" s="3" t="s">
        <v>1882</v>
      </c>
      <c r="H76" s="51">
        <v>41689</v>
      </c>
      <c r="J76" s="3">
        <f t="shared" si="2"/>
        <v>1.53</v>
      </c>
      <c r="K76" s="3">
        <f t="shared" si="2"/>
        <v>1.59</v>
      </c>
      <c r="L76" s="3">
        <f t="shared" si="2"/>
        <v>1.62</v>
      </c>
      <c r="M76" s="3">
        <f t="shared" si="2"/>
        <v>1.52</v>
      </c>
      <c r="P76" s="15" t="s">
        <v>1362</v>
      </c>
      <c r="Q76" s="10" t="str">
        <f>IF(A76="","",C76)</f>
        <v xml:space="preserve">PDG REALT   -ON  </v>
      </c>
      <c r="R76" s="51">
        <f>IF(A76="","",H76)</f>
        <v>41689</v>
      </c>
      <c r="S76" s="5">
        <f>J76</f>
        <v>1.53</v>
      </c>
      <c r="T76" s="5">
        <f>K76</f>
        <v>1.59</v>
      </c>
      <c r="U76" s="5">
        <f>L76</f>
        <v>1.62</v>
      </c>
      <c r="V76" s="5">
        <f>M76</f>
        <v>1.52</v>
      </c>
    </row>
    <row r="77" spans="1:22" x14ac:dyDescent="0.2">
      <c r="A77" s="33" t="str">
        <f>IF(Tabela1768[[#This Row],[Código]]="IBOV","^BVSP",IF(Tabela1768[[#This Row],[Código]]="","",CONCATENATE(LEFT(Tabela1768[[#This Row],[Código]],6),".SA")))</f>
        <v>PTNT3.SA</v>
      </c>
      <c r="C77" s="3" t="s">
        <v>1125</v>
      </c>
      <c r="D77" s="3" t="s">
        <v>1126</v>
      </c>
      <c r="E77" s="3" t="s">
        <v>1126</v>
      </c>
      <c r="F77" s="3" t="s">
        <v>1126</v>
      </c>
      <c r="G77" s="3" t="s">
        <v>1126</v>
      </c>
      <c r="H77" s="51">
        <v>41689</v>
      </c>
      <c r="J77" s="3">
        <f t="shared" si="2"/>
        <v>2.25</v>
      </c>
      <c r="K77" s="3">
        <f t="shared" si="2"/>
        <v>2.25</v>
      </c>
      <c r="L77" s="3">
        <f t="shared" si="2"/>
        <v>2.25</v>
      </c>
      <c r="M77" s="3">
        <f t="shared" si="2"/>
        <v>2.25</v>
      </c>
      <c r="P77" s="43" t="s">
        <v>1122</v>
      </c>
      <c r="Q77" s="10" t="str">
        <f>IF(A77="","",C77)</f>
        <v>PETTENATI   -ON</v>
      </c>
      <c r="R77" s="51">
        <f>IF(A77="","",H77)</f>
        <v>41689</v>
      </c>
      <c r="S77" s="5">
        <f>J77</f>
        <v>2.25</v>
      </c>
      <c r="T77" s="5">
        <f>K77</f>
        <v>2.25</v>
      </c>
      <c r="U77" s="5">
        <f>L77</f>
        <v>2.25</v>
      </c>
      <c r="V77" s="5">
        <f>M77</f>
        <v>2.25</v>
      </c>
    </row>
    <row r="78" spans="1:22" x14ac:dyDescent="0.2">
      <c r="A78" s="33" t="str">
        <f>IF(Tabela1768[[#This Row],[Código]]="IBOV","^BVSP",IF(Tabela1768[[#This Row],[Código]]="","",CONCATENATE(LEFT(Tabela1768[[#This Row],[Código]],6),".SA")))</f>
        <v>PTNT4.SA</v>
      </c>
      <c r="C78" s="3" t="s">
        <v>1127</v>
      </c>
      <c r="D78" s="3" t="s">
        <v>1243</v>
      </c>
      <c r="E78" s="3" t="s">
        <v>1243</v>
      </c>
      <c r="F78" s="3" t="s">
        <v>1243</v>
      </c>
      <c r="G78" s="3" t="s">
        <v>1243</v>
      </c>
      <c r="H78" s="51">
        <v>41689</v>
      </c>
      <c r="J78" s="3">
        <f t="shared" si="2"/>
        <v>1.4</v>
      </c>
      <c r="K78" s="3">
        <f t="shared" si="2"/>
        <v>1.4</v>
      </c>
      <c r="L78" s="3">
        <f t="shared" si="2"/>
        <v>1.4</v>
      </c>
      <c r="M78" s="3">
        <f t="shared" si="2"/>
        <v>1.4</v>
      </c>
      <c r="P78" s="15" t="s">
        <v>1123</v>
      </c>
      <c r="Q78" s="10" t="str">
        <f>IF(A78="","",C78)</f>
        <v>PETTENATI   -PN</v>
      </c>
      <c r="R78" s="51">
        <f>IF(A78="","",H78)</f>
        <v>41689</v>
      </c>
      <c r="S78" s="5">
        <f>J78</f>
        <v>1.4</v>
      </c>
      <c r="T78" s="5">
        <f>K78</f>
        <v>1.4</v>
      </c>
      <c r="U78" s="5">
        <f>L78</f>
        <v>1.4</v>
      </c>
      <c r="V78" s="5">
        <f>M78</f>
        <v>1.4</v>
      </c>
    </row>
    <row r="79" spans="1:22" x14ac:dyDescent="0.2">
      <c r="A79" s="33" t="str">
        <f>IF(Tabela1768[[#This Row],[Código]]="IBOV","^BVSP",IF(Tabela1768[[#This Row],[Código]]="","",CONCATENATE(LEFT(Tabela1768[[#This Row],[Código]],6),".SA")))</f>
        <v>RDNI3.SA</v>
      </c>
      <c r="C79" s="3" t="s">
        <v>1375</v>
      </c>
      <c r="D79" s="3" t="s">
        <v>1883</v>
      </c>
      <c r="E79" s="3" t="s">
        <v>1061</v>
      </c>
      <c r="F79" s="3" t="s">
        <v>1266</v>
      </c>
      <c r="G79" s="3" t="s">
        <v>1497</v>
      </c>
      <c r="H79" s="51">
        <v>41689</v>
      </c>
      <c r="J79" s="3">
        <f t="shared" si="2"/>
        <v>10.5</v>
      </c>
      <c r="K79" s="3">
        <f t="shared" si="2"/>
        <v>10.56</v>
      </c>
      <c r="L79" s="3">
        <f t="shared" si="2"/>
        <v>10.68</v>
      </c>
      <c r="M79" s="3">
        <f t="shared" si="2"/>
        <v>10.41</v>
      </c>
      <c r="P79" s="15" t="s">
        <v>1363</v>
      </c>
      <c r="Q79" s="10" t="str">
        <f>IF(A79="","",C79)</f>
        <v xml:space="preserve">RODOBENSIMOB-ON  </v>
      </c>
      <c r="R79" s="51">
        <f>IF(A79="","",H79)</f>
        <v>41689</v>
      </c>
      <c r="S79" s="5">
        <f>J79</f>
        <v>10.5</v>
      </c>
      <c r="T79" s="5">
        <f>K79</f>
        <v>10.56</v>
      </c>
      <c r="U79" s="5">
        <f>L79</f>
        <v>10.68</v>
      </c>
      <c r="V79" s="5">
        <f>M79</f>
        <v>10.41</v>
      </c>
    </row>
    <row r="80" spans="1:22" x14ac:dyDescent="0.2">
      <c r="A80" s="33" t="str">
        <f>IF(Tabela1768[[#This Row],[Código]]="IBOV","^BVSP",IF(Tabela1768[[#This Row],[Código]]="","",CONCATENATE(LEFT(Tabela1768[[#This Row],[Código]],6),".SA")))</f>
        <v>RENT3.SA</v>
      </c>
      <c r="C80" s="3" t="s">
        <v>1290</v>
      </c>
      <c r="D80" s="3" t="s">
        <v>1884</v>
      </c>
      <c r="E80" s="3" t="s">
        <v>2040</v>
      </c>
      <c r="F80" s="3" t="s">
        <v>1884</v>
      </c>
      <c r="G80" s="3" t="s">
        <v>1197</v>
      </c>
      <c r="H80" s="51">
        <v>41689</v>
      </c>
      <c r="J80" s="3">
        <f t="shared" si="2"/>
        <v>31.89</v>
      </c>
      <c r="K80" s="3">
        <f t="shared" si="2"/>
        <v>31.77</v>
      </c>
      <c r="L80" s="3">
        <f t="shared" si="2"/>
        <v>31.89</v>
      </c>
      <c r="M80" s="3">
        <f t="shared" si="2"/>
        <v>31.42</v>
      </c>
      <c r="P80" s="15" t="s">
        <v>1284</v>
      </c>
      <c r="Q80" s="10" t="str">
        <f>IF(A80="","",C80)</f>
        <v xml:space="preserve">LOCALIZA    -ON  </v>
      </c>
      <c r="R80" s="51">
        <f>IF(A80="","",H80)</f>
        <v>41689</v>
      </c>
      <c r="S80" s="5">
        <f>J80</f>
        <v>31.89</v>
      </c>
      <c r="T80" s="5">
        <f>K80</f>
        <v>31.77</v>
      </c>
      <c r="U80" s="5">
        <f>L80</f>
        <v>31.89</v>
      </c>
      <c r="V80" s="5">
        <f>M80</f>
        <v>31.42</v>
      </c>
    </row>
    <row r="81" spans="1:22" x14ac:dyDescent="0.2">
      <c r="A81" s="33" t="str">
        <f>IF(Tabela1768[[#This Row],[Código]]="IBOV","^BVSP",IF(Tabela1768[[#This Row],[Código]]="","",CONCATENATE(LEFT(Tabela1768[[#This Row],[Código]],6),".SA")))</f>
        <v>RNAR3.SA</v>
      </c>
      <c r="C81" s="3" t="s">
        <v>889</v>
      </c>
      <c r="D81" s="3" t="s">
        <v>1269</v>
      </c>
      <c r="E81" s="3" t="s">
        <v>751</v>
      </c>
      <c r="F81" s="3" t="s">
        <v>751</v>
      </c>
      <c r="G81" s="3" t="s">
        <v>1269</v>
      </c>
      <c r="H81" s="51">
        <v>41689</v>
      </c>
      <c r="J81" s="3">
        <f t="shared" si="2"/>
        <v>0.16</v>
      </c>
      <c r="K81" s="3">
        <f t="shared" si="2"/>
        <v>0.17</v>
      </c>
      <c r="L81" s="3">
        <f t="shared" si="2"/>
        <v>0.17</v>
      </c>
      <c r="M81" s="3">
        <f t="shared" si="2"/>
        <v>0.16</v>
      </c>
      <c r="P81" s="14" t="s">
        <v>888</v>
      </c>
      <c r="Q81" s="10" t="str">
        <f>IF(A81="","",C81)</f>
        <v xml:space="preserve">RENAR       -ON  </v>
      </c>
      <c r="R81" s="51">
        <f>IF(A81="","",H81)</f>
        <v>41689</v>
      </c>
      <c r="S81" s="5">
        <f>J81</f>
        <v>0.16</v>
      </c>
      <c r="T81" s="5">
        <f>K81</f>
        <v>0.17</v>
      </c>
      <c r="U81" s="5">
        <f>L81</f>
        <v>0.17</v>
      </c>
      <c r="V81" s="5">
        <f>M81</f>
        <v>0.16</v>
      </c>
    </row>
    <row r="82" spans="1:22" x14ac:dyDescent="0.2">
      <c r="A82" s="33" t="str">
        <f>IF(Tabela1768[[#This Row],[Código]]="IBOV","^BVSP",IF(Tabela1768[[#This Row],[Código]]="","",CONCATENATE(LEFT(Tabela1768[[#This Row],[Código]],6),".SA")))</f>
        <v>RSID3.SA</v>
      </c>
      <c r="C82" s="3" t="s">
        <v>1376</v>
      </c>
      <c r="D82" s="3" t="s">
        <v>1378</v>
      </c>
      <c r="E82" s="3" t="s">
        <v>1623</v>
      </c>
      <c r="F82" s="3" t="s">
        <v>793</v>
      </c>
      <c r="G82" s="3" t="s">
        <v>1885</v>
      </c>
      <c r="H82" s="51">
        <v>41689</v>
      </c>
      <c r="J82" s="3">
        <f t="shared" si="2"/>
        <v>1.77</v>
      </c>
      <c r="K82" s="3">
        <f t="shared" si="2"/>
        <v>1.76</v>
      </c>
      <c r="L82" s="3">
        <f t="shared" si="2"/>
        <v>1.79</v>
      </c>
      <c r="M82" s="3">
        <f t="shared" si="2"/>
        <v>1.71</v>
      </c>
      <c r="P82" s="14" t="s">
        <v>1364</v>
      </c>
      <c r="Q82" s="10" t="str">
        <f>IF(A82="","",C82)</f>
        <v xml:space="preserve">ROSSI RESID -ON  </v>
      </c>
      <c r="R82" s="51">
        <f>IF(A82="","",H82)</f>
        <v>41689</v>
      </c>
      <c r="S82" s="5">
        <f>J82</f>
        <v>1.77</v>
      </c>
      <c r="T82" s="5">
        <f>K82</f>
        <v>1.76</v>
      </c>
      <c r="U82" s="5">
        <f>L82</f>
        <v>1.79</v>
      </c>
      <c r="V82" s="5">
        <f>M82</f>
        <v>1.71</v>
      </c>
    </row>
    <row r="83" spans="1:22" x14ac:dyDescent="0.2">
      <c r="A83" s="33" t="str">
        <f>IF(Tabela1768[[#This Row],[Código]]="IBOV","^BVSP",IF(Tabela1768[[#This Row],[Código]]="","",CONCATENATE(LEFT(Tabela1768[[#This Row],[Código]],6),".SA")))</f>
        <v>SGEN3.SA</v>
      </c>
      <c r="C83" s="3" t="s">
        <v>1379</v>
      </c>
      <c r="D83" s="3" t="s">
        <v>446</v>
      </c>
      <c r="E83" s="3" t="s">
        <v>741</v>
      </c>
      <c r="F83" s="3" t="s">
        <v>741</v>
      </c>
      <c r="G83" s="3" t="s">
        <v>741</v>
      </c>
      <c r="H83" s="51">
        <v>41689</v>
      </c>
      <c r="J83" s="3" t="e">
        <f t="shared" si="2"/>
        <v>#VALUE!</v>
      </c>
      <c r="K83" s="3">
        <f t="shared" si="2"/>
        <v>5</v>
      </c>
      <c r="L83" s="3">
        <f t="shared" si="2"/>
        <v>5</v>
      </c>
      <c r="M83" s="3">
        <f t="shared" si="2"/>
        <v>5</v>
      </c>
      <c r="P83" s="14" t="s">
        <v>1365</v>
      </c>
      <c r="Q83" s="10" t="str">
        <f>IF(A83="","",C83)</f>
        <v>SERGEN      -ON *</v>
      </c>
      <c r="R83" s="51">
        <f>IF(A83="","",H83)</f>
        <v>41689</v>
      </c>
      <c r="S83" s="5" t="e">
        <f>J83</f>
        <v>#VALUE!</v>
      </c>
      <c r="T83" s="5">
        <f>K83</f>
        <v>5</v>
      </c>
      <c r="U83" s="5">
        <f>L83</f>
        <v>5</v>
      </c>
      <c r="V83" s="5">
        <f>M83</f>
        <v>5</v>
      </c>
    </row>
    <row r="84" spans="1:22" x14ac:dyDescent="0.2">
      <c r="A84" s="33" t="str">
        <f>IF(Tabela1768[[#This Row],[Código]]="IBOV","^BVSP",IF(Tabela1768[[#This Row],[Código]]="","",CONCATENATE(LEFT(Tabela1768[[#This Row],[Código]],6),".SA")))</f>
        <v>SGEN4.SA</v>
      </c>
      <c r="C84" s="3" t="s">
        <v>1380</v>
      </c>
      <c r="D84" s="3" t="s">
        <v>446</v>
      </c>
      <c r="E84" s="3" t="s">
        <v>966</v>
      </c>
      <c r="F84" s="3" t="s">
        <v>966</v>
      </c>
      <c r="G84" s="3" t="s">
        <v>966</v>
      </c>
      <c r="H84" s="51">
        <v>41689</v>
      </c>
      <c r="J84" s="3" t="e">
        <f t="shared" si="2"/>
        <v>#VALUE!</v>
      </c>
      <c r="K84" s="3">
        <f t="shared" si="2"/>
        <v>0.6</v>
      </c>
      <c r="L84" s="3">
        <f t="shared" si="2"/>
        <v>0.6</v>
      </c>
      <c r="M84" s="3">
        <f t="shared" si="2"/>
        <v>0.6</v>
      </c>
      <c r="P84" s="14" t="s">
        <v>1366</v>
      </c>
      <c r="Q84" s="10" t="str">
        <f>IF(A84="","",C84)</f>
        <v>SERGEN      -PN *</v>
      </c>
      <c r="R84" s="51">
        <f>IF(A84="","",H84)</f>
        <v>41689</v>
      </c>
      <c r="S84" s="5" t="e">
        <f>J84</f>
        <v>#VALUE!</v>
      </c>
      <c r="T84" s="5">
        <f>K84</f>
        <v>0.6</v>
      </c>
      <c r="U84" s="5">
        <f>L84</f>
        <v>0.6</v>
      </c>
      <c r="V84" s="5">
        <f>M84</f>
        <v>0.6</v>
      </c>
    </row>
    <row r="85" spans="1:22" x14ac:dyDescent="0.2">
      <c r="A85" s="33" t="str">
        <f>IF(Tabela1768[[#This Row],[Código]]="IBOV","^BVSP",IF(Tabela1768[[#This Row],[Código]]="","",CONCATENATE(LEFT(Tabela1768[[#This Row],[Código]],6),".SA")))</f>
        <v>SGPS3.SA</v>
      </c>
      <c r="C85" s="3" t="s">
        <v>1132</v>
      </c>
      <c r="D85" s="3" t="s">
        <v>967</v>
      </c>
      <c r="E85" s="3" t="s">
        <v>711</v>
      </c>
      <c r="F85" s="3" t="s">
        <v>711</v>
      </c>
      <c r="G85" s="3" t="s">
        <v>1278</v>
      </c>
      <c r="H85" s="51">
        <v>41689</v>
      </c>
      <c r="J85" s="3">
        <f t="shared" si="2"/>
        <v>1.45</v>
      </c>
      <c r="K85" s="3">
        <f t="shared" si="2"/>
        <v>1.51</v>
      </c>
      <c r="L85" s="3">
        <f t="shared" si="2"/>
        <v>1.51</v>
      </c>
      <c r="M85" s="3">
        <f t="shared" si="2"/>
        <v>1.42</v>
      </c>
      <c r="P85" s="14" t="s">
        <v>1131</v>
      </c>
      <c r="Q85" s="10" t="str">
        <f>IF(A85="","",C85)</f>
        <v xml:space="preserve">SPRINGS     -ON  </v>
      </c>
      <c r="R85" s="51">
        <f>IF(A85="","",H85)</f>
        <v>41689</v>
      </c>
      <c r="S85" s="5">
        <f>J85</f>
        <v>1.45</v>
      </c>
      <c r="T85" s="5">
        <f>K85</f>
        <v>1.51</v>
      </c>
      <c r="U85" s="5">
        <f>L85</f>
        <v>1.51</v>
      </c>
      <c r="V85" s="5">
        <f>M85</f>
        <v>1.42</v>
      </c>
    </row>
    <row r="86" spans="1:22" x14ac:dyDescent="0.2">
      <c r="A86" s="33" t="str">
        <f>IF(Tabela1768[[#This Row],[Código]]="IBOV","^BVSP",IF(Tabela1768[[#This Row],[Código]]="","",CONCATENATE(LEFT(Tabela1768[[#This Row],[Código]],6),".SA")))</f>
        <v>SHOW3.SA</v>
      </c>
      <c r="C86" s="3" t="s">
        <v>905</v>
      </c>
      <c r="D86" s="3" t="s">
        <v>1272</v>
      </c>
      <c r="E86" s="3" t="s">
        <v>1265</v>
      </c>
      <c r="F86" s="3" t="s">
        <v>1273</v>
      </c>
      <c r="G86" s="3" t="s">
        <v>1605</v>
      </c>
      <c r="H86" s="51">
        <v>41689</v>
      </c>
      <c r="J86" s="3">
        <f t="shared" si="2"/>
        <v>4.83</v>
      </c>
      <c r="K86" s="3">
        <f t="shared" si="2"/>
        <v>4.68</v>
      </c>
      <c r="L86" s="3">
        <f t="shared" si="2"/>
        <v>4.8600000000000003</v>
      </c>
      <c r="M86" s="3">
        <f t="shared" si="2"/>
        <v>4.66</v>
      </c>
      <c r="P86" s="14" t="s">
        <v>904</v>
      </c>
      <c r="Q86" s="10" t="str">
        <f>IF(A86="","",C86)</f>
        <v xml:space="preserve">TIME FOR FUN-ON  </v>
      </c>
      <c r="R86" s="51">
        <f>IF(A86="","",H86)</f>
        <v>41689</v>
      </c>
      <c r="S86" s="5">
        <f>J86</f>
        <v>4.83</v>
      </c>
      <c r="T86" s="5">
        <f>K86</f>
        <v>4.68</v>
      </c>
      <c r="U86" s="5">
        <f>L86</f>
        <v>4.8600000000000003</v>
      </c>
      <c r="V86" s="5">
        <f>M86</f>
        <v>4.66</v>
      </c>
    </row>
    <row r="87" spans="1:22" x14ac:dyDescent="0.2">
      <c r="A87" s="33" t="str">
        <f>IF(Tabela1768[[#This Row],[Código]]="IBOV","^BVSP",IF(Tabela1768[[#This Row],[Código]]="","",CONCATENATE(LEFT(Tabela1768[[#This Row],[Código]],6),".SA")))</f>
        <v>SLCE3.SA</v>
      </c>
      <c r="C87" s="3" t="s">
        <v>891</v>
      </c>
      <c r="D87" s="3" t="s">
        <v>1202</v>
      </c>
      <c r="E87" s="3" t="s">
        <v>1543</v>
      </c>
      <c r="F87" s="3" t="s">
        <v>2041</v>
      </c>
      <c r="G87" s="3" t="s">
        <v>1031</v>
      </c>
      <c r="H87" s="51">
        <v>41689</v>
      </c>
      <c r="J87" s="3">
        <f t="shared" si="2"/>
        <v>16.7</v>
      </c>
      <c r="K87" s="3">
        <f t="shared" si="2"/>
        <v>17.190000000000001</v>
      </c>
      <c r="L87" s="3">
        <f t="shared" si="2"/>
        <v>17.27</v>
      </c>
      <c r="M87" s="3">
        <f t="shared" si="2"/>
        <v>16.64</v>
      </c>
      <c r="P87" s="14" t="s">
        <v>890</v>
      </c>
      <c r="Q87" s="10" t="str">
        <f>IF(A87="","",C87)</f>
        <v xml:space="preserve">SLC AGRICOLA-ON  </v>
      </c>
      <c r="R87" s="51">
        <f>IF(A87="","",H87)</f>
        <v>41689</v>
      </c>
      <c r="S87" s="5">
        <f>J87</f>
        <v>16.7</v>
      </c>
      <c r="T87" s="5">
        <f>K87</f>
        <v>17.190000000000001</v>
      </c>
      <c r="U87" s="5">
        <f>L87</f>
        <v>17.27</v>
      </c>
      <c r="V87" s="5">
        <f>M87</f>
        <v>16.64</v>
      </c>
    </row>
    <row r="88" spans="1:22" x14ac:dyDescent="0.2">
      <c r="A88" s="33" t="str">
        <f>IF(Tabela1768[[#This Row],[Código]]="IBOV","^BVSP",IF(Tabela1768[[#This Row],[Código]]="","",CONCATENATE(LEFT(Tabela1768[[#This Row],[Código]],6),".SA")))</f>
        <v>SLED3.SA</v>
      </c>
      <c r="C88" s="3" t="s">
        <v>1182</v>
      </c>
      <c r="D88" s="3" t="s">
        <v>1183</v>
      </c>
      <c r="E88" s="3" t="s">
        <v>1183</v>
      </c>
      <c r="F88" s="3" t="s">
        <v>1183</v>
      </c>
      <c r="G88" s="3" t="s">
        <v>1183</v>
      </c>
      <c r="H88" s="51">
        <v>41689</v>
      </c>
      <c r="J88" s="3">
        <f t="shared" si="2"/>
        <v>18.48</v>
      </c>
      <c r="K88" s="3">
        <f t="shared" si="2"/>
        <v>18.48</v>
      </c>
      <c r="L88" s="3">
        <f t="shared" si="2"/>
        <v>18.48</v>
      </c>
      <c r="M88" s="3">
        <f t="shared" si="2"/>
        <v>18.48</v>
      </c>
      <c r="P88" s="14" t="s">
        <v>1180</v>
      </c>
      <c r="Q88" s="10" t="str">
        <f>IF(A88="","",C88)</f>
        <v xml:space="preserve">SARAIVA LIVR-ON  </v>
      </c>
      <c r="R88" s="51">
        <f>IF(A88="","",H88)</f>
        <v>41689</v>
      </c>
      <c r="S88" s="5">
        <f>J88</f>
        <v>18.48</v>
      </c>
      <c r="T88" s="5">
        <f>K88</f>
        <v>18.48</v>
      </c>
      <c r="U88" s="5">
        <f>L88</f>
        <v>18.48</v>
      </c>
      <c r="V88" s="5">
        <f>M88</f>
        <v>18.48</v>
      </c>
    </row>
    <row r="89" spans="1:22" x14ac:dyDescent="0.2">
      <c r="A89" s="33" t="str">
        <f>IF(Tabela1768[[#This Row],[Código]]="IBOV","^BVSP",IF(Tabela1768[[#This Row],[Código]]="","",CONCATENATE(LEFT(Tabela1768[[#This Row],[Código]],6),".SA")))</f>
        <v>SLED4.SA</v>
      </c>
      <c r="C89" s="3" t="s">
        <v>1184</v>
      </c>
      <c r="D89" s="3" t="s">
        <v>1887</v>
      </c>
      <c r="E89" s="3" t="s">
        <v>1574</v>
      </c>
      <c r="F89" s="3" t="s">
        <v>1888</v>
      </c>
      <c r="G89" s="3" t="s">
        <v>1889</v>
      </c>
      <c r="H89" s="51">
        <v>41689</v>
      </c>
      <c r="J89" s="3">
        <f t="shared" si="2"/>
        <v>18.68</v>
      </c>
      <c r="K89" s="3">
        <f t="shared" si="2"/>
        <v>18.760000000000002</v>
      </c>
      <c r="L89" s="3">
        <f t="shared" si="2"/>
        <v>19.04</v>
      </c>
      <c r="M89" s="3">
        <f t="shared" si="2"/>
        <v>18.670000000000002</v>
      </c>
      <c r="P89" s="14" t="s">
        <v>1181</v>
      </c>
      <c r="Q89" s="10" t="str">
        <f>IF(A89="","",C89)</f>
        <v xml:space="preserve">SARAIVA LIVR-PN  </v>
      </c>
      <c r="R89" s="51">
        <f>IF(A89="","",H89)</f>
        <v>41689</v>
      </c>
      <c r="S89" s="5">
        <f>J89</f>
        <v>18.68</v>
      </c>
      <c r="T89" s="5">
        <f>K89</f>
        <v>18.760000000000002</v>
      </c>
      <c r="U89" s="5">
        <f>L89</f>
        <v>19.04</v>
      </c>
      <c r="V89" s="5">
        <f>M89</f>
        <v>18.670000000000002</v>
      </c>
    </row>
    <row r="90" spans="1:22" x14ac:dyDescent="0.2">
      <c r="A90" s="33" t="str">
        <f>IF(Tabela1768[[#This Row],[Código]]="IBOV","^BVSP",IF(Tabela1768[[#This Row],[Código]]="","",CONCATENATE(LEFT(Tabela1768[[#This Row],[Código]],6),".SA")))</f>
        <v>SMTO3.SA</v>
      </c>
      <c r="C90" s="3" t="s">
        <v>273</v>
      </c>
      <c r="D90" s="3" t="s">
        <v>1553</v>
      </c>
      <c r="E90" s="3" t="s">
        <v>1465</v>
      </c>
      <c r="F90" s="3" t="s">
        <v>434</v>
      </c>
      <c r="G90" s="3" t="s">
        <v>1790</v>
      </c>
      <c r="H90" s="51">
        <v>41689</v>
      </c>
      <c r="J90" s="3">
        <f t="shared" si="2"/>
        <v>26.79</v>
      </c>
      <c r="K90" s="3">
        <f t="shared" si="2"/>
        <v>26.99</v>
      </c>
      <c r="L90" s="3">
        <f t="shared" si="2"/>
        <v>27</v>
      </c>
      <c r="M90" s="3">
        <f t="shared" si="2"/>
        <v>26.69</v>
      </c>
      <c r="P90" s="14" t="s">
        <v>272</v>
      </c>
      <c r="Q90" s="10" t="str">
        <f>IF(A90="","",C90)</f>
        <v xml:space="preserve">SAO MARTINHO-ON  </v>
      </c>
      <c r="R90" s="46">
        <f>IF(A90="","",H90)</f>
        <v>41689</v>
      </c>
      <c r="S90" s="6">
        <f>J90</f>
        <v>26.79</v>
      </c>
      <c r="T90" s="6">
        <f>K90</f>
        <v>26.99</v>
      </c>
      <c r="U90" s="6">
        <f>L90</f>
        <v>27</v>
      </c>
      <c r="V90" s="6">
        <f>M90</f>
        <v>26.69</v>
      </c>
    </row>
    <row r="91" spans="1:22" x14ac:dyDescent="0.2">
      <c r="A91" s="33" t="str">
        <f>IF(Tabela1768[[#This Row],[Código]]="IBOV","^BVSP",IF(Tabela1768[[#This Row],[Código]]="","",CONCATENATE(LEFT(Tabela1768[[#This Row],[Código]],6),".SA")))</f>
        <v>SPRI3.SA</v>
      </c>
      <c r="C91" s="3" t="s">
        <v>1325</v>
      </c>
      <c r="D91" s="3" t="s">
        <v>1327</v>
      </c>
      <c r="E91" s="3" t="s">
        <v>1327</v>
      </c>
      <c r="F91" s="3" t="s">
        <v>1327</v>
      </c>
      <c r="G91" s="3" t="s">
        <v>2042</v>
      </c>
      <c r="H91" s="51">
        <v>41689</v>
      </c>
      <c r="J91" s="3">
        <f t="shared" si="2"/>
        <v>0.36</v>
      </c>
      <c r="K91" s="3">
        <f t="shared" si="2"/>
        <v>0.36</v>
      </c>
      <c r="L91" s="3">
        <f t="shared" si="2"/>
        <v>0.36</v>
      </c>
      <c r="M91" s="3">
        <f t="shared" si="2"/>
        <v>0.35</v>
      </c>
      <c r="P91" s="15" t="s">
        <v>1322</v>
      </c>
      <c r="Q91" s="10" t="str">
        <f>IF(A91="","",C91)</f>
        <v>SPRINGER    -ON</v>
      </c>
      <c r="R91" s="51">
        <f>IF(A91="","",H91)</f>
        <v>41689</v>
      </c>
      <c r="S91" s="5">
        <f>J91</f>
        <v>0.36</v>
      </c>
      <c r="T91" s="5">
        <f>K91</f>
        <v>0.36</v>
      </c>
      <c r="U91" s="5">
        <f>L91</f>
        <v>0.36</v>
      </c>
      <c r="V91" s="5">
        <f>M91</f>
        <v>0.35</v>
      </c>
    </row>
    <row r="92" spans="1:22" x14ac:dyDescent="0.2">
      <c r="A92" s="33" t="str">
        <f>IF(Tabela1768[[#This Row],[Código]]="IBOV","^BVSP",IF(Tabela1768[[#This Row],[Código]]="","",CONCATENATE(LEFT(Tabela1768[[#This Row],[Código]],6),".SA")))</f>
        <v>SPRI5.SA</v>
      </c>
      <c r="C92" s="3" t="s">
        <v>1326</v>
      </c>
      <c r="D92" s="3" t="s">
        <v>1327</v>
      </c>
      <c r="E92" s="3" t="s">
        <v>1327</v>
      </c>
      <c r="F92" s="3" t="s">
        <v>1327</v>
      </c>
      <c r="G92" s="3" t="s">
        <v>1327</v>
      </c>
      <c r="H92" s="51">
        <v>41689</v>
      </c>
      <c r="J92" s="3">
        <f t="shared" si="2"/>
        <v>0.36</v>
      </c>
      <c r="K92" s="3">
        <f t="shared" si="2"/>
        <v>0.36</v>
      </c>
      <c r="L92" s="3">
        <f t="shared" si="2"/>
        <v>0.36</v>
      </c>
      <c r="M92" s="3">
        <f t="shared" si="2"/>
        <v>0.36</v>
      </c>
      <c r="P92" s="10" t="s">
        <v>1323</v>
      </c>
      <c r="Q92" s="10" t="str">
        <f>IF(A92="","",C92)</f>
        <v>SPRINGER    -PNA</v>
      </c>
      <c r="R92" s="51">
        <f>IF(A92="","",H92)</f>
        <v>41689</v>
      </c>
      <c r="S92" s="5">
        <f>J92</f>
        <v>0.36</v>
      </c>
      <c r="T92" s="5">
        <f>K92</f>
        <v>0.36</v>
      </c>
      <c r="U92" s="5">
        <f>L92</f>
        <v>0.36</v>
      </c>
      <c r="V92" s="5">
        <f>M92</f>
        <v>0.36</v>
      </c>
    </row>
    <row r="93" spans="1:22" x14ac:dyDescent="0.2">
      <c r="A93" s="33" t="str">
        <f>IF(Tabela1768[[#This Row],[Código]]="IBOV","^BVSP",IF(Tabela1768[[#This Row],[Código]]="","",CONCATENATE(LEFT(Tabela1768[[#This Row],[Código]],6),".SA")))</f>
        <v>SPRI6.SA</v>
      </c>
      <c r="C93" s="3" t="s">
        <v>1328</v>
      </c>
      <c r="D93" s="3" t="s">
        <v>1329</v>
      </c>
      <c r="E93" s="3" t="s">
        <v>1329</v>
      </c>
      <c r="F93" s="3" t="s">
        <v>1329</v>
      </c>
      <c r="G93" s="3" t="s">
        <v>1329</v>
      </c>
      <c r="H93" s="51">
        <v>41689</v>
      </c>
      <c r="J93" s="3">
        <f t="shared" si="2"/>
        <v>0.39</v>
      </c>
      <c r="K93" s="3">
        <f t="shared" si="2"/>
        <v>0.39</v>
      </c>
      <c r="L93" s="3">
        <f t="shared" si="2"/>
        <v>0.39</v>
      </c>
      <c r="M93" s="3">
        <f t="shared" si="2"/>
        <v>0.39</v>
      </c>
      <c r="P93" s="10" t="s">
        <v>1324</v>
      </c>
      <c r="Q93" s="10" t="str">
        <f>IF(A93="","",C93)</f>
        <v>SPRINGER    -PNB</v>
      </c>
      <c r="R93" s="51">
        <f>IF(A93="","",H93)</f>
        <v>41689</v>
      </c>
      <c r="S93" s="5">
        <f>J93</f>
        <v>0.39</v>
      </c>
      <c r="T93" s="5">
        <f>K93</f>
        <v>0.39</v>
      </c>
      <c r="U93" s="5">
        <f>L93</f>
        <v>0.39</v>
      </c>
      <c r="V93" s="5">
        <f>M93</f>
        <v>0.39</v>
      </c>
    </row>
    <row r="94" spans="1:22" x14ac:dyDescent="0.2">
      <c r="A94" s="33" t="str">
        <f>IF(Tabela1768[[#This Row],[Código]]="IBOV","^BVSP",IF(Tabela1768[[#This Row],[Código]]="","",CONCATENATE(LEFT(Tabela1768[[#This Row],[Código]],6),".SA")))</f>
        <v>TCSA3.SA</v>
      </c>
      <c r="C94" s="3" t="s">
        <v>1381</v>
      </c>
      <c r="D94" s="3" t="s">
        <v>1890</v>
      </c>
      <c r="E94" s="3" t="s">
        <v>1206</v>
      </c>
      <c r="F94" s="3" t="s">
        <v>1056</v>
      </c>
      <c r="G94" s="3" t="s">
        <v>780</v>
      </c>
      <c r="H94" s="51">
        <v>41689</v>
      </c>
      <c r="J94" s="3">
        <f t="shared" si="2"/>
        <v>7.32</v>
      </c>
      <c r="K94" s="3">
        <f t="shared" si="2"/>
        <v>7.4</v>
      </c>
      <c r="L94" s="3">
        <f t="shared" si="2"/>
        <v>7.44</v>
      </c>
      <c r="M94" s="3">
        <f t="shared" si="2"/>
        <v>7.21</v>
      </c>
      <c r="P94" s="14" t="s">
        <v>1367</v>
      </c>
      <c r="Q94" s="10" t="str">
        <f>IF(A94="","",C94)</f>
        <v xml:space="preserve">TECNISA     -ON  </v>
      </c>
      <c r="R94" s="51">
        <f>IF(A94="","",H94)</f>
        <v>41689</v>
      </c>
      <c r="S94" s="5">
        <f>J94</f>
        <v>7.32</v>
      </c>
      <c r="T94" s="5">
        <f>K94</f>
        <v>7.4</v>
      </c>
      <c r="U94" s="5">
        <f>L94</f>
        <v>7.44</v>
      </c>
      <c r="V94" s="5">
        <f>M94</f>
        <v>7.21</v>
      </c>
    </row>
    <row r="95" spans="1:22" x14ac:dyDescent="0.2">
      <c r="A95" s="33" t="str">
        <f>IF(Tabela1768[[#This Row],[Código]]="IBOV","^BVSP",IF(Tabela1768[[#This Row],[Código]]="","",CONCATENATE(LEFT(Tabela1768[[#This Row],[Código]],6),".SA")))</f>
        <v>TECN3.SA</v>
      </c>
      <c r="C95" s="3" t="s">
        <v>1166</v>
      </c>
      <c r="D95" s="3" t="s">
        <v>1891</v>
      </c>
      <c r="E95" s="3" t="s">
        <v>1851</v>
      </c>
      <c r="F95" s="3" t="s">
        <v>1264</v>
      </c>
      <c r="G95" s="3" t="s">
        <v>1891</v>
      </c>
      <c r="H95" s="51">
        <v>41689</v>
      </c>
      <c r="J95" s="3">
        <f t="shared" si="2"/>
        <v>13.95</v>
      </c>
      <c r="K95" s="3">
        <f t="shared" si="2"/>
        <v>14.15</v>
      </c>
      <c r="L95" s="3">
        <f t="shared" si="2"/>
        <v>14.32</v>
      </c>
      <c r="M95" s="3">
        <f t="shared" si="2"/>
        <v>13.95</v>
      </c>
      <c r="P95" s="14" t="s">
        <v>1156</v>
      </c>
      <c r="Q95" s="10" t="str">
        <f>IF(A95="","",C95)</f>
        <v xml:space="preserve">TECHNOS     -ON  </v>
      </c>
      <c r="R95" s="51">
        <f>IF(A95="","",H95)</f>
        <v>41689</v>
      </c>
      <c r="S95" s="5">
        <f>J95</f>
        <v>13.95</v>
      </c>
      <c r="T95" s="5">
        <f>K95</f>
        <v>14.15</v>
      </c>
      <c r="U95" s="5">
        <f>L95</f>
        <v>14.32</v>
      </c>
      <c r="V95" s="5">
        <f>M95</f>
        <v>13.95</v>
      </c>
    </row>
    <row r="96" spans="1:22" x14ac:dyDescent="0.2">
      <c r="A96" s="33" t="str">
        <f>IF(Tabela1768[[#This Row],[Código]]="IBOV","^BVSP",IF(Tabela1768[[#This Row],[Código]]="","",CONCATENATE(LEFT(Tabela1768[[#This Row],[Código]],6),".SA")))</f>
        <v>TENE3.SA</v>
      </c>
      <c r="C96" s="3" t="s">
        <v>1138</v>
      </c>
      <c r="D96" s="3" t="s">
        <v>446</v>
      </c>
      <c r="E96" s="3" t="s">
        <v>447</v>
      </c>
      <c r="F96" s="3" t="s">
        <v>446</v>
      </c>
      <c r="G96" s="3" t="s">
        <v>446</v>
      </c>
      <c r="H96" s="51" t="s">
        <v>446</v>
      </c>
      <c r="J96" s="3" t="e">
        <f t="shared" si="2"/>
        <v>#VALUE!</v>
      </c>
      <c r="K96" s="3">
        <f t="shared" si="2"/>
        <v>0</v>
      </c>
      <c r="L96" s="3" t="e">
        <f t="shared" si="2"/>
        <v>#VALUE!</v>
      </c>
      <c r="M96" s="3" t="e">
        <f t="shared" si="2"/>
        <v>#VALUE!</v>
      </c>
      <c r="P96" s="14" t="s">
        <v>1134</v>
      </c>
      <c r="Q96" s="10" t="str">
        <f>IF(A96="","",C96)</f>
        <v>TEC BLUMENAU-ON</v>
      </c>
      <c r="R96" s="46" t="str">
        <f>IF(A96="","",H96)</f>
        <v>N/A</v>
      </c>
      <c r="S96" s="6" t="e">
        <f>J96</f>
        <v>#VALUE!</v>
      </c>
      <c r="T96" s="6">
        <f>K96</f>
        <v>0</v>
      </c>
      <c r="U96" s="6" t="e">
        <f>L96</f>
        <v>#VALUE!</v>
      </c>
      <c r="V96" s="6" t="e">
        <f>M96</f>
        <v>#VALUE!</v>
      </c>
    </row>
    <row r="97" spans="1:22" x14ac:dyDescent="0.2">
      <c r="A97" s="33" t="str">
        <f>IF(Tabela1768[[#This Row],[Código]]="IBOV","^BVSP",IF(Tabela1768[[#This Row],[Código]]="","",CONCATENATE(LEFT(Tabela1768[[#This Row],[Código]],6),".SA")))</f>
        <v>TENE5.SA</v>
      </c>
      <c r="C97" s="3" t="s">
        <v>1139</v>
      </c>
      <c r="D97" s="3" t="s">
        <v>1010</v>
      </c>
      <c r="E97" s="3" t="s">
        <v>1010</v>
      </c>
      <c r="F97" s="3" t="s">
        <v>1010</v>
      </c>
      <c r="G97" s="3" t="s">
        <v>1010</v>
      </c>
      <c r="H97" s="51">
        <v>41689</v>
      </c>
      <c r="J97" s="3">
        <f t="shared" si="2"/>
        <v>0.54</v>
      </c>
      <c r="K97" s="3">
        <f t="shared" si="2"/>
        <v>0.54</v>
      </c>
      <c r="L97" s="3">
        <f t="shared" si="2"/>
        <v>0.54</v>
      </c>
      <c r="M97" s="3">
        <f t="shared" si="2"/>
        <v>0.54</v>
      </c>
      <c r="P97" s="14" t="s">
        <v>1135</v>
      </c>
      <c r="Q97" s="10" t="str">
        <f>IF(A97="","",C97)</f>
        <v>TEC BLUMENAU-PNA</v>
      </c>
      <c r="R97" s="51">
        <f>IF(A97="","",H97)</f>
        <v>41689</v>
      </c>
      <c r="S97" s="5">
        <f>J97</f>
        <v>0.54</v>
      </c>
      <c r="T97" s="5">
        <f>K97</f>
        <v>0.54</v>
      </c>
      <c r="U97" s="5">
        <f>L97</f>
        <v>0.54</v>
      </c>
      <c r="V97" s="5">
        <f>M97</f>
        <v>0.54</v>
      </c>
    </row>
    <row r="98" spans="1:22" x14ac:dyDescent="0.2">
      <c r="A98" s="33" t="str">
        <f>IF(Tabela1768[[#This Row],[Código]]="IBOV","^BVSP",IF(Tabela1768[[#This Row],[Código]]="","",CONCATENATE(LEFT(Tabela1768[[#This Row],[Código]],6),".SA")))</f>
        <v>TENE6.SA</v>
      </c>
      <c r="C98" s="3" t="s">
        <v>1140</v>
      </c>
      <c r="D98" s="3" t="s">
        <v>446</v>
      </c>
      <c r="E98" s="3" t="s">
        <v>447</v>
      </c>
      <c r="F98" s="3" t="s">
        <v>446</v>
      </c>
      <c r="G98" s="3" t="s">
        <v>446</v>
      </c>
      <c r="H98" s="51" t="s">
        <v>446</v>
      </c>
      <c r="J98" s="3" t="e">
        <f t="shared" si="2"/>
        <v>#VALUE!</v>
      </c>
      <c r="K98" s="3">
        <f t="shared" si="2"/>
        <v>0</v>
      </c>
      <c r="L98" s="3" t="e">
        <f t="shared" si="2"/>
        <v>#VALUE!</v>
      </c>
      <c r="M98" s="3" t="e">
        <f t="shared" si="2"/>
        <v>#VALUE!</v>
      </c>
      <c r="P98" s="14" t="s">
        <v>1136</v>
      </c>
      <c r="Q98" s="10" t="str">
        <f>IF(A98="","",C98)</f>
        <v>TEC BLUMENAU-PNB</v>
      </c>
      <c r="R98" s="51" t="str">
        <f>IF(A98="","",H98)</f>
        <v>N/A</v>
      </c>
      <c r="S98" s="5" t="e">
        <f>J98</f>
        <v>#VALUE!</v>
      </c>
      <c r="T98" s="5">
        <f>K98</f>
        <v>0</v>
      </c>
      <c r="U98" s="5" t="e">
        <f>L98</f>
        <v>#VALUE!</v>
      </c>
      <c r="V98" s="5" t="e">
        <f>M98</f>
        <v>#VALUE!</v>
      </c>
    </row>
    <row r="99" spans="1:22" x14ac:dyDescent="0.2">
      <c r="A99" s="33" t="str">
        <f>IF(Tabela1768[[#This Row],[Código]]="IBOV","^BVSP",IF(Tabela1768[[#This Row],[Código]]="","",CONCATENATE(LEFT(Tabela1768[[#This Row],[Código]],6),".SA")))</f>
        <v>TENE7.SA</v>
      </c>
      <c r="C99" s="3" t="s">
        <v>1141</v>
      </c>
      <c r="D99" s="3" t="s">
        <v>1142</v>
      </c>
      <c r="E99" s="3" t="s">
        <v>1142</v>
      </c>
      <c r="F99" s="3" t="s">
        <v>1142</v>
      </c>
      <c r="G99" s="3" t="s">
        <v>1142</v>
      </c>
      <c r="H99" s="51">
        <v>41689</v>
      </c>
      <c r="J99" s="3">
        <f t="shared" si="2"/>
        <v>0.78</v>
      </c>
      <c r="K99" s="3">
        <f t="shared" si="2"/>
        <v>0.78</v>
      </c>
      <c r="L99" s="3">
        <f t="shared" si="2"/>
        <v>0.78</v>
      </c>
      <c r="M99" s="3">
        <f t="shared" si="2"/>
        <v>0.78</v>
      </c>
      <c r="P99" s="14" t="s">
        <v>1137</v>
      </c>
      <c r="Q99" s="10" t="str">
        <f>IF(A99="","",C99)</f>
        <v>TEC BLUMENAU-PNC</v>
      </c>
      <c r="R99" s="51">
        <f>IF(A99="","",H99)</f>
        <v>41689</v>
      </c>
      <c r="S99" s="5">
        <f>J99</f>
        <v>0.78</v>
      </c>
      <c r="T99" s="5">
        <f>K99</f>
        <v>0.78</v>
      </c>
      <c r="U99" s="5">
        <f>L99</f>
        <v>0.78</v>
      </c>
      <c r="V99" s="5">
        <f>M99</f>
        <v>0.78</v>
      </c>
    </row>
    <row r="100" spans="1:22" x14ac:dyDescent="0.2">
      <c r="A100" s="33" t="str">
        <f>IF(Tabela1768[[#This Row],[Código]]="IBOV","^BVSP",IF(Tabela1768[[#This Row],[Código]]="","",CONCATENATE(LEFT(Tabela1768[[#This Row],[Código]],6),".SA")))</f>
        <v>TOYB3.SA</v>
      </c>
      <c r="C100" s="3" t="s">
        <v>1078</v>
      </c>
      <c r="D100" s="3" t="s">
        <v>1081</v>
      </c>
      <c r="E100" s="3" t="s">
        <v>1079</v>
      </c>
      <c r="F100" s="3" t="s">
        <v>1079</v>
      </c>
      <c r="G100" s="3" t="s">
        <v>1081</v>
      </c>
      <c r="H100" s="51">
        <v>41689</v>
      </c>
      <c r="J100" s="3">
        <f t="shared" si="2"/>
        <v>0.01</v>
      </c>
      <c r="K100" s="3">
        <f t="shared" si="2"/>
        <v>0.02</v>
      </c>
      <c r="L100" s="3">
        <f t="shared" si="2"/>
        <v>0.02</v>
      </c>
      <c r="M100" s="3">
        <f t="shared" si="2"/>
        <v>0.01</v>
      </c>
      <c r="P100" s="14" t="s">
        <v>1076</v>
      </c>
      <c r="Q100" s="10" t="str">
        <f>IF(A100="","",C100)</f>
        <v>TECTOY      -ON *</v>
      </c>
      <c r="R100" s="51">
        <f>IF(A100="","",H100)</f>
        <v>41689</v>
      </c>
      <c r="S100" s="5">
        <f>J100</f>
        <v>0.01</v>
      </c>
      <c r="T100" s="5">
        <f>K100</f>
        <v>0.02</v>
      </c>
      <c r="U100" s="5">
        <f>L100</f>
        <v>0.02</v>
      </c>
      <c r="V100" s="5">
        <f>M100</f>
        <v>0.01</v>
      </c>
    </row>
    <row r="101" spans="1:22" x14ac:dyDescent="0.2">
      <c r="A101" s="33" t="str">
        <f>IF(Tabela1768[[#This Row],[Código]]="IBOV","^BVSP",IF(Tabela1768[[#This Row],[Código]]="","",CONCATENATE(LEFT(Tabela1768[[#This Row],[Código]],6),".SA")))</f>
        <v>TOYB4.SA</v>
      </c>
      <c r="C101" s="3" t="s">
        <v>1080</v>
      </c>
      <c r="D101" s="3" t="s">
        <v>1081</v>
      </c>
      <c r="E101" s="3" t="s">
        <v>1079</v>
      </c>
      <c r="F101" s="3" t="s">
        <v>1079</v>
      </c>
      <c r="G101" s="3" t="s">
        <v>1081</v>
      </c>
      <c r="H101" s="51">
        <v>41689</v>
      </c>
      <c r="J101" s="3">
        <f t="shared" si="2"/>
        <v>0.01</v>
      </c>
      <c r="K101" s="3">
        <f t="shared" si="2"/>
        <v>0.02</v>
      </c>
      <c r="L101" s="3">
        <f t="shared" si="2"/>
        <v>0.02</v>
      </c>
      <c r="M101" s="3">
        <f t="shared" si="2"/>
        <v>0.01</v>
      </c>
      <c r="P101" s="15" t="s">
        <v>1077</v>
      </c>
      <c r="Q101" s="10" t="str">
        <f>IF(A101="","",C101)</f>
        <v>TECTOY      -PN *</v>
      </c>
      <c r="R101" s="51">
        <f>IF(A101="","",H101)</f>
        <v>41689</v>
      </c>
      <c r="S101" s="5">
        <f>J101</f>
        <v>0.01</v>
      </c>
      <c r="T101" s="5">
        <f>K101</f>
        <v>0.02</v>
      </c>
      <c r="U101" s="5">
        <f>L101</f>
        <v>0.02</v>
      </c>
      <c r="V101" s="5">
        <f>M101</f>
        <v>0.01</v>
      </c>
    </row>
    <row r="102" spans="1:22" x14ac:dyDescent="0.2">
      <c r="A102" s="33" t="str">
        <f>IF(Tabela1768[[#This Row],[Código]]="IBOV","^BVSP",IF(Tabela1768[[#This Row],[Código]]="","",CONCATENATE(LEFT(Tabela1768[[#This Row],[Código]],6),".SA")))</f>
        <v>TRIS3.SA</v>
      </c>
      <c r="C102" s="3" t="s">
        <v>1383</v>
      </c>
      <c r="D102" s="3" t="s">
        <v>1820</v>
      </c>
      <c r="E102" s="3" t="s">
        <v>1820</v>
      </c>
      <c r="F102" s="3" t="s">
        <v>1820</v>
      </c>
      <c r="G102" s="3" t="s">
        <v>1457</v>
      </c>
      <c r="H102" s="51">
        <v>41689</v>
      </c>
      <c r="J102" s="3">
        <f t="shared" si="2"/>
        <v>3.58</v>
      </c>
      <c r="K102" s="3">
        <f t="shared" si="2"/>
        <v>3.58</v>
      </c>
      <c r="L102" s="3">
        <f t="shared" si="2"/>
        <v>3.58</v>
      </c>
      <c r="M102" s="3">
        <f t="shared" si="2"/>
        <v>3.54</v>
      </c>
      <c r="P102" s="15" t="s">
        <v>1368</v>
      </c>
      <c r="Q102" s="10" t="str">
        <f>IF(A102="","",C102)</f>
        <v xml:space="preserve">TRISUL      -ON  </v>
      </c>
      <c r="R102" s="51">
        <f>IF(A102="","",H102)</f>
        <v>41689</v>
      </c>
      <c r="S102" s="5">
        <f>J102</f>
        <v>3.58</v>
      </c>
      <c r="T102" s="5">
        <f>K102</f>
        <v>3.58</v>
      </c>
      <c r="U102" s="5">
        <f>L102</f>
        <v>3.58</v>
      </c>
      <c r="V102" s="5">
        <f>M102</f>
        <v>3.54</v>
      </c>
    </row>
    <row r="103" spans="1:22" x14ac:dyDescent="0.2">
      <c r="A103" s="33" t="str">
        <f>IF(Tabela1768[[#This Row],[Código]]="IBOV","^BVSP",IF(Tabela1768[[#This Row],[Código]]="","",CONCATENATE(LEFT(Tabela1768[[#This Row],[Código]],6),".SA")))</f>
        <v>UCAS3.SA</v>
      </c>
      <c r="C103" s="3" t="s">
        <v>912</v>
      </c>
      <c r="D103" s="3" t="s">
        <v>1073</v>
      </c>
      <c r="E103" s="3" t="s">
        <v>1275</v>
      </c>
      <c r="F103" s="3" t="s">
        <v>1073</v>
      </c>
      <c r="G103" s="3" t="s">
        <v>1286</v>
      </c>
      <c r="H103" s="51">
        <v>41689</v>
      </c>
      <c r="J103" s="3">
        <f t="shared" si="2"/>
        <v>4.67</v>
      </c>
      <c r="K103" s="3">
        <f t="shared" si="2"/>
        <v>4.5599999999999996</v>
      </c>
      <c r="L103" s="3">
        <f t="shared" si="2"/>
        <v>4.67</v>
      </c>
      <c r="M103" s="3">
        <f t="shared" si="2"/>
        <v>4.51</v>
      </c>
      <c r="P103" s="14" t="s">
        <v>911</v>
      </c>
      <c r="Q103" s="10" t="str">
        <f>IF(A103="","",C103)</f>
        <v xml:space="preserve">UNICASA     -ON  </v>
      </c>
      <c r="R103" s="51">
        <f>IF(A103="","",H103)</f>
        <v>41689</v>
      </c>
      <c r="S103" s="5">
        <f>J103</f>
        <v>4.67</v>
      </c>
      <c r="T103" s="5">
        <f>K103</f>
        <v>4.5599999999999996</v>
      </c>
      <c r="U103" s="5">
        <f>L103</f>
        <v>4.67</v>
      </c>
      <c r="V103" s="5">
        <f>M103</f>
        <v>4.51</v>
      </c>
    </row>
    <row r="104" spans="1:22" x14ac:dyDescent="0.2">
      <c r="A104" s="33" t="str">
        <f>IF(Tabela1768[[#This Row],[Código]]="IBOV","^BVSP",IF(Tabela1768[[#This Row],[Código]]="","",CONCATENATE(LEFT(Tabela1768[[#This Row],[Código]],6),".SA")))</f>
        <v>VAGR3.SA</v>
      </c>
      <c r="C104" s="3" t="s">
        <v>887</v>
      </c>
      <c r="D104" s="3" t="s">
        <v>1062</v>
      </c>
      <c r="E104" s="3" t="s">
        <v>1016</v>
      </c>
      <c r="F104" s="3" t="s">
        <v>1268</v>
      </c>
      <c r="G104" s="3" t="s">
        <v>1011</v>
      </c>
      <c r="H104" s="51">
        <v>41689</v>
      </c>
      <c r="J104" s="3">
        <f t="shared" si="2"/>
        <v>3.1</v>
      </c>
      <c r="K104" s="3">
        <f t="shared" si="2"/>
        <v>3.09</v>
      </c>
      <c r="L104" s="3">
        <f t="shared" si="2"/>
        <v>3.11</v>
      </c>
      <c r="M104" s="3">
        <f t="shared" si="2"/>
        <v>3.07</v>
      </c>
      <c r="P104" s="15" t="s">
        <v>885</v>
      </c>
      <c r="Q104" s="10" t="str">
        <f>IF(A104="","",C104)</f>
        <v xml:space="preserve">V-AGRO      -ON  </v>
      </c>
      <c r="R104" s="51">
        <f>IF(A104="","",H104)</f>
        <v>41689</v>
      </c>
      <c r="S104" s="5">
        <f>J104</f>
        <v>3.1</v>
      </c>
      <c r="T104" s="5">
        <f>K104</f>
        <v>3.09</v>
      </c>
      <c r="U104" s="5">
        <f>L104</f>
        <v>3.11</v>
      </c>
      <c r="V104" s="5">
        <f>M104</f>
        <v>3.07</v>
      </c>
    </row>
    <row r="105" spans="1:22" x14ac:dyDescent="0.2">
      <c r="A105" s="33" t="str">
        <f>IF(Tabela1768[[#This Row],[Código]]="IBOV","^BVSP",IF(Tabela1768[[#This Row],[Código]]="","",CONCATENATE(LEFT(Tabela1768[[#This Row],[Código]],6),".SA")))</f>
        <v>VIVR3.SA</v>
      </c>
      <c r="C105" s="3" t="s">
        <v>1384</v>
      </c>
      <c r="D105" s="3" t="s">
        <v>751</v>
      </c>
      <c r="E105" s="3" t="s">
        <v>751</v>
      </c>
      <c r="F105" s="3" t="s">
        <v>537</v>
      </c>
      <c r="G105" s="3" t="s">
        <v>1269</v>
      </c>
      <c r="H105" s="51">
        <v>41689</v>
      </c>
      <c r="J105" s="3">
        <f t="shared" si="2"/>
        <v>0.17</v>
      </c>
      <c r="K105" s="3">
        <f t="shared" si="2"/>
        <v>0.17</v>
      </c>
      <c r="L105" s="3">
        <f t="shared" si="2"/>
        <v>0.18</v>
      </c>
      <c r="M105" s="3">
        <f t="shared" si="2"/>
        <v>0.16</v>
      </c>
      <c r="P105" s="14" t="s">
        <v>1369</v>
      </c>
      <c r="Q105" s="10" t="str">
        <f>IF(A105="","",C105)</f>
        <v xml:space="preserve">VIVER       -ON  </v>
      </c>
      <c r="R105" s="51">
        <f>IF(A105="","",H105)</f>
        <v>41689</v>
      </c>
      <c r="S105" s="5">
        <f>J105</f>
        <v>0.17</v>
      </c>
      <c r="T105" s="5">
        <f>K105</f>
        <v>0.17</v>
      </c>
      <c r="U105" s="5">
        <f>L105</f>
        <v>0.18</v>
      </c>
      <c r="V105" s="5">
        <f>M105</f>
        <v>0.16</v>
      </c>
    </row>
    <row r="106" spans="1:22" x14ac:dyDescent="0.2">
      <c r="A106" s="33" t="str">
        <f>IF(Tabela1768[[#This Row],[Código]]="IBOV","^BVSP",IF(Tabela1768[[#This Row],[Código]]="","",CONCATENATE(LEFT(Tabela1768[[#This Row],[Código]],6),".SA")))</f>
        <v>VVAR11.SA</v>
      </c>
      <c r="C106" s="3" t="s">
        <v>928</v>
      </c>
      <c r="D106" s="3" t="s">
        <v>1892</v>
      </c>
      <c r="E106" s="3" t="s">
        <v>2043</v>
      </c>
      <c r="F106" s="3" t="s">
        <v>1892</v>
      </c>
      <c r="G106" s="3" t="s">
        <v>1893</v>
      </c>
      <c r="H106" s="51">
        <v>41689</v>
      </c>
      <c r="J106" s="3">
        <f t="shared" si="2"/>
        <v>23.81</v>
      </c>
      <c r="K106" s="3">
        <f t="shared" si="2"/>
        <v>23.19</v>
      </c>
      <c r="L106" s="3">
        <f t="shared" si="2"/>
        <v>23.81</v>
      </c>
      <c r="M106" s="3">
        <f t="shared" si="2"/>
        <v>22.93</v>
      </c>
      <c r="P106" s="15" t="s">
        <v>925</v>
      </c>
      <c r="Q106" s="10" t="str">
        <f>IF(A106="","",C106)</f>
        <v xml:space="preserve">VIAVAREJO   -UNT </v>
      </c>
      <c r="R106" s="51">
        <f>IF(A106="","",H106)</f>
        <v>41689</v>
      </c>
      <c r="S106" s="5">
        <f>J106</f>
        <v>23.81</v>
      </c>
      <c r="T106" s="5">
        <f>K106</f>
        <v>23.19</v>
      </c>
      <c r="U106" s="5">
        <f>L106</f>
        <v>23.81</v>
      </c>
      <c r="V106" s="5">
        <f>M106</f>
        <v>22.93</v>
      </c>
    </row>
    <row r="107" spans="1:22" x14ac:dyDescent="0.2">
      <c r="A107" s="33" t="str">
        <f>IF(Tabela1768[[#This Row],[Código]]="IBOV","^BVSP",IF(Tabela1768[[#This Row],[Código]]="","",CONCATENATE(LEFT(Tabela1768[[#This Row],[Código]],6),".SA")))</f>
        <v>VVAR3.SA</v>
      </c>
      <c r="C107" s="3" t="s">
        <v>929</v>
      </c>
      <c r="D107" s="3" t="s">
        <v>1287</v>
      </c>
      <c r="E107" s="3" t="s">
        <v>1287</v>
      </c>
      <c r="F107" s="3" t="s">
        <v>1287</v>
      </c>
      <c r="G107" s="3" t="s">
        <v>1287</v>
      </c>
      <c r="H107" s="51">
        <v>41689</v>
      </c>
      <c r="J107" s="3">
        <f t="shared" si="2"/>
        <v>6.6</v>
      </c>
      <c r="K107" s="3">
        <f t="shared" si="2"/>
        <v>6.6</v>
      </c>
      <c r="L107" s="3">
        <f t="shared" si="2"/>
        <v>6.6</v>
      </c>
      <c r="M107" s="3">
        <f t="shared" si="2"/>
        <v>6.6</v>
      </c>
      <c r="P107" s="14" t="s">
        <v>926</v>
      </c>
      <c r="Q107" s="10" t="str">
        <f>IF(A107="","",C107)</f>
        <v xml:space="preserve">VIAVAREJO   -ON  </v>
      </c>
      <c r="R107" s="51">
        <f>IF(A107="","",H107)</f>
        <v>41689</v>
      </c>
      <c r="S107" s="5">
        <f>J107</f>
        <v>6.6</v>
      </c>
      <c r="T107" s="5">
        <f>K107</f>
        <v>6.6</v>
      </c>
      <c r="U107" s="5">
        <f>L107</f>
        <v>6.6</v>
      </c>
      <c r="V107" s="5">
        <f>M107</f>
        <v>6.6</v>
      </c>
    </row>
    <row r="108" spans="1:22" x14ac:dyDescent="0.2">
      <c r="A108" s="33" t="str">
        <f>IF(Tabela1768[[#This Row],[Código]]="IBOV","^BVSP",IF(Tabela1768[[#This Row],[Código]]="","",CONCATENATE(LEFT(Tabela1768[[#This Row],[Código]],6),".SA")))</f>
        <v>VVAR4.SA</v>
      </c>
      <c r="C108" s="3" t="s">
        <v>930</v>
      </c>
      <c r="D108" s="3" t="s">
        <v>446</v>
      </c>
      <c r="E108" s="3" t="s">
        <v>447</v>
      </c>
      <c r="F108" s="3" t="s">
        <v>446</v>
      </c>
      <c r="G108" s="3" t="s">
        <v>446</v>
      </c>
      <c r="H108" s="51" t="s">
        <v>446</v>
      </c>
      <c r="J108" s="3" t="e">
        <f t="shared" si="2"/>
        <v>#VALUE!</v>
      </c>
      <c r="K108" s="3">
        <f t="shared" si="2"/>
        <v>0</v>
      </c>
      <c r="L108" s="3" t="e">
        <f t="shared" si="2"/>
        <v>#VALUE!</v>
      </c>
      <c r="M108" s="3" t="e">
        <f t="shared" si="2"/>
        <v>#VALUE!</v>
      </c>
      <c r="P108" s="14" t="s">
        <v>927</v>
      </c>
      <c r="Q108" s="10" t="str">
        <f>IF(A108="","",C108)</f>
        <v xml:space="preserve">VIAVAREJO   -PN  </v>
      </c>
      <c r="R108" s="51" t="str">
        <f>IF(A108="","",H108)</f>
        <v>N/A</v>
      </c>
      <c r="S108" s="5" t="e">
        <f>J108</f>
        <v>#VALUE!</v>
      </c>
      <c r="T108" s="5">
        <f>K108</f>
        <v>0</v>
      </c>
      <c r="U108" s="5" t="e">
        <f>L108</f>
        <v>#VALUE!</v>
      </c>
      <c r="V108" s="5" t="e">
        <f>M108</f>
        <v>#VALUE!</v>
      </c>
    </row>
    <row r="109" spans="1:22" x14ac:dyDescent="0.2">
      <c r="A109" s="33" t="str">
        <f>IF(Tabela1768[[#This Row],[Código]]="IBOV","^BVSP",IF(Tabela1768[[#This Row],[Código]]="","",CONCATENATE(LEFT(Tabela1768[[#This Row],[Código]],6),".SA")))</f>
        <v>WHRL3.SA</v>
      </c>
      <c r="C109" s="3" t="s">
        <v>916</v>
      </c>
      <c r="D109" s="3" t="s">
        <v>1894</v>
      </c>
      <c r="E109" s="3" t="s">
        <v>1458</v>
      </c>
      <c r="F109" s="3" t="s">
        <v>1458</v>
      </c>
      <c r="G109" s="3" t="s">
        <v>984</v>
      </c>
      <c r="H109" s="51">
        <v>41689</v>
      </c>
      <c r="J109" s="3">
        <f t="shared" si="2"/>
        <v>3.56</v>
      </c>
      <c r="K109" s="3">
        <f t="shared" si="2"/>
        <v>3.74</v>
      </c>
      <c r="L109" s="3">
        <f t="shared" si="2"/>
        <v>3.74</v>
      </c>
      <c r="M109" s="3">
        <f t="shared" si="2"/>
        <v>3.55</v>
      </c>
      <c r="P109" s="15" t="s">
        <v>914</v>
      </c>
      <c r="Q109" s="10" t="str">
        <f>IF(A109="","",C109)</f>
        <v>WHIRLPOOL   -ON</v>
      </c>
      <c r="R109" s="51">
        <f>IF(A109="","",H109)</f>
        <v>41689</v>
      </c>
      <c r="S109" s="5">
        <f>J109</f>
        <v>3.56</v>
      </c>
      <c r="T109" s="5">
        <f>K109</f>
        <v>3.74</v>
      </c>
      <c r="U109" s="5">
        <f>L109</f>
        <v>3.74</v>
      </c>
      <c r="V109" s="5">
        <f>M109</f>
        <v>3.55</v>
      </c>
    </row>
    <row r="110" spans="1:22" x14ac:dyDescent="0.2">
      <c r="A110" s="33" t="str">
        <f>IF(Tabela1768[[#This Row],[Código]]="IBOV","^BVSP",IF(Tabela1768[[#This Row],[Código]]="","",CONCATENATE(LEFT(Tabela1768[[#This Row],[Código]],6),".SA")))</f>
        <v>WHRL4.SA</v>
      </c>
      <c r="C110" s="3" t="s">
        <v>917</v>
      </c>
      <c r="D110" s="3" t="s">
        <v>1895</v>
      </c>
      <c r="E110" s="3" t="s">
        <v>190</v>
      </c>
      <c r="F110" s="3" t="s">
        <v>1895</v>
      </c>
      <c r="G110" s="3" t="s">
        <v>190</v>
      </c>
      <c r="H110" s="51">
        <v>41689</v>
      </c>
      <c r="J110" s="3">
        <f t="shared" si="2"/>
        <v>4.05</v>
      </c>
      <c r="K110" s="3">
        <f t="shared" si="2"/>
        <v>4</v>
      </c>
      <c r="L110" s="3">
        <f t="shared" si="2"/>
        <v>4.05</v>
      </c>
      <c r="M110" s="3">
        <f t="shared" si="2"/>
        <v>4</v>
      </c>
      <c r="P110" s="10" t="s">
        <v>915</v>
      </c>
      <c r="Q110" s="10" t="str">
        <f>IF(A110="","",C110)</f>
        <v>WHIRLPOOL   -PN</v>
      </c>
      <c r="R110" s="51">
        <f>IF(A110="","",H110)</f>
        <v>41689</v>
      </c>
      <c r="S110" s="5">
        <f>J110</f>
        <v>4.05</v>
      </c>
      <c r="T110" s="5">
        <f>K110</f>
        <v>4</v>
      </c>
      <c r="U110" s="5">
        <f>L110</f>
        <v>4.05</v>
      </c>
      <c r="V110" s="5">
        <f>M110</f>
        <v>4</v>
      </c>
    </row>
    <row r="111" spans="1:22" x14ac:dyDescent="0.2">
      <c r="A111" s="33" t="str">
        <f>IF(Tabela1768[[#This Row],[Código]]="IBOV","^BVSP",IF(Tabela1768[[#This Row],[Código]]="","",CONCATENATE(LEFT(Tabela1768[[#This Row],[Código]],6),".SA")))</f>
        <v>WMBY3.SA</v>
      </c>
      <c r="C111" s="3" t="s">
        <v>1129</v>
      </c>
      <c r="D111" s="3" t="s">
        <v>446</v>
      </c>
      <c r="E111" s="3" t="s">
        <v>1130</v>
      </c>
      <c r="F111" s="3" t="s">
        <v>1130</v>
      </c>
      <c r="G111" s="3" t="s">
        <v>1130</v>
      </c>
      <c r="H111" s="51">
        <v>41689</v>
      </c>
      <c r="J111" s="3" t="e">
        <f t="shared" si="2"/>
        <v>#VALUE!</v>
      </c>
      <c r="K111" s="3">
        <f t="shared" si="2"/>
        <v>25.39</v>
      </c>
      <c r="L111" s="3">
        <f t="shared" si="2"/>
        <v>25.39</v>
      </c>
      <c r="M111" s="3">
        <f t="shared" si="2"/>
        <v>25.39</v>
      </c>
      <c r="P111" s="10" t="s">
        <v>1128</v>
      </c>
      <c r="Q111" s="10" t="str">
        <f>IF(A111="","",C111)</f>
        <v>WEMBLEY     -ON</v>
      </c>
      <c r="R111" s="51">
        <f>IF(A111="","",H111)</f>
        <v>41689</v>
      </c>
      <c r="S111" s="5" t="e">
        <f>J111</f>
        <v>#VALUE!</v>
      </c>
      <c r="T111" s="5">
        <f>K111</f>
        <v>25.39</v>
      </c>
      <c r="U111" s="5">
        <f>L111</f>
        <v>25.39</v>
      </c>
      <c r="V111" s="5">
        <f>M111</f>
        <v>25.39</v>
      </c>
    </row>
    <row r="112" spans="1:22" x14ac:dyDescent="0.2">
      <c r="A112" s="33" t="str">
        <f>IF(Tabela1768[[#This Row],[Código]]="IBOV","^BVSP",IF(Tabela1768[[#This Row],[Código]]="","",CONCATENATE(LEFT(Tabela1768[[#This Row],[Código]],6),".SA")))</f>
        <v/>
      </c>
      <c r="C112" s="3" t="s">
        <v>101</v>
      </c>
      <c r="H112" s="51"/>
      <c r="J112" s="3">
        <f t="shared" si="2"/>
        <v>0</v>
      </c>
      <c r="K112" s="3">
        <f t="shared" si="2"/>
        <v>0</v>
      </c>
      <c r="L112" s="3">
        <f t="shared" si="2"/>
        <v>0</v>
      </c>
      <c r="M112" s="3">
        <f t="shared" si="2"/>
        <v>0</v>
      </c>
      <c r="Q112" s="10" t="str">
        <f>IF(A112="","",C112)</f>
        <v/>
      </c>
      <c r="R112" s="51" t="str">
        <f>IF(A112="","",H112)</f>
        <v/>
      </c>
      <c r="S112" s="5">
        <f>J112</f>
        <v>0</v>
      </c>
      <c r="T112" s="5">
        <f>K112</f>
        <v>0</v>
      </c>
      <c r="U112" s="5">
        <f>L112</f>
        <v>0</v>
      </c>
      <c r="V112" s="5">
        <f>M112</f>
        <v>0</v>
      </c>
    </row>
    <row r="113" spans="1:22" x14ac:dyDescent="0.2">
      <c r="A113" s="33"/>
      <c r="H113" s="51"/>
      <c r="J113" s="3">
        <f t="shared" si="2"/>
        <v>0</v>
      </c>
      <c r="K113" s="3">
        <f t="shared" si="2"/>
        <v>0</v>
      </c>
      <c r="L113" s="3">
        <f t="shared" si="2"/>
        <v>0</v>
      </c>
      <c r="M113" s="3">
        <f t="shared" si="2"/>
        <v>0</v>
      </c>
      <c r="Q113" s="10" t="str">
        <f t="shared" ref="Q113:Q131" si="3">IF(A117="","",C117)</f>
        <v/>
      </c>
      <c r="R113" s="51" t="str">
        <f t="shared" ref="R113:R131" si="4">IF(A117="","",H117)</f>
        <v/>
      </c>
      <c r="S113" s="5">
        <f t="shared" ref="S113:V131" si="5">J117</f>
        <v>0</v>
      </c>
      <c r="T113" s="5">
        <f t="shared" si="5"/>
        <v>0</v>
      </c>
      <c r="U113" s="5">
        <f t="shared" si="5"/>
        <v>0</v>
      </c>
      <c r="V113" s="5">
        <f t="shared" si="5"/>
        <v>0</v>
      </c>
    </row>
    <row r="114" spans="1:22" x14ac:dyDescent="0.2">
      <c r="A114" s="33"/>
      <c r="J114" s="3">
        <f t="shared" si="2"/>
        <v>0</v>
      </c>
      <c r="K114" s="3">
        <f>IF($A114="",0,VALUE(CONCATENATE(LEFT(E114,LEN(E114)-3),",",RIGHT(E114,2))))</f>
        <v>0</v>
      </c>
      <c r="L114" s="3">
        <f t="shared" si="2"/>
        <v>0</v>
      </c>
      <c r="M114" s="3">
        <f t="shared" si="2"/>
        <v>0</v>
      </c>
      <c r="Q114" s="10" t="str">
        <f t="shared" si="3"/>
        <v/>
      </c>
      <c r="R114" s="51" t="str">
        <f t="shared" si="4"/>
        <v/>
      </c>
      <c r="S114" s="5">
        <f t="shared" si="5"/>
        <v>0</v>
      </c>
      <c r="T114" s="5">
        <f t="shared" si="5"/>
        <v>0</v>
      </c>
      <c r="U114" s="5">
        <f t="shared" si="5"/>
        <v>0</v>
      </c>
      <c r="V114" s="5">
        <f t="shared" si="5"/>
        <v>0</v>
      </c>
    </row>
    <row r="115" spans="1:22" x14ac:dyDescent="0.2">
      <c r="A115" s="33"/>
      <c r="J115" s="3">
        <f t="shared" si="2"/>
        <v>0</v>
      </c>
      <c r="K115" s="3">
        <f t="shared" si="2"/>
        <v>0</v>
      </c>
      <c r="L115" s="3">
        <f t="shared" si="2"/>
        <v>0</v>
      </c>
      <c r="M115" s="3">
        <f t="shared" si="2"/>
        <v>0</v>
      </c>
      <c r="Q115" s="10" t="str">
        <f t="shared" si="3"/>
        <v/>
      </c>
      <c r="R115" s="51" t="str">
        <f t="shared" si="4"/>
        <v/>
      </c>
      <c r="S115" s="5">
        <f t="shared" si="5"/>
        <v>0</v>
      </c>
      <c r="T115" s="5">
        <f t="shared" si="5"/>
        <v>0</v>
      </c>
      <c r="U115" s="5">
        <f t="shared" si="5"/>
        <v>0</v>
      </c>
      <c r="V115" s="5">
        <f t="shared" si="5"/>
        <v>0</v>
      </c>
    </row>
    <row r="116" spans="1:22" x14ac:dyDescent="0.2">
      <c r="A116" s="33"/>
      <c r="J116" s="3">
        <f t="shared" si="2"/>
        <v>0</v>
      </c>
      <c r="K116" s="3">
        <f t="shared" si="2"/>
        <v>0</v>
      </c>
      <c r="L116" s="3">
        <f t="shared" si="2"/>
        <v>0</v>
      </c>
      <c r="M116" s="3">
        <f t="shared" si="2"/>
        <v>0</v>
      </c>
      <c r="Q116" s="10" t="str">
        <f t="shared" si="3"/>
        <v/>
      </c>
      <c r="R116" s="51" t="str">
        <f t="shared" si="4"/>
        <v/>
      </c>
      <c r="S116" s="5">
        <f t="shared" si="5"/>
        <v>0</v>
      </c>
      <c r="T116" s="5">
        <f t="shared" si="5"/>
        <v>0</v>
      </c>
      <c r="U116" s="5">
        <f t="shared" si="5"/>
        <v>0</v>
      </c>
      <c r="V116" s="5">
        <f t="shared" si="5"/>
        <v>0</v>
      </c>
    </row>
    <row r="117" spans="1:22" x14ac:dyDescent="0.2">
      <c r="A117" s="33"/>
      <c r="J117" s="3">
        <f t="shared" si="2"/>
        <v>0</v>
      </c>
      <c r="K117" s="3">
        <f t="shared" si="2"/>
        <v>0</v>
      </c>
      <c r="L117" s="3">
        <f t="shared" si="2"/>
        <v>0</v>
      </c>
      <c r="M117" s="3">
        <f t="shared" si="2"/>
        <v>0</v>
      </c>
      <c r="Q117" s="10" t="e">
        <f t="shared" si="3"/>
        <v>#VALUE!</v>
      </c>
      <c r="R117" s="51" t="e">
        <f t="shared" si="4"/>
        <v>#VALUE!</v>
      </c>
      <c r="S117" s="5" t="e">
        <f t="shared" si="5"/>
        <v>#VALUE!</v>
      </c>
      <c r="T117" s="5" t="e">
        <f t="shared" si="5"/>
        <v>#VALUE!</v>
      </c>
      <c r="U117" s="5" t="e">
        <f t="shared" si="5"/>
        <v>#VALUE!</v>
      </c>
      <c r="V117" s="5" t="e">
        <f t="shared" si="5"/>
        <v>#VALUE!</v>
      </c>
    </row>
    <row r="118" spans="1:22" x14ac:dyDescent="0.2">
      <c r="A118" s="33"/>
      <c r="J118" s="3">
        <f t="shared" si="2"/>
        <v>0</v>
      </c>
      <c r="K118" s="3">
        <f t="shared" si="2"/>
        <v>0</v>
      </c>
      <c r="L118" s="3">
        <f t="shared" si="2"/>
        <v>0</v>
      </c>
      <c r="M118" s="3">
        <f t="shared" si="2"/>
        <v>0</v>
      </c>
      <c r="Q118" s="10" t="e">
        <f t="shared" si="3"/>
        <v>#VALUE!</v>
      </c>
      <c r="R118" s="51" t="e">
        <f t="shared" si="4"/>
        <v>#VALUE!</v>
      </c>
      <c r="S118" s="5" t="e">
        <f t="shared" si="5"/>
        <v>#VALUE!</v>
      </c>
      <c r="T118" s="5" t="e">
        <f t="shared" si="5"/>
        <v>#VALUE!</v>
      </c>
      <c r="U118" s="5" t="e">
        <f t="shared" si="5"/>
        <v>#VALUE!</v>
      </c>
      <c r="V118" s="5" t="e">
        <f t="shared" si="5"/>
        <v>#VALUE!</v>
      </c>
    </row>
    <row r="119" spans="1:22" x14ac:dyDescent="0.2">
      <c r="A119" s="33"/>
      <c r="J119" s="3">
        <f t="shared" si="2"/>
        <v>0</v>
      </c>
      <c r="K119" s="3">
        <f t="shared" si="2"/>
        <v>0</v>
      </c>
      <c r="L119" s="3">
        <f t="shared" si="2"/>
        <v>0</v>
      </c>
      <c r="M119" s="3">
        <f t="shared" si="2"/>
        <v>0</v>
      </c>
      <c r="Q119" s="10" t="e">
        <f t="shared" si="3"/>
        <v>#VALUE!</v>
      </c>
      <c r="R119" s="51" t="e">
        <f t="shared" si="4"/>
        <v>#VALUE!</v>
      </c>
      <c r="S119" s="5" t="e">
        <f t="shared" si="5"/>
        <v>#VALUE!</v>
      </c>
      <c r="T119" s="5" t="e">
        <f t="shared" si="5"/>
        <v>#VALUE!</v>
      </c>
      <c r="U119" s="5" t="e">
        <f t="shared" si="5"/>
        <v>#VALUE!</v>
      </c>
      <c r="V119" s="5" t="e">
        <f t="shared" si="5"/>
        <v>#VALUE!</v>
      </c>
    </row>
    <row r="120" spans="1:22" x14ac:dyDescent="0.2">
      <c r="A120" s="33"/>
      <c r="J120" s="3">
        <f t="shared" si="2"/>
        <v>0</v>
      </c>
      <c r="K120" s="3">
        <f t="shared" si="2"/>
        <v>0</v>
      </c>
      <c r="L120" s="3">
        <f t="shared" si="2"/>
        <v>0</v>
      </c>
      <c r="M120" s="3">
        <f t="shared" si="2"/>
        <v>0</v>
      </c>
      <c r="Q120" s="10" t="e">
        <f t="shared" si="3"/>
        <v>#VALUE!</v>
      </c>
      <c r="R120" s="51" t="e">
        <f t="shared" si="4"/>
        <v>#VALUE!</v>
      </c>
      <c r="S120" s="5" t="e">
        <f t="shared" si="5"/>
        <v>#VALUE!</v>
      </c>
      <c r="T120" s="5" t="e">
        <f t="shared" si="5"/>
        <v>#VALUE!</v>
      </c>
      <c r="U120" s="5" t="e">
        <f t="shared" si="5"/>
        <v>#VALUE!</v>
      </c>
      <c r="V120" s="5" t="e">
        <f t="shared" si="5"/>
        <v>#VALUE!</v>
      </c>
    </row>
    <row r="121" spans="1:22" x14ac:dyDescent="0.2">
      <c r="A121" s="33" t="e">
        <f>IF(Tabela1768[[#This Row],[Código]]="IBOV","^BVSP",IF(Tabela1768[[#This Row],[Código]]="","",CONCATENATE(LEFT(Tabela1768[[#This Row],[Código]],6),".SA")))</f>
        <v>#VALUE!</v>
      </c>
      <c r="J121" s="3" t="e">
        <f t="shared" si="2"/>
        <v>#VALUE!</v>
      </c>
      <c r="K121" s="3" t="e">
        <f t="shared" si="2"/>
        <v>#VALUE!</v>
      </c>
      <c r="L121" s="3" t="e">
        <f t="shared" si="2"/>
        <v>#VALUE!</v>
      </c>
      <c r="M121" s="3" t="e">
        <f t="shared" si="2"/>
        <v>#VALUE!</v>
      </c>
      <c r="Q121" s="10" t="e">
        <f t="shared" si="3"/>
        <v>#VALUE!</v>
      </c>
      <c r="R121" s="51" t="e">
        <f t="shared" si="4"/>
        <v>#VALUE!</v>
      </c>
      <c r="S121" s="5" t="e">
        <f t="shared" si="5"/>
        <v>#VALUE!</v>
      </c>
      <c r="T121" s="5" t="e">
        <f t="shared" si="5"/>
        <v>#VALUE!</v>
      </c>
      <c r="U121" s="5" t="e">
        <f t="shared" si="5"/>
        <v>#VALUE!</v>
      </c>
      <c r="V121" s="5" t="e">
        <f t="shared" si="5"/>
        <v>#VALUE!</v>
      </c>
    </row>
    <row r="122" spans="1:22" x14ac:dyDescent="0.2">
      <c r="A122" s="33" t="e">
        <f>IF(Tabela1768[[#This Row],[Código]]="IBOV","^BVSP",IF(Tabela1768[[#This Row],[Código]]="","",CONCATENATE(LEFT(Tabela1768[[#This Row],[Código]],6),".SA")))</f>
        <v>#VALUE!</v>
      </c>
      <c r="J122" s="3" t="e">
        <f t="shared" si="2"/>
        <v>#VALUE!</v>
      </c>
      <c r="K122" s="3" t="e">
        <f t="shared" si="2"/>
        <v>#VALUE!</v>
      </c>
      <c r="L122" s="3" t="e">
        <f t="shared" si="2"/>
        <v>#VALUE!</v>
      </c>
      <c r="M122" s="3" t="e">
        <f t="shared" si="2"/>
        <v>#VALUE!</v>
      </c>
      <c r="Q122" s="10" t="e">
        <f t="shared" si="3"/>
        <v>#VALUE!</v>
      </c>
      <c r="R122" s="51" t="e">
        <f t="shared" si="4"/>
        <v>#VALUE!</v>
      </c>
      <c r="S122" s="5" t="e">
        <f t="shared" si="5"/>
        <v>#VALUE!</v>
      </c>
      <c r="T122" s="5" t="e">
        <f t="shared" si="5"/>
        <v>#VALUE!</v>
      </c>
      <c r="U122" s="5" t="e">
        <f t="shared" si="5"/>
        <v>#VALUE!</v>
      </c>
      <c r="V122" s="5" t="e">
        <f t="shared" si="5"/>
        <v>#VALUE!</v>
      </c>
    </row>
    <row r="123" spans="1:22" x14ac:dyDescent="0.2">
      <c r="A123" s="33" t="e">
        <f>IF(Tabela1768[[#This Row],[Código]]="IBOV","^BVSP",IF(Tabela1768[[#This Row],[Código]]="","",CONCATENATE(LEFT(Tabela1768[[#This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"/>
        <v>#VALUE!</v>
      </c>
      <c r="L123" s="3" t="e">
        <f t="shared" si="2"/>
        <v>#VALUE!</v>
      </c>
      <c r="M123" s="3" t="e">
        <f t="shared" si="2"/>
        <v>#VALUE!</v>
      </c>
      <c r="Q123" s="10" t="e">
        <f t="shared" si="3"/>
        <v>#VALUE!</v>
      </c>
      <c r="R123" s="51" t="e">
        <f t="shared" si="4"/>
        <v>#VALUE!</v>
      </c>
      <c r="S123" s="5" t="e">
        <f t="shared" si="5"/>
        <v>#VALUE!</v>
      </c>
      <c r="T123" s="5" t="e">
        <f t="shared" si="5"/>
        <v>#VALUE!</v>
      </c>
      <c r="U123" s="5" t="e">
        <f t="shared" si="5"/>
        <v>#VALUE!</v>
      </c>
      <c r="V123" s="5" t="e">
        <f t="shared" si="5"/>
        <v>#VALUE!</v>
      </c>
    </row>
    <row r="124" spans="1:22" x14ac:dyDescent="0.2">
      <c r="A124" s="33" t="e">
        <f>IF(Tabela1768[[#This Row],[Código]]="IBOV","^BVSP",IF(Tabela1768[[#This Row],[Código]]="","",CONCATENATE(LEFT(Tabela1768[[#This Row],[Código]],6),".SA")))</f>
        <v>#VALUE!</v>
      </c>
      <c r="J124" s="3" t="e">
        <f t="shared" si="2"/>
        <v>#VALUE!</v>
      </c>
      <c r="K124" s="3" t="e">
        <f t="shared" si="2"/>
        <v>#VALUE!</v>
      </c>
      <c r="L124" s="3" t="e">
        <f t="shared" si="2"/>
        <v>#VALUE!</v>
      </c>
      <c r="M124" s="3" t="e">
        <f t="shared" si="2"/>
        <v>#VALUE!</v>
      </c>
      <c r="Q124" s="10" t="e">
        <f t="shared" si="3"/>
        <v>#VALUE!</v>
      </c>
      <c r="R124" s="51" t="e">
        <f t="shared" si="4"/>
        <v>#VALUE!</v>
      </c>
      <c r="S124" s="5" t="e">
        <f t="shared" si="5"/>
        <v>#VALUE!</v>
      </c>
      <c r="T124" s="5" t="e">
        <f t="shared" si="5"/>
        <v>#VALUE!</v>
      </c>
      <c r="U124" s="5" t="e">
        <f t="shared" si="5"/>
        <v>#VALUE!</v>
      </c>
      <c r="V124" s="5" t="e">
        <f t="shared" si="5"/>
        <v>#VALUE!</v>
      </c>
    </row>
    <row r="125" spans="1:22" x14ac:dyDescent="0.2">
      <c r="A125" s="33" t="e">
        <f>IF(Tabela1768[[#This Row],[Código]]="IBOV","^BVSP",IF(Tabela1768[[#This Row],[Código]]="","",CONCATENATE(LEFT(Tabela1768[[#This Row],[Código]],6),".SA")))</f>
        <v>#VALUE!</v>
      </c>
      <c r="J125" s="3" t="e">
        <f t="shared" si="2"/>
        <v>#VALUE!</v>
      </c>
      <c r="K125" s="3" t="e">
        <f t="shared" si="2"/>
        <v>#VALUE!</v>
      </c>
      <c r="L125" s="3" t="e">
        <f t="shared" si="2"/>
        <v>#VALUE!</v>
      </c>
      <c r="M125" s="3" t="e">
        <f t="shared" si="2"/>
        <v>#VALUE!</v>
      </c>
      <c r="Q125" s="10" t="e">
        <f t="shared" si="3"/>
        <v>#VALUE!</v>
      </c>
      <c r="R125" s="51" t="e">
        <f t="shared" si="4"/>
        <v>#VALUE!</v>
      </c>
      <c r="S125" s="5" t="e">
        <f t="shared" si="5"/>
        <v>#VALUE!</v>
      </c>
      <c r="T125" s="5" t="e">
        <f t="shared" si="5"/>
        <v>#VALUE!</v>
      </c>
      <c r="U125" s="5" t="e">
        <f t="shared" si="5"/>
        <v>#VALUE!</v>
      </c>
      <c r="V125" s="5" t="e">
        <f t="shared" si="5"/>
        <v>#VALUE!</v>
      </c>
    </row>
    <row r="126" spans="1:22" x14ac:dyDescent="0.2">
      <c r="A126" s="33" t="e">
        <f>IF(Tabela1768[[#This Row],[Código]]="IBOV","^BVSP",IF(Tabela1768[[#This Row],[Código]]="","",CONCATENATE(LEFT(Tabela1768[[#This Row],[Código]],6),".SA")))</f>
        <v>#VALUE!</v>
      </c>
      <c r="J126" s="3" t="e">
        <f t="shared" si="2"/>
        <v>#VALUE!</v>
      </c>
      <c r="K126" s="3" t="e">
        <f t="shared" si="2"/>
        <v>#VALUE!</v>
      </c>
      <c r="L126" s="3" t="e">
        <f t="shared" si="2"/>
        <v>#VALUE!</v>
      </c>
      <c r="M126" s="3" t="e">
        <f t="shared" si="2"/>
        <v>#VALUE!</v>
      </c>
      <c r="Q126" s="10" t="e">
        <f t="shared" si="3"/>
        <v>#VALUE!</v>
      </c>
      <c r="R126" s="51" t="e">
        <f t="shared" si="4"/>
        <v>#VALUE!</v>
      </c>
      <c r="S126" s="5" t="e">
        <f t="shared" si="5"/>
        <v>#VALUE!</v>
      </c>
      <c r="T126" s="5" t="e">
        <f t="shared" si="5"/>
        <v>#VALUE!</v>
      </c>
      <c r="U126" s="5" t="e">
        <f t="shared" si="5"/>
        <v>#VALUE!</v>
      </c>
      <c r="V126" s="5" t="e">
        <f t="shared" si="5"/>
        <v>#VALUE!</v>
      </c>
    </row>
    <row r="127" spans="1:22" x14ac:dyDescent="0.2">
      <c r="A127" s="33" t="e">
        <f>IF(Tabela1768[[#This Row],[Código]]="IBOV","^BVSP",IF(Tabela1768[[#This Row],[Código]]="","",CONCATENATE(LEFT(Tabela1768[[#This Row],[Código]],6),".SA")))</f>
        <v>#VALUE!</v>
      </c>
      <c r="J127" s="3" t="e">
        <f t="shared" si="2"/>
        <v>#VALUE!</v>
      </c>
      <c r="K127" s="3" t="e">
        <f t="shared" si="2"/>
        <v>#VALUE!</v>
      </c>
      <c r="L127" s="3" t="e">
        <f t="shared" si="2"/>
        <v>#VALUE!</v>
      </c>
      <c r="M127" s="3" t="e">
        <f t="shared" si="2"/>
        <v>#VALUE!</v>
      </c>
      <c r="Q127" s="10" t="e">
        <f t="shared" si="3"/>
        <v>#VALUE!</v>
      </c>
      <c r="R127" s="51" t="e">
        <f t="shared" si="4"/>
        <v>#VALUE!</v>
      </c>
      <c r="S127" s="5" t="e">
        <f t="shared" si="5"/>
        <v>#VALUE!</v>
      </c>
      <c r="T127" s="5" t="e">
        <f t="shared" si="5"/>
        <v>#VALUE!</v>
      </c>
      <c r="U127" s="5" t="e">
        <f t="shared" si="5"/>
        <v>#VALUE!</v>
      </c>
      <c r="V127" s="5" t="e">
        <f t="shared" si="5"/>
        <v>#VALUE!</v>
      </c>
    </row>
    <row r="128" spans="1:22" x14ac:dyDescent="0.2">
      <c r="A128" s="33" t="e">
        <f>IF(Tabela1768[[#This Row],[Código]]="IBOV","^BVSP",IF(Tabela1768[[#This Row],[Código]]="","",CONCATENATE(LEFT(Tabela1768[[#This Row],[Código]],6),".SA")))</f>
        <v>#VALUE!</v>
      </c>
      <c r="J128" s="3" t="e">
        <f t="shared" si="2"/>
        <v>#VALUE!</v>
      </c>
      <c r="K128" s="3" t="e">
        <f t="shared" si="2"/>
        <v>#VALUE!</v>
      </c>
      <c r="L128" s="3" t="e">
        <f t="shared" si="2"/>
        <v>#VALUE!</v>
      </c>
      <c r="M128" s="3" t="e">
        <f t="shared" si="2"/>
        <v>#VALUE!</v>
      </c>
      <c r="Q128" s="10" t="e">
        <f t="shared" si="3"/>
        <v>#VALUE!</v>
      </c>
      <c r="R128" s="51" t="e">
        <f t="shared" si="4"/>
        <v>#VALUE!</v>
      </c>
      <c r="S128" s="5" t="e">
        <f t="shared" si="5"/>
        <v>#VALUE!</v>
      </c>
      <c r="T128" s="5" t="e">
        <f t="shared" si="5"/>
        <v>#VALUE!</v>
      </c>
      <c r="U128" s="5" t="e">
        <f t="shared" si="5"/>
        <v>#VALUE!</v>
      </c>
      <c r="V128" s="5" t="e">
        <f t="shared" si="5"/>
        <v>#VALUE!</v>
      </c>
    </row>
    <row r="129" spans="1:22" x14ac:dyDescent="0.2">
      <c r="A129" s="33" t="e">
        <f>IF(Tabela1768[[#This Row],[Código]]="IBOV","^BVSP",IF(Tabela1768[[#This Row],[Código]]="","",CONCATENATE(LEFT(Tabela1768[[#This Row],[Código]],6),".SA")))</f>
        <v>#VALUE!</v>
      </c>
      <c r="J129" s="3" t="e">
        <f t="shared" si="2"/>
        <v>#VALUE!</v>
      </c>
      <c r="K129" s="3" t="e">
        <f t="shared" si="2"/>
        <v>#VALUE!</v>
      </c>
      <c r="L129" s="3" t="e">
        <f t="shared" si="2"/>
        <v>#VALUE!</v>
      </c>
      <c r="M129" s="3" t="e">
        <f t="shared" si="2"/>
        <v>#VALUE!</v>
      </c>
      <c r="P129" s="4"/>
      <c r="Q129" s="10" t="e">
        <f t="shared" si="3"/>
        <v>#VALUE!</v>
      </c>
      <c r="R129" s="51" t="e">
        <f t="shared" si="4"/>
        <v>#VALUE!</v>
      </c>
      <c r="S129" s="5" t="e">
        <f t="shared" si="5"/>
        <v>#VALUE!</v>
      </c>
      <c r="T129" s="5" t="e">
        <f t="shared" si="5"/>
        <v>#VALUE!</v>
      </c>
      <c r="U129" s="5" t="e">
        <f t="shared" si="5"/>
        <v>#VALUE!</v>
      </c>
      <c r="V129" s="5" t="e">
        <f t="shared" si="5"/>
        <v>#VALUE!</v>
      </c>
    </row>
    <row r="130" spans="1:22" x14ac:dyDescent="0.2">
      <c r="A130" s="33" t="e">
        <f>IF(Tabela1768[[#This Row],[Código]]="IBOV","^BVSP",IF(Tabela1768[[#This Row],[Código]]="","",CONCATENATE(LEFT(Tabela1768[[#This Row],[Código]],6),".SA")))</f>
        <v>#VALUE!</v>
      </c>
      <c r="J130" s="3" t="e">
        <f t="shared" si="2"/>
        <v>#VALUE!</v>
      </c>
      <c r="K130" s="3" t="e">
        <f t="shared" si="2"/>
        <v>#VALUE!</v>
      </c>
      <c r="L130" s="3" t="e">
        <f t="shared" si="2"/>
        <v>#VALUE!</v>
      </c>
      <c r="M130" s="3" t="e">
        <f t="shared" si="2"/>
        <v>#VALUE!</v>
      </c>
      <c r="P130" s="10"/>
      <c r="Q130" s="10" t="str">
        <f t="shared" si="3"/>
        <v/>
      </c>
      <c r="R130" s="51" t="str">
        <f t="shared" si="4"/>
        <v/>
      </c>
      <c r="S130" s="5">
        <f t="shared" si="5"/>
        <v>0</v>
      </c>
      <c r="T130" s="5">
        <f t="shared" si="5"/>
        <v>0</v>
      </c>
      <c r="U130" s="5">
        <f t="shared" si="5"/>
        <v>0</v>
      </c>
      <c r="V130" s="5">
        <f t="shared" si="5"/>
        <v>0</v>
      </c>
    </row>
    <row r="131" spans="1:22" x14ac:dyDescent="0.2">
      <c r="A131" s="33" t="e">
        <f>IF(Tabela1768[[#This Row],[Código]]="IBOV","^BVSP",IF(Tabela1768[[#This Row],[Código]]="","",CONCATENATE(LEFT(Tabela1768[[#This Row],[Código]],6),".SA")))</f>
        <v>#VALUE!</v>
      </c>
      <c r="J131" s="3" t="e">
        <f t="shared" si="2"/>
        <v>#VALUE!</v>
      </c>
      <c r="K131" s="3" t="e">
        <f t="shared" si="2"/>
        <v>#VALUE!</v>
      </c>
      <c r="L131" s="3" t="e">
        <f t="shared" si="2"/>
        <v>#VALUE!</v>
      </c>
      <c r="M131" s="3" t="e">
        <f t="shared" si="2"/>
        <v>#VALUE!</v>
      </c>
      <c r="Q131" s="10" t="str">
        <f t="shared" si="3"/>
        <v/>
      </c>
      <c r="R131" s="51" t="str">
        <f t="shared" si="4"/>
        <v/>
      </c>
      <c r="S131" s="5">
        <f t="shared" si="5"/>
        <v>0</v>
      </c>
      <c r="T131" s="5">
        <f t="shared" si="5"/>
        <v>0</v>
      </c>
      <c r="U131" s="5">
        <f t="shared" si="5"/>
        <v>0</v>
      </c>
      <c r="V131" s="5">
        <f t="shared" si="5"/>
        <v>0</v>
      </c>
    </row>
    <row r="132" spans="1:22" x14ac:dyDescent="0.2">
      <c r="A132" s="33" t="e">
        <f>IF(Tabela1768[[#This Row],[Código]]="IBOV","^BVSP",IF(Tabela1768[[#This Row],[Código]]="","",CONCATENATE(LEFT(Tabela1768[[#This Row],[Código]],6),".SA")))</f>
        <v>#VALUE!</v>
      </c>
      <c r="J132" s="3" t="e">
        <f t="shared" si="2"/>
        <v>#VALUE!</v>
      </c>
      <c r="K132" s="3" t="e">
        <f t="shared" si="2"/>
        <v>#VALUE!</v>
      </c>
      <c r="L132" s="3" t="e">
        <f t="shared" si="2"/>
        <v>#VALUE!</v>
      </c>
      <c r="M132" s="3" t="e">
        <f t="shared" si="2"/>
        <v>#VALUE!</v>
      </c>
      <c r="P132" s="3" t="str">
        <f>IF([1]Patrimonio!C143="","",[1]Patrimonio!C143)</f>
        <v/>
      </c>
      <c r="Q132" s="3" t="str">
        <f t="shared" ref="Q132:Q158" si="6">IF(A148="","",C149)</f>
        <v/>
      </c>
      <c r="R132" s="51" t="str">
        <f t="shared" ref="R132:R158" si="7">IF(A148="","",H148)</f>
        <v/>
      </c>
      <c r="S132" s="5">
        <f t="shared" ref="S132:V147" si="8">J148</f>
        <v>0</v>
      </c>
      <c r="T132" s="5">
        <f t="shared" si="8"/>
        <v>0</v>
      </c>
      <c r="U132" s="5">
        <f t="shared" si="8"/>
        <v>0</v>
      </c>
      <c r="V132" s="5">
        <f t="shared" si="8"/>
        <v>0</v>
      </c>
    </row>
    <row r="133" spans="1:22" x14ac:dyDescent="0.2">
      <c r="A133" s="33" t="e">
        <f>IF(Tabela1768[[#This Row],[Código]]="IBOV","^BVSP",IF(Tabela1768[[#This Row],[Código]]="","",CONCATENATE(LEFT(Tabela1768[[#This Row],[Código]],6),".SA")))</f>
        <v>#VALUE!</v>
      </c>
      <c r="J133" s="3" t="e">
        <f t="shared" si="2"/>
        <v>#VALUE!</v>
      </c>
      <c r="K133" s="3" t="e">
        <f t="shared" si="2"/>
        <v>#VALUE!</v>
      </c>
      <c r="L133" s="3" t="e">
        <f t="shared" si="2"/>
        <v>#VALUE!</v>
      </c>
      <c r="M133" s="3" t="e">
        <f t="shared" si="2"/>
        <v>#VALUE!</v>
      </c>
      <c r="P133" s="3" t="str">
        <f>IF([1]Patrimonio!C144="","",[1]Patrimonio!C144)</f>
        <v/>
      </c>
      <c r="Q133" s="3" t="str">
        <f t="shared" si="6"/>
        <v/>
      </c>
      <c r="R133" s="51" t="str">
        <f t="shared" si="7"/>
        <v/>
      </c>
      <c r="S133" s="5">
        <f t="shared" si="8"/>
        <v>0</v>
      </c>
      <c r="T133" s="5">
        <f t="shared" si="8"/>
        <v>0</v>
      </c>
      <c r="U133" s="5">
        <f t="shared" si="8"/>
        <v>0</v>
      </c>
      <c r="V133" s="5">
        <f t="shared" si="8"/>
        <v>0</v>
      </c>
    </row>
    <row r="134" spans="1:22" x14ac:dyDescent="0.2">
      <c r="A134" s="33"/>
      <c r="J134" s="3">
        <f t="shared" si="2"/>
        <v>0</v>
      </c>
      <c r="K134" s="3">
        <f t="shared" si="2"/>
        <v>0</v>
      </c>
      <c r="L134" s="3">
        <f t="shared" si="2"/>
        <v>0</v>
      </c>
      <c r="M134" s="3">
        <f t="shared" si="2"/>
        <v>0</v>
      </c>
      <c r="P134" s="3" t="str">
        <f>IF([1]Patrimonio!C145="","",[1]Patrimonio!C145)</f>
        <v/>
      </c>
      <c r="Q134" s="3" t="str">
        <f t="shared" si="6"/>
        <v/>
      </c>
      <c r="R134" s="51" t="str">
        <f t="shared" si="7"/>
        <v/>
      </c>
      <c r="S134" s="5">
        <f t="shared" si="8"/>
        <v>0</v>
      </c>
      <c r="T134" s="5">
        <f t="shared" si="8"/>
        <v>0</v>
      </c>
      <c r="U134" s="5">
        <f t="shared" si="8"/>
        <v>0</v>
      </c>
      <c r="V134" s="5">
        <f t="shared" si="8"/>
        <v>0</v>
      </c>
    </row>
    <row r="135" spans="1:22" x14ac:dyDescent="0.2">
      <c r="A135" s="33"/>
      <c r="J135" s="3">
        <f t="shared" si="2"/>
        <v>0</v>
      </c>
      <c r="K135" s="3">
        <f t="shared" si="2"/>
        <v>0</v>
      </c>
      <c r="L135" s="3">
        <f t="shared" si="2"/>
        <v>0</v>
      </c>
      <c r="M135" s="3">
        <f t="shared" si="2"/>
        <v>0</v>
      </c>
      <c r="P135" s="3" t="str">
        <f>IF([1]Patrimonio!C146="","",[1]Patrimonio!C146)</f>
        <v/>
      </c>
      <c r="Q135" s="3" t="str">
        <f t="shared" si="6"/>
        <v/>
      </c>
      <c r="R135" s="51" t="str">
        <f t="shared" si="7"/>
        <v/>
      </c>
      <c r="S135" s="5">
        <f t="shared" si="8"/>
        <v>0</v>
      </c>
      <c r="T135" s="5">
        <f t="shared" si="8"/>
        <v>0</v>
      </c>
      <c r="U135" s="5">
        <f t="shared" si="8"/>
        <v>0</v>
      </c>
      <c r="V135" s="5">
        <f t="shared" si="8"/>
        <v>0</v>
      </c>
    </row>
    <row r="136" spans="1:22" x14ac:dyDescent="0.2">
      <c r="A136" s="33"/>
      <c r="J136" s="3">
        <f t="shared" ref="J136:M172" si="9">IF($A136="",0,VALUE(CONCATENATE(LEFT(D136,LEN(D136)-3),",",RIGHT(D136,2))))</f>
        <v>0</v>
      </c>
      <c r="K136" s="3">
        <f t="shared" si="9"/>
        <v>0</v>
      </c>
      <c r="L136" s="3">
        <f t="shared" si="9"/>
        <v>0</v>
      </c>
      <c r="M136" s="3">
        <f t="shared" si="9"/>
        <v>0</v>
      </c>
      <c r="P136" s="3" t="str">
        <f>IF([1]Patrimonio!C147="","",[1]Patrimonio!C147)</f>
        <v/>
      </c>
      <c r="Q136" s="3" t="str">
        <f t="shared" si="6"/>
        <v/>
      </c>
      <c r="R136" s="51" t="str">
        <f t="shared" si="7"/>
        <v/>
      </c>
      <c r="S136" s="5">
        <f t="shared" si="8"/>
        <v>0</v>
      </c>
      <c r="T136" s="5">
        <f t="shared" si="8"/>
        <v>0</v>
      </c>
      <c r="U136" s="5">
        <f t="shared" si="8"/>
        <v>0</v>
      </c>
      <c r="V136" s="5">
        <f t="shared" si="8"/>
        <v>0</v>
      </c>
    </row>
    <row r="137" spans="1:22" x14ac:dyDescent="0.2">
      <c r="A137" s="33"/>
      <c r="J137" s="3">
        <f t="shared" si="9"/>
        <v>0</v>
      </c>
      <c r="K137" s="3">
        <f t="shared" si="9"/>
        <v>0</v>
      </c>
      <c r="L137" s="3">
        <f t="shared" si="9"/>
        <v>0</v>
      </c>
      <c r="M137" s="3">
        <f t="shared" si="9"/>
        <v>0</v>
      </c>
      <c r="P137" s="3" t="str">
        <f>IF([1]Patrimonio!C148="","",[1]Patrimonio!C148)</f>
        <v/>
      </c>
      <c r="Q137" s="3" t="str">
        <f t="shared" si="6"/>
        <v/>
      </c>
      <c r="R137" s="51" t="str">
        <f t="shared" si="7"/>
        <v/>
      </c>
      <c r="S137" s="5">
        <f t="shared" si="8"/>
        <v>0</v>
      </c>
      <c r="T137" s="5">
        <f t="shared" si="8"/>
        <v>0</v>
      </c>
      <c r="U137" s="5">
        <f t="shared" si="8"/>
        <v>0</v>
      </c>
      <c r="V137" s="5">
        <f t="shared" si="8"/>
        <v>0</v>
      </c>
    </row>
    <row r="138" spans="1:22" x14ac:dyDescent="0.2">
      <c r="A138" s="33"/>
      <c r="J138" s="3">
        <f t="shared" si="9"/>
        <v>0</v>
      </c>
      <c r="K138" s="3">
        <f t="shared" si="9"/>
        <v>0</v>
      </c>
      <c r="L138" s="3">
        <f t="shared" si="9"/>
        <v>0</v>
      </c>
      <c r="M138" s="3">
        <f t="shared" si="9"/>
        <v>0</v>
      </c>
      <c r="P138" s="3" t="str">
        <f>IF([1]Patrimonio!C149="","",[1]Patrimonio!C149)</f>
        <v/>
      </c>
      <c r="Q138" s="3" t="str">
        <f t="shared" si="6"/>
        <v/>
      </c>
      <c r="R138" s="51" t="str">
        <f t="shared" si="7"/>
        <v/>
      </c>
      <c r="S138" s="5">
        <f t="shared" si="8"/>
        <v>0</v>
      </c>
      <c r="T138" s="5">
        <f t="shared" si="8"/>
        <v>0</v>
      </c>
      <c r="U138" s="5">
        <f t="shared" si="8"/>
        <v>0</v>
      </c>
      <c r="V138" s="5">
        <f t="shared" si="8"/>
        <v>0</v>
      </c>
    </row>
    <row r="139" spans="1:22" x14ac:dyDescent="0.2">
      <c r="A139" s="33"/>
      <c r="J139" s="3">
        <f t="shared" si="9"/>
        <v>0</v>
      </c>
      <c r="K139" s="3">
        <f t="shared" si="9"/>
        <v>0</v>
      </c>
      <c r="L139" s="3">
        <f t="shared" si="9"/>
        <v>0</v>
      </c>
      <c r="M139" s="3">
        <f t="shared" si="9"/>
        <v>0</v>
      </c>
      <c r="P139" s="3" t="str">
        <f>IF([1]Patrimonio!C150="","",[1]Patrimonio!C150)</f>
        <v/>
      </c>
      <c r="Q139" s="3" t="str">
        <f t="shared" si="6"/>
        <v/>
      </c>
      <c r="R139" s="51" t="str">
        <f t="shared" si="7"/>
        <v/>
      </c>
      <c r="S139" s="5">
        <f t="shared" si="8"/>
        <v>0</v>
      </c>
      <c r="T139" s="5">
        <f t="shared" si="8"/>
        <v>0</v>
      </c>
      <c r="U139" s="5">
        <f t="shared" si="8"/>
        <v>0</v>
      </c>
      <c r="V139" s="5">
        <f t="shared" si="8"/>
        <v>0</v>
      </c>
    </row>
    <row r="140" spans="1:22" x14ac:dyDescent="0.2">
      <c r="A140" s="33"/>
      <c r="J140" s="3">
        <f t="shared" si="9"/>
        <v>0</v>
      </c>
      <c r="K140" s="3">
        <f t="shared" si="9"/>
        <v>0</v>
      </c>
      <c r="L140" s="3">
        <f t="shared" si="9"/>
        <v>0</v>
      </c>
      <c r="M140" s="3">
        <f t="shared" si="9"/>
        <v>0</v>
      </c>
      <c r="P140" s="3" t="str">
        <f>IF([1]Patrimonio!C151="","",[1]Patrimonio!C151)</f>
        <v/>
      </c>
      <c r="Q140" s="3" t="str">
        <f t="shared" si="6"/>
        <v/>
      </c>
      <c r="R140" s="51" t="str">
        <f t="shared" si="7"/>
        <v/>
      </c>
      <c r="S140" s="5">
        <f t="shared" si="8"/>
        <v>0</v>
      </c>
      <c r="T140" s="5">
        <f t="shared" si="8"/>
        <v>0</v>
      </c>
      <c r="U140" s="5">
        <f t="shared" si="8"/>
        <v>0</v>
      </c>
      <c r="V140" s="5">
        <f t="shared" si="8"/>
        <v>0</v>
      </c>
    </row>
    <row r="141" spans="1:22" x14ac:dyDescent="0.2">
      <c r="A141" s="33"/>
      <c r="J141" s="3">
        <f t="shared" si="9"/>
        <v>0</v>
      </c>
      <c r="K141" s="3">
        <f t="shared" si="9"/>
        <v>0</v>
      </c>
      <c r="L141" s="3">
        <f t="shared" si="9"/>
        <v>0</v>
      </c>
      <c r="M141" s="3">
        <f t="shared" si="9"/>
        <v>0</v>
      </c>
      <c r="P141" s="3" t="str">
        <f>IF([1]Patrimonio!C152="","",[1]Patrimonio!C152)</f>
        <v/>
      </c>
      <c r="Q141" s="3" t="str">
        <f t="shared" si="6"/>
        <v/>
      </c>
      <c r="R141" s="51" t="str">
        <f t="shared" si="7"/>
        <v/>
      </c>
      <c r="S141" s="5">
        <f t="shared" si="8"/>
        <v>0</v>
      </c>
      <c r="T141" s="5">
        <f t="shared" si="8"/>
        <v>0</v>
      </c>
      <c r="U141" s="5">
        <f t="shared" si="8"/>
        <v>0</v>
      </c>
      <c r="V141" s="5">
        <f t="shared" si="8"/>
        <v>0</v>
      </c>
    </row>
    <row r="142" spans="1:22" x14ac:dyDescent="0.2">
      <c r="A142" s="33"/>
      <c r="J142" s="3">
        <f t="shared" si="9"/>
        <v>0</v>
      </c>
      <c r="K142" s="3">
        <f t="shared" si="9"/>
        <v>0</v>
      </c>
      <c r="L142" s="3">
        <f t="shared" si="9"/>
        <v>0</v>
      </c>
      <c r="M142" s="3">
        <f t="shared" si="9"/>
        <v>0</v>
      </c>
      <c r="P142" s="3" t="str">
        <f>IF([1]Patrimonio!C153="","",[1]Patrimonio!C153)</f>
        <v/>
      </c>
      <c r="Q142" s="3" t="str">
        <f t="shared" si="6"/>
        <v/>
      </c>
      <c r="R142" s="51" t="str">
        <f t="shared" si="7"/>
        <v/>
      </c>
      <c r="S142" s="5">
        <f t="shared" si="8"/>
        <v>0</v>
      </c>
      <c r="T142" s="5">
        <f t="shared" si="8"/>
        <v>0</v>
      </c>
      <c r="U142" s="5">
        <f t="shared" si="8"/>
        <v>0</v>
      </c>
      <c r="V142" s="5">
        <f t="shared" si="8"/>
        <v>0</v>
      </c>
    </row>
    <row r="143" spans="1:22" x14ac:dyDescent="0.2">
      <c r="A143" s="33"/>
      <c r="J143" s="3">
        <f t="shared" si="9"/>
        <v>0</v>
      </c>
      <c r="K143" s="3">
        <f t="shared" si="9"/>
        <v>0</v>
      </c>
      <c r="L143" s="3">
        <f t="shared" si="9"/>
        <v>0</v>
      </c>
      <c r="M143" s="3">
        <f t="shared" si="9"/>
        <v>0</v>
      </c>
      <c r="P143" s="3" t="str">
        <f>IF([1]Patrimonio!C154="","",[1]Patrimonio!C154)</f>
        <v/>
      </c>
      <c r="Q143" s="3" t="str">
        <f t="shared" si="6"/>
        <v/>
      </c>
      <c r="R143" s="51" t="str">
        <f t="shared" si="7"/>
        <v/>
      </c>
      <c r="S143" s="5">
        <f t="shared" si="8"/>
        <v>0</v>
      </c>
      <c r="T143" s="5">
        <f t="shared" si="8"/>
        <v>0</v>
      </c>
      <c r="U143" s="5">
        <f t="shared" si="8"/>
        <v>0</v>
      </c>
      <c r="V143" s="5">
        <f t="shared" si="8"/>
        <v>0</v>
      </c>
    </row>
    <row r="144" spans="1:22" x14ac:dyDescent="0.2">
      <c r="A144" s="33"/>
      <c r="J144" s="3">
        <f t="shared" si="9"/>
        <v>0</v>
      </c>
      <c r="K144" s="3">
        <f t="shared" si="9"/>
        <v>0</v>
      </c>
      <c r="L144" s="3">
        <f t="shared" si="9"/>
        <v>0</v>
      </c>
      <c r="M144" s="3">
        <f t="shared" si="9"/>
        <v>0</v>
      </c>
      <c r="P144" s="3" t="str">
        <f>IF([1]Patrimonio!C155="","",[1]Patrimonio!C155)</f>
        <v/>
      </c>
      <c r="Q144" s="3" t="str">
        <f t="shared" si="6"/>
        <v/>
      </c>
      <c r="R144" s="51" t="str">
        <f t="shared" si="7"/>
        <v/>
      </c>
      <c r="S144" s="5">
        <f t="shared" si="8"/>
        <v>0</v>
      </c>
      <c r="T144" s="5">
        <f t="shared" si="8"/>
        <v>0</v>
      </c>
      <c r="U144" s="5">
        <f t="shared" si="8"/>
        <v>0</v>
      </c>
      <c r="V144" s="5">
        <f t="shared" si="8"/>
        <v>0</v>
      </c>
    </row>
    <row r="145" spans="1:22" x14ac:dyDescent="0.2">
      <c r="A145" s="33"/>
      <c r="J145" s="3">
        <f t="shared" si="9"/>
        <v>0</v>
      </c>
      <c r="K145" s="3">
        <f t="shared" si="9"/>
        <v>0</v>
      </c>
      <c r="L145" s="3">
        <f t="shared" si="9"/>
        <v>0</v>
      </c>
      <c r="M145" s="3">
        <f t="shared" si="9"/>
        <v>0</v>
      </c>
      <c r="P145" s="3" t="str">
        <f>IF([1]Patrimonio!C156="","",[1]Patrimonio!C156)</f>
        <v/>
      </c>
      <c r="Q145" s="3" t="str">
        <f t="shared" si="6"/>
        <v/>
      </c>
      <c r="R145" s="51" t="str">
        <f t="shared" si="7"/>
        <v/>
      </c>
      <c r="S145" s="5">
        <f t="shared" si="8"/>
        <v>0</v>
      </c>
      <c r="T145" s="5">
        <f t="shared" si="8"/>
        <v>0</v>
      </c>
      <c r="U145" s="5">
        <f t="shared" si="8"/>
        <v>0</v>
      </c>
      <c r="V145" s="5">
        <f t="shared" si="8"/>
        <v>0</v>
      </c>
    </row>
    <row r="146" spans="1:22" x14ac:dyDescent="0.2">
      <c r="A146" s="33"/>
      <c r="J146" s="3">
        <f t="shared" si="9"/>
        <v>0</v>
      </c>
      <c r="K146" s="3">
        <f t="shared" si="9"/>
        <v>0</v>
      </c>
      <c r="L146" s="3">
        <f t="shared" si="9"/>
        <v>0</v>
      </c>
      <c r="M146" s="3">
        <f t="shared" si="9"/>
        <v>0</v>
      </c>
      <c r="P146" s="3" t="str">
        <f>IF([1]Patrimonio!C157="","",[1]Patrimonio!C157)</f>
        <v/>
      </c>
      <c r="Q146" s="3" t="str">
        <f t="shared" si="6"/>
        <v/>
      </c>
      <c r="R146" s="51" t="str">
        <f t="shared" si="7"/>
        <v/>
      </c>
      <c r="S146" s="5">
        <f t="shared" si="8"/>
        <v>0</v>
      </c>
      <c r="T146" s="5">
        <f t="shared" si="8"/>
        <v>0</v>
      </c>
      <c r="U146" s="5">
        <f t="shared" si="8"/>
        <v>0</v>
      </c>
      <c r="V146" s="5">
        <f t="shared" si="8"/>
        <v>0</v>
      </c>
    </row>
    <row r="147" spans="1:22" x14ac:dyDescent="0.2">
      <c r="A147" s="33"/>
      <c r="J147" s="3">
        <f t="shared" si="9"/>
        <v>0</v>
      </c>
      <c r="K147" s="3">
        <f t="shared" si="9"/>
        <v>0</v>
      </c>
      <c r="L147" s="3">
        <f t="shared" si="9"/>
        <v>0</v>
      </c>
      <c r="M147" s="3">
        <f t="shared" si="9"/>
        <v>0</v>
      </c>
      <c r="P147" s="3" t="str">
        <f>IF([1]Patrimonio!C158="","",[1]Patrimonio!C158)</f>
        <v/>
      </c>
      <c r="Q147" s="3" t="str">
        <f t="shared" si="6"/>
        <v/>
      </c>
      <c r="R147" s="51" t="str">
        <f t="shared" si="7"/>
        <v/>
      </c>
      <c r="S147" s="5">
        <f t="shared" si="8"/>
        <v>0</v>
      </c>
      <c r="T147" s="5">
        <f t="shared" si="8"/>
        <v>0</v>
      </c>
      <c r="U147" s="5">
        <f t="shared" si="8"/>
        <v>0</v>
      </c>
      <c r="V147" s="5">
        <f t="shared" si="8"/>
        <v>0</v>
      </c>
    </row>
    <row r="148" spans="1:22" x14ac:dyDescent="0.2">
      <c r="A148" s="33"/>
      <c r="J148" s="3">
        <f t="shared" si="9"/>
        <v>0</v>
      </c>
      <c r="K148" s="3">
        <f t="shared" si="9"/>
        <v>0</v>
      </c>
      <c r="L148" s="3">
        <f t="shared" si="9"/>
        <v>0</v>
      </c>
      <c r="M148" s="3">
        <f t="shared" si="9"/>
        <v>0</v>
      </c>
      <c r="P148" s="3" t="str">
        <f>IF([1]Patrimonio!C159="","",[1]Patrimonio!C159)</f>
        <v/>
      </c>
      <c r="Q148" s="3" t="str">
        <f t="shared" si="6"/>
        <v/>
      </c>
      <c r="R148" s="51" t="str">
        <f t="shared" si="7"/>
        <v/>
      </c>
      <c r="S148" s="5">
        <f t="shared" ref="S148:V158" si="10">J164</f>
        <v>0</v>
      </c>
      <c r="T148" s="5">
        <f t="shared" si="10"/>
        <v>0</v>
      </c>
      <c r="U148" s="5">
        <f t="shared" si="10"/>
        <v>0</v>
      </c>
      <c r="V148" s="5">
        <f t="shared" si="10"/>
        <v>0</v>
      </c>
    </row>
    <row r="149" spans="1:22" x14ac:dyDescent="0.2">
      <c r="A149" s="33"/>
      <c r="J149" s="3">
        <f t="shared" si="9"/>
        <v>0</v>
      </c>
      <c r="K149" s="3">
        <f t="shared" si="9"/>
        <v>0</v>
      </c>
      <c r="L149" s="3">
        <f t="shared" si="9"/>
        <v>0</v>
      </c>
      <c r="M149" s="3">
        <f t="shared" si="9"/>
        <v>0</v>
      </c>
      <c r="P149" s="3" t="str">
        <f>IF([1]Patrimonio!C160="","",[1]Patrimonio!C160)</f>
        <v/>
      </c>
      <c r="Q149" s="3" t="str">
        <f t="shared" si="6"/>
        <v/>
      </c>
      <c r="R149" s="51" t="str">
        <f t="shared" si="7"/>
        <v/>
      </c>
      <c r="S149" s="5">
        <f t="shared" si="10"/>
        <v>0</v>
      </c>
      <c r="T149" s="5">
        <f t="shared" si="10"/>
        <v>0</v>
      </c>
      <c r="U149" s="5">
        <f t="shared" si="10"/>
        <v>0</v>
      </c>
      <c r="V149" s="5">
        <f t="shared" si="10"/>
        <v>0</v>
      </c>
    </row>
    <row r="150" spans="1:22" x14ac:dyDescent="0.2">
      <c r="A150" s="33"/>
      <c r="J150" s="3">
        <f t="shared" si="9"/>
        <v>0</v>
      </c>
      <c r="K150" s="3">
        <f t="shared" si="9"/>
        <v>0</v>
      </c>
      <c r="L150" s="3">
        <f t="shared" si="9"/>
        <v>0</v>
      </c>
      <c r="M150" s="3">
        <f t="shared" si="9"/>
        <v>0</v>
      </c>
      <c r="P150" s="3" t="str">
        <f>IF([1]Patrimonio!C161="","",[1]Patrimonio!C161)</f>
        <v/>
      </c>
      <c r="Q150" s="3" t="str">
        <f t="shared" si="6"/>
        <v/>
      </c>
      <c r="R150" s="51" t="str">
        <f t="shared" si="7"/>
        <v/>
      </c>
      <c r="S150" s="5">
        <f t="shared" si="10"/>
        <v>0</v>
      </c>
      <c r="T150" s="5">
        <f t="shared" si="10"/>
        <v>0</v>
      </c>
      <c r="U150" s="5">
        <f t="shared" si="10"/>
        <v>0</v>
      </c>
      <c r="V150" s="5">
        <f t="shared" si="10"/>
        <v>0</v>
      </c>
    </row>
    <row r="151" spans="1:22" x14ac:dyDescent="0.2">
      <c r="A151" s="33"/>
      <c r="J151" s="3">
        <f t="shared" si="9"/>
        <v>0</v>
      </c>
      <c r="K151" s="3">
        <f t="shared" si="9"/>
        <v>0</v>
      </c>
      <c r="L151" s="3">
        <f t="shared" si="9"/>
        <v>0</v>
      </c>
      <c r="M151" s="3">
        <f t="shared" si="9"/>
        <v>0</v>
      </c>
      <c r="P151" s="3" t="str">
        <f>IF([1]Patrimonio!C162="","",[1]Patrimonio!C162)</f>
        <v/>
      </c>
      <c r="Q151" s="3" t="str">
        <f t="shared" si="6"/>
        <v/>
      </c>
      <c r="R151" s="51" t="str">
        <f t="shared" si="7"/>
        <v/>
      </c>
      <c r="S151" s="5">
        <f t="shared" si="10"/>
        <v>0</v>
      </c>
      <c r="T151" s="5">
        <f t="shared" si="10"/>
        <v>0</v>
      </c>
      <c r="U151" s="5">
        <f t="shared" si="10"/>
        <v>0</v>
      </c>
      <c r="V151" s="5">
        <f t="shared" si="10"/>
        <v>0</v>
      </c>
    </row>
    <row r="152" spans="1:22" x14ac:dyDescent="0.2">
      <c r="A152" s="33"/>
      <c r="J152" s="3">
        <f t="shared" si="9"/>
        <v>0</v>
      </c>
      <c r="K152" s="3">
        <f t="shared" si="9"/>
        <v>0</v>
      </c>
      <c r="L152" s="3">
        <f t="shared" si="9"/>
        <v>0</v>
      </c>
      <c r="M152" s="3">
        <f t="shared" si="9"/>
        <v>0</v>
      </c>
      <c r="P152" s="3" t="str">
        <f>IF([1]Patrimonio!C163="","",[1]Patrimonio!C163)</f>
        <v/>
      </c>
      <c r="Q152" s="3" t="str">
        <f t="shared" si="6"/>
        <v/>
      </c>
      <c r="R152" s="51" t="str">
        <f t="shared" si="7"/>
        <v/>
      </c>
      <c r="S152" s="5">
        <f t="shared" si="10"/>
        <v>0</v>
      </c>
      <c r="T152" s="5">
        <f t="shared" si="10"/>
        <v>0</v>
      </c>
      <c r="U152" s="5">
        <f t="shared" si="10"/>
        <v>0</v>
      </c>
      <c r="V152" s="5">
        <f t="shared" si="10"/>
        <v>0</v>
      </c>
    </row>
    <row r="153" spans="1:22" x14ac:dyDescent="0.2">
      <c r="A153" s="33"/>
      <c r="J153" s="3">
        <f t="shared" si="9"/>
        <v>0</v>
      </c>
      <c r="K153" s="3">
        <f t="shared" si="9"/>
        <v>0</v>
      </c>
      <c r="L153" s="3">
        <f t="shared" si="9"/>
        <v>0</v>
      </c>
      <c r="M153" s="3">
        <f t="shared" si="9"/>
        <v>0</v>
      </c>
      <c r="P153" s="3" t="str">
        <f>IF([1]Patrimonio!C164="","",[1]Patrimonio!C164)</f>
        <v/>
      </c>
      <c r="Q153" s="3" t="str">
        <f t="shared" si="6"/>
        <v/>
      </c>
      <c r="R153" s="51" t="str">
        <f t="shared" si="7"/>
        <v/>
      </c>
      <c r="S153" s="5">
        <f t="shared" si="10"/>
        <v>0</v>
      </c>
      <c r="T153" s="5">
        <f t="shared" si="10"/>
        <v>0</v>
      </c>
      <c r="U153" s="5">
        <f t="shared" si="10"/>
        <v>0</v>
      </c>
      <c r="V153" s="5">
        <f t="shared" si="10"/>
        <v>0</v>
      </c>
    </row>
    <row r="154" spans="1:22" x14ac:dyDescent="0.2">
      <c r="A154" s="33"/>
      <c r="J154" s="3">
        <f t="shared" si="9"/>
        <v>0</v>
      </c>
      <c r="K154" s="3">
        <f t="shared" si="9"/>
        <v>0</v>
      </c>
      <c r="L154" s="3">
        <f t="shared" si="9"/>
        <v>0</v>
      </c>
      <c r="M154" s="3">
        <f t="shared" si="9"/>
        <v>0</v>
      </c>
      <c r="P154" s="3" t="str">
        <f>IF([1]Patrimonio!C165="","",[1]Patrimonio!C165)</f>
        <v/>
      </c>
      <c r="Q154" s="3" t="str">
        <f t="shared" si="6"/>
        <v/>
      </c>
      <c r="R154" s="51" t="str">
        <f t="shared" si="7"/>
        <v/>
      </c>
      <c r="S154" s="5">
        <f t="shared" si="10"/>
        <v>0</v>
      </c>
      <c r="T154" s="5">
        <f t="shared" si="10"/>
        <v>0</v>
      </c>
      <c r="U154" s="5">
        <f t="shared" si="10"/>
        <v>0</v>
      </c>
      <c r="V154" s="5">
        <f t="shared" si="10"/>
        <v>0</v>
      </c>
    </row>
    <row r="155" spans="1:22" x14ac:dyDescent="0.2">
      <c r="A155" s="33"/>
      <c r="J155" s="3">
        <f t="shared" si="9"/>
        <v>0</v>
      </c>
      <c r="K155" s="3">
        <f t="shared" si="9"/>
        <v>0</v>
      </c>
      <c r="L155" s="3">
        <f t="shared" si="9"/>
        <v>0</v>
      </c>
      <c r="M155" s="3">
        <f t="shared" si="9"/>
        <v>0</v>
      </c>
      <c r="P155" s="3" t="str">
        <f>IF([1]Patrimonio!C166="","",[1]Patrimonio!C166)</f>
        <v/>
      </c>
      <c r="Q155" s="3" t="str">
        <f t="shared" si="6"/>
        <v/>
      </c>
      <c r="R155" s="51" t="str">
        <f t="shared" si="7"/>
        <v/>
      </c>
      <c r="S155" s="5">
        <f t="shared" si="10"/>
        <v>0</v>
      </c>
      <c r="T155" s="5">
        <f t="shared" si="10"/>
        <v>0</v>
      </c>
      <c r="U155" s="5">
        <f t="shared" si="10"/>
        <v>0</v>
      </c>
      <c r="V155" s="5">
        <f t="shared" si="10"/>
        <v>0</v>
      </c>
    </row>
    <row r="156" spans="1:22" x14ac:dyDescent="0.2">
      <c r="A156" s="33"/>
      <c r="J156" s="3">
        <f t="shared" si="9"/>
        <v>0</v>
      </c>
      <c r="K156" s="3">
        <f t="shared" si="9"/>
        <v>0</v>
      </c>
      <c r="L156" s="3">
        <f t="shared" si="9"/>
        <v>0</v>
      </c>
      <c r="M156" s="3">
        <f t="shared" si="9"/>
        <v>0</v>
      </c>
      <c r="P156" s="3" t="str">
        <f>IF([1]Patrimonio!C167="","",[1]Patrimonio!C167)</f>
        <v/>
      </c>
      <c r="Q156" s="3" t="str">
        <f t="shared" si="6"/>
        <v/>
      </c>
      <c r="R156" s="51" t="str">
        <f t="shared" si="7"/>
        <v/>
      </c>
      <c r="S156" s="5">
        <f t="shared" si="10"/>
        <v>0</v>
      </c>
      <c r="T156" s="5">
        <f t="shared" si="10"/>
        <v>0</v>
      </c>
      <c r="U156" s="5">
        <f t="shared" si="10"/>
        <v>0</v>
      </c>
      <c r="V156" s="5">
        <f t="shared" si="10"/>
        <v>0</v>
      </c>
    </row>
    <row r="157" spans="1:22" x14ac:dyDescent="0.2">
      <c r="A157" s="33"/>
      <c r="J157" s="3">
        <f t="shared" si="9"/>
        <v>0</v>
      </c>
      <c r="K157" s="3">
        <f t="shared" si="9"/>
        <v>0</v>
      </c>
      <c r="L157" s="3">
        <f t="shared" si="9"/>
        <v>0</v>
      </c>
      <c r="M157" s="3">
        <f t="shared" si="9"/>
        <v>0</v>
      </c>
      <c r="P157" s="3" t="str">
        <f>IF([1]Patrimonio!C168="","",[1]Patrimonio!C168)</f>
        <v/>
      </c>
      <c r="Q157" s="3" t="str">
        <f t="shared" si="6"/>
        <v/>
      </c>
      <c r="R157" s="51" t="str">
        <f t="shared" si="7"/>
        <v/>
      </c>
      <c r="S157" s="5">
        <f t="shared" si="10"/>
        <v>0</v>
      </c>
      <c r="T157" s="5">
        <f t="shared" si="10"/>
        <v>0</v>
      </c>
      <c r="U157" s="5">
        <f t="shared" si="10"/>
        <v>0</v>
      </c>
      <c r="V157" s="5">
        <f t="shared" si="10"/>
        <v>0</v>
      </c>
    </row>
    <row r="158" spans="1:22" x14ac:dyDescent="0.2">
      <c r="A158" s="33"/>
      <c r="J158" s="3">
        <f t="shared" si="9"/>
        <v>0</v>
      </c>
      <c r="K158" s="3">
        <f t="shared" si="9"/>
        <v>0</v>
      </c>
      <c r="L158" s="3">
        <f t="shared" si="9"/>
        <v>0</v>
      </c>
      <c r="M158" s="3">
        <f t="shared" si="9"/>
        <v>0</v>
      </c>
      <c r="P158" s="3" t="str">
        <f>IF([1]Patrimonio!C169="","",[1]Patrimonio!C169)</f>
        <v/>
      </c>
      <c r="Q158" s="3" t="str">
        <f t="shared" si="6"/>
        <v/>
      </c>
      <c r="R158" s="51" t="str">
        <f t="shared" si="7"/>
        <v/>
      </c>
      <c r="S158" s="5">
        <f t="shared" si="10"/>
        <v>0</v>
      </c>
      <c r="T158" s="5">
        <f t="shared" si="10"/>
        <v>0</v>
      </c>
      <c r="U158" s="5">
        <f t="shared" si="10"/>
        <v>0</v>
      </c>
      <c r="V158" s="5">
        <f t="shared" si="10"/>
        <v>0</v>
      </c>
    </row>
    <row r="159" spans="1:22" x14ac:dyDescent="0.2">
      <c r="A159" s="33"/>
      <c r="J159" s="3">
        <f t="shared" si="9"/>
        <v>0</v>
      </c>
      <c r="K159" s="3">
        <f t="shared" si="9"/>
        <v>0</v>
      </c>
      <c r="L159" s="3">
        <f t="shared" si="9"/>
        <v>0</v>
      </c>
      <c r="M159" s="3">
        <f t="shared" si="9"/>
        <v>0</v>
      </c>
    </row>
    <row r="160" spans="1:22" x14ac:dyDescent="0.2">
      <c r="A160" s="33"/>
      <c r="J160" s="3">
        <f t="shared" si="9"/>
        <v>0</v>
      </c>
      <c r="K160" s="3">
        <f t="shared" si="9"/>
        <v>0</v>
      </c>
      <c r="L160" s="3">
        <f t="shared" si="9"/>
        <v>0</v>
      </c>
      <c r="M160" s="3">
        <f t="shared" si="9"/>
        <v>0</v>
      </c>
    </row>
    <row r="161" spans="1:13" x14ac:dyDescent="0.2">
      <c r="A161" s="33"/>
      <c r="J161" s="3">
        <f t="shared" si="9"/>
        <v>0</v>
      </c>
      <c r="K161" s="3">
        <f t="shared" si="9"/>
        <v>0</v>
      </c>
      <c r="L161" s="3">
        <f t="shared" si="9"/>
        <v>0</v>
      </c>
      <c r="M161" s="3">
        <f t="shared" si="9"/>
        <v>0</v>
      </c>
    </row>
    <row r="162" spans="1:13" x14ac:dyDescent="0.2">
      <c r="A162" s="33"/>
      <c r="J162" s="3">
        <f t="shared" si="9"/>
        <v>0</v>
      </c>
      <c r="K162" s="3">
        <f t="shared" si="9"/>
        <v>0</v>
      </c>
      <c r="L162" s="3">
        <f t="shared" si="9"/>
        <v>0</v>
      </c>
      <c r="M162" s="3">
        <f t="shared" si="9"/>
        <v>0</v>
      </c>
    </row>
    <row r="163" spans="1:13" x14ac:dyDescent="0.2">
      <c r="A163" s="33"/>
      <c r="J163" s="3">
        <f t="shared" si="9"/>
        <v>0</v>
      </c>
      <c r="K163" s="3">
        <f t="shared" si="9"/>
        <v>0</v>
      </c>
      <c r="L163" s="3">
        <f t="shared" si="9"/>
        <v>0</v>
      </c>
      <c r="M163" s="3">
        <f t="shared" si="9"/>
        <v>0</v>
      </c>
    </row>
    <row r="164" spans="1:13" x14ac:dyDescent="0.2">
      <c r="A164" s="33"/>
      <c r="J164" s="3">
        <f t="shared" si="9"/>
        <v>0</v>
      </c>
      <c r="K164" s="3">
        <f t="shared" si="9"/>
        <v>0</v>
      </c>
      <c r="L164" s="3">
        <f t="shared" si="9"/>
        <v>0</v>
      </c>
      <c r="M164" s="3">
        <f t="shared" si="9"/>
        <v>0</v>
      </c>
    </row>
    <row r="165" spans="1:13" x14ac:dyDescent="0.2">
      <c r="A165" s="33"/>
      <c r="J165" s="3">
        <f t="shared" si="9"/>
        <v>0</v>
      </c>
      <c r="K165" s="3">
        <f t="shared" si="9"/>
        <v>0</v>
      </c>
      <c r="L165" s="3">
        <f t="shared" si="9"/>
        <v>0</v>
      </c>
      <c r="M165" s="3">
        <f t="shared" si="9"/>
        <v>0</v>
      </c>
    </row>
    <row r="166" spans="1:13" x14ac:dyDescent="0.2">
      <c r="A166" s="33"/>
      <c r="J166" s="3">
        <f t="shared" si="9"/>
        <v>0</v>
      </c>
      <c r="K166" s="3">
        <f t="shared" si="9"/>
        <v>0</v>
      </c>
      <c r="L166" s="3">
        <f t="shared" si="9"/>
        <v>0</v>
      </c>
      <c r="M166" s="3">
        <f t="shared" si="9"/>
        <v>0</v>
      </c>
    </row>
    <row r="167" spans="1:13" x14ac:dyDescent="0.2">
      <c r="A167" s="33"/>
      <c r="J167" s="3">
        <f t="shared" si="9"/>
        <v>0</v>
      </c>
      <c r="K167" s="3">
        <f t="shared" si="9"/>
        <v>0</v>
      </c>
      <c r="L167" s="3">
        <f t="shared" si="9"/>
        <v>0</v>
      </c>
      <c r="M167" s="3">
        <f t="shared" si="9"/>
        <v>0</v>
      </c>
    </row>
    <row r="168" spans="1:13" x14ac:dyDescent="0.2">
      <c r="A168" s="33"/>
      <c r="J168" s="3">
        <f t="shared" si="9"/>
        <v>0</v>
      </c>
      <c r="K168" s="3">
        <f t="shared" si="9"/>
        <v>0</v>
      </c>
      <c r="L168" s="3">
        <f t="shared" si="9"/>
        <v>0</v>
      </c>
      <c r="M168" s="3">
        <f t="shared" si="9"/>
        <v>0</v>
      </c>
    </row>
    <row r="169" spans="1:13" x14ac:dyDescent="0.2">
      <c r="A169" s="33"/>
      <c r="J169" s="3">
        <f t="shared" si="9"/>
        <v>0</v>
      </c>
      <c r="K169" s="3">
        <f t="shared" si="9"/>
        <v>0</v>
      </c>
      <c r="L169" s="3">
        <f t="shared" si="9"/>
        <v>0</v>
      </c>
      <c r="M169" s="3">
        <f t="shared" si="9"/>
        <v>0</v>
      </c>
    </row>
    <row r="170" spans="1:13" x14ac:dyDescent="0.2">
      <c r="A170" s="33"/>
      <c r="J170" s="3">
        <f t="shared" si="9"/>
        <v>0</v>
      </c>
      <c r="K170" s="3">
        <f t="shared" si="9"/>
        <v>0</v>
      </c>
      <c r="L170" s="3">
        <f t="shared" si="9"/>
        <v>0</v>
      </c>
      <c r="M170" s="3">
        <f t="shared" si="9"/>
        <v>0</v>
      </c>
    </row>
    <row r="171" spans="1:13" x14ac:dyDescent="0.2">
      <c r="A171" s="33"/>
      <c r="J171" s="3">
        <f t="shared" si="9"/>
        <v>0</v>
      </c>
      <c r="K171" s="3">
        <f t="shared" si="9"/>
        <v>0</v>
      </c>
      <c r="L171" s="3">
        <f t="shared" si="9"/>
        <v>0</v>
      </c>
      <c r="M171" s="3">
        <f t="shared" si="9"/>
        <v>0</v>
      </c>
    </row>
    <row r="172" spans="1:13" x14ac:dyDescent="0.2">
      <c r="A172" s="33"/>
      <c r="J172" s="3">
        <f t="shared" si="9"/>
        <v>0</v>
      </c>
      <c r="K172" s="3">
        <f t="shared" si="9"/>
        <v>0</v>
      </c>
      <c r="L172" s="3">
        <f t="shared" si="9"/>
        <v>0</v>
      </c>
      <c r="M172" s="3">
        <f t="shared" si="9"/>
        <v>0</v>
      </c>
    </row>
    <row r="173" spans="1:13" x14ac:dyDescent="0.2">
      <c r="A173" s="33"/>
    </row>
    <row r="174" spans="1:13" x14ac:dyDescent="0.2">
      <c r="A174" s="33"/>
    </row>
    <row r="175" spans="1:13" x14ac:dyDescent="0.2">
      <c r="A175" s="33"/>
    </row>
    <row r="176" spans="1:13" x14ac:dyDescent="0.2">
      <c r="A176" s="33"/>
    </row>
    <row r="177" spans="1:1" x14ac:dyDescent="0.2">
      <c r="A177" s="33"/>
    </row>
    <row r="178" spans="1:1" x14ac:dyDescent="0.2">
      <c r="A178" s="33"/>
    </row>
    <row r="179" spans="1:1" x14ac:dyDescent="0.2">
      <c r="A179" s="33"/>
    </row>
    <row r="180" spans="1:1" x14ac:dyDescent="0.2">
      <c r="A180" s="33"/>
    </row>
    <row r="181" spans="1:1" x14ac:dyDescent="0.2">
      <c r="A181" s="33"/>
    </row>
    <row r="182" spans="1:1" x14ac:dyDescent="0.2">
      <c r="A182" s="33"/>
    </row>
    <row r="183" spans="1:1" x14ac:dyDescent="0.2">
      <c r="A183" s="33"/>
    </row>
    <row r="184" spans="1:1" x14ac:dyDescent="0.2">
      <c r="A184" s="33"/>
    </row>
    <row r="185" spans="1:1" x14ac:dyDescent="0.2">
      <c r="A185" s="33"/>
    </row>
    <row r="186" spans="1:1" x14ac:dyDescent="0.2">
      <c r="A186" s="33"/>
    </row>
    <row r="187" spans="1:1" x14ac:dyDescent="0.2">
      <c r="A187" s="33"/>
    </row>
    <row r="188" spans="1:1" x14ac:dyDescent="0.2">
      <c r="A188" s="33"/>
    </row>
    <row r="189" spans="1:1" x14ac:dyDescent="0.2">
      <c r="A189" s="33"/>
    </row>
    <row r="190" spans="1:1" x14ac:dyDescent="0.2">
      <c r="A190" s="33"/>
    </row>
    <row r="191" spans="1:1" x14ac:dyDescent="0.2">
      <c r="A191" s="33"/>
    </row>
    <row r="192" spans="1:1" x14ac:dyDescent="0.2">
      <c r="A192" s="33"/>
    </row>
    <row r="193" spans="1:1" x14ac:dyDescent="0.2">
      <c r="A193" s="33"/>
    </row>
    <row r="194" spans="1:1" x14ac:dyDescent="0.2">
      <c r="A194" s="33"/>
    </row>
    <row r="195" spans="1:1" x14ac:dyDescent="0.2">
      <c r="A195" s="33"/>
    </row>
    <row r="196" spans="1:1" x14ac:dyDescent="0.2">
      <c r="A196" s="33"/>
    </row>
    <row r="197" spans="1:1" x14ac:dyDescent="0.2">
      <c r="A197" s="33"/>
    </row>
    <row r="198" spans="1:1" x14ac:dyDescent="0.2">
      <c r="A198" s="33"/>
    </row>
    <row r="199" spans="1:1" x14ac:dyDescent="0.2">
      <c r="A199" s="33"/>
    </row>
    <row r="200" spans="1:1" x14ac:dyDescent="0.2">
      <c r="A200" s="33"/>
    </row>
    <row r="201" spans="1:1" x14ac:dyDescent="0.2">
      <c r="A201" s="33"/>
    </row>
    <row r="202" spans="1:1" x14ac:dyDescent="0.2">
      <c r="A202" s="33"/>
    </row>
    <row r="203" spans="1:1" x14ac:dyDescent="0.2">
      <c r="A203" s="33"/>
    </row>
    <row r="204" spans="1:1" x14ac:dyDescent="0.2">
      <c r="A204" s="33"/>
    </row>
    <row r="205" spans="1:1" x14ac:dyDescent="0.2">
      <c r="A205" s="33"/>
    </row>
    <row r="206" spans="1:1" x14ac:dyDescent="0.2">
      <c r="A206" s="33"/>
    </row>
    <row r="207" spans="1:1" x14ac:dyDescent="0.2">
      <c r="A207" s="33"/>
    </row>
    <row r="208" spans="1:1" x14ac:dyDescent="0.2">
      <c r="A208" s="33"/>
    </row>
    <row r="209" spans="1:1" x14ac:dyDescent="0.2">
      <c r="A209" s="33"/>
    </row>
    <row r="210" spans="1:1" x14ac:dyDescent="0.2">
      <c r="A210" s="33"/>
    </row>
    <row r="211" spans="1:1" x14ac:dyDescent="0.2">
      <c r="A211" s="33"/>
    </row>
    <row r="212" spans="1:1" x14ac:dyDescent="0.2">
      <c r="A212" s="33"/>
    </row>
    <row r="213" spans="1:1" x14ac:dyDescent="0.2">
      <c r="A213" s="33"/>
    </row>
    <row r="214" spans="1:1" x14ac:dyDescent="0.2">
      <c r="A214" s="33"/>
    </row>
    <row r="215" spans="1:1" x14ac:dyDescent="0.2">
      <c r="A215" s="33"/>
    </row>
    <row r="216" spans="1:1" x14ac:dyDescent="0.2">
      <c r="A216" s="33"/>
    </row>
    <row r="217" spans="1:1" x14ac:dyDescent="0.2">
      <c r="A217" s="33"/>
    </row>
    <row r="218" spans="1:1" x14ac:dyDescent="0.2">
      <c r="A218" s="33"/>
    </row>
    <row r="219" spans="1:1" x14ac:dyDescent="0.2">
      <c r="A219" s="33"/>
    </row>
    <row r="220" spans="1:1" x14ac:dyDescent="0.2">
      <c r="A220" s="33"/>
    </row>
    <row r="221" spans="1:1" x14ac:dyDescent="0.2">
      <c r="A221" s="33"/>
    </row>
    <row r="222" spans="1:1" x14ac:dyDescent="0.2">
      <c r="A222" s="33"/>
    </row>
    <row r="223" spans="1:1" x14ac:dyDescent="0.2">
      <c r="A223" s="33"/>
    </row>
    <row r="224" spans="1:1" x14ac:dyDescent="0.2">
      <c r="A224" s="33"/>
    </row>
    <row r="225" spans="1:1" x14ac:dyDescent="0.2">
      <c r="A225" s="33"/>
    </row>
    <row r="226" spans="1:1" x14ac:dyDescent="0.2">
      <c r="A226" s="33"/>
    </row>
    <row r="227" spans="1:1" x14ac:dyDescent="0.2">
      <c r="A227" s="33"/>
    </row>
    <row r="228" spans="1:1" x14ac:dyDescent="0.2">
      <c r="A228" s="33"/>
    </row>
    <row r="229" spans="1:1" x14ac:dyDescent="0.2">
      <c r="A229" s="33"/>
    </row>
    <row r="230" spans="1:1" x14ac:dyDescent="0.2">
      <c r="A230" s="33"/>
    </row>
    <row r="231" spans="1:1" x14ac:dyDescent="0.2">
      <c r="A231" s="33"/>
    </row>
    <row r="232" spans="1:1" x14ac:dyDescent="0.2">
      <c r="A232" s="33"/>
    </row>
    <row r="233" spans="1:1" x14ac:dyDescent="0.2">
      <c r="A233" s="33"/>
    </row>
    <row r="234" spans="1:1" x14ac:dyDescent="0.2">
      <c r="A234" s="33"/>
    </row>
    <row r="235" spans="1:1" x14ac:dyDescent="0.2">
      <c r="A235" s="33"/>
    </row>
    <row r="236" spans="1:1" x14ac:dyDescent="0.2">
      <c r="A236" s="33"/>
    </row>
    <row r="237" spans="1:1" x14ac:dyDescent="0.2">
      <c r="A237" s="33"/>
    </row>
    <row r="238" spans="1:1" x14ac:dyDescent="0.2">
      <c r="A238" s="33"/>
    </row>
    <row r="239" spans="1:1" x14ac:dyDescent="0.2">
      <c r="A239" s="33"/>
    </row>
    <row r="240" spans="1:1" x14ac:dyDescent="0.2">
      <c r="A240" s="33"/>
    </row>
    <row r="241" spans="1:1" x14ac:dyDescent="0.2">
      <c r="A241" s="33"/>
    </row>
    <row r="242" spans="1:1" x14ac:dyDescent="0.2">
      <c r="A242" s="33"/>
    </row>
    <row r="243" spans="1:1" x14ac:dyDescent="0.2">
      <c r="A243" s="33"/>
    </row>
    <row r="244" spans="1:1" x14ac:dyDescent="0.2">
      <c r="A244" s="33"/>
    </row>
    <row r="245" spans="1:1" x14ac:dyDescent="0.2">
      <c r="A245" s="33"/>
    </row>
    <row r="246" spans="1:1" x14ac:dyDescent="0.2">
      <c r="A246" s="33"/>
    </row>
    <row r="247" spans="1:1" x14ac:dyDescent="0.2">
      <c r="A247" s="33"/>
    </row>
    <row r="248" spans="1:1" x14ac:dyDescent="0.2">
      <c r="A248" s="33"/>
    </row>
    <row r="249" spans="1:1" x14ac:dyDescent="0.2">
      <c r="A249" s="33"/>
    </row>
    <row r="250" spans="1:1" x14ac:dyDescent="0.2">
      <c r="A250" s="33"/>
    </row>
    <row r="251" spans="1:1" x14ac:dyDescent="0.2">
      <c r="A251" s="33"/>
    </row>
    <row r="252" spans="1:1" x14ac:dyDescent="0.2">
      <c r="A252" s="33"/>
    </row>
    <row r="253" spans="1:1" x14ac:dyDescent="0.2">
      <c r="A253" s="33"/>
    </row>
    <row r="254" spans="1:1" x14ac:dyDescent="0.2">
      <c r="A254" s="33"/>
    </row>
    <row r="255" spans="1:1" x14ac:dyDescent="0.2">
      <c r="A255" s="33"/>
    </row>
    <row r="256" spans="1:1" x14ac:dyDescent="0.2">
      <c r="A256" s="33"/>
    </row>
    <row r="257" spans="1:1" x14ac:dyDescent="0.2">
      <c r="A257" s="33"/>
    </row>
    <row r="258" spans="1:1" x14ac:dyDescent="0.2">
      <c r="A258" s="33"/>
    </row>
    <row r="259" spans="1:1" x14ac:dyDescent="0.2">
      <c r="A259" s="33"/>
    </row>
    <row r="260" spans="1:1" x14ac:dyDescent="0.2">
      <c r="A260" s="33"/>
    </row>
    <row r="261" spans="1:1" x14ac:dyDescent="0.2">
      <c r="A261" s="33"/>
    </row>
    <row r="262" spans="1:1" x14ac:dyDescent="0.2">
      <c r="A262" s="33"/>
    </row>
    <row r="263" spans="1:1" x14ac:dyDescent="0.2">
      <c r="A263" s="33"/>
    </row>
    <row r="264" spans="1:1" x14ac:dyDescent="0.2">
      <c r="A264" s="33"/>
    </row>
    <row r="265" spans="1:1" x14ac:dyDescent="0.2">
      <c r="A265" s="33"/>
    </row>
    <row r="266" spans="1:1" x14ac:dyDescent="0.2">
      <c r="A266" s="33"/>
    </row>
    <row r="267" spans="1:1" x14ac:dyDescent="0.2">
      <c r="A267" s="33"/>
    </row>
    <row r="268" spans="1:1" x14ac:dyDescent="0.2">
      <c r="A268" s="33"/>
    </row>
    <row r="269" spans="1:1" x14ac:dyDescent="0.2">
      <c r="A269" s="33"/>
    </row>
    <row r="270" spans="1:1" x14ac:dyDescent="0.2">
      <c r="A270" s="33"/>
    </row>
    <row r="271" spans="1:1" x14ac:dyDescent="0.2">
      <c r="A271" s="33"/>
    </row>
    <row r="272" spans="1:1" x14ac:dyDescent="0.2">
      <c r="A272" s="33"/>
    </row>
    <row r="273" spans="1:1" x14ac:dyDescent="0.2">
      <c r="A273" s="33"/>
    </row>
    <row r="274" spans="1:1" x14ac:dyDescent="0.2">
      <c r="A274" s="33"/>
    </row>
    <row r="275" spans="1:1" x14ac:dyDescent="0.2">
      <c r="A275" s="33"/>
    </row>
    <row r="276" spans="1:1" x14ac:dyDescent="0.2">
      <c r="A276" s="33"/>
    </row>
    <row r="277" spans="1:1" x14ac:dyDescent="0.2">
      <c r="A277" s="33"/>
    </row>
    <row r="278" spans="1:1" x14ac:dyDescent="0.2">
      <c r="A278" s="33"/>
    </row>
    <row r="279" spans="1:1" x14ac:dyDescent="0.2">
      <c r="A279" s="33"/>
    </row>
    <row r="280" spans="1:1" x14ac:dyDescent="0.2">
      <c r="A280" s="33"/>
    </row>
    <row r="281" spans="1:1" x14ac:dyDescent="0.2">
      <c r="A281" s="33"/>
    </row>
    <row r="282" spans="1:1" x14ac:dyDescent="0.2">
      <c r="A282" s="33"/>
    </row>
    <row r="283" spans="1:1" x14ac:dyDescent="0.2">
      <c r="A283" s="33"/>
    </row>
    <row r="284" spans="1:1" x14ac:dyDescent="0.2">
      <c r="A284" s="33"/>
    </row>
    <row r="285" spans="1:1" x14ac:dyDescent="0.2">
      <c r="A285" s="33"/>
    </row>
    <row r="286" spans="1:1" x14ac:dyDescent="0.2">
      <c r="A286" s="33"/>
    </row>
    <row r="287" spans="1:1" x14ac:dyDescent="0.2">
      <c r="A287" s="33"/>
    </row>
    <row r="288" spans="1:1" x14ac:dyDescent="0.2">
      <c r="A288" s="33"/>
    </row>
    <row r="289" spans="1:1" x14ac:dyDescent="0.2">
      <c r="A289" s="33"/>
    </row>
    <row r="290" spans="1:1" x14ac:dyDescent="0.2">
      <c r="A290" s="33"/>
    </row>
    <row r="291" spans="1:1" x14ac:dyDescent="0.2">
      <c r="A291" s="33"/>
    </row>
    <row r="292" spans="1:1" x14ac:dyDescent="0.2">
      <c r="A292" s="33"/>
    </row>
    <row r="293" spans="1:1" x14ac:dyDescent="0.2">
      <c r="A293" s="33"/>
    </row>
    <row r="294" spans="1:1" x14ac:dyDescent="0.2">
      <c r="A294" s="33"/>
    </row>
    <row r="295" spans="1:1" x14ac:dyDescent="0.2">
      <c r="A295" s="33"/>
    </row>
    <row r="296" spans="1:1" x14ac:dyDescent="0.2">
      <c r="A296" s="33"/>
    </row>
    <row r="297" spans="1:1" x14ac:dyDescent="0.2">
      <c r="A297" s="33"/>
    </row>
    <row r="298" spans="1:1" x14ac:dyDescent="0.2">
      <c r="A298" s="33"/>
    </row>
    <row r="299" spans="1:1" x14ac:dyDescent="0.2">
      <c r="A299" s="33"/>
    </row>
    <row r="300" spans="1:1" x14ac:dyDescent="0.2">
      <c r="A300" s="33"/>
    </row>
    <row r="301" spans="1:1" x14ac:dyDescent="0.2">
      <c r="A301" s="33"/>
    </row>
    <row r="302" spans="1:1" x14ac:dyDescent="0.2">
      <c r="A302" s="33"/>
    </row>
    <row r="303" spans="1:1" x14ac:dyDescent="0.2">
      <c r="A303" s="33"/>
    </row>
    <row r="304" spans="1:1" x14ac:dyDescent="0.2">
      <c r="A304" s="33"/>
    </row>
    <row r="305" spans="1:1" x14ac:dyDescent="0.2">
      <c r="A305" s="33"/>
    </row>
    <row r="306" spans="1:1" x14ac:dyDescent="0.2">
      <c r="A306" s="33"/>
    </row>
    <row r="307" spans="1:1" x14ac:dyDescent="0.2">
      <c r="A307" s="33"/>
    </row>
    <row r="308" spans="1:1" x14ac:dyDescent="0.2">
      <c r="A308" s="33"/>
    </row>
    <row r="309" spans="1:1" x14ac:dyDescent="0.2">
      <c r="A309" s="33"/>
    </row>
    <row r="310" spans="1:1" x14ac:dyDescent="0.2">
      <c r="A310" s="33"/>
    </row>
    <row r="311" spans="1:1" x14ac:dyDescent="0.2">
      <c r="A311" s="33"/>
    </row>
    <row r="312" spans="1:1" x14ac:dyDescent="0.2">
      <c r="A312" s="33"/>
    </row>
    <row r="313" spans="1:1" x14ac:dyDescent="0.2">
      <c r="A313" s="33"/>
    </row>
    <row r="314" spans="1:1" x14ac:dyDescent="0.2">
      <c r="A314" s="33"/>
    </row>
    <row r="315" spans="1:1" x14ac:dyDescent="0.2">
      <c r="A315" s="33"/>
    </row>
    <row r="316" spans="1:1" x14ac:dyDescent="0.2">
      <c r="A316" s="33"/>
    </row>
    <row r="317" spans="1:1" x14ac:dyDescent="0.2">
      <c r="A317" s="33"/>
    </row>
    <row r="318" spans="1:1" x14ac:dyDescent="0.2">
      <c r="A318" s="33"/>
    </row>
    <row r="319" spans="1:1" x14ac:dyDescent="0.2">
      <c r="A319" s="33"/>
    </row>
    <row r="320" spans="1:1" x14ac:dyDescent="0.2">
      <c r="A320" s="33"/>
    </row>
    <row r="321" spans="1:1" x14ac:dyDescent="0.2">
      <c r="A321" s="33"/>
    </row>
    <row r="322" spans="1:1" x14ac:dyDescent="0.2">
      <c r="A322" s="33"/>
    </row>
    <row r="323" spans="1:1" x14ac:dyDescent="0.2">
      <c r="A323" s="33"/>
    </row>
    <row r="324" spans="1:1" x14ac:dyDescent="0.2">
      <c r="A324" s="33"/>
    </row>
    <row r="325" spans="1:1" x14ac:dyDescent="0.2">
      <c r="A325" s="33"/>
    </row>
    <row r="326" spans="1:1" x14ac:dyDescent="0.2">
      <c r="A326" s="33"/>
    </row>
    <row r="327" spans="1:1" x14ac:dyDescent="0.2">
      <c r="A327" s="33"/>
    </row>
    <row r="328" spans="1:1" x14ac:dyDescent="0.2">
      <c r="A328" s="33"/>
    </row>
    <row r="329" spans="1:1" x14ac:dyDescent="0.2">
      <c r="A329" s="33"/>
    </row>
    <row r="330" spans="1:1" x14ac:dyDescent="0.2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Atualizar_Yahoo">
                <anchor moveWithCells="1">
                  <from>
                    <xdr:col>17</xdr:col>
                    <xdr:colOff>66675</xdr:colOff>
                    <xdr:row>0</xdr:row>
                    <xdr:rowOff>114300</xdr:rowOff>
                  </from>
                  <to>
                    <xdr:col>18</xdr:col>
                    <xdr:colOff>200025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/>
  <dimension ref="A1:V330"/>
  <sheetViews>
    <sheetView workbookViewId="0">
      <selection activeCell="H2" sqref="H2"/>
    </sheetView>
  </sheetViews>
  <sheetFormatPr defaultRowHeight="11.25" x14ac:dyDescent="0.2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 x14ac:dyDescent="0.2">
      <c r="A1" s="3" t="s">
        <v>42</v>
      </c>
      <c r="C1" s="3" t="s">
        <v>1715</v>
      </c>
    </row>
    <row r="2" spans="1:22" x14ac:dyDescent="0.2">
      <c r="A2" s="3" t="s">
        <v>43</v>
      </c>
      <c r="C2" s="3" t="s">
        <v>46</v>
      </c>
    </row>
    <row r="3" spans="1:22" x14ac:dyDescent="0.2">
      <c r="A3" s="3" t="s">
        <v>44</v>
      </c>
    </row>
    <row r="4" spans="1:22" x14ac:dyDescent="0.2">
      <c r="A4" s="3" t="s">
        <v>45</v>
      </c>
    </row>
    <row r="6" spans="1:22" x14ac:dyDescent="0.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 x14ac:dyDescent="0.2">
      <c r="A7" s="33" t="str">
        <f>IF(Tabela17683[[#This Row],[Código]]="IBOV","^BVSP",IF(Tabela17683[[#This Row],[Código]]="","",CONCATENATE(LEFT(Tabela17683[[#This Row],[Código]],6),".SA")))</f>
        <v>AZEV3.SA</v>
      </c>
      <c r="C7" s="3" t="s">
        <v>1394</v>
      </c>
      <c r="D7" s="3" t="s">
        <v>1395</v>
      </c>
      <c r="E7" s="3" t="s">
        <v>1395</v>
      </c>
      <c r="F7" s="3" t="s">
        <v>1395</v>
      </c>
      <c r="G7" s="3" t="s">
        <v>1395</v>
      </c>
      <c r="H7" s="51">
        <v>41689</v>
      </c>
      <c r="J7" s="3">
        <f>IF($A7="",0,VALUE(CONCATENATE(LEFT(D7,LEN(D7)-3),",",RIGHT(D7,2))))</f>
        <v>1.95</v>
      </c>
      <c r="K7" s="3">
        <f t="shared" ref="K7:M22" si="0">IF($A7="",0,VALUE(CONCATENATE(LEFT(E7,LEN(E7)-3),",",RIGHT(E7,2))))</f>
        <v>1.95</v>
      </c>
      <c r="L7" s="3">
        <f t="shared" si="0"/>
        <v>1.95</v>
      </c>
      <c r="M7" s="3">
        <f t="shared" si="0"/>
        <v>1.95</v>
      </c>
      <c r="P7" s="14" t="s">
        <v>1385</v>
      </c>
      <c r="Q7" s="10" t="str">
        <f>IF(A7="","",C7)</f>
        <v>AZEVEDO     -ON</v>
      </c>
      <c r="R7" s="51">
        <f>IF(A7="","",H7)</f>
        <v>41689</v>
      </c>
      <c r="S7" s="5">
        <f>J7</f>
        <v>1.95</v>
      </c>
      <c r="T7" s="5">
        <f>K7</f>
        <v>1.95</v>
      </c>
      <c r="U7" s="5">
        <f>L7</f>
        <v>1.95</v>
      </c>
      <c r="V7" s="5">
        <f>M7</f>
        <v>1.95</v>
      </c>
    </row>
    <row r="8" spans="1:22" x14ac:dyDescent="0.2">
      <c r="A8" s="33" t="str">
        <f>IF(Tabela17683[[#This Row],[Código]]="IBOV","^BVSP",IF(Tabela17683[[#This Row],[Código]]="","",CONCATENATE(LEFT(Tabela17683[[#This Row],[Código]],6),".SA")))</f>
        <v>AZEV4.SA</v>
      </c>
      <c r="C8" s="3" t="s">
        <v>1396</v>
      </c>
      <c r="D8" s="3" t="s">
        <v>1397</v>
      </c>
      <c r="E8" s="3" t="s">
        <v>1397</v>
      </c>
      <c r="F8" s="3" t="s">
        <v>1397</v>
      </c>
      <c r="G8" s="3" t="s">
        <v>1397</v>
      </c>
      <c r="H8" s="51">
        <v>41689</v>
      </c>
      <c r="J8" s="3">
        <f t="shared" ref="J8:M71" si="1">IF($A8="",0,VALUE(CONCATENATE(LEFT(D8,LEN(D8)-3),",",RIGHT(D8,2))))</f>
        <v>1.5</v>
      </c>
      <c r="K8" s="3">
        <f t="shared" si="0"/>
        <v>1.5</v>
      </c>
      <c r="L8" s="3">
        <f t="shared" si="0"/>
        <v>1.5</v>
      </c>
      <c r="M8" s="3">
        <f t="shared" si="0"/>
        <v>1.5</v>
      </c>
      <c r="P8" s="15" t="s">
        <v>1386</v>
      </c>
      <c r="Q8" s="10" t="str">
        <f>IF(A8="","",C8)</f>
        <v>AZEVEDO     -PN</v>
      </c>
      <c r="R8" s="51">
        <f>IF(A8="","",H8)</f>
        <v>41689</v>
      </c>
      <c r="S8" s="5">
        <f>J8</f>
        <v>1.5</v>
      </c>
      <c r="T8" s="5">
        <f>K8</f>
        <v>1.5</v>
      </c>
      <c r="U8" s="5">
        <f>L8</f>
        <v>1.5</v>
      </c>
      <c r="V8" s="5">
        <f>M8</f>
        <v>1.5</v>
      </c>
    </row>
    <row r="9" spans="1:22" x14ac:dyDescent="0.2">
      <c r="A9" s="33" t="str">
        <f>IF(Tabela17683[[#This Row],[Código]]="IBOV","^BVSP",IF(Tabela17683[[#This Row],[Código]]="","",CONCATENATE(LEFT(Tabela17683[[#This Row],[Código]],6),".SA")))</f>
        <v>LIXC3.SA</v>
      </c>
      <c r="C9" s="3" t="s">
        <v>1399</v>
      </c>
      <c r="D9" s="3" t="s">
        <v>997</v>
      </c>
      <c r="E9" s="3" t="s">
        <v>997</v>
      </c>
      <c r="F9" s="3" t="s">
        <v>997</v>
      </c>
      <c r="G9" s="3" t="s">
        <v>997</v>
      </c>
      <c r="H9" s="51">
        <v>41689</v>
      </c>
      <c r="J9" s="3">
        <f t="shared" si="1"/>
        <v>2.9</v>
      </c>
      <c r="K9" s="3">
        <f t="shared" si="0"/>
        <v>2.9</v>
      </c>
      <c r="L9" s="3">
        <f t="shared" si="0"/>
        <v>2.9</v>
      </c>
      <c r="M9" s="3">
        <f t="shared" si="0"/>
        <v>2.9</v>
      </c>
      <c r="P9" s="14" t="s">
        <v>1387</v>
      </c>
      <c r="Q9" s="10" t="str">
        <f>IF(A9="","",C9)</f>
        <v>LIX DA CUNHA-ON</v>
      </c>
      <c r="R9" s="46">
        <f>IF(A9="","",H9)</f>
        <v>41689</v>
      </c>
      <c r="S9" s="6">
        <f>J9</f>
        <v>2.9</v>
      </c>
      <c r="T9" s="6">
        <f>K9</f>
        <v>2.9</v>
      </c>
      <c r="U9" s="6">
        <f>L9</f>
        <v>2.9</v>
      </c>
      <c r="V9" s="6">
        <f>M9</f>
        <v>2.9</v>
      </c>
    </row>
    <row r="10" spans="1:22" x14ac:dyDescent="0.2">
      <c r="A10" s="33" t="str">
        <f>IF(Tabela17683[[#This Row],[Código]]="IBOV","^BVSP",IF(Tabela17683[[#This Row],[Código]]="","",CONCATENATE(LEFT(Tabela17683[[#This Row],[Código]],6),".SA")))</f>
        <v>LIXC4.SA</v>
      </c>
      <c r="C10" s="3" t="s">
        <v>1400</v>
      </c>
      <c r="D10" s="3" t="s">
        <v>1355</v>
      </c>
      <c r="E10" s="3" t="s">
        <v>689</v>
      </c>
      <c r="F10" s="3" t="s">
        <v>689</v>
      </c>
      <c r="G10" s="3" t="s">
        <v>1355</v>
      </c>
      <c r="H10" s="51">
        <v>41689</v>
      </c>
      <c r="J10" s="3">
        <f t="shared" si="1"/>
        <v>2.95</v>
      </c>
      <c r="K10" s="3">
        <f t="shared" si="0"/>
        <v>3</v>
      </c>
      <c r="L10" s="3">
        <f t="shared" si="0"/>
        <v>3</v>
      </c>
      <c r="M10" s="3">
        <f t="shared" si="0"/>
        <v>2.95</v>
      </c>
      <c r="P10" s="14" t="s">
        <v>1388</v>
      </c>
      <c r="Q10" s="10" t="str">
        <f>IF(A10="","",C10)</f>
        <v>LIX DA CUNHA-PN</v>
      </c>
      <c r="R10" s="51">
        <f>IF(A10="","",H10)</f>
        <v>41689</v>
      </c>
      <c r="S10" s="5">
        <f>J10</f>
        <v>2.95</v>
      </c>
      <c r="T10" s="5">
        <f>K10</f>
        <v>3</v>
      </c>
      <c r="U10" s="5">
        <f>L10</f>
        <v>3</v>
      </c>
      <c r="V10" s="5">
        <f>M10</f>
        <v>2.95</v>
      </c>
    </row>
    <row r="11" spans="1:22" x14ac:dyDescent="0.2">
      <c r="A11" s="33" t="str">
        <f>IF(Tabela17683[[#This Row],[Código]]="IBOV","^BVSP",IF(Tabela17683[[#This Row],[Código]]="","",CONCATENATE(LEFT(Tabela17683[[#This Row],[Código]],6),".SA")))</f>
        <v>MEND3.SA</v>
      </c>
      <c r="C11" s="3" t="s">
        <v>1405</v>
      </c>
      <c r="D11" s="3" t="s">
        <v>446</v>
      </c>
      <c r="E11" s="3" t="s">
        <v>447</v>
      </c>
      <c r="F11" s="3" t="s">
        <v>446</v>
      </c>
      <c r="G11" s="3" t="s">
        <v>446</v>
      </c>
      <c r="H11" s="51" t="s">
        <v>446</v>
      </c>
      <c r="J11" s="3" t="e">
        <f t="shared" si="1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1391</v>
      </c>
      <c r="Q11" s="10" t="str">
        <f>IF(A11="","",C11)</f>
        <v>MENDES JR   -ON</v>
      </c>
      <c r="R11" s="51" t="str">
        <f>IF(A11="","",H11)</f>
        <v>N/A</v>
      </c>
      <c r="S11" s="5" t="e">
        <f>J11</f>
        <v>#VALUE!</v>
      </c>
      <c r="T11" s="5">
        <f>K11</f>
        <v>0</v>
      </c>
      <c r="U11" s="5" t="e">
        <f>L11</f>
        <v>#VALUE!</v>
      </c>
      <c r="V11" s="5" t="e">
        <f>M11</f>
        <v>#VALUE!</v>
      </c>
    </row>
    <row r="12" spans="1:22" x14ac:dyDescent="0.2">
      <c r="A12" s="33" t="str">
        <f>IF(Tabela17683[[#This Row],[Código]]="IBOV","^BVSP",IF(Tabela17683[[#This Row],[Código]]="","",CONCATENATE(LEFT(Tabela17683[[#This Row],[Código]],6),".SA")))</f>
        <v>MEND5.SA</v>
      </c>
      <c r="C12" s="3" t="s">
        <v>1406</v>
      </c>
      <c r="D12" s="3" t="s">
        <v>1407</v>
      </c>
      <c r="E12" s="3" t="s">
        <v>1407</v>
      </c>
      <c r="F12" s="3" t="s">
        <v>1407</v>
      </c>
      <c r="G12" s="3" t="s">
        <v>1407</v>
      </c>
      <c r="H12" s="51">
        <v>41689</v>
      </c>
      <c r="J12" s="3">
        <f t="shared" si="1"/>
        <v>11.22</v>
      </c>
      <c r="K12" s="3">
        <f t="shared" si="0"/>
        <v>11.22</v>
      </c>
      <c r="L12" s="3">
        <f t="shared" si="0"/>
        <v>11.22</v>
      </c>
      <c r="M12" s="3">
        <f t="shared" si="0"/>
        <v>11.22</v>
      </c>
      <c r="P12" s="15" t="s">
        <v>1392</v>
      </c>
      <c r="Q12" s="10" t="str">
        <f>IF(A12="","",C12)</f>
        <v>MENDES JR   -PNA</v>
      </c>
      <c r="R12" s="46">
        <f>IF(A12="","",H12)</f>
        <v>41689</v>
      </c>
      <c r="S12" s="6">
        <f>J12</f>
        <v>11.22</v>
      </c>
      <c r="T12" s="6">
        <f>K12</f>
        <v>11.22</v>
      </c>
      <c r="U12" s="5">
        <f>L12</f>
        <v>11.22</v>
      </c>
      <c r="V12" s="5">
        <f>M12</f>
        <v>11.22</v>
      </c>
    </row>
    <row r="13" spans="1:22" x14ac:dyDescent="0.2">
      <c r="A13" s="33" t="str">
        <f>IF(Tabela17683[[#This Row],[Código]]="IBOV","^BVSP",IF(Tabela17683[[#This Row],[Código]]="","",CONCATENATE(LEFT(Tabela17683[[#This Row],[Código]],6),".SA")))</f>
        <v>MEND6.SA</v>
      </c>
      <c r="C13" s="3" t="s">
        <v>1408</v>
      </c>
      <c r="D13" s="3" t="s">
        <v>1409</v>
      </c>
      <c r="E13" s="3" t="s">
        <v>1409</v>
      </c>
      <c r="F13" s="3" t="s">
        <v>1409</v>
      </c>
      <c r="G13" s="3" t="s">
        <v>1409</v>
      </c>
      <c r="H13" s="51">
        <v>41689</v>
      </c>
      <c r="J13" s="3">
        <f t="shared" si="1"/>
        <v>11.6</v>
      </c>
      <c r="K13" s="3">
        <f t="shared" si="0"/>
        <v>11.6</v>
      </c>
      <c r="L13" s="3">
        <f t="shared" si="0"/>
        <v>11.6</v>
      </c>
      <c r="M13" s="3">
        <f t="shared" si="0"/>
        <v>11.6</v>
      </c>
      <c r="P13" s="10" t="s">
        <v>1393</v>
      </c>
      <c r="Q13" s="10" t="str">
        <f>IF(A13="","",C13)</f>
        <v>MENDES JR   -PNB</v>
      </c>
      <c r="R13" s="51">
        <f>IF(A13="","",H13)</f>
        <v>41689</v>
      </c>
      <c r="S13" s="5">
        <f>J13</f>
        <v>11.6</v>
      </c>
      <c r="T13" s="5">
        <f>K13</f>
        <v>11.6</v>
      </c>
      <c r="U13" s="5">
        <f>L13</f>
        <v>11.6</v>
      </c>
      <c r="V13" s="5">
        <f>M13</f>
        <v>11.6</v>
      </c>
    </row>
    <row r="14" spans="1:22" x14ac:dyDescent="0.2">
      <c r="A14" s="33" t="str">
        <f>IF(Tabela17683[[#This Row],[Código]]="IBOV","^BVSP",IF(Tabela17683[[#This Row],[Código]]="","",CONCATENATE(LEFT(Tabela17683[[#This Row],[Código]],6),".SA")))</f>
        <v>SULT3.SA</v>
      </c>
      <c r="C14" s="3" t="s">
        <v>1402</v>
      </c>
      <c r="D14" s="3" t="s">
        <v>1403</v>
      </c>
      <c r="E14" s="3" t="s">
        <v>1403</v>
      </c>
      <c r="F14" s="3" t="s">
        <v>1403</v>
      </c>
      <c r="G14" s="3" t="s">
        <v>1403</v>
      </c>
      <c r="H14" s="51">
        <v>41689</v>
      </c>
      <c r="J14" s="3">
        <f t="shared" si="1"/>
        <v>1.1499999999999999</v>
      </c>
      <c r="K14" s="3">
        <f t="shared" si="0"/>
        <v>1.1499999999999999</v>
      </c>
      <c r="L14" s="3">
        <f t="shared" si="0"/>
        <v>1.1499999999999999</v>
      </c>
      <c r="M14" s="3">
        <f t="shared" si="0"/>
        <v>1.1499999999999999</v>
      </c>
      <c r="P14" s="15" t="s">
        <v>1389</v>
      </c>
      <c r="Q14" s="10" t="str">
        <f>IF(A14="","",C14)</f>
        <v>SULTEPA     -ON</v>
      </c>
      <c r="R14" s="51">
        <f>IF(A14="","",H14)</f>
        <v>41689</v>
      </c>
      <c r="S14" s="5">
        <f>J14</f>
        <v>1.1499999999999999</v>
      </c>
      <c r="T14" s="5">
        <f>K14</f>
        <v>1.1499999999999999</v>
      </c>
      <c r="U14" s="5">
        <f>L14</f>
        <v>1.1499999999999999</v>
      </c>
      <c r="V14" s="5">
        <f>M14</f>
        <v>1.1499999999999999</v>
      </c>
    </row>
    <row r="15" spans="1:22" x14ac:dyDescent="0.2">
      <c r="A15" s="33" t="str">
        <f>IF(Tabela17683[[#This Row],[Código]]="IBOV","^BVSP",IF(Tabela17683[[#This Row],[Código]]="","",CONCATENATE(LEFT(Tabela17683[[#This Row],[Código]],6),".SA")))</f>
        <v>SULT4.SA</v>
      </c>
      <c r="C15" s="3" t="s">
        <v>1404</v>
      </c>
      <c r="D15" s="3" t="s">
        <v>809</v>
      </c>
      <c r="E15" s="3" t="s">
        <v>809</v>
      </c>
      <c r="F15" s="3" t="s">
        <v>809</v>
      </c>
      <c r="G15" s="3" t="s">
        <v>809</v>
      </c>
      <c r="H15" s="51">
        <v>41689</v>
      </c>
      <c r="J15" s="3">
        <f t="shared" si="1"/>
        <v>1.01</v>
      </c>
      <c r="K15" s="3">
        <f t="shared" si="0"/>
        <v>1.01</v>
      </c>
      <c r="L15" s="3">
        <f t="shared" si="0"/>
        <v>1.01</v>
      </c>
      <c r="M15" s="3">
        <f t="shared" si="0"/>
        <v>1.01</v>
      </c>
      <c r="P15" s="14" t="s">
        <v>1390</v>
      </c>
      <c r="Q15" s="10" t="str">
        <f>IF(A15="","",C15)</f>
        <v>SULTEPA     -PN</v>
      </c>
      <c r="R15" s="51">
        <f>IF(A15="","",H15)</f>
        <v>41689</v>
      </c>
      <c r="S15" s="5">
        <f>J15</f>
        <v>1.01</v>
      </c>
      <c r="T15" s="5">
        <f>K15</f>
        <v>1.01</v>
      </c>
      <c r="U15" s="5">
        <f>L15</f>
        <v>1.01</v>
      </c>
      <c r="V15" s="5">
        <f>M15</f>
        <v>1.01</v>
      </c>
    </row>
    <row r="16" spans="1:22" x14ac:dyDescent="0.2">
      <c r="A16" s="33" t="str">
        <f>IF(Tabela17683[[#This Row],[Código]]="IBOV","^BVSP",IF(Tabela17683[[#This Row],[Código]]="","",CONCATENATE(LEFT(Tabela17683[[#This Row],[Código]],6),".SA")))</f>
        <v>SOND3.SA</v>
      </c>
      <c r="C16" s="3" t="s">
        <v>1417</v>
      </c>
      <c r="D16" s="3" t="s">
        <v>446</v>
      </c>
      <c r="E16" s="3" t="s">
        <v>1418</v>
      </c>
      <c r="F16" s="3" t="s">
        <v>1418</v>
      </c>
      <c r="G16" s="3" t="s">
        <v>1418</v>
      </c>
      <c r="H16" s="51">
        <v>41689</v>
      </c>
      <c r="J16" s="3" t="e">
        <f t="shared" si="1"/>
        <v>#VALUE!</v>
      </c>
      <c r="K16" s="3">
        <f t="shared" si="0"/>
        <v>42</v>
      </c>
      <c r="L16" s="3">
        <f t="shared" si="0"/>
        <v>42</v>
      </c>
      <c r="M16" s="3">
        <f t="shared" si="0"/>
        <v>42</v>
      </c>
      <c r="P16" s="14" t="s">
        <v>1412</v>
      </c>
      <c r="Q16" s="10" t="str">
        <f>IF(A16="","",C16)</f>
        <v>SONDOTECNICA-ON</v>
      </c>
      <c r="R16" s="51">
        <f>IF(A16="","",H16)</f>
        <v>41689</v>
      </c>
      <c r="S16" s="5" t="e">
        <f>J16</f>
        <v>#VALUE!</v>
      </c>
      <c r="T16" s="5">
        <f>K16</f>
        <v>42</v>
      </c>
      <c r="U16" s="5">
        <f>L16</f>
        <v>42</v>
      </c>
      <c r="V16" s="5">
        <f>M16</f>
        <v>42</v>
      </c>
    </row>
    <row r="17" spans="1:22" x14ac:dyDescent="0.2">
      <c r="A17" s="33" t="str">
        <f>IF(Tabela17683[[#This Row],[Código]]="IBOV","^BVSP",IF(Tabela17683[[#This Row],[Código]]="","",CONCATENATE(LEFT(Tabela17683[[#This Row],[Código]],6),".SA")))</f>
        <v>SOND5.SA</v>
      </c>
      <c r="C17" s="3" t="s">
        <v>1419</v>
      </c>
      <c r="D17" s="3" t="s">
        <v>1019</v>
      </c>
      <c r="E17" s="3" t="s">
        <v>1019</v>
      </c>
      <c r="F17" s="3" t="s">
        <v>1019</v>
      </c>
      <c r="G17" s="3" t="s">
        <v>1019</v>
      </c>
      <c r="H17" s="51">
        <v>41689</v>
      </c>
      <c r="J17" s="3">
        <f t="shared" si="1"/>
        <v>41</v>
      </c>
      <c r="K17" s="3">
        <f t="shared" si="0"/>
        <v>41</v>
      </c>
      <c r="L17" s="3">
        <f t="shared" si="0"/>
        <v>41</v>
      </c>
      <c r="M17" s="3">
        <f t="shared" si="0"/>
        <v>41</v>
      </c>
      <c r="P17" s="14" t="s">
        <v>1413</v>
      </c>
      <c r="Q17" s="10" t="str">
        <f>IF(A17="","",C17)</f>
        <v>SONDOTECNICA-PNA</v>
      </c>
      <c r="R17" s="51">
        <f>IF(A17="","",H17)</f>
        <v>41689</v>
      </c>
      <c r="S17" s="5">
        <f>J17</f>
        <v>41</v>
      </c>
      <c r="T17" s="5">
        <f>K17</f>
        <v>41</v>
      </c>
      <c r="U17" s="5">
        <f>L17</f>
        <v>41</v>
      </c>
      <c r="V17" s="5">
        <f>M17</f>
        <v>41</v>
      </c>
    </row>
    <row r="18" spans="1:22" x14ac:dyDescent="0.2">
      <c r="A18" s="33" t="str">
        <f>IF(Tabela17683[[#This Row],[Código]]="IBOV","^BVSP",IF(Tabela17683[[#This Row],[Código]]="","",CONCATENATE(LEFT(Tabela17683[[#This Row],[Código]],6),".SA")))</f>
        <v>SOND6.SA</v>
      </c>
      <c r="C18" s="3" t="s">
        <v>1420</v>
      </c>
      <c r="D18" s="3" t="s">
        <v>1421</v>
      </c>
      <c r="E18" s="3" t="s">
        <v>1421</v>
      </c>
      <c r="F18" s="3" t="s">
        <v>1421</v>
      </c>
      <c r="G18" s="3" t="s">
        <v>1421</v>
      </c>
      <c r="H18" s="51">
        <v>41689</v>
      </c>
      <c r="J18" s="3">
        <f t="shared" si="1"/>
        <v>44</v>
      </c>
      <c r="K18" s="3">
        <f t="shared" si="0"/>
        <v>44</v>
      </c>
      <c r="L18" s="3">
        <f t="shared" si="0"/>
        <v>44</v>
      </c>
      <c r="M18" s="3">
        <f t="shared" si="0"/>
        <v>44</v>
      </c>
      <c r="P18" s="14" t="s">
        <v>1414</v>
      </c>
      <c r="Q18" s="10" t="str">
        <f>IF(A18="","",C18)</f>
        <v>SONDOTECNICA-PNB</v>
      </c>
      <c r="R18" s="51">
        <f>IF(A18="","",H18)</f>
        <v>41689</v>
      </c>
      <c r="S18" s="5">
        <f>J18</f>
        <v>44</v>
      </c>
      <c r="T18" s="5">
        <f>K18</f>
        <v>44</v>
      </c>
      <c r="U18" s="5">
        <f>L18</f>
        <v>44</v>
      </c>
      <c r="V18" s="5">
        <f>M18</f>
        <v>44</v>
      </c>
    </row>
    <row r="19" spans="1:22" x14ac:dyDescent="0.2">
      <c r="A19" s="33" t="str">
        <f>IF(Tabela17683[[#This Row],[Código]]="IBOV","^BVSP",IF(Tabela17683[[#This Row],[Código]]="","",CONCATENATE(LEFT(Tabela17683[[#This Row],[Código]],6),".SA")))</f>
        <v>TCNO3.SA</v>
      </c>
      <c r="C19" s="3" t="s">
        <v>1422</v>
      </c>
      <c r="D19" s="3" t="s">
        <v>683</v>
      </c>
      <c r="E19" s="3" t="s">
        <v>683</v>
      </c>
      <c r="F19" s="3" t="s">
        <v>683</v>
      </c>
      <c r="G19" s="3" t="s">
        <v>683</v>
      </c>
      <c r="H19" s="51">
        <v>41689</v>
      </c>
      <c r="J19" s="3">
        <f t="shared" si="1"/>
        <v>0.08</v>
      </c>
      <c r="K19" s="3">
        <f t="shared" si="0"/>
        <v>0.08</v>
      </c>
      <c r="L19" s="3">
        <f t="shared" si="0"/>
        <v>0.08</v>
      </c>
      <c r="M19" s="3">
        <f t="shared" si="0"/>
        <v>0.08</v>
      </c>
      <c r="P19" s="10" t="s">
        <v>1415</v>
      </c>
      <c r="Q19" s="10" t="str">
        <f>IF(A19="","",C19)</f>
        <v>TECNOSOLO   -ON</v>
      </c>
      <c r="R19" s="51">
        <f>IF(A19="","",H19)</f>
        <v>41689</v>
      </c>
      <c r="S19" s="5">
        <f>J19</f>
        <v>0.08</v>
      </c>
      <c r="T19" s="5">
        <f>K19</f>
        <v>0.08</v>
      </c>
      <c r="U19" s="5">
        <f>L19</f>
        <v>0.08</v>
      </c>
      <c r="V19" s="5">
        <f>M19</f>
        <v>0.08</v>
      </c>
    </row>
    <row r="20" spans="1:22" x14ac:dyDescent="0.2">
      <c r="A20" s="33" t="str">
        <f>IF(Tabela17683[[#This Row],[Código]]="IBOV","^BVSP",IF(Tabela17683[[#This Row],[Código]]="","",CONCATENATE(LEFT(Tabela17683[[#This Row],[Código]],6),".SA")))</f>
        <v>TCNO4.SA</v>
      </c>
      <c r="C20" s="3" t="s">
        <v>1423</v>
      </c>
      <c r="D20" s="3" t="s">
        <v>813</v>
      </c>
      <c r="E20" s="3" t="s">
        <v>1424</v>
      </c>
      <c r="F20" s="3" t="s">
        <v>813</v>
      </c>
      <c r="G20" s="3" t="s">
        <v>1424</v>
      </c>
      <c r="H20" s="51">
        <v>41689</v>
      </c>
      <c r="J20" s="3">
        <f t="shared" si="1"/>
        <v>7.0000000000000007E-2</v>
      </c>
      <c r="K20" s="3">
        <f t="shared" si="0"/>
        <v>0.06</v>
      </c>
      <c r="L20" s="3">
        <f t="shared" si="0"/>
        <v>7.0000000000000007E-2</v>
      </c>
      <c r="M20" s="3">
        <f t="shared" si="0"/>
        <v>0.06</v>
      </c>
      <c r="P20" s="10" t="s">
        <v>1416</v>
      </c>
      <c r="Q20" s="10" t="str">
        <f>IF(A20="","",C20)</f>
        <v>TECNOSOLO   -PN</v>
      </c>
      <c r="R20" s="51">
        <f>IF(A20="","",H20)</f>
        <v>41689</v>
      </c>
      <c r="S20" s="5">
        <f>J20</f>
        <v>7.0000000000000007E-2</v>
      </c>
      <c r="T20" s="5">
        <f>K20</f>
        <v>0.06</v>
      </c>
      <c r="U20" s="5">
        <f>L20</f>
        <v>7.0000000000000007E-2</v>
      </c>
      <c r="V20" s="5">
        <f>M20</f>
        <v>0.06</v>
      </c>
    </row>
    <row r="21" spans="1:22" x14ac:dyDescent="0.2">
      <c r="A21" s="33" t="str">
        <f>IF(Tabela17683[[#This Row],[Código]]="IBOV","^BVSP",IF(Tabela17683[[#This Row],[Código]]="","",CONCATENATE(LEFT(Tabela17683[[#This Row],[Código]],6),".SA")))</f>
        <v>BBRK3.SA</v>
      </c>
      <c r="C21" s="3" t="s">
        <v>1428</v>
      </c>
      <c r="D21" s="3" t="s">
        <v>1605</v>
      </c>
      <c r="E21" s="3" t="s">
        <v>1158</v>
      </c>
      <c r="F21" s="3" t="s">
        <v>1070</v>
      </c>
      <c r="G21" s="3" t="s">
        <v>1606</v>
      </c>
      <c r="H21" s="51">
        <v>41689</v>
      </c>
      <c r="J21" s="3">
        <f t="shared" si="1"/>
        <v>4.66</v>
      </c>
      <c r="K21" s="3">
        <f t="shared" si="0"/>
        <v>4.75</v>
      </c>
      <c r="L21" s="3">
        <f t="shared" si="0"/>
        <v>4.82</v>
      </c>
      <c r="M21" s="3">
        <f t="shared" si="0"/>
        <v>4.6500000000000004</v>
      </c>
      <c r="P21" s="14" t="s">
        <v>1426</v>
      </c>
      <c r="Q21" s="10" t="str">
        <f>IF(A21="","",C21)</f>
        <v xml:space="preserve">BR BROKERS  -ON  </v>
      </c>
      <c r="R21" s="51">
        <f>IF(A21="","",H21)</f>
        <v>41689</v>
      </c>
      <c r="S21" s="5">
        <f>J21</f>
        <v>4.66</v>
      </c>
      <c r="T21" s="5">
        <f>K21</f>
        <v>4.75</v>
      </c>
      <c r="U21" s="5">
        <f>L21</f>
        <v>4.82</v>
      </c>
      <c r="V21" s="5">
        <f>M21</f>
        <v>4.6500000000000004</v>
      </c>
    </row>
    <row r="22" spans="1:22" x14ac:dyDescent="0.2">
      <c r="A22" s="33" t="str">
        <f>IF(Tabela17683[[#This Row],[Código]]="IBOV","^BVSP",IF(Tabela17683[[#This Row],[Código]]="","",CONCATENATE(LEFT(Tabela17683[[#This Row],[Código]],6),".SA")))</f>
        <v>LPSB3.SA</v>
      </c>
      <c r="C22" s="3" t="s">
        <v>1429</v>
      </c>
      <c r="D22" s="3" t="s">
        <v>1195</v>
      </c>
      <c r="E22" s="3" t="s">
        <v>2044</v>
      </c>
      <c r="F22" s="3" t="s">
        <v>1863</v>
      </c>
      <c r="G22" s="3" t="s">
        <v>1702</v>
      </c>
      <c r="H22" s="51">
        <v>41689</v>
      </c>
      <c r="J22" s="3">
        <f t="shared" si="1"/>
        <v>12.99</v>
      </c>
      <c r="K22" s="3">
        <f t="shared" si="0"/>
        <v>13.18</v>
      </c>
      <c r="L22" s="3">
        <f t="shared" si="0"/>
        <v>13.33</v>
      </c>
      <c r="M22" s="3">
        <f t="shared" si="0"/>
        <v>12.95</v>
      </c>
      <c r="P22" s="14" t="s">
        <v>1427</v>
      </c>
      <c r="Q22" s="10" t="str">
        <f>IF(A22="","",C22)</f>
        <v xml:space="preserve">LOPES BRASIL-ON  </v>
      </c>
      <c r="R22" s="51">
        <f>IF(A22="","",H22)</f>
        <v>41689</v>
      </c>
      <c r="S22" s="5">
        <f>J22</f>
        <v>12.99</v>
      </c>
      <c r="T22" s="5">
        <f>K22</f>
        <v>13.18</v>
      </c>
      <c r="U22" s="5">
        <f>L22</f>
        <v>13.33</v>
      </c>
      <c r="V22" s="5">
        <f>M22</f>
        <v>12.95</v>
      </c>
    </row>
    <row r="23" spans="1:22" x14ac:dyDescent="0.2">
      <c r="A23" s="33" t="str">
        <f>IF(Tabela17683[[#This Row],[Código]]="IBOV","^BVSP",IF(Tabela17683[[#This Row],[Código]]="","",CONCATENATE(LEFT(Tabela17683[[#This Row],[Código]],6),".SA")))</f>
        <v>CCHI3.SA</v>
      </c>
      <c r="C23" s="3" t="s">
        <v>1437</v>
      </c>
      <c r="D23" s="3" t="s">
        <v>1269</v>
      </c>
      <c r="E23" s="3" t="s">
        <v>1647</v>
      </c>
      <c r="F23" s="3" t="s">
        <v>1269</v>
      </c>
      <c r="G23" s="3" t="s">
        <v>1647</v>
      </c>
      <c r="H23" s="51">
        <v>41689</v>
      </c>
      <c r="J23" s="3">
        <f t="shared" si="1"/>
        <v>0.16</v>
      </c>
      <c r="K23" s="3">
        <f t="shared" si="1"/>
        <v>0.15</v>
      </c>
      <c r="L23" s="3">
        <f t="shared" si="1"/>
        <v>0.16</v>
      </c>
      <c r="M23" s="3">
        <f t="shared" si="1"/>
        <v>0.15</v>
      </c>
      <c r="P23" s="14" t="s">
        <v>1432</v>
      </c>
      <c r="Q23" s="10" t="str">
        <f>IF(A23="","",C23)</f>
        <v>CHIARELLI   -ON</v>
      </c>
      <c r="R23" s="51">
        <f>IF(A23="","",H23)</f>
        <v>41689</v>
      </c>
      <c r="S23" s="5">
        <f>J23</f>
        <v>0.16</v>
      </c>
      <c r="T23" s="5">
        <f>K23</f>
        <v>0.15</v>
      </c>
      <c r="U23" s="5">
        <f>L23</f>
        <v>0.16</v>
      </c>
      <c r="V23" s="5">
        <f>M23</f>
        <v>0.15</v>
      </c>
    </row>
    <row r="24" spans="1:22" x14ac:dyDescent="0.2">
      <c r="A24" s="33" t="str">
        <f>IF(Tabela17683[[#This Row],[Código]]="IBOV","^BVSP",IF(Tabela17683[[#This Row],[Código]]="","",CONCATENATE(LEFT(Tabela17683[[#This Row],[Código]],6),".SA")))</f>
        <v>CCHI4.SA</v>
      </c>
      <c r="C24" s="3" t="s">
        <v>1438</v>
      </c>
      <c r="D24" s="3" t="s">
        <v>414</v>
      </c>
      <c r="E24" s="3" t="s">
        <v>414</v>
      </c>
      <c r="F24" s="3" t="s">
        <v>414</v>
      </c>
      <c r="G24" s="3" t="s">
        <v>414</v>
      </c>
      <c r="H24" s="51">
        <v>41689</v>
      </c>
      <c r="J24" s="3">
        <f t="shared" si="1"/>
        <v>0.12</v>
      </c>
      <c r="K24" s="3">
        <f t="shared" si="1"/>
        <v>0.12</v>
      </c>
      <c r="L24" s="3">
        <f t="shared" si="1"/>
        <v>0.12</v>
      </c>
      <c r="M24" s="3">
        <f t="shared" si="1"/>
        <v>0.12</v>
      </c>
      <c r="P24" s="15" t="s">
        <v>1433</v>
      </c>
      <c r="Q24" s="10" t="str">
        <f>IF(A24="","",C24)</f>
        <v>CHIARELLI   -PN</v>
      </c>
      <c r="R24" s="51">
        <f>IF(A24="","",H24)</f>
        <v>41689</v>
      </c>
      <c r="S24" s="5">
        <f>J24</f>
        <v>0.12</v>
      </c>
      <c r="T24" s="5">
        <f>K24</f>
        <v>0.12</v>
      </c>
      <c r="U24" s="5">
        <f>L24</f>
        <v>0.12</v>
      </c>
      <c r="V24" s="5">
        <f>M24</f>
        <v>0.12</v>
      </c>
    </row>
    <row r="25" spans="1:22" x14ac:dyDescent="0.2">
      <c r="A25" s="33" t="str">
        <f>IF(Tabela17683[[#This Row],[Código]]="IBOV","^BVSP",IF(Tabela17683[[#This Row],[Código]]="","",CONCATENATE(LEFT(Tabela17683[[#This Row],[Código]],6),".SA")))</f>
        <v>HAGA3.SA</v>
      </c>
      <c r="C25" s="3" t="s">
        <v>1439</v>
      </c>
      <c r="D25" s="3" t="s">
        <v>503</v>
      </c>
      <c r="E25" s="3" t="s">
        <v>1440</v>
      </c>
      <c r="F25" s="3" t="s">
        <v>1440</v>
      </c>
      <c r="G25" s="3" t="s">
        <v>503</v>
      </c>
      <c r="H25" s="51">
        <v>41689</v>
      </c>
      <c r="J25" s="3">
        <f t="shared" si="1"/>
        <v>1.6</v>
      </c>
      <c r="K25" s="3">
        <f t="shared" si="1"/>
        <v>1.98</v>
      </c>
      <c r="L25" s="3">
        <f t="shared" si="1"/>
        <v>1.98</v>
      </c>
      <c r="M25" s="3">
        <f t="shared" si="1"/>
        <v>1.6</v>
      </c>
      <c r="P25" s="10" t="s">
        <v>1434</v>
      </c>
      <c r="Q25" s="10" t="str">
        <f>IF(A25="","",C25)</f>
        <v>HAGA S/A    -ON</v>
      </c>
      <c r="R25" s="51">
        <f>IF(A25="","",H25)</f>
        <v>41689</v>
      </c>
      <c r="S25" s="5">
        <f>J25</f>
        <v>1.6</v>
      </c>
      <c r="T25" s="5">
        <f>K25</f>
        <v>1.98</v>
      </c>
      <c r="U25" s="5">
        <f>L25</f>
        <v>1.98</v>
      </c>
      <c r="V25" s="5">
        <f>M25</f>
        <v>1.6</v>
      </c>
    </row>
    <row r="26" spans="1:22" x14ac:dyDescent="0.2">
      <c r="A26" s="33" t="str">
        <f>IF(Tabela17683[[#This Row],[Código]]="IBOV","^BVSP",IF(Tabela17683[[#This Row],[Código]]="","",CONCATENATE(LEFT(Tabela17683[[#This Row],[Código]],6),".SA")))</f>
        <v>HAGA4.SA</v>
      </c>
      <c r="C26" s="3" t="s">
        <v>1441</v>
      </c>
      <c r="D26" s="3" t="s">
        <v>1442</v>
      </c>
      <c r="E26" s="3" t="s">
        <v>1443</v>
      </c>
      <c r="F26" s="3" t="s">
        <v>1443</v>
      </c>
      <c r="G26" s="3" t="s">
        <v>1442</v>
      </c>
      <c r="H26" s="51">
        <v>41689</v>
      </c>
      <c r="J26" s="3">
        <f t="shared" si="1"/>
        <v>1.29</v>
      </c>
      <c r="K26" s="3">
        <f t="shared" si="1"/>
        <v>1.35</v>
      </c>
      <c r="L26" s="3">
        <f t="shared" si="1"/>
        <v>1.35</v>
      </c>
      <c r="M26" s="3">
        <f t="shared" si="1"/>
        <v>1.29</v>
      </c>
      <c r="P26" s="15" t="s">
        <v>1435</v>
      </c>
      <c r="Q26" s="10" t="str">
        <f>IF(A26="","",C26)</f>
        <v>HAGA S/A    -PN</v>
      </c>
      <c r="R26" s="51">
        <f>IF(A26="","",H26)</f>
        <v>41689</v>
      </c>
      <c r="S26" s="5">
        <f>J26</f>
        <v>1.29</v>
      </c>
      <c r="T26" s="5">
        <f>K26</f>
        <v>1.35</v>
      </c>
      <c r="U26" s="5">
        <f>L26</f>
        <v>1.35</v>
      </c>
      <c r="V26" s="5">
        <f>M26</f>
        <v>1.29</v>
      </c>
    </row>
    <row r="27" spans="1:22" x14ac:dyDescent="0.2">
      <c r="A27" s="33" t="str">
        <f>IF(Tabela17683[[#This Row],[Código]]="IBOV","^BVSP",IF(Tabela17683[[#This Row],[Código]]="","",CONCATENATE(LEFT(Tabela17683[[#This Row],[Código]],6),".SA")))</f>
        <v>PTBL3.SA</v>
      </c>
      <c r="C27" s="3" t="s">
        <v>1444</v>
      </c>
      <c r="D27" s="3" t="s">
        <v>1445</v>
      </c>
      <c r="E27" s="3" t="s">
        <v>1897</v>
      </c>
      <c r="F27" s="3" t="s">
        <v>1897</v>
      </c>
      <c r="G27" s="3" t="s">
        <v>1445</v>
      </c>
      <c r="H27" s="51">
        <v>41689</v>
      </c>
      <c r="J27" s="3">
        <f t="shared" si="1"/>
        <v>4.2</v>
      </c>
      <c r="K27" s="3">
        <f t="shared" si="1"/>
        <v>4.21</v>
      </c>
      <c r="L27" s="3">
        <f t="shared" si="1"/>
        <v>4.21</v>
      </c>
      <c r="M27" s="3">
        <f t="shared" si="1"/>
        <v>4.2</v>
      </c>
      <c r="P27" s="15" t="s">
        <v>1436</v>
      </c>
      <c r="Q27" s="10" t="str">
        <f>IF(A27="","",C27)</f>
        <v xml:space="preserve">PORTOBELLO  -ON  </v>
      </c>
      <c r="R27" s="51">
        <f>IF(A27="","",H27)</f>
        <v>41689</v>
      </c>
      <c r="S27" s="5">
        <f>J27</f>
        <v>4.2</v>
      </c>
      <c r="T27" s="5">
        <f>K27</f>
        <v>4.21</v>
      </c>
      <c r="U27" s="5">
        <f>L27</f>
        <v>4.21</v>
      </c>
      <c r="V27" s="5">
        <f>M27</f>
        <v>4.2</v>
      </c>
    </row>
    <row r="28" spans="1:22" x14ac:dyDescent="0.2">
      <c r="A28" s="33" t="str">
        <f>IF(Tabela17683[[#This Row],[Código]]="IBOV","^BVSP",IF(Tabela17683[[#This Row],[Código]]="","",CONCATENATE(LEFT(Tabela17683[[#This Row],[Código]],6),".SA")))</f>
        <v>CTAX11.SA</v>
      </c>
      <c r="C28" s="3" t="s">
        <v>1454</v>
      </c>
      <c r="D28" s="3" t="s">
        <v>1607</v>
      </c>
      <c r="E28" s="3" t="s">
        <v>1000</v>
      </c>
      <c r="F28" s="3" t="s">
        <v>1187</v>
      </c>
      <c r="G28" s="3" t="s">
        <v>1065</v>
      </c>
      <c r="H28" s="51">
        <v>41689</v>
      </c>
      <c r="J28" s="3">
        <f t="shared" si="1"/>
        <v>20.46</v>
      </c>
      <c r="K28" s="3">
        <f t="shared" si="1"/>
        <v>20.5</v>
      </c>
      <c r="L28" s="3">
        <f t="shared" si="1"/>
        <v>20.6</v>
      </c>
      <c r="M28" s="3">
        <f t="shared" si="1"/>
        <v>20.25</v>
      </c>
      <c r="P28" s="15" t="s">
        <v>1446</v>
      </c>
      <c r="Q28" s="10" t="str">
        <f>IF(A28="","",C28)</f>
        <v xml:space="preserve">CONTAX      -UNT </v>
      </c>
      <c r="R28" s="51">
        <f>IF(A28="","",H28)</f>
        <v>41689</v>
      </c>
      <c r="S28" s="5">
        <f>J28</f>
        <v>20.46</v>
      </c>
      <c r="T28" s="5">
        <f>K28</f>
        <v>20.5</v>
      </c>
      <c r="U28" s="5">
        <f>L28</f>
        <v>20.6</v>
      </c>
      <c r="V28" s="5">
        <f>M28</f>
        <v>20.25</v>
      </c>
    </row>
    <row r="29" spans="1:22" x14ac:dyDescent="0.2">
      <c r="A29" s="33" t="str">
        <f>IF(Tabela17683[[#This Row],[Código]]="IBOV","^BVSP",IF(Tabela17683[[#This Row],[Código]]="","",CONCATENATE(LEFT(Tabela17683[[#This Row],[Código]],6),".SA")))</f>
        <v>CTAX3.SA</v>
      </c>
      <c r="C29" s="3" t="s">
        <v>1455</v>
      </c>
      <c r="D29" s="3" t="s">
        <v>1608</v>
      </c>
      <c r="E29" s="3" t="s">
        <v>2045</v>
      </c>
      <c r="F29" s="3" t="s">
        <v>2045</v>
      </c>
      <c r="G29" s="3" t="s">
        <v>961</v>
      </c>
      <c r="H29" s="51">
        <v>41689</v>
      </c>
      <c r="J29" s="3">
        <f>IF($A29="",0,VALUE(CONCATENATE(LEFT(D29,LEN(D29)-3),",",RIGHT(D29,2))))</f>
        <v>5.8</v>
      </c>
      <c r="K29" s="3">
        <f t="shared" si="1"/>
        <v>6.2</v>
      </c>
      <c r="L29" s="3">
        <f t="shared" si="1"/>
        <v>6.2</v>
      </c>
      <c r="M29" s="3">
        <f t="shared" si="1"/>
        <v>5.4</v>
      </c>
      <c r="P29" s="14" t="s">
        <v>1447</v>
      </c>
      <c r="Q29" s="10" t="str">
        <f>IF(A29="","",C29)</f>
        <v xml:space="preserve">CONTAX      -ON  </v>
      </c>
      <c r="R29" s="51">
        <f>IF(A29="","",H29)</f>
        <v>41689</v>
      </c>
      <c r="S29" s="5">
        <f>J29</f>
        <v>5.8</v>
      </c>
      <c r="T29" s="5">
        <f>K29</f>
        <v>6.2</v>
      </c>
      <c r="U29" s="5">
        <f>L29</f>
        <v>6.2</v>
      </c>
      <c r="V29" s="5">
        <f>M29</f>
        <v>5.4</v>
      </c>
    </row>
    <row r="30" spans="1:22" x14ac:dyDescent="0.2">
      <c r="A30" s="33" t="str">
        <f>IF(Tabela17683[[#This Row],[Código]]="IBOV","^BVSP",IF(Tabela17683[[#This Row],[Código]]="","",CONCATENATE(LEFT(Tabela17683[[#This Row],[Código]],6),".SA")))</f>
        <v>CTAX4.SA</v>
      </c>
      <c r="C30" s="3" t="s">
        <v>1456</v>
      </c>
      <c r="D30" s="3" t="s">
        <v>1242</v>
      </c>
      <c r="E30" s="3" t="s">
        <v>984</v>
      </c>
      <c r="F30" s="3" t="s">
        <v>1253</v>
      </c>
      <c r="G30" s="3" t="s">
        <v>983</v>
      </c>
      <c r="H30" s="51">
        <v>41689</v>
      </c>
      <c r="J30" s="3">
        <f t="shared" si="1"/>
        <v>3.66</v>
      </c>
      <c r="K30" s="3">
        <f t="shared" si="1"/>
        <v>3.55</v>
      </c>
      <c r="L30" s="3">
        <f t="shared" si="1"/>
        <v>3.8</v>
      </c>
      <c r="M30" s="3">
        <f t="shared" si="1"/>
        <v>3.52</v>
      </c>
      <c r="P30" s="14" t="s">
        <v>1448</v>
      </c>
      <c r="Q30" s="10" t="str">
        <f>IF(A30="","",C30)</f>
        <v xml:space="preserve">CONTAX      -PN  </v>
      </c>
      <c r="R30" s="51">
        <f>IF(A30="","",H30)</f>
        <v>41689</v>
      </c>
      <c r="S30" s="5">
        <f>J30</f>
        <v>3.66</v>
      </c>
      <c r="T30" s="5">
        <f>K30</f>
        <v>3.55</v>
      </c>
      <c r="U30" s="5">
        <f>L30</f>
        <v>3.8</v>
      </c>
      <c r="V30" s="5">
        <f>M30</f>
        <v>3.52</v>
      </c>
    </row>
    <row r="31" spans="1:22" x14ac:dyDescent="0.2">
      <c r="A31" s="33" t="str">
        <f>IF(Tabela17683[[#This Row],[Código]]="IBOV","^BVSP",IF(Tabela17683[[#This Row],[Código]]="","",CONCATENATE(LEFT(Tabela17683[[#This Row],[Código]],6),".SA")))</f>
        <v>CARD3.SA</v>
      </c>
      <c r="C31" s="3" t="s">
        <v>1459</v>
      </c>
      <c r="D31" s="3" t="s">
        <v>996</v>
      </c>
      <c r="E31" s="3" t="s">
        <v>1813</v>
      </c>
      <c r="F31" s="3" t="s">
        <v>996</v>
      </c>
      <c r="G31" s="3" t="s">
        <v>1007</v>
      </c>
      <c r="H31" s="51">
        <v>41689</v>
      </c>
      <c r="J31" s="3">
        <f t="shared" si="1"/>
        <v>2.75</v>
      </c>
      <c r="K31" s="3">
        <f t="shared" si="1"/>
        <v>2.62</v>
      </c>
      <c r="L31" s="3">
        <f t="shared" si="1"/>
        <v>2.75</v>
      </c>
      <c r="M31" s="3">
        <f t="shared" si="1"/>
        <v>2.61</v>
      </c>
      <c r="P31" s="14" t="s">
        <v>1449</v>
      </c>
      <c r="Q31" s="10" t="str">
        <f>IF(A31="","",C31)</f>
        <v xml:space="preserve">CSU CARDSYST-ON  </v>
      </c>
      <c r="R31" s="51">
        <f>IF(A31="","",H31)</f>
        <v>41689</v>
      </c>
      <c r="S31" s="5">
        <f>J31</f>
        <v>2.75</v>
      </c>
      <c r="T31" s="5">
        <f>K31</f>
        <v>2.62</v>
      </c>
      <c r="U31" s="5">
        <f>L31</f>
        <v>2.75</v>
      </c>
      <c r="V31" s="5">
        <f>M31</f>
        <v>2.61</v>
      </c>
    </row>
    <row r="32" spans="1:22" x14ac:dyDescent="0.2">
      <c r="A32" s="33" t="str">
        <f>IF(Tabela17683[[#This Row],[Código]]="IBOV","^BVSP",IF(Tabela17683[[#This Row],[Código]]="","",CONCATENATE(LEFT(Tabela17683[[#This Row],[Código]],6),".SA")))</f>
        <v>DTCY3.SA</v>
      </c>
      <c r="C32" s="3" t="s">
        <v>1461</v>
      </c>
      <c r="D32" s="3" t="s">
        <v>970</v>
      </c>
      <c r="E32" s="3" t="s">
        <v>970</v>
      </c>
      <c r="F32" s="3" t="s">
        <v>970</v>
      </c>
      <c r="G32" s="3" t="s">
        <v>970</v>
      </c>
      <c r="H32" s="51">
        <v>41689</v>
      </c>
      <c r="J32" s="3">
        <f t="shared" si="1"/>
        <v>0.32</v>
      </c>
      <c r="K32" s="3">
        <f t="shared" si="1"/>
        <v>0.32</v>
      </c>
      <c r="L32" s="3">
        <f t="shared" si="1"/>
        <v>0.32</v>
      </c>
      <c r="M32" s="3">
        <f t="shared" si="1"/>
        <v>0.32</v>
      </c>
      <c r="P32" s="14" t="s">
        <v>1450</v>
      </c>
      <c r="Q32" s="10" t="str">
        <f>IF(A32="","",C32)</f>
        <v>DTCOM-DIRECT-ON</v>
      </c>
      <c r="R32" s="51">
        <f>IF(A32="","",H32)</f>
        <v>41689</v>
      </c>
      <c r="S32" s="5">
        <f>J32</f>
        <v>0.32</v>
      </c>
      <c r="T32" s="5">
        <f>K32</f>
        <v>0.32</v>
      </c>
      <c r="U32" s="5">
        <f>L32</f>
        <v>0.32</v>
      </c>
      <c r="V32" s="5">
        <f>M32</f>
        <v>0.32</v>
      </c>
    </row>
    <row r="33" spans="1:22" x14ac:dyDescent="0.2">
      <c r="A33" s="33" t="str">
        <f>IF(Tabela17683[[#This Row],[Código]]="IBOV","^BVSP",IF(Tabela17683[[#This Row],[Código]]="","",CONCATENATE(LEFT(Tabela17683[[#This Row],[Código]],6),".SA")))</f>
        <v>DTCY4.SA</v>
      </c>
      <c r="C33" s="3" t="s">
        <v>1462</v>
      </c>
      <c r="D33" s="3" t="s">
        <v>446</v>
      </c>
      <c r="E33" s="3" t="s">
        <v>447</v>
      </c>
      <c r="F33" s="3" t="s">
        <v>446</v>
      </c>
      <c r="G33" s="3" t="s">
        <v>446</v>
      </c>
      <c r="H33" s="51" t="s">
        <v>446</v>
      </c>
      <c r="J33" s="3" t="e">
        <f t="shared" si="1"/>
        <v>#VALUE!</v>
      </c>
      <c r="K33" s="3">
        <f t="shared" si="1"/>
        <v>0</v>
      </c>
      <c r="L33" s="3" t="e">
        <f t="shared" si="1"/>
        <v>#VALUE!</v>
      </c>
      <c r="M33" s="3" t="e">
        <f t="shared" si="1"/>
        <v>#VALUE!</v>
      </c>
      <c r="P33" s="14" t="s">
        <v>1451</v>
      </c>
      <c r="Q33" s="10" t="str">
        <f>IF(A33="","",C33)</f>
        <v>DTCOM-DIRECT-PN</v>
      </c>
      <c r="R33" s="51" t="str">
        <f>IF(A33="","",H33)</f>
        <v>N/A</v>
      </c>
      <c r="S33" s="5" t="e">
        <f>J33</f>
        <v>#VALUE!</v>
      </c>
      <c r="T33" s="5">
        <f>K33</f>
        <v>0</v>
      </c>
      <c r="U33" s="5" t="e">
        <f>L33</f>
        <v>#VALUE!</v>
      </c>
      <c r="V33" s="5" t="e">
        <f>M33</f>
        <v>#VALUE!</v>
      </c>
    </row>
    <row r="34" spans="1:22" x14ac:dyDescent="0.2">
      <c r="A34" s="33" t="str">
        <f>IF(Tabela17683[[#This Row],[Código]]="IBOV","^BVSP",IF(Tabela17683[[#This Row],[Código]]="","",CONCATENATE(LEFT(Tabela17683[[#This Row],[Código]],6),".SA")))</f>
        <v>MILS3.SA</v>
      </c>
      <c r="C34" s="3" t="s">
        <v>1463</v>
      </c>
      <c r="D34" s="3" t="s">
        <v>1464</v>
      </c>
      <c r="E34" s="3" t="s">
        <v>1827</v>
      </c>
      <c r="F34" s="3" t="s">
        <v>1464</v>
      </c>
      <c r="G34" s="3" t="s">
        <v>1898</v>
      </c>
      <c r="H34" s="51">
        <v>41689</v>
      </c>
      <c r="J34" s="3">
        <f t="shared" si="1"/>
        <v>26.45</v>
      </c>
      <c r="K34" s="3">
        <f t="shared" si="1"/>
        <v>25.58</v>
      </c>
      <c r="L34" s="3">
        <f t="shared" si="1"/>
        <v>26.45</v>
      </c>
      <c r="M34" s="3">
        <f t="shared" si="1"/>
        <v>25.1</v>
      </c>
      <c r="P34" s="14" t="s">
        <v>1452</v>
      </c>
      <c r="Q34" s="10" t="str">
        <f>IF(A34="","",C34)</f>
        <v xml:space="preserve">MILLS       -ON  </v>
      </c>
      <c r="R34" s="51">
        <f>IF(A34="","",H34)</f>
        <v>41689</v>
      </c>
      <c r="S34" s="5">
        <f>J34</f>
        <v>26.45</v>
      </c>
      <c r="T34" s="5">
        <f>K34</f>
        <v>25.58</v>
      </c>
      <c r="U34" s="5">
        <f>L34</f>
        <v>26.45</v>
      </c>
      <c r="V34" s="5">
        <f>M34</f>
        <v>25.1</v>
      </c>
    </row>
    <row r="35" spans="1:22" x14ac:dyDescent="0.2">
      <c r="A35" s="33" t="str">
        <f>IF(Tabela17683[[#This Row],[Código]]="IBOV","^BVSP",IF(Tabela17683[[#This Row],[Código]]="","",CONCATENATE(LEFT(Tabela17683[[#This Row],[Código]],6),".SA")))</f>
        <v>VLID3.SA</v>
      </c>
      <c r="C35" s="3" t="s">
        <v>1466</v>
      </c>
      <c r="D35" s="3" t="s">
        <v>1609</v>
      </c>
      <c r="E35" s="3" t="s">
        <v>2046</v>
      </c>
      <c r="F35" s="3" t="s">
        <v>1648</v>
      </c>
      <c r="G35" s="3" t="s">
        <v>2047</v>
      </c>
      <c r="H35" s="51">
        <v>41689</v>
      </c>
      <c r="J35" s="3">
        <f t="shared" si="1"/>
        <v>28.14</v>
      </c>
      <c r="K35" s="3">
        <f t="shared" si="1"/>
        <v>27.76</v>
      </c>
      <c r="L35" s="3">
        <f t="shared" si="1"/>
        <v>28.33</v>
      </c>
      <c r="M35" s="3">
        <f t="shared" si="1"/>
        <v>27.75</v>
      </c>
      <c r="P35" s="14" t="s">
        <v>1453</v>
      </c>
      <c r="Q35" s="10" t="str">
        <f>IF(A35="","",C35)</f>
        <v xml:space="preserve">VALID       -ON  </v>
      </c>
      <c r="R35" s="51">
        <f>IF(A35="","",H35)</f>
        <v>41689</v>
      </c>
      <c r="S35" s="5">
        <f>J35</f>
        <v>28.14</v>
      </c>
      <c r="T35" s="5">
        <f>K35</f>
        <v>27.76</v>
      </c>
      <c r="U35" s="5">
        <f>L35</f>
        <v>28.33</v>
      </c>
      <c r="V35" s="5">
        <f>M35</f>
        <v>27.75</v>
      </c>
    </row>
    <row r="36" spans="1:22" x14ac:dyDescent="0.2">
      <c r="A36" s="33" t="str">
        <f>IF(Tabela17683[[#This Row],[Código]]="IBOV","^BVSP",IF(Tabela17683[[#This Row],[Código]]="","",CONCATENATE(LEFT(Tabela17683[[#This Row],[Código]],6),".SA")))</f>
        <v>ARTR3.SA</v>
      </c>
      <c r="C36" s="3" t="s">
        <v>1472</v>
      </c>
      <c r="D36" s="3" t="s">
        <v>1009</v>
      </c>
      <c r="E36" s="3" t="s">
        <v>2048</v>
      </c>
      <c r="F36" s="3" t="s">
        <v>1710</v>
      </c>
      <c r="G36" s="3" t="s">
        <v>1610</v>
      </c>
      <c r="H36" s="51">
        <v>41689</v>
      </c>
      <c r="J36" s="3">
        <f t="shared" si="1"/>
        <v>16.059999999999999</v>
      </c>
      <c r="K36" s="3">
        <f t="shared" si="1"/>
        <v>16.079999999999998</v>
      </c>
      <c r="L36" s="3">
        <f t="shared" si="1"/>
        <v>16.09</v>
      </c>
      <c r="M36" s="3">
        <f t="shared" si="1"/>
        <v>15.88</v>
      </c>
      <c r="P36" s="14" t="s">
        <v>1468</v>
      </c>
      <c r="Q36" s="10" t="str">
        <f>IF(A36="","",C36)</f>
        <v xml:space="preserve">ARTERIS     -ON  </v>
      </c>
      <c r="R36" s="51">
        <f>IF(A36="","",H36)</f>
        <v>41689</v>
      </c>
      <c r="S36" s="5">
        <f>J36</f>
        <v>16.059999999999999</v>
      </c>
      <c r="T36" s="5">
        <f>K36</f>
        <v>16.079999999999998</v>
      </c>
      <c r="U36" s="5">
        <f>L36</f>
        <v>16.09</v>
      </c>
      <c r="V36" s="5">
        <f>M36</f>
        <v>15.88</v>
      </c>
    </row>
    <row r="37" spans="1:22" x14ac:dyDescent="0.2">
      <c r="A37" s="33" t="str">
        <f>IF(Tabela17683[[#This Row],[Código]]="IBOV","^BVSP",IF(Tabela17683[[#This Row],[Código]]="","",CONCATENATE(LEFT(Tabela17683[[#This Row],[Código]],6),".SA")))</f>
        <v>CCRO3.SA</v>
      </c>
      <c r="C37" s="3" t="s">
        <v>1473</v>
      </c>
      <c r="D37" s="3" t="s">
        <v>1611</v>
      </c>
      <c r="E37" s="3" t="s">
        <v>2049</v>
      </c>
      <c r="F37" s="3" t="s">
        <v>2049</v>
      </c>
      <c r="G37" s="3" t="s">
        <v>413</v>
      </c>
      <c r="H37" s="51">
        <v>41689</v>
      </c>
      <c r="J37" s="3">
        <f t="shared" si="1"/>
        <v>15.08</v>
      </c>
      <c r="K37" s="3">
        <f t="shared" si="1"/>
        <v>15.53</v>
      </c>
      <c r="L37" s="3">
        <f t="shared" si="1"/>
        <v>15.53</v>
      </c>
      <c r="M37" s="3">
        <f t="shared" si="1"/>
        <v>15</v>
      </c>
      <c r="P37" s="15" t="s">
        <v>1469</v>
      </c>
      <c r="Q37" s="10" t="str">
        <f>IF(A37="","",C37)</f>
        <v xml:space="preserve">CCR SA      -ON  </v>
      </c>
      <c r="R37" s="51">
        <f>IF(A37="","",H37)</f>
        <v>41689</v>
      </c>
      <c r="S37" s="5">
        <f>J37</f>
        <v>15.08</v>
      </c>
      <c r="T37" s="5">
        <f>K37</f>
        <v>15.53</v>
      </c>
      <c r="U37" s="5">
        <f>L37</f>
        <v>15.53</v>
      </c>
      <c r="V37" s="5">
        <f>M37</f>
        <v>15</v>
      </c>
    </row>
    <row r="38" spans="1:22" x14ac:dyDescent="0.2">
      <c r="A38" s="33" t="str">
        <f>IF(Tabela17683[[#This Row],[Código]]="IBOV","^BVSP",IF(Tabela17683[[#This Row],[Código]]="","",CONCATENATE(LEFT(Tabela17683[[#This Row],[Código]],6),".SA")))</f>
        <v>ECOR3.SA</v>
      </c>
      <c r="C38" s="3" t="s">
        <v>1474</v>
      </c>
      <c r="D38" s="3" t="s">
        <v>1612</v>
      </c>
      <c r="E38" s="3" t="s">
        <v>1008</v>
      </c>
      <c r="F38" s="3" t="s">
        <v>1612</v>
      </c>
      <c r="G38" s="3" t="s">
        <v>1613</v>
      </c>
      <c r="H38" s="51">
        <v>41689</v>
      </c>
      <c r="J38" s="3">
        <f t="shared" si="1"/>
        <v>12.11</v>
      </c>
      <c r="K38" s="3">
        <f t="shared" si="1"/>
        <v>12.09</v>
      </c>
      <c r="L38" s="3">
        <f t="shared" si="1"/>
        <v>12.11</v>
      </c>
      <c r="M38" s="3">
        <f t="shared" si="1"/>
        <v>11.69</v>
      </c>
      <c r="P38" s="15" t="s">
        <v>1470</v>
      </c>
      <c r="Q38" s="10" t="str">
        <f>IF(A38="","",C38)</f>
        <v xml:space="preserve">ECORODOVIAS -ON  </v>
      </c>
      <c r="R38" s="51">
        <f>IF(A38="","",H38)</f>
        <v>41689</v>
      </c>
      <c r="S38" s="5">
        <f>J38</f>
        <v>12.11</v>
      </c>
      <c r="T38" s="5">
        <f>K38</f>
        <v>12.09</v>
      </c>
      <c r="U38" s="5">
        <f>L38</f>
        <v>12.11</v>
      </c>
      <c r="V38" s="5">
        <f>M38</f>
        <v>11.69</v>
      </c>
    </row>
    <row r="39" spans="1:22" x14ac:dyDescent="0.2">
      <c r="A39" s="33" t="str">
        <f>IF(Tabela17683[[#This Row],[Código]]="IBOV","^BVSP",IF(Tabela17683[[#This Row],[Código]]="","",CONCATENATE(LEFT(Tabela17683[[#This Row],[Código]],6),".SA")))</f>
        <v>TPIS3.SA</v>
      </c>
      <c r="C39" s="3" t="s">
        <v>1475</v>
      </c>
      <c r="D39" s="3" t="s">
        <v>1210</v>
      </c>
      <c r="E39" s="3" t="s">
        <v>1210</v>
      </c>
      <c r="F39" s="3" t="s">
        <v>1614</v>
      </c>
      <c r="G39" s="3" t="s">
        <v>1837</v>
      </c>
      <c r="H39" s="51">
        <v>41689</v>
      </c>
      <c r="J39" s="3">
        <f t="shared" si="1"/>
        <v>8.89</v>
      </c>
      <c r="K39" s="3">
        <f t="shared" si="1"/>
        <v>8.89</v>
      </c>
      <c r="L39" s="3">
        <f t="shared" si="1"/>
        <v>8.9600000000000009</v>
      </c>
      <c r="M39" s="3">
        <f t="shared" si="1"/>
        <v>8.85</v>
      </c>
      <c r="P39" s="14" t="s">
        <v>1471</v>
      </c>
      <c r="Q39" s="10" t="str">
        <f>IF(A39="","",C39)</f>
        <v xml:space="preserve">TRIUNFO PART-ON  </v>
      </c>
      <c r="R39" s="51">
        <f>IF(A39="","",H39)</f>
        <v>41689</v>
      </c>
      <c r="S39" s="5">
        <f>J39</f>
        <v>8.89</v>
      </c>
      <c r="T39" s="5">
        <f>K39</f>
        <v>8.89</v>
      </c>
      <c r="U39" s="5">
        <f>L39</f>
        <v>8.9600000000000009</v>
      </c>
      <c r="V39" s="5">
        <f>M39</f>
        <v>8.85</v>
      </c>
    </row>
    <row r="40" spans="1:22" x14ac:dyDescent="0.2">
      <c r="A40" s="33" t="str">
        <f>IF(Tabela17683[[#This Row],[Código]]="IBOV","^BVSP",IF(Tabela17683[[#This Row],[Código]]="","",CONCATENATE(LEFT(Tabela17683[[#This Row],[Código]],6),".SA")))</f>
        <v>IMBI3.SA</v>
      </c>
      <c r="C40" s="3" t="s">
        <v>1484</v>
      </c>
      <c r="D40" s="3" t="s">
        <v>809</v>
      </c>
      <c r="E40" s="3" t="s">
        <v>809</v>
      </c>
      <c r="F40" s="3" t="s">
        <v>809</v>
      </c>
      <c r="G40" s="3" t="s">
        <v>809</v>
      </c>
      <c r="H40" s="51">
        <v>41689</v>
      </c>
      <c r="J40" s="3">
        <f t="shared" si="1"/>
        <v>1.01</v>
      </c>
      <c r="K40" s="3">
        <f t="shared" si="1"/>
        <v>1.01</v>
      </c>
      <c r="L40" s="3">
        <f t="shared" si="1"/>
        <v>1.01</v>
      </c>
      <c r="M40" s="3">
        <f t="shared" si="1"/>
        <v>1.01</v>
      </c>
      <c r="P40" s="14" t="s">
        <v>1478</v>
      </c>
      <c r="Q40" s="10" t="str">
        <f>IF(A40="","",C40)</f>
        <v>DOC IMBITUBA-ON</v>
      </c>
      <c r="R40" s="51">
        <f>IF(A40="","",H40)</f>
        <v>41689</v>
      </c>
      <c r="S40" s="5">
        <f>J40</f>
        <v>1.01</v>
      </c>
      <c r="T40" s="5">
        <f>K40</f>
        <v>1.01</v>
      </c>
      <c r="U40" s="5">
        <f>L40</f>
        <v>1.01</v>
      </c>
      <c r="V40" s="5">
        <f>M40</f>
        <v>1.01</v>
      </c>
    </row>
    <row r="41" spans="1:22" x14ac:dyDescent="0.2">
      <c r="A41" s="33" t="str">
        <f>IF(Tabela17683[[#This Row],[Código]]="IBOV","^BVSP",IF(Tabela17683[[#This Row],[Código]]="","",CONCATENATE(LEFT(Tabela17683[[#This Row],[Código]],6),".SA")))</f>
        <v>IMBI4.SA</v>
      </c>
      <c r="C41" s="3" t="s">
        <v>1485</v>
      </c>
      <c r="D41" s="3" t="s">
        <v>484</v>
      </c>
      <c r="E41" s="3" t="s">
        <v>484</v>
      </c>
      <c r="F41" s="3" t="s">
        <v>484</v>
      </c>
      <c r="G41" s="3" t="s">
        <v>484</v>
      </c>
      <c r="H41" s="51">
        <v>41689</v>
      </c>
      <c r="J41" s="3">
        <f t="shared" si="1"/>
        <v>0.75</v>
      </c>
      <c r="K41" s="3">
        <f t="shared" si="1"/>
        <v>0.75</v>
      </c>
      <c r="L41" s="3">
        <f t="shared" si="1"/>
        <v>0.75</v>
      </c>
      <c r="M41" s="3">
        <f t="shared" si="1"/>
        <v>0.75</v>
      </c>
      <c r="P41" s="14" t="s">
        <v>1479</v>
      </c>
      <c r="Q41" s="10" t="str">
        <f>IF(A41="","",C41)</f>
        <v>DOC IMBITUBA-PN</v>
      </c>
      <c r="R41" s="51">
        <f>IF(A41="","",H41)</f>
        <v>41689</v>
      </c>
      <c r="S41" s="5">
        <f>J41</f>
        <v>0.75</v>
      </c>
      <c r="T41" s="5">
        <f>K41</f>
        <v>0.75</v>
      </c>
      <c r="U41" s="5">
        <f>L41</f>
        <v>0.75</v>
      </c>
      <c r="V41" s="5">
        <f>M41</f>
        <v>0.75</v>
      </c>
    </row>
    <row r="42" spans="1:22" x14ac:dyDescent="0.2">
      <c r="A42" s="33" t="str">
        <f>IF(Tabela17683[[#This Row],[Código]]="IBOV","^BVSP",IF(Tabela17683[[#This Row],[Código]]="","",CONCATENATE(LEFT(Tabela17683[[#This Row],[Código]],6),".SA")))</f>
        <v>LLXL3.SA</v>
      </c>
      <c r="C42" s="3" t="s">
        <v>1486</v>
      </c>
      <c r="D42" s="3" t="s">
        <v>1615</v>
      </c>
      <c r="E42" s="3" t="s">
        <v>1615</v>
      </c>
      <c r="F42" s="3" t="s">
        <v>1993</v>
      </c>
      <c r="G42" s="3" t="s">
        <v>1616</v>
      </c>
      <c r="H42" s="51">
        <v>41689</v>
      </c>
      <c r="J42" s="3">
        <f t="shared" si="1"/>
        <v>0.93</v>
      </c>
      <c r="K42" s="3">
        <f t="shared" si="1"/>
        <v>0.93</v>
      </c>
      <c r="L42" s="3">
        <f t="shared" si="1"/>
        <v>0.96</v>
      </c>
      <c r="M42" s="3">
        <f t="shared" si="1"/>
        <v>0.89</v>
      </c>
      <c r="P42" s="14" t="s">
        <v>1480</v>
      </c>
      <c r="Q42" s="10" t="str">
        <f>IF(A42="","",C42)</f>
        <v xml:space="preserve">LLX LOG     -ON  </v>
      </c>
      <c r="R42" s="51">
        <f>IF(A42="","",H42)</f>
        <v>41689</v>
      </c>
      <c r="S42" s="5">
        <f>J42</f>
        <v>0.93</v>
      </c>
      <c r="T42" s="5">
        <f>K42</f>
        <v>0.93</v>
      </c>
      <c r="U42" s="5">
        <f>L42</f>
        <v>0.96</v>
      </c>
      <c r="V42" s="5">
        <f>M42</f>
        <v>0.89</v>
      </c>
    </row>
    <row r="43" spans="1:22" x14ac:dyDescent="0.2">
      <c r="A43" s="33" t="str">
        <f>IF(Tabela17683[[#This Row],[Código]]="IBOV","^BVSP",IF(Tabela17683[[#This Row],[Código]]="","",CONCATENATE(LEFT(Tabela17683[[#This Row],[Código]],6),".SA")))</f>
        <v>STBP11.SA</v>
      </c>
      <c r="C43" s="3" t="s">
        <v>1489</v>
      </c>
      <c r="D43" s="3" t="s">
        <v>1045</v>
      </c>
      <c r="E43" s="3" t="s">
        <v>1001</v>
      </c>
      <c r="F43" s="3" t="s">
        <v>413</v>
      </c>
      <c r="G43" s="3" t="s">
        <v>998</v>
      </c>
      <c r="H43" s="51">
        <v>41689</v>
      </c>
      <c r="J43" s="3">
        <f t="shared" si="1"/>
        <v>14.52</v>
      </c>
      <c r="K43" s="3">
        <f t="shared" si="1"/>
        <v>14.71</v>
      </c>
      <c r="L43" s="3">
        <f t="shared" si="1"/>
        <v>15</v>
      </c>
      <c r="M43" s="3">
        <f t="shared" si="1"/>
        <v>14.3</v>
      </c>
      <c r="P43" s="14" t="s">
        <v>1481</v>
      </c>
      <c r="Q43" s="10" t="str">
        <f>IF(A43="","",C43)</f>
        <v xml:space="preserve">SANTOS BRP  -UNT </v>
      </c>
      <c r="R43" s="51">
        <f>IF(A43="","",H43)</f>
        <v>41689</v>
      </c>
      <c r="S43" s="5">
        <f>J43</f>
        <v>14.52</v>
      </c>
      <c r="T43" s="5">
        <f>K43</f>
        <v>14.71</v>
      </c>
      <c r="U43" s="5">
        <f>L43</f>
        <v>15</v>
      </c>
      <c r="V43" s="5">
        <f>M43</f>
        <v>14.3</v>
      </c>
    </row>
    <row r="44" spans="1:22" x14ac:dyDescent="0.2">
      <c r="A44" s="33" t="str">
        <f>IF(Tabela17683[[#This Row],[Código]]="IBOV","^BVSP",IF(Tabela17683[[#This Row],[Código]]="","",CONCATENATE(LEFT(Tabela17683[[#This Row],[Código]],6),".SA")))</f>
        <v>STBP3.SA</v>
      </c>
      <c r="C44" s="3" t="s">
        <v>1490</v>
      </c>
      <c r="D44" s="3" t="s">
        <v>446</v>
      </c>
      <c r="E44" s="3" t="s">
        <v>447</v>
      </c>
      <c r="F44" s="3" t="s">
        <v>446</v>
      </c>
      <c r="G44" s="3" t="s">
        <v>446</v>
      </c>
      <c r="H44" s="51" t="s">
        <v>446</v>
      </c>
      <c r="J44" s="3" t="e">
        <f t="shared" si="1"/>
        <v>#VALUE!</v>
      </c>
      <c r="K44" s="3">
        <f t="shared" si="1"/>
        <v>0</v>
      </c>
      <c r="L44" s="3" t="e">
        <f t="shared" si="1"/>
        <v>#VALUE!</v>
      </c>
      <c r="M44" s="3" t="e">
        <f t="shared" si="1"/>
        <v>#VALUE!</v>
      </c>
      <c r="P44" s="14" t="s">
        <v>1482</v>
      </c>
      <c r="Q44" s="10" t="str">
        <f>IF(A44="","",C44)</f>
        <v xml:space="preserve">SANTOS BRP  -ON  </v>
      </c>
      <c r="R44" s="51" t="str">
        <f>IF(A44="","",H44)</f>
        <v>N/A</v>
      </c>
      <c r="S44" s="5" t="e">
        <f>J44</f>
        <v>#VALUE!</v>
      </c>
      <c r="T44" s="5">
        <f>K44</f>
        <v>0</v>
      </c>
      <c r="U44" s="5" t="e">
        <f>L44</f>
        <v>#VALUE!</v>
      </c>
      <c r="V44" s="5" t="e">
        <f>M44</f>
        <v>#VALUE!</v>
      </c>
    </row>
    <row r="45" spans="1:22" x14ac:dyDescent="0.2">
      <c r="A45" s="33" t="str">
        <f>IF(Tabela17683[[#This Row],[Código]]="IBOV","^BVSP",IF(Tabela17683[[#This Row],[Código]]="","",CONCATENATE(LEFT(Tabela17683[[#This Row],[Código]],6),".SA")))</f>
        <v>STBP4.SA</v>
      </c>
      <c r="C45" s="3" t="s">
        <v>1491</v>
      </c>
      <c r="D45" s="3" t="s">
        <v>446</v>
      </c>
      <c r="E45" s="3" t="s">
        <v>447</v>
      </c>
      <c r="F45" s="3" t="s">
        <v>446</v>
      </c>
      <c r="G45" s="3" t="s">
        <v>446</v>
      </c>
      <c r="H45" s="51" t="s">
        <v>446</v>
      </c>
      <c r="J45" s="3" t="e">
        <f t="shared" si="1"/>
        <v>#VALUE!</v>
      </c>
      <c r="K45" s="3">
        <f t="shared" si="1"/>
        <v>0</v>
      </c>
      <c r="L45" s="3" t="e">
        <f t="shared" si="1"/>
        <v>#VALUE!</v>
      </c>
      <c r="M45" s="3" t="e">
        <f t="shared" si="1"/>
        <v>#VALUE!</v>
      </c>
      <c r="P45" s="14" t="s">
        <v>1483</v>
      </c>
      <c r="Q45" s="10" t="str">
        <f>IF(A45="","",C45)</f>
        <v xml:space="preserve">SANTOS BRP  -PN  </v>
      </c>
      <c r="R45" s="51" t="str">
        <f>IF(A45="","",H45)</f>
        <v>N/A</v>
      </c>
      <c r="S45" s="5" t="e">
        <f>J45</f>
        <v>#VALUE!</v>
      </c>
      <c r="T45" s="5">
        <f>K45</f>
        <v>0</v>
      </c>
      <c r="U45" s="5" t="e">
        <f>L45</f>
        <v>#VALUE!</v>
      </c>
      <c r="V45" s="5" t="e">
        <f>M45</f>
        <v>#VALUE!</v>
      </c>
    </row>
    <row r="46" spans="1:22" x14ac:dyDescent="0.2">
      <c r="A46" s="33" t="str">
        <f>IF(Tabela17683[[#This Row],[Código]]="IBOV","^BVSP",IF(Tabela17683[[#This Row],[Código]]="","",CONCATENATE(LEFT(Tabela17683[[#This Row],[Código]],6),".SA")))</f>
        <v>GOLL3.SA</v>
      </c>
      <c r="C46" s="3" t="s">
        <v>1495</v>
      </c>
      <c r="D46" s="3" t="s">
        <v>446</v>
      </c>
      <c r="E46" s="3" t="s">
        <v>447</v>
      </c>
      <c r="F46" s="3" t="s">
        <v>446</v>
      </c>
      <c r="G46" s="3" t="s">
        <v>446</v>
      </c>
      <c r="H46" s="51" t="s">
        <v>446</v>
      </c>
      <c r="J46" s="3" t="e">
        <f t="shared" si="1"/>
        <v>#VALUE!</v>
      </c>
      <c r="K46" s="3">
        <f t="shared" si="1"/>
        <v>0</v>
      </c>
      <c r="L46" s="3" t="e">
        <f t="shared" si="1"/>
        <v>#VALUE!</v>
      </c>
      <c r="M46" s="3" t="e">
        <f t="shared" si="1"/>
        <v>#VALUE!</v>
      </c>
      <c r="P46" s="10" t="s">
        <v>1493</v>
      </c>
      <c r="Q46" s="10" t="str">
        <f>IF(A46="","",C46)</f>
        <v xml:space="preserve">GOL         -ON  </v>
      </c>
      <c r="R46" s="46" t="str">
        <f>IF(A46="","",H46)</f>
        <v>N/A</v>
      </c>
      <c r="S46" s="6" t="e">
        <f>J46</f>
        <v>#VALUE!</v>
      </c>
      <c r="T46" s="6">
        <f>K46</f>
        <v>0</v>
      </c>
      <c r="U46" s="6" t="e">
        <f>L46</f>
        <v>#VALUE!</v>
      </c>
      <c r="V46" s="6" t="e">
        <f>M46</f>
        <v>#VALUE!</v>
      </c>
    </row>
    <row r="47" spans="1:22" x14ac:dyDescent="0.2">
      <c r="A47" s="33" t="str">
        <f>IF(Tabela17683[[#This Row],[Código]]="IBOV","^BVSP",IF(Tabela17683[[#This Row],[Código]]="","",CONCATENATE(LEFT(Tabela17683[[#This Row],[Código]],6),".SA")))</f>
        <v>GOLL4.SA</v>
      </c>
      <c r="C47" s="3" t="s">
        <v>1496</v>
      </c>
      <c r="D47" s="3" t="s">
        <v>1207</v>
      </c>
      <c r="E47" s="3" t="s">
        <v>1775</v>
      </c>
      <c r="F47" s="3" t="s">
        <v>2050</v>
      </c>
      <c r="G47" s="3" t="s">
        <v>1071</v>
      </c>
      <c r="H47" s="51">
        <v>41689</v>
      </c>
      <c r="J47" s="3">
        <f t="shared" si="1"/>
        <v>10.61</v>
      </c>
      <c r="K47" s="3">
        <f t="shared" si="1"/>
        <v>10.91</v>
      </c>
      <c r="L47" s="3">
        <f t="shared" si="1"/>
        <v>10.97</v>
      </c>
      <c r="M47" s="3">
        <f t="shared" si="1"/>
        <v>10.52</v>
      </c>
      <c r="P47" s="10" t="s">
        <v>1494</v>
      </c>
      <c r="Q47" s="10" t="str">
        <f>IF(A47="","",C47)</f>
        <v xml:space="preserve">GOL         -PN  </v>
      </c>
      <c r="R47" s="51">
        <f>IF(A47="","",H47)</f>
        <v>41689</v>
      </c>
      <c r="S47" s="5">
        <f>J47</f>
        <v>10.61</v>
      </c>
      <c r="T47" s="5">
        <f>K47</f>
        <v>10.91</v>
      </c>
      <c r="U47" s="5">
        <f>L47</f>
        <v>10.97</v>
      </c>
      <c r="V47" s="5">
        <f>M47</f>
        <v>10.52</v>
      </c>
    </row>
    <row r="48" spans="1:22" x14ac:dyDescent="0.2">
      <c r="A48" s="33" t="str">
        <f>IF(Tabela17683[[#This Row],[Código]]="IBOV","^BVSP",IF(Tabela17683[[#This Row],[Código]]="","",CONCATENATE(LEFT(Tabela17683[[#This Row],[Código]],6),".SA")))</f>
        <v>ALLL3.SA</v>
      </c>
      <c r="C48" s="3" t="s">
        <v>1502</v>
      </c>
      <c r="D48" s="3" t="s">
        <v>1618</v>
      </c>
      <c r="E48" s="3" t="s">
        <v>784</v>
      </c>
      <c r="F48" s="3" t="s">
        <v>999</v>
      </c>
      <c r="G48" s="3" t="s">
        <v>1619</v>
      </c>
      <c r="H48" s="51">
        <v>41689</v>
      </c>
      <c r="J48" s="3">
        <f t="shared" si="1"/>
        <v>5.83</v>
      </c>
      <c r="K48" s="3">
        <f t="shared" si="1"/>
        <v>5.96</v>
      </c>
      <c r="L48" s="3">
        <f t="shared" si="1"/>
        <v>6</v>
      </c>
      <c r="M48" s="3">
        <f t="shared" si="1"/>
        <v>5.65</v>
      </c>
      <c r="P48" s="14" t="s">
        <v>1499</v>
      </c>
      <c r="Q48" s="10" t="str">
        <f>IF(A48="","",C48)</f>
        <v xml:space="preserve">ALL AMER LAT-ON  </v>
      </c>
      <c r="R48" s="51">
        <f>IF(A48="","",H48)</f>
        <v>41689</v>
      </c>
      <c r="S48" s="5">
        <f>J48</f>
        <v>5.83</v>
      </c>
      <c r="T48" s="5">
        <f>K48</f>
        <v>5.96</v>
      </c>
      <c r="U48" s="5">
        <f>L48</f>
        <v>6</v>
      </c>
      <c r="V48" s="5">
        <f>M48</f>
        <v>5.65</v>
      </c>
    </row>
    <row r="49" spans="1:22" x14ac:dyDescent="0.2">
      <c r="A49" s="33" t="str">
        <f>IF(Tabela17683[[#This Row],[Código]]="IBOV","^BVSP",IF(Tabela17683[[#This Row],[Código]]="","",CONCATENATE(LEFT(Tabela17683[[#This Row],[Código]],6),".SA")))</f>
        <v>VSPT3.SA</v>
      </c>
      <c r="C49" s="3" t="s">
        <v>1503</v>
      </c>
      <c r="D49" s="3" t="s">
        <v>689</v>
      </c>
      <c r="E49" s="3" t="s">
        <v>689</v>
      </c>
      <c r="F49" s="3" t="s">
        <v>689</v>
      </c>
      <c r="G49" s="3" t="s">
        <v>689</v>
      </c>
      <c r="H49" s="51">
        <v>41689</v>
      </c>
      <c r="J49" s="3">
        <f t="shared" si="1"/>
        <v>3</v>
      </c>
      <c r="K49" s="3">
        <f t="shared" si="1"/>
        <v>3</v>
      </c>
      <c r="L49" s="3">
        <f t="shared" si="1"/>
        <v>3</v>
      </c>
      <c r="M49" s="3">
        <f t="shared" si="1"/>
        <v>3</v>
      </c>
      <c r="P49" s="15" t="s">
        <v>1500</v>
      </c>
      <c r="Q49" s="10" t="str">
        <f>IF(A49="","",C49)</f>
        <v>FER C ATLANT-ON</v>
      </c>
      <c r="R49" s="51">
        <f>IF(A49="","",H49)</f>
        <v>41689</v>
      </c>
      <c r="S49" s="5">
        <f>J49</f>
        <v>3</v>
      </c>
      <c r="T49" s="5">
        <f>K49</f>
        <v>3</v>
      </c>
      <c r="U49" s="5">
        <f>L49</f>
        <v>3</v>
      </c>
      <c r="V49" s="5">
        <f>M49</f>
        <v>3</v>
      </c>
    </row>
    <row r="50" spans="1:22" x14ac:dyDescent="0.2">
      <c r="A50" s="33" t="str">
        <f>IF(Tabela17683[[#This Row],[Código]]="IBOV","^BVSP",IF(Tabela17683[[#This Row],[Código]]="","",CONCATENATE(LEFT(Tabela17683[[#This Row],[Código]],6),".SA")))</f>
        <v>VSPT4.SA</v>
      </c>
      <c r="C50" s="3" t="s">
        <v>1504</v>
      </c>
      <c r="D50" s="3" t="s">
        <v>446</v>
      </c>
      <c r="E50" s="3" t="s">
        <v>447</v>
      </c>
      <c r="F50" s="3" t="s">
        <v>446</v>
      </c>
      <c r="G50" s="3" t="s">
        <v>446</v>
      </c>
      <c r="H50" s="51" t="s">
        <v>446</v>
      </c>
      <c r="J50" s="3" t="e">
        <f t="shared" si="1"/>
        <v>#VALUE!</v>
      </c>
      <c r="K50" s="3">
        <f t="shared" si="1"/>
        <v>0</v>
      </c>
      <c r="L50" s="3" t="e">
        <f t="shared" si="1"/>
        <v>#VALUE!</v>
      </c>
      <c r="M50" s="3" t="e">
        <f t="shared" si="1"/>
        <v>#VALUE!</v>
      </c>
      <c r="P50" s="15" t="s">
        <v>1501</v>
      </c>
      <c r="Q50" s="10" t="str">
        <f>IF(A50="","",C50)</f>
        <v>FER C ATLANT-PN</v>
      </c>
      <c r="R50" s="46" t="str">
        <f>IF(A50="","",H50)</f>
        <v>N/A</v>
      </c>
      <c r="S50" s="6" t="e">
        <f>J50</f>
        <v>#VALUE!</v>
      </c>
      <c r="T50" s="6">
        <f>K50</f>
        <v>0</v>
      </c>
      <c r="U50" s="6" t="e">
        <f>L50</f>
        <v>#VALUE!</v>
      </c>
      <c r="V50" s="6" t="e">
        <f>M50</f>
        <v>#VALUE!</v>
      </c>
    </row>
    <row r="51" spans="1:22" x14ac:dyDescent="0.2">
      <c r="A51" s="33" t="str">
        <f>IF(Tabela17683[[#This Row],[Código]]="IBOV","^BVSP",IF(Tabela17683[[#This Row],[Código]]="","",CONCATENATE(LEFT(Tabela17683[[#This Row],[Código]],6),".SA")))</f>
        <v>LOGN3.SA</v>
      </c>
      <c r="C51" s="3" t="s">
        <v>1509</v>
      </c>
      <c r="D51" s="3" t="s">
        <v>1620</v>
      </c>
      <c r="E51" s="3" t="s">
        <v>2051</v>
      </c>
      <c r="F51" s="3" t="s">
        <v>2052</v>
      </c>
      <c r="G51" s="3" t="s">
        <v>1620</v>
      </c>
      <c r="H51" s="51">
        <v>41689</v>
      </c>
      <c r="J51" s="3">
        <f t="shared" si="1"/>
        <v>8.41</v>
      </c>
      <c r="K51" s="3">
        <f t="shared" si="1"/>
        <v>8.7799999999999994</v>
      </c>
      <c r="L51" s="3">
        <f t="shared" si="1"/>
        <v>8.8000000000000007</v>
      </c>
      <c r="M51" s="3">
        <f t="shared" si="1"/>
        <v>8.41</v>
      </c>
      <c r="P51" s="14" t="s">
        <v>1506</v>
      </c>
      <c r="Q51" s="10" t="str">
        <f>IF(A51="","",C51)</f>
        <v xml:space="preserve">LOG-IN      -ON  </v>
      </c>
      <c r="R51" s="51">
        <f>IF(A51="","",H51)</f>
        <v>41689</v>
      </c>
      <c r="S51" s="5">
        <f>J51</f>
        <v>8.41</v>
      </c>
      <c r="T51" s="5">
        <f>K51</f>
        <v>8.7799999999999994</v>
      </c>
      <c r="U51" s="5">
        <f>L51</f>
        <v>8.8000000000000007</v>
      </c>
      <c r="V51" s="5">
        <f>M51</f>
        <v>8.41</v>
      </c>
    </row>
    <row r="52" spans="1:22" x14ac:dyDescent="0.2">
      <c r="A52" s="33" t="str">
        <f>IF(Tabela17683[[#This Row],[Código]]="IBOV","^BVSP",IF(Tabela17683[[#This Row],[Código]]="","",CONCATENATE(LEFT(Tabela17683[[#This Row],[Código]],6),".SA")))</f>
        <v>LUXM3.SA</v>
      </c>
      <c r="C52" s="3" t="s">
        <v>1511</v>
      </c>
      <c r="D52" s="3" t="s">
        <v>446</v>
      </c>
      <c r="E52" s="3" t="s">
        <v>1512</v>
      </c>
      <c r="F52" s="3" t="s">
        <v>1512</v>
      </c>
      <c r="G52" s="3" t="s">
        <v>1512</v>
      </c>
      <c r="H52" s="51">
        <v>41689</v>
      </c>
      <c r="J52" s="3" t="e">
        <f t="shared" si="1"/>
        <v>#VALUE!</v>
      </c>
      <c r="K52" s="3">
        <f t="shared" si="1"/>
        <v>48</v>
      </c>
      <c r="L52" s="3">
        <f t="shared" si="1"/>
        <v>48</v>
      </c>
      <c r="M52" s="3">
        <f t="shared" si="1"/>
        <v>48</v>
      </c>
      <c r="P52" s="14" t="s">
        <v>1507</v>
      </c>
      <c r="Q52" s="10" t="str">
        <f>IF(A52="","",C52)</f>
        <v>TREVISA     -ON</v>
      </c>
      <c r="R52" s="51">
        <f>IF(A52="","",H52)</f>
        <v>41689</v>
      </c>
      <c r="S52" s="5" t="e">
        <f>J52</f>
        <v>#VALUE!</v>
      </c>
      <c r="T52" s="5">
        <f>K52</f>
        <v>48</v>
      </c>
      <c r="U52" s="5">
        <f>L52</f>
        <v>48</v>
      </c>
      <c r="V52" s="5">
        <f>M52</f>
        <v>48</v>
      </c>
    </row>
    <row r="53" spans="1:22" x14ac:dyDescent="0.2">
      <c r="A53" s="33" t="str">
        <f>IF(Tabela17683[[#This Row],[Código]]="IBOV","^BVSP",IF(Tabela17683[[#This Row],[Código]]="","",CONCATENATE(LEFT(Tabela17683[[#This Row],[Código]],6),".SA")))</f>
        <v>LUXM4.SA</v>
      </c>
      <c r="C53" s="3" t="s">
        <v>1513</v>
      </c>
      <c r="D53" s="3" t="s">
        <v>1052</v>
      </c>
      <c r="E53" s="3" t="s">
        <v>1052</v>
      </c>
      <c r="F53" s="3" t="s">
        <v>1052</v>
      </c>
      <c r="G53" s="3" t="s">
        <v>1052</v>
      </c>
      <c r="H53" s="51">
        <v>41689</v>
      </c>
      <c r="J53" s="3">
        <f t="shared" si="1"/>
        <v>31.2</v>
      </c>
      <c r="K53" s="3">
        <f t="shared" si="1"/>
        <v>31.2</v>
      </c>
      <c r="L53" s="3">
        <f t="shared" si="1"/>
        <v>31.2</v>
      </c>
      <c r="M53" s="3">
        <f t="shared" si="1"/>
        <v>31.2</v>
      </c>
      <c r="P53" s="14" t="s">
        <v>1508</v>
      </c>
      <c r="Q53" s="10" t="str">
        <f>IF(A53="","",C53)</f>
        <v>TREVISA     -PN</v>
      </c>
      <c r="R53" s="51">
        <f>IF(A53="","",H53)</f>
        <v>41689</v>
      </c>
      <c r="S53" s="5">
        <f>J53</f>
        <v>31.2</v>
      </c>
      <c r="T53" s="5">
        <f>K53</f>
        <v>31.2</v>
      </c>
      <c r="U53" s="5">
        <f>L53</f>
        <v>31.2</v>
      </c>
      <c r="V53" s="5">
        <f>M53</f>
        <v>31.2</v>
      </c>
    </row>
    <row r="54" spans="1:22" x14ac:dyDescent="0.2">
      <c r="A54" s="33" t="str">
        <f>IF(Tabela17683[[#This Row],[Código]]="IBOV","^BVSP",IF(Tabela17683[[#This Row],[Código]]="","",CONCATENATE(LEFT(Tabela17683[[#This Row],[Código]],6),".SA")))</f>
        <v>JSLG3.SA</v>
      </c>
      <c r="C54" s="3" t="s">
        <v>1517</v>
      </c>
      <c r="D54" s="3" t="s">
        <v>1621</v>
      </c>
      <c r="E54" s="61" t="s">
        <v>2053</v>
      </c>
      <c r="F54" s="61" t="s">
        <v>2053</v>
      </c>
      <c r="G54" s="61" t="s">
        <v>1248</v>
      </c>
      <c r="H54" s="51">
        <v>41689</v>
      </c>
      <c r="J54" s="3">
        <f t="shared" si="1"/>
        <v>13.06</v>
      </c>
      <c r="K54" s="3">
        <f t="shared" si="1"/>
        <v>13.17</v>
      </c>
      <c r="L54" s="3">
        <f t="shared" si="1"/>
        <v>13.17</v>
      </c>
      <c r="M54" s="3">
        <f t="shared" si="1"/>
        <v>13</v>
      </c>
      <c r="P54" s="14" t="s">
        <v>1515</v>
      </c>
      <c r="Q54" s="10" t="str">
        <f>IF(A54="","",C54)</f>
        <v xml:space="preserve">JSL         -ON  </v>
      </c>
      <c r="R54" s="51">
        <f>IF(A54="","",H54)</f>
        <v>41689</v>
      </c>
      <c r="S54" s="5">
        <f>J54</f>
        <v>13.06</v>
      </c>
      <c r="T54" s="5">
        <f>K54</f>
        <v>13.17</v>
      </c>
      <c r="U54" s="5">
        <f>L54</f>
        <v>13.17</v>
      </c>
      <c r="V54" s="5">
        <f>M54</f>
        <v>13</v>
      </c>
    </row>
    <row r="55" spans="1:22" x14ac:dyDescent="0.2">
      <c r="A55" s="33" t="str">
        <f>IF(Tabela17683[[#This Row],[Código]]="IBOV","^BVSP",IF(Tabela17683[[#This Row],[Código]]="","",CONCATENATE(LEFT(Tabela17683[[#This Row],[Código]],6),".SA")))</f>
        <v>TGMA3.SA</v>
      </c>
      <c r="C55" s="3" t="s">
        <v>1518</v>
      </c>
      <c r="D55" s="3" t="s">
        <v>965</v>
      </c>
      <c r="E55" s="3" t="s">
        <v>968</v>
      </c>
      <c r="F55" s="3" t="s">
        <v>1622</v>
      </c>
      <c r="G55" s="3" t="s">
        <v>1900</v>
      </c>
      <c r="H55" s="51">
        <v>41689</v>
      </c>
      <c r="J55" s="3">
        <f t="shared" si="1"/>
        <v>18.989999999999998</v>
      </c>
      <c r="K55" s="3">
        <f t="shared" si="1"/>
        <v>19.02</v>
      </c>
      <c r="L55" s="3">
        <f t="shared" si="1"/>
        <v>19.22</v>
      </c>
      <c r="M55" s="3">
        <f t="shared" si="1"/>
        <v>18.72</v>
      </c>
      <c r="P55" s="43" t="s">
        <v>1516</v>
      </c>
      <c r="Q55" s="10" t="str">
        <f>IF(A55="","",C55)</f>
        <v xml:space="preserve">TEGMA       -ON  </v>
      </c>
      <c r="R55" s="51">
        <f>IF(A55="","",H55)</f>
        <v>41689</v>
      </c>
      <c r="S55" s="5">
        <f>J55</f>
        <v>18.989999999999998</v>
      </c>
      <c r="T55" s="5">
        <f>K55</f>
        <v>19.02</v>
      </c>
      <c r="U55" s="5">
        <f>L55</f>
        <v>19.22</v>
      </c>
      <c r="V55" s="5">
        <f>M55</f>
        <v>18.72</v>
      </c>
    </row>
    <row r="56" spans="1:22" x14ac:dyDescent="0.2">
      <c r="A56" s="33" t="str">
        <f>IF(Tabela17683[[#This Row],[Código]]="IBOV","^BVSP",IF(Tabela17683[[#This Row],[Código]]="","",CONCATENATE(LEFT(Tabela17683[[#This Row],[Código]],6),".SA")))</f>
        <v>SGAS3.SA</v>
      </c>
      <c r="C56" s="3" t="s">
        <v>1521</v>
      </c>
      <c r="D56" s="3" t="s">
        <v>1522</v>
      </c>
      <c r="E56" s="3" t="s">
        <v>1522</v>
      </c>
      <c r="F56" s="3" t="s">
        <v>1522</v>
      </c>
      <c r="G56" s="3" t="s">
        <v>1522</v>
      </c>
      <c r="H56" s="51">
        <v>41689</v>
      </c>
      <c r="J56" s="3">
        <f t="shared" si="1"/>
        <v>69</v>
      </c>
      <c r="K56" s="3">
        <f t="shared" si="1"/>
        <v>69</v>
      </c>
      <c r="L56" s="3">
        <f t="shared" si="1"/>
        <v>69</v>
      </c>
      <c r="M56" s="3">
        <f t="shared" si="1"/>
        <v>69</v>
      </c>
      <c r="P56" s="14" t="s">
        <v>1519</v>
      </c>
      <c r="Q56" s="10" t="str">
        <f>IF(A56="","",C56)</f>
        <v>WLM IND COM -ON</v>
      </c>
      <c r="R56" s="51">
        <f>IF(A56="","",H56)</f>
        <v>41689</v>
      </c>
      <c r="S56" s="5">
        <f>J56</f>
        <v>69</v>
      </c>
      <c r="T56" s="5">
        <f>K56</f>
        <v>69</v>
      </c>
      <c r="U56" s="5">
        <f>L56</f>
        <v>69</v>
      </c>
      <c r="V56" s="5">
        <f>M56</f>
        <v>69</v>
      </c>
    </row>
    <row r="57" spans="1:22" x14ac:dyDescent="0.2">
      <c r="A57" s="33" t="str">
        <f>IF(Tabela17683[[#This Row],[Código]]="IBOV","^BVSP",IF(Tabela17683[[#This Row],[Código]]="","",CONCATENATE(LEFT(Tabela17683[[#This Row],[Código]],6),".SA")))</f>
        <v>SGAS4.SA</v>
      </c>
      <c r="C57" s="3" t="s">
        <v>1523</v>
      </c>
      <c r="D57" s="3" t="s">
        <v>988</v>
      </c>
      <c r="E57" s="3" t="s">
        <v>988</v>
      </c>
      <c r="F57" s="3" t="s">
        <v>988</v>
      </c>
      <c r="G57" s="3" t="s">
        <v>988</v>
      </c>
      <c r="H57" s="51">
        <v>41689</v>
      </c>
      <c r="J57" s="3">
        <f t="shared" si="1"/>
        <v>85</v>
      </c>
      <c r="K57" s="3">
        <f t="shared" si="1"/>
        <v>85</v>
      </c>
      <c r="L57" s="3">
        <f t="shared" si="1"/>
        <v>85</v>
      </c>
      <c r="M57" s="3">
        <f t="shared" si="1"/>
        <v>85</v>
      </c>
      <c r="P57" s="14" t="s">
        <v>1520</v>
      </c>
      <c r="Q57" s="10" t="str">
        <f>IF(A57="","",C57)</f>
        <v>WLM IND COM -PN</v>
      </c>
      <c r="R57" s="51">
        <f>IF(A57="","",H57)</f>
        <v>41689</v>
      </c>
      <c r="S57" s="5">
        <f>J57</f>
        <v>85</v>
      </c>
      <c r="T57" s="5">
        <f>K57</f>
        <v>85</v>
      </c>
      <c r="U57" s="5">
        <f>L57</f>
        <v>85</v>
      </c>
      <c r="V57" s="5">
        <f>M57</f>
        <v>85</v>
      </c>
    </row>
    <row r="58" spans="1:22" x14ac:dyDescent="0.2">
      <c r="A58" s="33" t="str">
        <f>IF(Tabela17683[[#This Row],[Código]]="IBOV","^BVSP",IF(Tabela17683[[#This Row],[Código]]="","",CONCATENATE(LEFT(Tabela17683[[#This Row],[Código]],6),".SA")))</f>
        <v>FRIO3.SA</v>
      </c>
      <c r="C58" s="3" t="s">
        <v>1528</v>
      </c>
      <c r="D58" s="3" t="s">
        <v>986</v>
      </c>
      <c r="E58" s="3" t="s">
        <v>993</v>
      </c>
      <c r="F58" s="3" t="s">
        <v>993</v>
      </c>
      <c r="G58" s="3" t="s">
        <v>686</v>
      </c>
      <c r="H58" s="51">
        <v>41689</v>
      </c>
      <c r="J58" s="3">
        <f t="shared" si="1"/>
        <v>2.04</v>
      </c>
      <c r="K58" s="3">
        <f t="shared" si="1"/>
        <v>2.0499999999999998</v>
      </c>
      <c r="L58" s="3">
        <f t="shared" si="1"/>
        <v>2.0499999999999998</v>
      </c>
      <c r="M58" s="3">
        <f t="shared" si="1"/>
        <v>2</v>
      </c>
      <c r="P58" s="14" t="s">
        <v>1527</v>
      </c>
      <c r="Q58" s="10" t="str">
        <f>IF(A58="","",C58)</f>
        <v xml:space="preserve">METALFRIO   -ON  </v>
      </c>
      <c r="R58" s="51">
        <f>IF(A58="","",H58)</f>
        <v>41689</v>
      </c>
      <c r="S58" s="5">
        <f>J58</f>
        <v>2.04</v>
      </c>
      <c r="T58" s="5">
        <f>K58</f>
        <v>2.0499999999999998</v>
      </c>
      <c r="U58" s="5">
        <f>L58</f>
        <v>2.0499999999999998</v>
      </c>
      <c r="V58" s="5">
        <f>M58</f>
        <v>2</v>
      </c>
    </row>
    <row r="59" spans="1:22" x14ac:dyDescent="0.2">
      <c r="A59" s="33" t="str">
        <f>IF(Tabela17683[[#This Row],[Código]]="IBOV","^BVSP",IF(Tabela17683[[#This Row],[Código]]="","",CONCATENATE(LEFT(Tabela17683[[#This Row],[Código]],6),".SA")))</f>
        <v>FJTA3.SA</v>
      </c>
      <c r="C59" s="3" t="s">
        <v>1532</v>
      </c>
      <c r="D59" s="3" t="s">
        <v>686</v>
      </c>
      <c r="E59" s="61" t="s">
        <v>686</v>
      </c>
      <c r="F59" s="61" t="s">
        <v>686</v>
      </c>
      <c r="G59" s="61" t="s">
        <v>686</v>
      </c>
      <c r="H59" s="51">
        <v>41689</v>
      </c>
      <c r="J59" s="3">
        <f t="shared" si="1"/>
        <v>2</v>
      </c>
      <c r="K59" s="3">
        <f t="shared" si="1"/>
        <v>2</v>
      </c>
      <c r="L59" s="3">
        <f t="shared" si="1"/>
        <v>2</v>
      </c>
      <c r="M59" s="3">
        <f t="shared" si="1"/>
        <v>2</v>
      </c>
      <c r="P59" s="14" t="s">
        <v>1530</v>
      </c>
      <c r="Q59" s="10" t="str">
        <f>IF(A59="","",C59)</f>
        <v xml:space="preserve">FORJA TAURUS-ON  </v>
      </c>
      <c r="R59" s="46">
        <f>IF(A59="","",H59)</f>
        <v>41689</v>
      </c>
      <c r="S59" s="6">
        <f>J59</f>
        <v>2</v>
      </c>
      <c r="T59" s="6">
        <f>K59</f>
        <v>2</v>
      </c>
      <c r="U59" s="6">
        <f>L59</f>
        <v>2</v>
      </c>
      <c r="V59" s="6">
        <f>M59</f>
        <v>2</v>
      </c>
    </row>
    <row r="60" spans="1:22" x14ac:dyDescent="0.2">
      <c r="A60" s="33" t="str">
        <f>IF(Tabela17683[[#This Row],[Código]]="IBOV","^BVSP",IF(Tabela17683[[#This Row],[Código]]="","",CONCATENATE(LEFT(Tabela17683[[#This Row],[Código]],6),".SA")))</f>
        <v>FJTA4.SA</v>
      </c>
      <c r="C60" s="3" t="s">
        <v>1533</v>
      </c>
      <c r="D60" s="3" t="s">
        <v>1378</v>
      </c>
      <c r="E60" s="61" t="s">
        <v>1623</v>
      </c>
      <c r="F60" s="61" t="s">
        <v>1377</v>
      </c>
      <c r="G60" s="61" t="s">
        <v>1534</v>
      </c>
      <c r="H60" s="51">
        <v>41689</v>
      </c>
      <c r="J60" s="3">
        <f t="shared" si="1"/>
        <v>1.77</v>
      </c>
      <c r="K60" s="3">
        <f t="shared" si="1"/>
        <v>1.76</v>
      </c>
      <c r="L60" s="3">
        <f t="shared" si="1"/>
        <v>1.78</v>
      </c>
      <c r="M60" s="3">
        <f t="shared" si="1"/>
        <v>1.75</v>
      </c>
      <c r="P60" s="14" t="s">
        <v>1531</v>
      </c>
      <c r="Q60" s="10" t="str">
        <f>IF(A60="","",C60)</f>
        <v xml:space="preserve">FORJA TAURUS-PN  </v>
      </c>
      <c r="R60" s="51">
        <f>IF(A60="","",H60)</f>
        <v>41689</v>
      </c>
      <c r="S60" s="5">
        <f>J60</f>
        <v>1.77</v>
      </c>
      <c r="T60" s="5">
        <f>K60</f>
        <v>1.76</v>
      </c>
      <c r="U60" s="5">
        <f>L60</f>
        <v>1.78</v>
      </c>
      <c r="V60" s="5">
        <f>M60</f>
        <v>1.75</v>
      </c>
    </row>
    <row r="61" spans="1:22" x14ac:dyDescent="0.2">
      <c r="A61" s="33" t="str">
        <f>IF(Tabela17683[[#This Row],[Código]]="IBOV","^BVSP",IF(Tabela17683[[#This Row],[Código]]="","",CONCATENATE(LEFT(Tabela17683[[#This Row],[Código]],6),".SA")))</f>
        <v>EALT3.SA</v>
      </c>
      <c r="C61" s="3" t="s">
        <v>1539</v>
      </c>
      <c r="D61" s="3" t="s">
        <v>446</v>
      </c>
      <c r="E61" s="3" t="s">
        <v>638</v>
      </c>
      <c r="F61" s="3" t="s">
        <v>638</v>
      </c>
      <c r="G61" s="3" t="s">
        <v>638</v>
      </c>
      <c r="H61" s="51">
        <v>41689</v>
      </c>
      <c r="J61" s="3" t="e">
        <f t="shared" si="1"/>
        <v>#VALUE!</v>
      </c>
      <c r="K61" s="3">
        <f t="shared" si="1"/>
        <v>28</v>
      </c>
      <c r="L61" s="3">
        <f t="shared" si="1"/>
        <v>28</v>
      </c>
      <c r="M61" s="3">
        <f t="shared" si="1"/>
        <v>28</v>
      </c>
      <c r="P61" s="14" t="s">
        <v>1535</v>
      </c>
      <c r="Q61" s="10" t="str">
        <f>IF(A61="","",C61)</f>
        <v>ACO ALTONA  -ON</v>
      </c>
      <c r="R61" s="51">
        <f>IF(A61="","",H61)</f>
        <v>41689</v>
      </c>
      <c r="S61" s="5" t="e">
        <f>J61</f>
        <v>#VALUE!</v>
      </c>
      <c r="T61" s="5">
        <f>K61</f>
        <v>28</v>
      </c>
      <c r="U61" s="5">
        <f>L61</f>
        <v>28</v>
      </c>
      <c r="V61" s="5">
        <f>M61</f>
        <v>28</v>
      </c>
    </row>
    <row r="62" spans="1:22" x14ac:dyDescent="0.2">
      <c r="A62" s="33" t="str">
        <f>IF(Tabela17683[[#This Row],[Código]]="IBOV","^BVSP",IF(Tabela17683[[#This Row],[Código]]="","",CONCATENATE(LEFT(Tabela17683[[#This Row],[Código]],6),".SA")))</f>
        <v>EALT4.SA</v>
      </c>
      <c r="C62" s="3" t="s">
        <v>1540</v>
      </c>
      <c r="D62" s="3" t="s">
        <v>633</v>
      </c>
      <c r="E62" s="3" t="s">
        <v>633</v>
      </c>
      <c r="F62" s="3" t="s">
        <v>633</v>
      </c>
      <c r="G62" s="3" t="s">
        <v>633</v>
      </c>
      <c r="H62" s="51">
        <v>41689</v>
      </c>
      <c r="J62" s="3">
        <f t="shared" si="1"/>
        <v>25</v>
      </c>
      <c r="K62" s="3">
        <f t="shared" si="1"/>
        <v>25</v>
      </c>
      <c r="L62" s="3">
        <f t="shared" si="1"/>
        <v>25</v>
      </c>
      <c r="M62" s="3">
        <f t="shared" si="1"/>
        <v>25</v>
      </c>
      <c r="P62" s="14" t="s">
        <v>1536</v>
      </c>
      <c r="Q62" s="10" t="str">
        <f>IF(A62="","",C62)</f>
        <v>ACO ALTONA  -PN</v>
      </c>
      <c r="R62" s="51">
        <f>IF(A62="","",H62)</f>
        <v>41689</v>
      </c>
      <c r="S62" s="5">
        <f>J62</f>
        <v>25</v>
      </c>
      <c r="T62" s="5">
        <f>K62</f>
        <v>25</v>
      </c>
      <c r="U62" s="5">
        <f>L62</f>
        <v>25</v>
      </c>
      <c r="V62" s="5">
        <f>M62</f>
        <v>25</v>
      </c>
    </row>
    <row r="63" spans="1:22" x14ac:dyDescent="0.2">
      <c r="A63" s="33" t="str">
        <f>IF(Tabela17683[[#This Row],[Código]]="IBOV","^BVSP",IF(Tabela17683[[#This Row],[Código]]="","",CONCATENATE(LEFT(Tabela17683[[#This Row],[Código]],6),".SA")))</f>
        <v>MTSA3.SA</v>
      </c>
      <c r="C63" s="3" t="s">
        <v>1541</v>
      </c>
      <c r="D63" s="3" t="s">
        <v>446</v>
      </c>
      <c r="E63" s="3" t="s">
        <v>655</v>
      </c>
      <c r="F63" s="3" t="s">
        <v>655</v>
      </c>
      <c r="G63" s="3" t="s">
        <v>655</v>
      </c>
      <c r="H63" s="51">
        <v>41689</v>
      </c>
      <c r="J63" s="3" t="e">
        <f t="shared" si="1"/>
        <v>#VALUE!</v>
      </c>
      <c r="K63" s="3">
        <f t="shared" si="1"/>
        <v>60</v>
      </c>
      <c r="L63" s="3">
        <f t="shared" si="1"/>
        <v>60</v>
      </c>
      <c r="M63" s="3">
        <f t="shared" si="1"/>
        <v>60</v>
      </c>
      <c r="P63" s="3" t="s">
        <v>1537</v>
      </c>
      <c r="Q63" s="10" t="str">
        <f>IF(A63="","",C63)</f>
        <v>METISA      -ON</v>
      </c>
      <c r="R63" s="51">
        <f>IF(A63="","",H63)</f>
        <v>41689</v>
      </c>
      <c r="S63" s="5" t="e">
        <f>J63</f>
        <v>#VALUE!</v>
      </c>
      <c r="T63" s="5">
        <f>K63</f>
        <v>60</v>
      </c>
      <c r="U63" s="5">
        <f>L63</f>
        <v>60</v>
      </c>
      <c r="V63" s="5">
        <f>M63</f>
        <v>60</v>
      </c>
    </row>
    <row r="64" spans="1:22" x14ac:dyDescent="0.2">
      <c r="A64" s="33" t="str">
        <f>IF(Tabela17683[[#This Row],[Código]]="IBOV","^BVSP",IF(Tabela17683[[#This Row],[Código]]="","",CONCATENATE(LEFT(Tabela17683[[#This Row],[Código]],6),".SA")))</f>
        <v>MTSA4.SA</v>
      </c>
      <c r="C64" s="3" t="s">
        <v>1542</v>
      </c>
      <c r="D64" s="3" t="s">
        <v>790</v>
      </c>
      <c r="E64" s="3" t="s">
        <v>790</v>
      </c>
      <c r="F64" s="3" t="s">
        <v>790</v>
      </c>
      <c r="G64" s="3" t="s">
        <v>790</v>
      </c>
      <c r="H64" s="51">
        <v>41689</v>
      </c>
      <c r="J64" s="3">
        <f t="shared" si="1"/>
        <v>17.09</v>
      </c>
      <c r="K64" s="3">
        <f t="shared" si="1"/>
        <v>17.09</v>
      </c>
      <c r="L64" s="3">
        <f t="shared" si="1"/>
        <v>17.09</v>
      </c>
      <c r="M64" s="3">
        <f t="shared" si="1"/>
        <v>17.09</v>
      </c>
      <c r="P64" s="14" t="s">
        <v>1538</v>
      </c>
      <c r="Q64" s="10" t="str">
        <f>IF(A64="","",C64)</f>
        <v>METISA      -PN</v>
      </c>
      <c r="R64" s="51">
        <f>IF(A64="","",H64)</f>
        <v>41689</v>
      </c>
      <c r="S64" s="5">
        <f>J64</f>
        <v>17.09</v>
      </c>
      <c r="T64" s="5">
        <f>K64</f>
        <v>17.09</v>
      </c>
      <c r="U64" s="5">
        <f>L64</f>
        <v>17.09</v>
      </c>
      <c r="V64" s="5">
        <f>M64</f>
        <v>17.09</v>
      </c>
    </row>
    <row r="65" spans="1:22" x14ac:dyDescent="0.2">
      <c r="A65" s="33" t="str">
        <f>IF(Tabela17683[[#This Row],[Código]]="IBOV","^BVSP",IF(Tabela17683[[#This Row],[Código]]="","",CONCATENATE(LEFT(Tabela17683[[#This Row],[Código]],6),".SA")))</f>
        <v>BALM3.SA</v>
      </c>
      <c r="C65" s="3" t="s">
        <v>1548</v>
      </c>
      <c r="D65" s="3" t="s">
        <v>446</v>
      </c>
      <c r="E65" s="3" t="s">
        <v>779</v>
      </c>
      <c r="F65" s="3" t="s">
        <v>779</v>
      </c>
      <c r="G65" s="3" t="s">
        <v>779</v>
      </c>
      <c r="H65" s="51">
        <v>41689</v>
      </c>
      <c r="J65" s="3" t="e">
        <f t="shared" si="1"/>
        <v>#VALUE!</v>
      </c>
      <c r="K65" s="3">
        <f t="shared" si="1"/>
        <v>40</v>
      </c>
      <c r="L65" s="3">
        <f t="shared" si="1"/>
        <v>40</v>
      </c>
      <c r="M65" s="3">
        <f t="shared" si="1"/>
        <v>40</v>
      </c>
      <c r="P65" s="14" t="s">
        <v>1546</v>
      </c>
      <c r="Q65" s="10" t="str">
        <f>IF(A65="","",C65)</f>
        <v>BAUMER      -ON</v>
      </c>
      <c r="R65" s="51">
        <f>IF(A65="","",H65)</f>
        <v>41689</v>
      </c>
      <c r="S65" s="5" t="e">
        <f>J65</f>
        <v>#VALUE!</v>
      </c>
      <c r="T65" s="5">
        <f>K65</f>
        <v>40</v>
      </c>
      <c r="U65" s="5">
        <f>L65</f>
        <v>40</v>
      </c>
      <c r="V65" s="5">
        <f>M65</f>
        <v>40</v>
      </c>
    </row>
    <row r="66" spans="1:22" x14ac:dyDescent="0.2">
      <c r="A66" s="33" t="str">
        <f>IF(Tabela17683[[#This Row],[Código]]="IBOV","^BVSP",IF(Tabela17683[[#This Row],[Código]]="","",CONCATENATE(LEFT(Tabela17683[[#This Row],[Código]],6),".SA")))</f>
        <v>BALM4.SA</v>
      </c>
      <c r="C66" s="3" t="s">
        <v>1549</v>
      </c>
      <c r="D66" s="3" t="s">
        <v>1550</v>
      </c>
      <c r="E66" s="3" t="s">
        <v>1551</v>
      </c>
      <c r="F66" s="3" t="s">
        <v>1551</v>
      </c>
      <c r="G66" s="3" t="s">
        <v>1550</v>
      </c>
      <c r="H66" s="51">
        <v>41689</v>
      </c>
      <c r="J66" s="3">
        <f t="shared" si="1"/>
        <v>97</v>
      </c>
      <c r="K66" s="3">
        <f t="shared" si="1"/>
        <v>98</v>
      </c>
      <c r="L66" s="3">
        <f t="shared" si="1"/>
        <v>98</v>
      </c>
      <c r="M66" s="3">
        <f t="shared" si="1"/>
        <v>97</v>
      </c>
      <c r="P66" s="10" t="s">
        <v>1547</v>
      </c>
      <c r="Q66" s="10" t="str">
        <f>IF(A66="","",C66)</f>
        <v>BAUMER      -PN</v>
      </c>
      <c r="R66" s="51">
        <f>IF(A66="","",H66)</f>
        <v>41689</v>
      </c>
      <c r="S66" s="5">
        <f>J66</f>
        <v>97</v>
      </c>
      <c r="T66" s="5">
        <f>K66</f>
        <v>98</v>
      </c>
      <c r="U66" s="5">
        <f>L66</f>
        <v>98</v>
      </c>
      <c r="V66" s="5">
        <f>M66</f>
        <v>97</v>
      </c>
    </row>
    <row r="67" spans="1:22" x14ac:dyDescent="0.2">
      <c r="A67" s="33" t="str">
        <f>IF(Tabela17683[[#This Row],[Código]]="IBOV","^BVSP",IF(Tabela17683[[#This Row],[Código]]="","",CONCATENATE(LEFT(Tabela17683[[#This Row],[Código]],6),".SA")))</f>
        <v>BDLL3.SA</v>
      </c>
      <c r="C67" s="3" t="s">
        <v>1624</v>
      </c>
      <c r="D67" s="3" t="s">
        <v>1625</v>
      </c>
      <c r="E67" s="3" t="s">
        <v>1625</v>
      </c>
      <c r="F67" s="3" t="s">
        <v>1625</v>
      </c>
      <c r="G67" s="3" t="s">
        <v>1625</v>
      </c>
      <c r="H67" s="51">
        <v>41689</v>
      </c>
      <c r="J67" s="3">
        <f t="shared" si="1"/>
        <v>45</v>
      </c>
      <c r="K67" s="3">
        <f t="shared" si="1"/>
        <v>45</v>
      </c>
      <c r="L67" s="3">
        <f t="shared" si="1"/>
        <v>45</v>
      </c>
      <c r="M67" s="3">
        <f t="shared" si="1"/>
        <v>45</v>
      </c>
      <c r="P67" s="14" t="s">
        <v>1598</v>
      </c>
      <c r="Q67" s="10" t="str">
        <f>IF(A67="","",C67)</f>
        <v>BARDELLA    -ON</v>
      </c>
      <c r="R67" s="51">
        <f>IF(A67="","",H67)</f>
        <v>41689</v>
      </c>
      <c r="S67" s="5">
        <f>J67</f>
        <v>45</v>
      </c>
      <c r="T67" s="5">
        <f>K67</f>
        <v>45</v>
      </c>
      <c r="U67" s="5">
        <f>L67</f>
        <v>45</v>
      </c>
      <c r="V67" s="5">
        <f>M67</f>
        <v>45</v>
      </c>
    </row>
    <row r="68" spans="1:22" x14ac:dyDescent="0.2">
      <c r="A68" s="33" t="str">
        <f>IF(Tabela17683[[#This Row],[Código]]="IBOV","^BVSP",IF(Tabela17683[[#This Row],[Código]]="","",CONCATENATE(LEFT(Tabela17683[[#This Row],[Código]],6),".SA")))</f>
        <v>BDLL4.SA</v>
      </c>
      <c r="C68" s="3" t="s">
        <v>1626</v>
      </c>
      <c r="D68" s="3" t="s">
        <v>1218</v>
      </c>
      <c r="E68" s="3" t="s">
        <v>779</v>
      </c>
      <c r="F68" s="3" t="s">
        <v>1218</v>
      </c>
      <c r="G68" s="3" t="s">
        <v>779</v>
      </c>
      <c r="H68" s="51">
        <v>41689</v>
      </c>
      <c r="J68" s="3">
        <f t="shared" si="1"/>
        <v>40.01</v>
      </c>
      <c r="K68" s="3">
        <f t="shared" si="1"/>
        <v>40</v>
      </c>
      <c r="L68" s="3">
        <f t="shared" si="1"/>
        <v>40.01</v>
      </c>
      <c r="M68" s="3">
        <f t="shared" si="1"/>
        <v>40</v>
      </c>
      <c r="P68" s="14" t="s">
        <v>1599</v>
      </c>
      <c r="Q68" s="10" t="str">
        <f>IF(A68="","",C68)</f>
        <v>BARDELLA    -PN</v>
      </c>
      <c r="R68" s="51">
        <f>IF(A68="","",H68)</f>
        <v>41689</v>
      </c>
      <c r="S68" s="5">
        <f>J68</f>
        <v>40.01</v>
      </c>
      <c r="T68" s="5">
        <f>K68</f>
        <v>40</v>
      </c>
      <c r="U68" s="5">
        <f>L68</f>
        <v>40.01</v>
      </c>
      <c r="V68" s="5">
        <f>M68</f>
        <v>40</v>
      </c>
    </row>
    <row r="69" spans="1:22" x14ac:dyDescent="0.2">
      <c r="A69" s="33" t="str">
        <f>IF(Tabela17683[[#This Row],[Código]]="IBOV","^BVSP",IF(Tabela17683[[#This Row],[Código]]="","",CONCATENATE(LEFT(Tabela17683[[#This Row],[Código]],6),".SA")))</f>
        <v>ROMI3.SA</v>
      </c>
      <c r="C69" s="3" t="s">
        <v>1627</v>
      </c>
      <c r="D69" s="3" t="s">
        <v>1229</v>
      </c>
      <c r="E69" s="3" t="s">
        <v>1605</v>
      </c>
      <c r="F69" s="3" t="s">
        <v>736</v>
      </c>
      <c r="G69" s="3" t="s">
        <v>1229</v>
      </c>
      <c r="H69" s="51">
        <v>41689</v>
      </c>
      <c r="J69" s="3">
        <f t="shared" si="1"/>
        <v>4.2300000000000004</v>
      </c>
      <c r="K69" s="3">
        <f t="shared" si="1"/>
        <v>4.66</v>
      </c>
      <c r="L69" s="3">
        <f t="shared" si="1"/>
        <v>4.9000000000000004</v>
      </c>
      <c r="M69" s="3">
        <f t="shared" si="1"/>
        <v>4.2300000000000004</v>
      </c>
      <c r="P69" s="14" t="s">
        <v>1600</v>
      </c>
      <c r="Q69" s="10" t="str">
        <f>IF(A69="","",C69)</f>
        <v xml:space="preserve">INDS ROMI   -ON  </v>
      </c>
      <c r="R69" s="51">
        <f>IF(A69="","",H69)</f>
        <v>41689</v>
      </c>
      <c r="S69" s="5">
        <f>J69</f>
        <v>4.2300000000000004</v>
      </c>
      <c r="T69" s="5">
        <f>K69</f>
        <v>4.66</v>
      </c>
      <c r="U69" s="5">
        <f>L69</f>
        <v>4.9000000000000004</v>
      </c>
      <c r="V69" s="5">
        <f>M69</f>
        <v>4.2300000000000004</v>
      </c>
    </row>
    <row r="70" spans="1:22" x14ac:dyDescent="0.2">
      <c r="A70" s="33" t="str">
        <f>IF(Tabela17683[[#This Row],[Código]]="IBOV","^BVSP",IF(Tabela17683[[#This Row],[Código]]="","",CONCATENATE(LEFT(Tabela17683[[#This Row],[Código]],6),".SA")))</f>
        <v>INEP3.SA</v>
      </c>
      <c r="C70" s="3" t="s">
        <v>1628</v>
      </c>
      <c r="D70" s="3" t="s">
        <v>1629</v>
      </c>
      <c r="E70" s="3" t="s">
        <v>2054</v>
      </c>
      <c r="F70" s="3" t="s">
        <v>1488</v>
      </c>
      <c r="G70" s="3" t="s">
        <v>1487</v>
      </c>
      <c r="H70" s="51">
        <v>41689</v>
      </c>
      <c r="J70" s="3">
        <f t="shared" si="1"/>
        <v>0.95</v>
      </c>
      <c r="K70" s="3">
        <f t="shared" si="1"/>
        <v>0.94</v>
      </c>
      <c r="L70" s="3">
        <f t="shared" si="1"/>
        <v>0.98</v>
      </c>
      <c r="M70" s="3">
        <f t="shared" si="1"/>
        <v>0.9</v>
      </c>
      <c r="P70" s="14" t="s">
        <v>1601</v>
      </c>
      <c r="Q70" s="10" t="str">
        <f>IF(A70="","",C70)</f>
        <v xml:space="preserve">INEPAR      -ON  </v>
      </c>
      <c r="R70" s="51">
        <f>IF(A70="","",H70)</f>
        <v>41689</v>
      </c>
      <c r="S70" s="5">
        <f>J70</f>
        <v>0.95</v>
      </c>
      <c r="T70" s="5">
        <f>K70</f>
        <v>0.94</v>
      </c>
      <c r="U70" s="5">
        <f>L70</f>
        <v>0.98</v>
      </c>
      <c r="V70" s="5">
        <f>M70</f>
        <v>0.9</v>
      </c>
    </row>
    <row r="71" spans="1:22" x14ac:dyDescent="0.2">
      <c r="A71" s="33" t="str">
        <f>IF(Tabela17683[[#This Row],[Código]]="IBOV","^BVSP",IF(Tabela17683[[#This Row],[Código]]="","",CONCATENATE(LEFT(Tabela17683[[#This Row],[Código]],6),".SA")))</f>
        <v>INEP4.SA</v>
      </c>
      <c r="C71" s="3" t="s">
        <v>1630</v>
      </c>
      <c r="D71" s="3" t="s">
        <v>973</v>
      </c>
      <c r="E71" s="3" t="s">
        <v>1631</v>
      </c>
      <c r="F71" s="3" t="s">
        <v>1631</v>
      </c>
      <c r="G71" s="3" t="s">
        <v>922</v>
      </c>
      <c r="H71" s="51">
        <v>41689</v>
      </c>
      <c r="J71" s="3">
        <f t="shared" si="1"/>
        <v>0.82</v>
      </c>
      <c r="K71" s="3">
        <f t="shared" si="1"/>
        <v>0.84</v>
      </c>
      <c r="L71" s="3">
        <f t="shared" si="1"/>
        <v>0.84</v>
      </c>
      <c r="M71" s="3">
        <f t="shared" si="1"/>
        <v>0.8</v>
      </c>
      <c r="P71" s="14" t="s">
        <v>1602</v>
      </c>
      <c r="Q71" s="10" t="str">
        <f>IF(A71="","",C71)</f>
        <v xml:space="preserve">INEPAR      -PN  </v>
      </c>
      <c r="R71" s="46">
        <f>IF(A71="","",H71)</f>
        <v>41689</v>
      </c>
      <c r="S71" s="6">
        <f>J71</f>
        <v>0.82</v>
      </c>
      <c r="T71" s="6">
        <f>K71</f>
        <v>0.84</v>
      </c>
      <c r="U71" s="6">
        <f>L71</f>
        <v>0.84</v>
      </c>
      <c r="V71" s="6">
        <f>M71</f>
        <v>0.8</v>
      </c>
    </row>
    <row r="72" spans="1:22" x14ac:dyDescent="0.2">
      <c r="A72" s="33" t="str">
        <f>IF(Tabela17683[[#This Row],[Código]]="IBOV","^BVSP",IF(Tabela17683[[#This Row],[Código]]="","",CONCATENATE(LEFT(Tabela17683[[#This Row],[Código]],6),".SA")))</f>
        <v>KEPL3.SA</v>
      </c>
      <c r="C72" s="3" t="s">
        <v>1632</v>
      </c>
      <c r="D72" s="3" t="s">
        <v>1633</v>
      </c>
      <c r="E72" s="3" t="s">
        <v>2055</v>
      </c>
      <c r="F72" s="3" t="s">
        <v>1634</v>
      </c>
      <c r="G72" s="3" t="s">
        <v>2056</v>
      </c>
      <c r="H72" s="51">
        <v>41689</v>
      </c>
      <c r="J72" s="3">
        <f t="shared" ref="J72:M135" si="2">IF($A72="",0,VALUE(CONCATENATE(LEFT(D72,LEN(D72)-3),",",RIGHT(D72,2))))</f>
        <v>38.57</v>
      </c>
      <c r="K72" s="3">
        <f t="shared" si="2"/>
        <v>38.270000000000003</v>
      </c>
      <c r="L72" s="3">
        <f t="shared" si="2"/>
        <v>38.700000000000003</v>
      </c>
      <c r="M72" s="3">
        <f t="shared" si="2"/>
        <v>37.549999999999997</v>
      </c>
      <c r="P72" s="15" t="s">
        <v>1603</v>
      </c>
      <c r="Q72" s="10" t="str">
        <f>IF(A72="","",C72)</f>
        <v>KEPLER WEBER-ON</v>
      </c>
      <c r="R72" s="51">
        <f>IF(A72="","",H72)</f>
        <v>41689</v>
      </c>
      <c r="S72" s="5">
        <f>J72</f>
        <v>38.57</v>
      </c>
      <c r="T72" s="5">
        <f>K72</f>
        <v>38.270000000000003</v>
      </c>
      <c r="U72" s="5">
        <f>L72</f>
        <v>38.700000000000003</v>
      </c>
      <c r="V72" s="5">
        <f>M72</f>
        <v>37.549999999999997</v>
      </c>
    </row>
    <row r="73" spans="1:22" x14ac:dyDescent="0.2">
      <c r="A73" s="33" t="str">
        <f>IF(Tabela17683[[#This Row],[Código]]="IBOV","^BVSP",IF(Tabela17683[[#This Row],[Código]]="","",CONCATENATE(LEFT(Tabela17683[[#This Row],[Código]],6),".SA")))</f>
        <v>NORD3.SA</v>
      </c>
      <c r="C73" s="3" t="s">
        <v>1635</v>
      </c>
      <c r="D73" s="3" t="s">
        <v>1246</v>
      </c>
      <c r="E73" s="3" t="s">
        <v>1246</v>
      </c>
      <c r="F73" s="3" t="s">
        <v>1246</v>
      </c>
      <c r="G73" s="3" t="s">
        <v>1246</v>
      </c>
      <c r="H73" s="51">
        <v>41689</v>
      </c>
      <c r="J73" s="3">
        <f t="shared" si="2"/>
        <v>7.5</v>
      </c>
      <c r="K73" s="3">
        <f t="shared" si="2"/>
        <v>7.5</v>
      </c>
      <c r="L73" s="3">
        <f t="shared" si="2"/>
        <v>7.5</v>
      </c>
      <c r="M73" s="3">
        <f t="shared" si="2"/>
        <v>7.5</v>
      </c>
      <c r="P73" s="14" t="s">
        <v>1604</v>
      </c>
      <c r="Q73" s="10" t="str">
        <f>IF(A73="","",C73)</f>
        <v>NORDON MET  -ON *</v>
      </c>
      <c r="R73" s="51">
        <f>IF(A73="","",H73)</f>
        <v>41689</v>
      </c>
      <c r="S73" s="5">
        <f>J73</f>
        <v>7.5</v>
      </c>
      <c r="T73" s="5">
        <f>K73</f>
        <v>7.5</v>
      </c>
      <c r="U73" s="5">
        <f>L73</f>
        <v>7.5</v>
      </c>
      <c r="V73" s="5">
        <f>M73</f>
        <v>7.5</v>
      </c>
    </row>
    <row r="74" spans="1:22" x14ac:dyDescent="0.2">
      <c r="A74" s="33" t="str">
        <f>IF(Tabela17683[[#This Row],[Código]]="IBOV","^BVSP",IF(Tabela17683[[#This Row],[Código]]="","",CONCATENATE(LEFT(Tabela17683[[#This Row],[Código]],6),".SA")))</f>
        <v>SHUL3.SA</v>
      </c>
      <c r="C74" s="3" t="s">
        <v>1641</v>
      </c>
      <c r="D74" s="3" t="s">
        <v>446</v>
      </c>
      <c r="E74" s="3" t="s">
        <v>447</v>
      </c>
      <c r="F74" s="3" t="s">
        <v>446</v>
      </c>
      <c r="G74" s="3" t="s">
        <v>446</v>
      </c>
      <c r="H74" s="51" t="s">
        <v>446</v>
      </c>
      <c r="J74" s="3" t="e">
        <f t="shared" si="2"/>
        <v>#VALUE!</v>
      </c>
      <c r="K74" s="3">
        <f t="shared" si="2"/>
        <v>0</v>
      </c>
      <c r="L74" s="3" t="e">
        <f t="shared" si="2"/>
        <v>#VALUE!</v>
      </c>
      <c r="M74" s="3" t="e">
        <f t="shared" si="2"/>
        <v>#VALUE!</v>
      </c>
      <c r="P74" s="14" t="s">
        <v>1638</v>
      </c>
      <c r="Q74" s="10" t="str">
        <f>IF(A74="","",C74)</f>
        <v>SCHULZ      -ON</v>
      </c>
      <c r="R74" s="51" t="str">
        <f>IF(A74="","",H74)</f>
        <v>N/A</v>
      </c>
      <c r="S74" s="5" t="e">
        <f>J74</f>
        <v>#VALUE!</v>
      </c>
      <c r="T74" s="5">
        <f>K74</f>
        <v>0</v>
      </c>
      <c r="U74" s="5" t="e">
        <f>L74</f>
        <v>#VALUE!</v>
      </c>
      <c r="V74" s="5" t="e">
        <f>M74</f>
        <v>#VALUE!</v>
      </c>
    </row>
    <row r="75" spans="1:22" x14ac:dyDescent="0.2">
      <c r="A75" s="33" t="str">
        <f>IF(Tabela17683[[#This Row],[Código]]="IBOV","^BVSP",IF(Tabela17683[[#This Row],[Código]]="","",CONCATENATE(LEFT(Tabela17683[[#This Row],[Código]],6),".SA")))</f>
        <v>SHUL4.SA</v>
      </c>
      <c r="C75" s="3" t="s">
        <v>1642</v>
      </c>
      <c r="D75" s="3" t="s">
        <v>2057</v>
      </c>
      <c r="E75" s="3" t="s">
        <v>2057</v>
      </c>
      <c r="F75" s="3" t="s">
        <v>1855</v>
      </c>
      <c r="G75" s="3" t="s">
        <v>1279</v>
      </c>
      <c r="H75" s="51">
        <v>41689</v>
      </c>
      <c r="J75" s="3">
        <f t="shared" si="2"/>
        <v>9.99</v>
      </c>
      <c r="K75" s="3">
        <f t="shared" si="2"/>
        <v>9.99</v>
      </c>
      <c r="L75" s="3">
        <f t="shared" si="2"/>
        <v>10.08</v>
      </c>
      <c r="M75" s="3">
        <f t="shared" si="2"/>
        <v>9.9499999999999993</v>
      </c>
      <c r="P75" s="14" t="s">
        <v>1639</v>
      </c>
      <c r="Q75" s="10" t="str">
        <f>IF(A75="","",C75)</f>
        <v>SCHULZ      -PN</v>
      </c>
      <c r="R75" s="51">
        <f>IF(A75="","",H75)</f>
        <v>41689</v>
      </c>
      <c r="S75" s="5">
        <f>J75</f>
        <v>9.99</v>
      </c>
      <c r="T75" s="5">
        <f>K75</f>
        <v>9.99</v>
      </c>
      <c r="U75" s="5">
        <f>L75</f>
        <v>10.08</v>
      </c>
      <c r="V75" s="5">
        <f>M75</f>
        <v>9.9499999999999993</v>
      </c>
    </row>
    <row r="76" spans="1:22" x14ac:dyDescent="0.2">
      <c r="A76" s="33" t="str">
        <f>IF(Tabela17683[[#This Row],[Código]]="IBOV","^BVSP",IF(Tabela17683[[#This Row],[Código]]="","",CONCATENATE(LEFT(Tabela17683[[#This Row],[Código]],6),".SA")))</f>
        <v>WEGE3.SA</v>
      </c>
      <c r="C76" s="3" t="s">
        <v>1643</v>
      </c>
      <c r="D76" s="3" t="s">
        <v>1644</v>
      </c>
      <c r="E76" s="3" t="s">
        <v>2058</v>
      </c>
      <c r="F76" s="3" t="s">
        <v>2059</v>
      </c>
      <c r="G76" s="3" t="s">
        <v>1028</v>
      </c>
      <c r="H76" s="51">
        <v>41689</v>
      </c>
      <c r="J76" s="3">
        <f t="shared" si="2"/>
        <v>29.53</v>
      </c>
      <c r="K76" s="3">
        <f t="shared" si="2"/>
        <v>29.7</v>
      </c>
      <c r="L76" s="3">
        <f t="shared" si="2"/>
        <v>29.98</v>
      </c>
      <c r="M76" s="3">
        <f t="shared" si="2"/>
        <v>29.25</v>
      </c>
      <c r="P76" s="14" t="s">
        <v>1640</v>
      </c>
      <c r="Q76" s="10" t="str">
        <f>IF(A76="","",C76)</f>
        <v xml:space="preserve">WEG         -ON  </v>
      </c>
      <c r="R76" s="51">
        <f>IF(A76="","",H76)</f>
        <v>41689</v>
      </c>
      <c r="S76" s="5">
        <f>J76</f>
        <v>29.53</v>
      </c>
      <c r="T76" s="5">
        <f>K76</f>
        <v>29.7</v>
      </c>
      <c r="U76" s="5">
        <f>L76</f>
        <v>29.98</v>
      </c>
      <c r="V76" s="5">
        <f>M76</f>
        <v>29.25</v>
      </c>
    </row>
    <row r="77" spans="1:22" x14ac:dyDescent="0.2">
      <c r="A77" s="33" t="str">
        <f>IF(Tabela17683[[#This Row],[Código]]="IBOV","^BVSP",IF(Tabela17683[[#This Row],[Código]]="","",CONCATENATE(LEFT(Tabela17683[[#This Row],[Código]],6),".SA")))</f>
        <v>EMBR3.SA</v>
      </c>
      <c r="C77" s="3" t="s">
        <v>1650</v>
      </c>
      <c r="D77" s="3" t="s">
        <v>1651</v>
      </c>
      <c r="E77" s="3" t="s">
        <v>1704</v>
      </c>
      <c r="F77" s="3" t="s">
        <v>2060</v>
      </c>
      <c r="G77" s="3" t="s">
        <v>1651</v>
      </c>
      <c r="H77" s="51">
        <v>41689</v>
      </c>
      <c r="J77" s="3">
        <f t="shared" si="2"/>
        <v>19.37</v>
      </c>
      <c r="K77" s="3">
        <f t="shared" si="2"/>
        <v>19.739999999999998</v>
      </c>
      <c r="L77" s="3">
        <f t="shared" si="2"/>
        <v>19.829999999999998</v>
      </c>
      <c r="M77" s="3">
        <f t="shared" si="2"/>
        <v>19.37</v>
      </c>
      <c r="P77" s="15" t="s">
        <v>1646</v>
      </c>
      <c r="Q77" s="10" t="str">
        <f>IF(A77="","",C77)</f>
        <v xml:space="preserve">EMBRAER     -ON  </v>
      </c>
      <c r="R77" s="51">
        <f>IF(A77="","",H77)</f>
        <v>41689</v>
      </c>
      <c r="S77" s="5">
        <f>J77</f>
        <v>19.37</v>
      </c>
      <c r="T77" s="5">
        <f>K77</f>
        <v>19.739999999999998</v>
      </c>
      <c r="U77" s="5">
        <f>L77</f>
        <v>19.829999999999998</v>
      </c>
      <c r="V77" s="5">
        <f>M77</f>
        <v>19.37</v>
      </c>
    </row>
    <row r="78" spans="1:22" x14ac:dyDescent="0.2">
      <c r="A78" s="33" t="str">
        <f>IF(Tabela17683[[#This Row],[Código]]="IBOV","^BVSP",IF(Tabela17683[[#This Row],[Código]]="","",CONCATENATE(LEFT(Tabela17683[[#This Row],[Código]],6),".SA")))</f>
        <v>CBMA3.SA</v>
      </c>
      <c r="C78" s="3" t="s">
        <v>1656</v>
      </c>
      <c r="D78" s="3" t="s">
        <v>1657</v>
      </c>
      <c r="E78" s="3" t="s">
        <v>1657</v>
      </c>
      <c r="F78" s="3" t="s">
        <v>1657</v>
      </c>
      <c r="G78" s="3" t="s">
        <v>1657</v>
      </c>
      <c r="H78" s="51">
        <v>41689</v>
      </c>
      <c r="J78" s="3">
        <f t="shared" si="2"/>
        <v>0.05</v>
      </c>
      <c r="K78" s="3">
        <f t="shared" si="2"/>
        <v>0.05</v>
      </c>
      <c r="L78" s="3">
        <f t="shared" si="2"/>
        <v>0.05</v>
      </c>
      <c r="M78" s="3">
        <f t="shared" si="2"/>
        <v>0.05</v>
      </c>
      <c r="P78" s="15" t="s">
        <v>1654</v>
      </c>
      <c r="Q78" s="10" t="str">
        <f>IF(A78="","",C78)</f>
        <v>COBRASMA    -ON</v>
      </c>
      <c r="R78" s="51">
        <f>IF(A78="","",H78)</f>
        <v>41689</v>
      </c>
      <c r="S78" s="5">
        <f>J78</f>
        <v>0.05</v>
      </c>
      <c r="T78" s="5">
        <f>K78</f>
        <v>0.05</v>
      </c>
      <c r="U78" s="5">
        <f>L78</f>
        <v>0.05</v>
      </c>
      <c r="V78" s="5">
        <f>M78</f>
        <v>0.05</v>
      </c>
    </row>
    <row r="79" spans="1:22" x14ac:dyDescent="0.2">
      <c r="A79" s="33" t="str">
        <f>IF(Tabela17683[[#This Row],[Código]]="IBOV","^BVSP",IF(Tabela17683[[#This Row],[Código]]="","",CONCATENATE(LEFT(Tabela17683[[#This Row],[Código]],6),".SA")))</f>
        <v>CBMA4.SA</v>
      </c>
      <c r="C79" s="3" t="s">
        <v>1658</v>
      </c>
      <c r="D79" s="3" t="s">
        <v>1659</v>
      </c>
      <c r="E79" s="3" t="s">
        <v>1659</v>
      </c>
      <c r="F79" s="3" t="s">
        <v>1659</v>
      </c>
      <c r="G79" s="3" t="s">
        <v>1659</v>
      </c>
      <c r="H79" s="51">
        <v>41689</v>
      </c>
      <c r="J79" s="3">
        <f t="shared" si="2"/>
        <v>0.04</v>
      </c>
      <c r="K79" s="3">
        <f t="shared" si="2"/>
        <v>0.04</v>
      </c>
      <c r="L79" s="3">
        <f t="shared" si="2"/>
        <v>0.04</v>
      </c>
      <c r="M79" s="3">
        <f t="shared" si="2"/>
        <v>0.04</v>
      </c>
      <c r="P79" s="15" t="s">
        <v>1655</v>
      </c>
      <c r="Q79" s="10" t="str">
        <f>IF(A79="","",C79)</f>
        <v>COBRASMA    -PN</v>
      </c>
      <c r="R79" s="51">
        <f>IF(A79="","",H79)</f>
        <v>41689</v>
      </c>
      <c r="S79" s="5">
        <f>J79</f>
        <v>0.04</v>
      </c>
      <c r="T79" s="5">
        <f>K79</f>
        <v>0.04</v>
      </c>
      <c r="U79" s="5">
        <f>L79</f>
        <v>0.04</v>
      </c>
      <c r="V79" s="5">
        <f>M79</f>
        <v>0.04</v>
      </c>
    </row>
    <row r="80" spans="1:22" x14ac:dyDescent="0.2">
      <c r="A80" s="33" t="str">
        <f>IF(Tabela17683[[#This Row],[Código]]="IBOV","^BVSP",IF(Tabela17683[[#This Row],[Código]]="","",CONCATENATE(LEFT(Tabela17683[[#This Row],[Código]],6),".SA")))</f>
        <v>AUTM3.SA</v>
      </c>
      <c r="C80" s="3" t="s">
        <v>1678</v>
      </c>
      <c r="D80" s="3" t="s">
        <v>1679</v>
      </c>
      <c r="E80" s="3" t="s">
        <v>2061</v>
      </c>
      <c r="F80" s="3" t="s">
        <v>1679</v>
      </c>
      <c r="G80" s="3" t="s">
        <v>2062</v>
      </c>
      <c r="H80" s="51">
        <v>41689</v>
      </c>
      <c r="J80" s="3">
        <f t="shared" si="2"/>
        <v>15.84</v>
      </c>
      <c r="K80" s="3">
        <f t="shared" si="2"/>
        <v>15.56</v>
      </c>
      <c r="L80" s="3">
        <f t="shared" si="2"/>
        <v>15.84</v>
      </c>
      <c r="M80" s="3">
        <f t="shared" si="2"/>
        <v>15.52</v>
      </c>
      <c r="P80" s="15" t="s">
        <v>1660</v>
      </c>
      <c r="Q80" s="10" t="str">
        <f>IF(A80="","",C80)</f>
        <v xml:space="preserve">AUTOMETAL   -ON  </v>
      </c>
      <c r="R80" s="51">
        <f>IF(A80="","",H80)</f>
        <v>41689</v>
      </c>
      <c r="S80" s="5">
        <f>J80</f>
        <v>15.84</v>
      </c>
      <c r="T80" s="5">
        <f>K80</f>
        <v>15.56</v>
      </c>
      <c r="U80" s="5">
        <f>L80</f>
        <v>15.84</v>
      </c>
      <c r="V80" s="5">
        <f>M80</f>
        <v>15.52</v>
      </c>
    </row>
    <row r="81" spans="1:22" x14ac:dyDescent="0.2">
      <c r="A81" s="33" t="str">
        <f>IF(Tabela17683[[#This Row],[Código]]="IBOV","^BVSP",IF(Tabela17683[[#This Row],[Código]]="","",CONCATENATE(LEFT(Tabela17683[[#This Row],[Código]],6),".SA")))</f>
        <v>DHBI3.SA</v>
      </c>
      <c r="C81" s="3" t="s">
        <v>1680</v>
      </c>
      <c r="D81" s="3" t="s">
        <v>446</v>
      </c>
      <c r="E81" s="3" t="s">
        <v>1681</v>
      </c>
      <c r="F81" s="3" t="s">
        <v>1681</v>
      </c>
      <c r="G81" s="3" t="s">
        <v>1681</v>
      </c>
      <c r="H81" s="51">
        <v>41689</v>
      </c>
      <c r="J81" s="3" t="e">
        <f t="shared" si="2"/>
        <v>#VALUE!</v>
      </c>
      <c r="K81" s="3">
        <f t="shared" si="2"/>
        <v>50.36</v>
      </c>
      <c r="L81" s="3">
        <f t="shared" si="2"/>
        <v>50.36</v>
      </c>
      <c r="M81" s="3">
        <f t="shared" si="2"/>
        <v>50.36</v>
      </c>
      <c r="P81" s="14" t="s">
        <v>1661</v>
      </c>
      <c r="Q81" s="10" t="str">
        <f>IF(A81="","",C81)</f>
        <v>D H B       -ON</v>
      </c>
      <c r="R81" s="51">
        <f>IF(A81="","",H81)</f>
        <v>41689</v>
      </c>
      <c r="S81" s="5" t="e">
        <f>J81</f>
        <v>#VALUE!</v>
      </c>
      <c r="T81" s="5">
        <f>K81</f>
        <v>50.36</v>
      </c>
      <c r="U81" s="5">
        <f>L81</f>
        <v>50.36</v>
      </c>
      <c r="V81" s="5">
        <f>M81</f>
        <v>50.36</v>
      </c>
    </row>
    <row r="82" spans="1:22" x14ac:dyDescent="0.2">
      <c r="A82" s="33" t="str">
        <f>IF(Tabela17683[[#This Row],[Código]]="IBOV","^BVSP",IF(Tabela17683[[#This Row],[Código]]="","",CONCATENATE(LEFT(Tabela17683[[#This Row],[Código]],6),".SA")))</f>
        <v>DHBI4.SA</v>
      </c>
      <c r="C82" s="3" t="s">
        <v>1682</v>
      </c>
      <c r="D82" s="3" t="s">
        <v>446</v>
      </c>
      <c r="E82" s="3" t="s">
        <v>1226</v>
      </c>
      <c r="F82" s="3" t="s">
        <v>1226</v>
      </c>
      <c r="G82" s="3" t="s">
        <v>1226</v>
      </c>
      <c r="H82" s="51">
        <v>41689</v>
      </c>
      <c r="J82" s="3" t="e">
        <f t="shared" si="2"/>
        <v>#VALUE!</v>
      </c>
      <c r="K82" s="3">
        <f t="shared" si="2"/>
        <v>8.15</v>
      </c>
      <c r="L82" s="3">
        <f t="shared" si="2"/>
        <v>8.15</v>
      </c>
      <c r="M82" s="3">
        <f t="shared" si="2"/>
        <v>8.15</v>
      </c>
      <c r="P82" s="14" t="s">
        <v>1662</v>
      </c>
      <c r="Q82" s="10" t="str">
        <f>IF(A82="","",C82)</f>
        <v>D H B       -PN</v>
      </c>
      <c r="R82" s="51">
        <f>IF(A82="","",H82)</f>
        <v>41689</v>
      </c>
      <c r="S82" s="5" t="e">
        <f>J82</f>
        <v>#VALUE!</v>
      </c>
      <c r="T82" s="5">
        <f>K82</f>
        <v>8.15</v>
      </c>
      <c r="U82" s="5">
        <f>L82</f>
        <v>8.15</v>
      </c>
      <c r="V82" s="5">
        <f>M82</f>
        <v>8.15</v>
      </c>
    </row>
    <row r="83" spans="1:22" x14ac:dyDescent="0.2">
      <c r="A83" s="33" t="str">
        <f>IF(Tabela17683[[#This Row],[Código]]="IBOV","^BVSP",IF(Tabela17683[[#This Row],[Código]]="","",CONCATENATE(LEFT(Tabela17683[[#This Row],[Código]],6),".SA")))</f>
        <v>MYPK3.SA</v>
      </c>
      <c r="C83" s="3" t="s">
        <v>1705</v>
      </c>
      <c r="D83" s="3" t="s">
        <v>1706</v>
      </c>
      <c r="E83" s="3" t="s">
        <v>1707</v>
      </c>
      <c r="F83" s="3" t="s">
        <v>1708</v>
      </c>
      <c r="G83" s="3" t="s">
        <v>1716</v>
      </c>
      <c r="H83" s="51">
        <v>41689</v>
      </c>
      <c r="J83" s="3">
        <f t="shared" si="2"/>
        <v>22.67</v>
      </c>
      <c r="K83" s="3">
        <f t="shared" si="2"/>
        <v>22.6</v>
      </c>
      <c r="L83" s="3">
        <f t="shared" si="2"/>
        <v>22.88</v>
      </c>
      <c r="M83" s="3">
        <f t="shared" si="2"/>
        <v>22.25</v>
      </c>
      <c r="P83" s="14" t="s">
        <v>1701</v>
      </c>
      <c r="Q83" s="10" t="str">
        <f>IF(A83="","",C83)</f>
        <v xml:space="preserve">IOCHP-MAXION-ON  </v>
      </c>
      <c r="R83" s="46">
        <f>IF(A83="","",H83)</f>
        <v>41689</v>
      </c>
      <c r="S83" s="6">
        <f>J83</f>
        <v>22.67</v>
      </c>
      <c r="T83" s="6">
        <f>K83</f>
        <v>22.6</v>
      </c>
      <c r="U83" s="6">
        <f>L83</f>
        <v>22.88</v>
      </c>
      <c r="V83" s="6">
        <f>M83</f>
        <v>22.25</v>
      </c>
    </row>
    <row r="84" spans="1:22" x14ac:dyDescent="0.2">
      <c r="A84" s="33" t="str">
        <f>IF(Tabela17683[[#This Row],[Código]]="IBOV","^BVSP",IF(Tabela17683[[#This Row],[Código]]="","",CONCATENATE(LEFT(Tabela17683[[#This Row],[Código]],6),".SA")))</f>
        <v>LEVE3.SA</v>
      </c>
      <c r="C84" s="3" t="s">
        <v>1683</v>
      </c>
      <c r="D84" s="3" t="s">
        <v>1684</v>
      </c>
      <c r="E84" s="3" t="s">
        <v>1910</v>
      </c>
      <c r="F84" s="3" t="s">
        <v>1707</v>
      </c>
      <c r="G84" s="3" t="s">
        <v>1685</v>
      </c>
      <c r="H84" s="51">
        <v>41689</v>
      </c>
      <c r="J84" s="3">
        <f t="shared" si="2"/>
        <v>22.53</v>
      </c>
      <c r="K84" s="3">
        <f t="shared" si="2"/>
        <v>22.31</v>
      </c>
      <c r="L84" s="3">
        <f t="shared" si="2"/>
        <v>22.6</v>
      </c>
      <c r="M84" s="3">
        <f t="shared" si="2"/>
        <v>22.01</v>
      </c>
      <c r="P84" s="43" t="s">
        <v>1664</v>
      </c>
      <c r="Q84" s="10" t="str">
        <f>IF(A84="","",C84)</f>
        <v xml:space="preserve">METAL LEVE  -ON  </v>
      </c>
      <c r="R84" s="51">
        <f>IF(A84="","",H84)</f>
        <v>41689</v>
      </c>
      <c r="S84" s="5">
        <f>J84</f>
        <v>22.53</v>
      </c>
      <c r="T84" s="5">
        <f>K84</f>
        <v>22.31</v>
      </c>
      <c r="U84" s="5">
        <f>L84</f>
        <v>22.6</v>
      </c>
      <c r="V84" s="5">
        <f>M84</f>
        <v>22.01</v>
      </c>
    </row>
    <row r="85" spans="1:22" x14ac:dyDescent="0.2">
      <c r="A85" s="33" t="str">
        <f>IF(Tabela17683[[#This Row],[Código]]="IBOV","^BVSP",IF(Tabela17683[[#This Row],[Código]]="","",CONCATENATE(LEFT(Tabela17683[[#This Row],[Código]],6),".SA")))</f>
        <v>POMO3.SA</v>
      </c>
      <c r="C85" s="3" t="s">
        <v>1686</v>
      </c>
      <c r="D85" s="3" t="s">
        <v>1286</v>
      </c>
      <c r="E85" s="3" t="s">
        <v>2063</v>
      </c>
      <c r="F85" s="3" t="s">
        <v>1159</v>
      </c>
      <c r="G85" s="3" t="s">
        <v>1041</v>
      </c>
      <c r="H85" s="51">
        <v>41689</v>
      </c>
      <c r="J85" s="3">
        <f t="shared" si="2"/>
        <v>4.51</v>
      </c>
      <c r="K85" s="3">
        <f t="shared" si="2"/>
        <v>4.4800000000000004</v>
      </c>
      <c r="L85" s="3">
        <f t="shared" si="2"/>
        <v>4.54</v>
      </c>
      <c r="M85" s="3">
        <f t="shared" si="2"/>
        <v>4.38</v>
      </c>
      <c r="P85" s="15" t="s">
        <v>1665</v>
      </c>
      <c r="Q85" s="10" t="str">
        <f>IF(A85="","",C85)</f>
        <v xml:space="preserve">MARCOPOLO   -ON  </v>
      </c>
      <c r="R85" s="51">
        <f>IF(A85="","",H85)</f>
        <v>41689</v>
      </c>
      <c r="S85" s="5">
        <f>J85</f>
        <v>4.51</v>
      </c>
      <c r="T85" s="5">
        <f>K85</f>
        <v>4.4800000000000004</v>
      </c>
      <c r="U85" s="5">
        <f>L85</f>
        <v>4.54</v>
      </c>
      <c r="V85" s="5">
        <f>M85</f>
        <v>4.38</v>
      </c>
    </row>
    <row r="86" spans="1:22" x14ac:dyDescent="0.2">
      <c r="A86" s="33" t="str">
        <f>IF(Tabela17683[[#This Row],[Código]]="IBOV","^BVSP",IF(Tabela17683[[#This Row],[Código]]="","",CONCATENATE(LEFT(Tabela17683[[#This Row],[Código]],6),".SA")))</f>
        <v>RSUL3.SA</v>
      </c>
      <c r="C86" s="3" t="s">
        <v>1687</v>
      </c>
      <c r="D86" s="3" t="s">
        <v>446</v>
      </c>
      <c r="E86" s="3" t="s">
        <v>447</v>
      </c>
      <c r="F86" s="3" t="s">
        <v>446</v>
      </c>
      <c r="G86" s="3" t="s">
        <v>446</v>
      </c>
      <c r="H86" s="51" t="s">
        <v>446</v>
      </c>
      <c r="J86" s="3" t="e">
        <f t="shared" si="2"/>
        <v>#VALUE!</v>
      </c>
      <c r="K86" s="3">
        <f t="shared" si="2"/>
        <v>0</v>
      </c>
      <c r="L86" s="3" t="e">
        <f t="shared" si="2"/>
        <v>#VALUE!</v>
      </c>
      <c r="M86" s="3" t="e">
        <f t="shared" si="2"/>
        <v>#VALUE!</v>
      </c>
      <c r="P86" s="15" t="s">
        <v>1667</v>
      </c>
      <c r="Q86" s="10" t="str">
        <f>IF(A86="","",C86)</f>
        <v>RIOSULENSE  -ON</v>
      </c>
      <c r="R86" s="51" t="str">
        <f>IF(A86="","",H86)</f>
        <v>N/A</v>
      </c>
      <c r="S86" s="5" t="e">
        <f>J86</f>
        <v>#VALUE!</v>
      </c>
      <c r="T86" s="5">
        <f>K86</f>
        <v>0</v>
      </c>
      <c r="U86" s="5" t="e">
        <f>L86</f>
        <v>#VALUE!</v>
      </c>
      <c r="V86" s="5" t="e">
        <f>M86</f>
        <v>#VALUE!</v>
      </c>
    </row>
    <row r="87" spans="1:22" x14ac:dyDescent="0.2">
      <c r="A87" s="33" t="str">
        <f>IF(Tabela17683[[#This Row],[Código]]="IBOV","^BVSP",IF(Tabela17683[[#This Row],[Código]]="","",CONCATENATE(LEFT(Tabela17683[[#This Row],[Código]],6),".SA")))</f>
        <v>RSUL4.SA</v>
      </c>
      <c r="C87" s="3" t="s">
        <v>1688</v>
      </c>
      <c r="D87" s="3" t="s">
        <v>446</v>
      </c>
      <c r="E87" s="3" t="s">
        <v>1689</v>
      </c>
      <c r="F87" s="3" t="s">
        <v>1689</v>
      </c>
      <c r="G87" s="3" t="s">
        <v>1689</v>
      </c>
      <c r="H87" s="51">
        <v>41689</v>
      </c>
      <c r="J87" s="3" t="e">
        <f t="shared" si="2"/>
        <v>#VALUE!</v>
      </c>
      <c r="K87" s="3">
        <f t="shared" si="2"/>
        <v>29.95</v>
      </c>
      <c r="L87" s="3">
        <f t="shared" si="2"/>
        <v>29.95</v>
      </c>
      <c r="M87" s="3">
        <f t="shared" si="2"/>
        <v>29.95</v>
      </c>
      <c r="P87" s="15" t="s">
        <v>1668</v>
      </c>
      <c r="Q87" s="10" t="str">
        <f>IF(A87="","",C87)</f>
        <v>RIOSULENSE  -PN</v>
      </c>
      <c r="R87" s="51">
        <f>IF(A87="","",H87)</f>
        <v>41689</v>
      </c>
      <c r="S87" s="5" t="e">
        <f>J87</f>
        <v>#VALUE!</v>
      </c>
      <c r="T87" s="5">
        <f>K87</f>
        <v>29.95</v>
      </c>
      <c r="U87" s="5">
        <f>L87</f>
        <v>29.95</v>
      </c>
      <c r="V87" s="5">
        <f>M87</f>
        <v>29.95</v>
      </c>
    </row>
    <row r="88" spans="1:22" x14ac:dyDescent="0.2">
      <c r="A88" s="33" t="str">
        <f>IF(Tabela17683[[#This Row],[Código]]="IBOV","^BVSP",IF(Tabela17683[[#This Row],[Código]]="","",CONCATENATE(LEFT(Tabela17683[[#This Row],[Código]],6),".SA")))</f>
        <v>PLAS3.SA</v>
      </c>
      <c r="C88" s="3" t="s">
        <v>1690</v>
      </c>
      <c r="D88" s="3" t="s">
        <v>1555</v>
      </c>
      <c r="E88" s="3" t="s">
        <v>1555</v>
      </c>
      <c r="F88" s="3" t="s">
        <v>941</v>
      </c>
      <c r="G88" s="3" t="s">
        <v>1713</v>
      </c>
      <c r="H88" s="51">
        <v>41689</v>
      </c>
      <c r="J88" s="3">
        <f t="shared" si="2"/>
        <v>0.41</v>
      </c>
      <c r="K88" s="3">
        <f t="shared" si="2"/>
        <v>0.41</v>
      </c>
      <c r="L88" s="3">
        <f t="shared" si="2"/>
        <v>0.42</v>
      </c>
      <c r="M88" s="3">
        <f t="shared" si="2"/>
        <v>0.4</v>
      </c>
      <c r="P88" s="15" t="s">
        <v>1669</v>
      </c>
      <c r="Q88" s="10" t="str">
        <f>IF(A88="","",C88)</f>
        <v>PLASCAR PART-ON</v>
      </c>
      <c r="R88" s="51">
        <f>IF(A88="","",H88)</f>
        <v>41689</v>
      </c>
      <c r="S88" s="5">
        <f>J88</f>
        <v>0.41</v>
      </c>
      <c r="T88" s="5">
        <f>K88</f>
        <v>0.41</v>
      </c>
      <c r="U88" s="5">
        <f>L88</f>
        <v>0.42</v>
      </c>
      <c r="V88" s="5">
        <f>M88</f>
        <v>0.4</v>
      </c>
    </row>
    <row r="89" spans="1:22" x14ac:dyDescent="0.2">
      <c r="A89" s="33" t="str">
        <f>IF(Tabela17683[[#This Row],[Código]]="IBOV","^BVSP",IF(Tabela17683[[#This Row],[Código]]="","",CONCATENATE(LEFT(Tabela17683[[#This Row],[Código]],6),".SA")))</f>
        <v>RAPT3.SA</v>
      </c>
      <c r="C89" s="3" t="s">
        <v>1691</v>
      </c>
      <c r="D89" s="3" t="s">
        <v>2064</v>
      </c>
      <c r="E89" s="3" t="s">
        <v>1567</v>
      </c>
      <c r="F89" s="3" t="s">
        <v>2064</v>
      </c>
      <c r="G89" s="3" t="s">
        <v>1567</v>
      </c>
      <c r="H89" s="51">
        <v>41689</v>
      </c>
      <c r="J89" s="3">
        <f t="shared" si="2"/>
        <v>7.73</v>
      </c>
      <c r="K89" s="3">
        <f t="shared" si="2"/>
        <v>7.51</v>
      </c>
      <c r="L89" s="3">
        <f t="shared" si="2"/>
        <v>7.73</v>
      </c>
      <c r="M89" s="3">
        <f t="shared" si="2"/>
        <v>7.51</v>
      </c>
      <c r="P89" s="10" t="s">
        <v>1670</v>
      </c>
      <c r="Q89" s="10" t="str">
        <f>IF(A89="","",C89)</f>
        <v xml:space="preserve">RANDON PART -ON  </v>
      </c>
      <c r="R89" s="51">
        <f>IF(A89="","",H89)</f>
        <v>41689</v>
      </c>
      <c r="S89" s="5">
        <f>J89</f>
        <v>7.73</v>
      </c>
      <c r="T89" s="5">
        <f>K89</f>
        <v>7.51</v>
      </c>
      <c r="U89" s="5">
        <f>L89</f>
        <v>7.73</v>
      </c>
      <c r="V89" s="5">
        <f>M89</f>
        <v>7.51</v>
      </c>
    </row>
    <row r="90" spans="1:22" x14ac:dyDescent="0.2">
      <c r="A90" s="33" t="str">
        <f>IF(Tabela17683[[#This Row],[Código]]="IBOV","^BVSP",IF(Tabela17683[[#This Row],[Código]]="","",CONCATENATE(LEFT(Tabela17683[[#This Row],[Código]],6),".SA")))</f>
        <v>RAPT4.SA</v>
      </c>
      <c r="C90" s="3" t="s">
        <v>1692</v>
      </c>
      <c r="D90" s="3" t="s">
        <v>1693</v>
      </c>
      <c r="E90" s="3" t="s">
        <v>1693</v>
      </c>
      <c r="F90" s="3" t="s">
        <v>1901</v>
      </c>
      <c r="G90" s="3" t="s">
        <v>1198</v>
      </c>
      <c r="H90" s="51">
        <v>41689</v>
      </c>
      <c r="J90" s="3">
        <f t="shared" si="2"/>
        <v>8.2100000000000009</v>
      </c>
      <c r="K90" s="3">
        <f t="shared" si="2"/>
        <v>8.2100000000000009</v>
      </c>
      <c r="L90" s="3">
        <f t="shared" si="2"/>
        <v>8.2799999999999994</v>
      </c>
      <c r="M90" s="3">
        <f t="shared" si="2"/>
        <v>8.11</v>
      </c>
      <c r="P90" s="10" t="s">
        <v>1671</v>
      </c>
      <c r="Q90" s="10" t="str">
        <f>IF(A90="","",C90)</f>
        <v xml:space="preserve">RANDON PART -PN  </v>
      </c>
      <c r="R90" s="51">
        <f>IF(A90="","",H90)</f>
        <v>41689</v>
      </c>
      <c r="S90" s="5">
        <f>J90</f>
        <v>8.2100000000000009</v>
      </c>
      <c r="T90" s="5">
        <f>K90</f>
        <v>8.2100000000000009</v>
      </c>
      <c r="U90" s="5">
        <f>L90</f>
        <v>8.2799999999999994</v>
      </c>
      <c r="V90" s="5">
        <f>M90</f>
        <v>8.11</v>
      </c>
    </row>
    <row r="91" spans="1:22" x14ac:dyDescent="0.2">
      <c r="A91" s="33" t="str">
        <f>IF(Tabela17683[[#This Row],[Código]]="IBOV","^BVSP",IF(Tabela17683[[#This Row],[Código]]="","",CONCATENATE(LEFT(Tabela17683[[#This Row],[Código]],6),".SA")))</f>
        <v>RCSL3.SA</v>
      </c>
      <c r="C91" s="3" t="s">
        <v>1694</v>
      </c>
      <c r="D91" s="3" t="s">
        <v>813</v>
      </c>
      <c r="E91" s="3" t="s">
        <v>813</v>
      </c>
      <c r="F91" s="3" t="s">
        <v>813</v>
      </c>
      <c r="G91" s="3" t="s">
        <v>813</v>
      </c>
      <c r="H91" s="51">
        <v>41689</v>
      </c>
      <c r="J91" s="3">
        <f t="shared" si="2"/>
        <v>7.0000000000000007E-2</v>
      </c>
      <c r="K91" s="3">
        <f t="shared" si="2"/>
        <v>7.0000000000000007E-2</v>
      </c>
      <c r="L91" s="3">
        <f t="shared" si="2"/>
        <v>7.0000000000000007E-2</v>
      </c>
      <c r="M91" s="3">
        <f t="shared" si="2"/>
        <v>7.0000000000000007E-2</v>
      </c>
      <c r="P91" s="10" t="s">
        <v>1672</v>
      </c>
      <c r="Q91" s="10" t="str">
        <f>IF(A91="","",C91)</f>
        <v>RECRUSUL    -ON</v>
      </c>
      <c r="R91" s="51">
        <f>IF(A91="","",H91)</f>
        <v>41689</v>
      </c>
      <c r="S91" s="5">
        <f>J91</f>
        <v>7.0000000000000007E-2</v>
      </c>
      <c r="T91" s="5">
        <f>K91</f>
        <v>7.0000000000000007E-2</v>
      </c>
      <c r="U91" s="5">
        <f>L91</f>
        <v>7.0000000000000007E-2</v>
      </c>
      <c r="V91" s="5">
        <f>M91</f>
        <v>7.0000000000000007E-2</v>
      </c>
    </row>
    <row r="92" spans="1:22" x14ac:dyDescent="0.2">
      <c r="A92" s="33" t="str">
        <f>IF(Tabela17683[[#This Row],[Código]]="IBOV","^BVSP",IF(Tabela17683[[#This Row],[Código]]="","",CONCATENATE(LEFT(Tabela17683[[#This Row],[Código]],6),".SA")))</f>
        <v>TUPY3.SA</v>
      </c>
      <c r="C92" s="3" t="s">
        <v>1695</v>
      </c>
      <c r="D92" s="3" t="s">
        <v>1696</v>
      </c>
      <c r="E92" s="3" t="s">
        <v>1034</v>
      </c>
      <c r="F92" s="3" t="s">
        <v>1697</v>
      </c>
      <c r="G92" s="3" t="s">
        <v>1234</v>
      </c>
      <c r="H92" s="51">
        <v>41689</v>
      </c>
      <c r="J92" s="3">
        <f t="shared" si="2"/>
        <v>17.5</v>
      </c>
      <c r="K92" s="3">
        <f t="shared" si="2"/>
        <v>17.39</v>
      </c>
      <c r="L92" s="3">
        <f t="shared" si="2"/>
        <v>17.61</v>
      </c>
      <c r="M92" s="3">
        <f t="shared" si="2"/>
        <v>17.38</v>
      </c>
      <c r="P92" s="16" t="s">
        <v>1674</v>
      </c>
      <c r="Q92" s="10" t="str">
        <f>IF(A92="","",C92)</f>
        <v xml:space="preserve">TUPY        -ON  </v>
      </c>
      <c r="R92" s="51">
        <f>IF(A92="","",H92)</f>
        <v>41689</v>
      </c>
      <c r="S92" s="5">
        <f>J92</f>
        <v>17.5</v>
      </c>
      <c r="T92" s="5">
        <f>K92</f>
        <v>17.39</v>
      </c>
      <c r="U92" s="5">
        <f>L92</f>
        <v>17.61</v>
      </c>
      <c r="V92" s="5">
        <f>M92</f>
        <v>17.38</v>
      </c>
    </row>
    <row r="93" spans="1:22" x14ac:dyDescent="0.2">
      <c r="A93" s="33" t="str">
        <f>IF(Tabela17683[[#This Row],[Código]]="IBOV","^BVSP",IF(Tabela17683[[#This Row],[Código]]="","",CONCATENATE(LEFT(Tabela17683[[#This Row],[Código]],6),".SA")))</f>
        <v>MWET3.SA</v>
      </c>
      <c r="C93" s="3" t="s">
        <v>1698</v>
      </c>
      <c r="D93" s="3" t="s">
        <v>190</v>
      </c>
      <c r="E93" s="3" t="s">
        <v>190</v>
      </c>
      <c r="F93" s="3" t="s">
        <v>190</v>
      </c>
      <c r="G93" s="3" t="s">
        <v>190</v>
      </c>
      <c r="H93" s="51">
        <v>41689</v>
      </c>
      <c r="J93" s="3">
        <f t="shared" si="2"/>
        <v>4</v>
      </c>
      <c r="K93" s="3">
        <f t="shared" si="2"/>
        <v>4</v>
      </c>
      <c r="L93" s="3">
        <f t="shared" si="2"/>
        <v>4</v>
      </c>
      <c r="M93" s="3">
        <f t="shared" si="2"/>
        <v>4</v>
      </c>
      <c r="P93" s="16" t="s">
        <v>1675</v>
      </c>
      <c r="Q93" s="10" t="str">
        <f>IF(A93="","",C93)</f>
        <v>WETZEL S/A  -ON</v>
      </c>
      <c r="R93" s="51">
        <f>IF(A93="","",H93)</f>
        <v>41689</v>
      </c>
      <c r="S93" s="5">
        <f>J93</f>
        <v>4</v>
      </c>
      <c r="T93" s="5">
        <f>K93</f>
        <v>4</v>
      </c>
      <c r="U93" s="5">
        <f>L93</f>
        <v>4</v>
      </c>
      <c r="V93" s="5">
        <f>M93</f>
        <v>4</v>
      </c>
    </row>
    <row r="94" spans="1:22" x14ac:dyDescent="0.2">
      <c r="A94" s="33" t="str">
        <f>IF(Tabela17683[[#This Row],[Código]]="IBOV","^BVSP",IF(Tabela17683[[#This Row],[Código]]="","",CONCATENATE(LEFT(Tabela17683[[#This Row],[Código]],6),".SA")))</f>
        <v>MWET4.SA</v>
      </c>
      <c r="C94" s="3" t="s">
        <v>1699</v>
      </c>
      <c r="D94" s="3" t="s">
        <v>503</v>
      </c>
      <c r="E94" s="3" t="s">
        <v>1700</v>
      </c>
      <c r="F94" s="3" t="s">
        <v>503</v>
      </c>
      <c r="G94" s="3" t="s">
        <v>1700</v>
      </c>
      <c r="H94" s="51">
        <v>41689</v>
      </c>
      <c r="J94" s="3">
        <f t="shared" si="2"/>
        <v>1.6</v>
      </c>
      <c r="K94" s="3">
        <f t="shared" si="2"/>
        <v>1.58</v>
      </c>
      <c r="L94" s="3">
        <f t="shared" si="2"/>
        <v>1.6</v>
      </c>
      <c r="M94" s="3">
        <f t="shared" si="2"/>
        <v>1.58</v>
      </c>
      <c r="P94" s="14" t="s">
        <v>1676</v>
      </c>
      <c r="Q94" s="10" t="str">
        <f>IF(A94="","",C94)</f>
        <v>WETZEL S/A  -PN</v>
      </c>
      <c r="R94" s="51">
        <f>IF(A94="","",H94)</f>
        <v>41689</v>
      </c>
      <c r="S94" s="5">
        <f>J94</f>
        <v>1.6</v>
      </c>
      <c r="T94" s="5">
        <f>K94</f>
        <v>1.58</v>
      </c>
      <c r="U94" s="5">
        <f>L94</f>
        <v>1.6</v>
      </c>
      <c r="V94" s="5">
        <f>M94</f>
        <v>1.58</v>
      </c>
    </row>
    <row r="95" spans="1:22" x14ac:dyDescent="0.2">
      <c r="A95" s="33" t="str">
        <f>IF(Tabela17683[[#This Row],[Código]]="IBOV","^BVSP",IF(Tabela17683[[#This Row],[Código]]="","",CONCATENATE(LEFT(Tabela17683[[#This Row],[Código]],6),".SA")))</f>
        <v>FRAS3.SA</v>
      </c>
      <c r="C95" s="3" t="s">
        <v>1712</v>
      </c>
      <c r="D95" s="3" t="s">
        <v>1199</v>
      </c>
      <c r="E95" s="3" t="s">
        <v>1606</v>
      </c>
      <c r="F95" s="3" t="s">
        <v>1199</v>
      </c>
      <c r="G95" s="3" t="s">
        <v>1606</v>
      </c>
      <c r="H95" s="51">
        <v>41689</v>
      </c>
      <c r="J95" s="3">
        <f t="shared" si="2"/>
        <v>4.78</v>
      </c>
      <c r="K95" s="3">
        <f t="shared" si="2"/>
        <v>4.6500000000000004</v>
      </c>
      <c r="L95" s="3">
        <f t="shared" si="2"/>
        <v>4.78</v>
      </c>
      <c r="M95" s="3">
        <f t="shared" si="2"/>
        <v>4.6500000000000004</v>
      </c>
      <c r="P95" s="14" t="s">
        <v>1663</v>
      </c>
      <c r="Q95" s="10" t="str">
        <f>IF(A95="","",C95)</f>
        <v xml:space="preserve">FRAS-LE     -ON  </v>
      </c>
      <c r="R95" s="51">
        <f>IF(A95="","",H95)</f>
        <v>41689</v>
      </c>
      <c r="S95" s="5">
        <f>J95</f>
        <v>4.78</v>
      </c>
      <c r="T95" s="5">
        <f>K95</f>
        <v>4.6500000000000004</v>
      </c>
      <c r="U95" s="5">
        <f>L95</f>
        <v>4.78</v>
      </c>
      <c r="V95" s="5">
        <f>M95</f>
        <v>4.6500000000000004</v>
      </c>
    </row>
    <row r="96" spans="1:22" x14ac:dyDescent="0.2">
      <c r="A96" s="33" t="str">
        <f>IF(Tabela17683[[#This Row],[Código]]="IBOV","^BVSP",IF(Tabela17683[[#This Row],[Código]]="","",CONCATENATE(LEFT(Tabela17683[[#This Row],[Código]],6),".SA")))</f>
        <v>POMO4.SA</v>
      </c>
      <c r="C96" s="3" t="s">
        <v>1714</v>
      </c>
      <c r="D96" s="3" t="s">
        <v>1274</v>
      </c>
      <c r="E96" s="3" t="s">
        <v>1073</v>
      </c>
      <c r="F96" s="3" t="s">
        <v>1896</v>
      </c>
      <c r="G96" s="3" t="s">
        <v>1017</v>
      </c>
      <c r="H96" s="51">
        <v>41689</v>
      </c>
      <c r="J96" s="3">
        <f t="shared" si="2"/>
        <v>4.6900000000000004</v>
      </c>
      <c r="K96" s="3">
        <f t="shared" si="2"/>
        <v>4.67</v>
      </c>
      <c r="L96" s="3">
        <f t="shared" si="2"/>
        <v>4.74</v>
      </c>
      <c r="M96" s="3">
        <f t="shared" si="2"/>
        <v>4.5999999999999996</v>
      </c>
      <c r="P96" s="14" t="s">
        <v>1666</v>
      </c>
      <c r="Q96" s="10" t="str">
        <f>IF(A96="","",C96)</f>
        <v xml:space="preserve">MARCOPOLO   -PN  </v>
      </c>
      <c r="R96" s="51">
        <f>IF(A96="","",H96)</f>
        <v>41689</v>
      </c>
      <c r="S96" s="5">
        <f>J96</f>
        <v>4.6900000000000004</v>
      </c>
      <c r="T96" s="5">
        <f>K96</f>
        <v>4.67</v>
      </c>
      <c r="U96" s="5">
        <f>L96</f>
        <v>4.74</v>
      </c>
      <c r="V96" s="5">
        <f>M96</f>
        <v>4.5999999999999996</v>
      </c>
    </row>
    <row r="97" spans="1:22" x14ac:dyDescent="0.2">
      <c r="A97" s="33" t="str">
        <f>IF(Tabela17683[[#This Row],[Código]]="IBOV","^BVSP",IF(Tabela17683[[#This Row],[Código]]="","",CONCATENATE(LEFT(Tabela17683[[#This Row],[Código]],6),".SA")))</f>
        <v>RCSL4.SA</v>
      </c>
      <c r="C97" s="3" t="s">
        <v>1717</v>
      </c>
      <c r="D97" s="3" t="s">
        <v>683</v>
      </c>
      <c r="E97" s="3" t="s">
        <v>683</v>
      </c>
      <c r="F97" s="3" t="s">
        <v>683</v>
      </c>
      <c r="G97" s="3" t="s">
        <v>813</v>
      </c>
      <c r="H97" s="51">
        <v>41689</v>
      </c>
      <c r="J97" s="3">
        <f t="shared" si="2"/>
        <v>0.08</v>
      </c>
      <c r="K97" s="3">
        <f t="shared" si="2"/>
        <v>0.08</v>
      </c>
      <c r="L97" s="3">
        <f t="shared" si="2"/>
        <v>0.08</v>
      </c>
      <c r="M97" s="3">
        <f t="shared" si="2"/>
        <v>7.0000000000000007E-2</v>
      </c>
      <c r="P97" s="10" t="s">
        <v>1673</v>
      </c>
      <c r="Q97" s="10" t="str">
        <f>IF(A97="","",C97)</f>
        <v>RECRUSUL    -PN</v>
      </c>
      <c r="R97" s="51">
        <f>IF(A97="","",H97)</f>
        <v>41689</v>
      </c>
      <c r="S97" s="5">
        <f>J97</f>
        <v>0.08</v>
      </c>
      <c r="T97" s="5">
        <f>K97</f>
        <v>0.08</v>
      </c>
      <c r="U97" s="5">
        <f>L97</f>
        <v>0.08</v>
      </c>
      <c r="V97" s="5">
        <f>M97</f>
        <v>7.0000000000000007E-2</v>
      </c>
    </row>
    <row r="98" spans="1:22" x14ac:dyDescent="0.2">
      <c r="A98" s="33" t="str">
        <f>IF(Tabela17683[[#This Row],[Código]]="IBOV","^BVSP",IF(Tabela17683[[#This Row],[Código]]="","",CONCATENATE(LEFT(Tabela17683[[#This Row],[Código]],6),".SA")))</f>
        <v/>
      </c>
      <c r="C98" s="3" t="s">
        <v>101</v>
      </c>
      <c r="H98" s="51"/>
      <c r="J98" s="3">
        <f t="shared" si="2"/>
        <v>0</v>
      </c>
      <c r="K98" s="3">
        <f t="shared" si="2"/>
        <v>0</v>
      </c>
      <c r="L98" s="3">
        <f t="shared" si="2"/>
        <v>0</v>
      </c>
      <c r="M98" s="3">
        <f t="shared" si="2"/>
        <v>0</v>
      </c>
      <c r="P98" s="10"/>
      <c r="Q98" s="10" t="str">
        <f>IF(A98="","",C98)</f>
        <v/>
      </c>
      <c r="R98" s="51" t="str">
        <f>IF(A98="","",H98)</f>
        <v/>
      </c>
      <c r="S98" s="5">
        <f>J98</f>
        <v>0</v>
      </c>
      <c r="T98" s="5">
        <f>K98</f>
        <v>0</v>
      </c>
      <c r="U98" s="5">
        <f>L98</f>
        <v>0</v>
      </c>
      <c r="V98" s="5">
        <f>M98</f>
        <v>0</v>
      </c>
    </row>
    <row r="99" spans="1:22" x14ac:dyDescent="0.2">
      <c r="A99" s="33" t="str">
        <f>IF(Tabela17683[[#This Row],[Código]]="IBOV","^BVSP",IF(Tabela17683[[#This Row],[Código]]="","",CONCATENATE(LEFT(Tabela17683[[#This Row],[Código]],6),".SA")))</f>
        <v/>
      </c>
      <c r="H99" s="51"/>
      <c r="J99" s="3">
        <f t="shared" si="2"/>
        <v>0</v>
      </c>
      <c r="K99" s="3">
        <f t="shared" si="2"/>
        <v>0</v>
      </c>
      <c r="L99" s="3">
        <f t="shared" si="2"/>
        <v>0</v>
      </c>
      <c r="M99" s="3">
        <f t="shared" si="2"/>
        <v>0</v>
      </c>
      <c r="P99" s="14"/>
      <c r="Q99" s="10" t="str">
        <f>IF(A99="","",C99)</f>
        <v/>
      </c>
      <c r="R99" s="51" t="str">
        <f>IF(A99="","",H99)</f>
        <v/>
      </c>
      <c r="S99" s="5">
        <f>J99</f>
        <v>0</v>
      </c>
      <c r="T99" s="5">
        <f>K99</f>
        <v>0</v>
      </c>
      <c r="U99" s="5">
        <f>L99</f>
        <v>0</v>
      </c>
      <c r="V99" s="5">
        <f>M99</f>
        <v>0</v>
      </c>
    </row>
    <row r="100" spans="1:22" x14ac:dyDescent="0.2">
      <c r="A100" s="33" t="str">
        <f>IF(Tabela17683[[#This Row],[Código]]="IBOV","^BVSP",IF(Tabela17683[[#This Row],[Código]]="","",CONCATENATE(LEFT(Tabela17683[[#This Row],[Código]],6),".SA")))</f>
        <v/>
      </c>
      <c r="H100" s="51"/>
      <c r="J100" s="3">
        <f t="shared" si="2"/>
        <v>0</v>
      </c>
      <c r="K100" s="3">
        <f t="shared" si="2"/>
        <v>0</v>
      </c>
      <c r="L100" s="3">
        <f t="shared" si="2"/>
        <v>0</v>
      </c>
      <c r="M100" s="3">
        <f t="shared" si="2"/>
        <v>0</v>
      </c>
      <c r="P100" s="14"/>
      <c r="Q100" s="10" t="str">
        <f>IF(A100="","",C100)</f>
        <v/>
      </c>
      <c r="R100" s="51" t="str">
        <f>IF(A100="","",H100)</f>
        <v/>
      </c>
      <c r="S100" s="5">
        <f>J100</f>
        <v>0</v>
      </c>
      <c r="T100" s="5">
        <f>K100</f>
        <v>0</v>
      </c>
      <c r="U100" s="5">
        <f>L100</f>
        <v>0</v>
      </c>
      <c r="V100" s="5">
        <f>M100</f>
        <v>0</v>
      </c>
    </row>
    <row r="101" spans="1:22" x14ac:dyDescent="0.2">
      <c r="A101" s="33" t="str">
        <f>IF(Tabela17683[[#This Row],[Código]]="IBOV","^BVSP",IF(Tabela17683[[#This Row],[Código]]="","",CONCATENATE(LEFT(Tabela17683[[#This Row],[Código]],6),".SA")))</f>
        <v/>
      </c>
      <c r="H101" s="51"/>
      <c r="J101" s="3">
        <f t="shared" si="2"/>
        <v>0</v>
      </c>
      <c r="K101" s="3">
        <f t="shared" si="2"/>
        <v>0</v>
      </c>
      <c r="L101" s="3">
        <f t="shared" si="2"/>
        <v>0</v>
      </c>
      <c r="M101" s="3">
        <f t="shared" si="2"/>
        <v>0</v>
      </c>
      <c r="P101" s="10"/>
      <c r="Q101" s="10" t="str">
        <f>IF(A101="","",C101)</f>
        <v/>
      </c>
      <c r="R101" s="51" t="str">
        <f>IF(A101="","",H101)</f>
        <v/>
      </c>
      <c r="S101" s="5">
        <f>J101</f>
        <v>0</v>
      </c>
      <c r="T101" s="5">
        <f>K101</f>
        <v>0</v>
      </c>
      <c r="U101" s="5">
        <f>L101</f>
        <v>0</v>
      </c>
      <c r="V101" s="5">
        <f>M101</f>
        <v>0</v>
      </c>
    </row>
    <row r="102" spans="1:22" x14ac:dyDescent="0.2">
      <c r="A102" s="33" t="str">
        <f>IF(Tabela17683[[#This Row],[Código]]="IBOV","^BVSP",IF(Tabela17683[[#This Row],[Código]]="","",CONCATENATE(LEFT(Tabela17683[[#This Row],[Código]],6),".SA")))</f>
        <v/>
      </c>
      <c r="H102" s="51"/>
      <c r="J102" s="3">
        <f t="shared" si="2"/>
        <v>0</v>
      </c>
      <c r="K102" s="3">
        <f t="shared" si="2"/>
        <v>0</v>
      </c>
      <c r="L102" s="3">
        <f t="shared" si="2"/>
        <v>0</v>
      </c>
      <c r="M102" s="3">
        <f t="shared" si="2"/>
        <v>0</v>
      </c>
      <c r="P102" s="10"/>
      <c r="Q102" s="10" t="str">
        <f>IF(A102="","",C102)</f>
        <v/>
      </c>
      <c r="R102" s="51" t="str">
        <f>IF(A102="","",H102)</f>
        <v/>
      </c>
      <c r="S102" s="5">
        <f>J102</f>
        <v>0</v>
      </c>
      <c r="T102" s="5">
        <f>K102</f>
        <v>0</v>
      </c>
      <c r="U102" s="5">
        <f>L102</f>
        <v>0</v>
      </c>
      <c r="V102" s="5">
        <f>M102</f>
        <v>0</v>
      </c>
    </row>
    <row r="103" spans="1:22" x14ac:dyDescent="0.2">
      <c r="A103" s="33" t="str">
        <f>IF(Tabela17683[[#This Row],[Código]]="IBOV","^BVSP",IF(Tabela17683[[#This Row],[Código]]="","",CONCATENATE(LEFT(Tabela17683[[#This Row],[Código]],6),".SA")))</f>
        <v/>
      </c>
      <c r="H103" s="51"/>
      <c r="J103" s="3">
        <f t="shared" si="2"/>
        <v>0</v>
      </c>
      <c r="K103" s="3">
        <f t="shared" si="2"/>
        <v>0</v>
      </c>
      <c r="L103" s="3">
        <f t="shared" si="2"/>
        <v>0</v>
      </c>
      <c r="M103" s="3">
        <f t="shared" si="2"/>
        <v>0</v>
      </c>
      <c r="P103" s="15"/>
      <c r="Q103" s="10" t="str">
        <f>IF(A103="","",C103)</f>
        <v/>
      </c>
      <c r="R103" s="51" t="str">
        <f>IF(A103="","",H103)</f>
        <v/>
      </c>
      <c r="S103" s="5">
        <f>J103</f>
        <v>0</v>
      </c>
      <c r="T103" s="5">
        <f>K103</f>
        <v>0</v>
      </c>
      <c r="U103" s="5">
        <f>L103</f>
        <v>0</v>
      </c>
      <c r="V103" s="5">
        <f>M103</f>
        <v>0</v>
      </c>
    </row>
    <row r="104" spans="1:22" x14ac:dyDescent="0.2">
      <c r="A104" s="33" t="str">
        <f>IF(Tabela17683[[#This Row],[Código]]="IBOV","^BVSP",IF(Tabela17683[[#This Row],[Código]]="","",CONCATENATE(LEFT(Tabela17683[[#This Row],[Código]],6),".SA")))</f>
        <v/>
      </c>
      <c r="H104" s="51"/>
      <c r="J104" s="3">
        <f t="shared" si="2"/>
        <v>0</v>
      </c>
      <c r="K104" s="3">
        <f t="shared" si="2"/>
        <v>0</v>
      </c>
      <c r="L104" s="3">
        <f t="shared" si="2"/>
        <v>0</v>
      </c>
      <c r="M104" s="3">
        <f t="shared" si="2"/>
        <v>0</v>
      </c>
      <c r="P104" s="15"/>
      <c r="Q104" s="10" t="str">
        <f>IF(A104="","",C104)</f>
        <v/>
      </c>
      <c r="R104" s="51" t="str">
        <f>IF(A104="","",H104)</f>
        <v/>
      </c>
      <c r="S104" s="5">
        <f>J104</f>
        <v>0</v>
      </c>
      <c r="T104" s="5">
        <f>K104</f>
        <v>0</v>
      </c>
      <c r="U104" s="5">
        <f>L104</f>
        <v>0</v>
      </c>
      <c r="V104" s="5">
        <f>M104</f>
        <v>0</v>
      </c>
    </row>
    <row r="105" spans="1:22" x14ac:dyDescent="0.2">
      <c r="A105" s="33" t="str">
        <f>IF(Tabela17683[[#This Row],[Código]]="IBOV","^BVSP",IF(Tabela17683[[#This Row],[Código]]="","",CONCATENATE(LEFT(Tabela17683[[#This Row],[Código]],6),".SA")))</f>
        <v/>
      </c>
      <c r="H105" s="51"/>
      <c r="J105" s="3">
        <f t="shared" si="2"/>
        <v>0</v>
      </c>
      <c r="K105" s="3">
        <f t="shared" si="2"/>
        <v>0</v>
      </c>
      <c r="L105" s="3">
        <f t="shared" si="2"/>
        <v>0</v>
      </c>
      <c r="M105" s="3">
        <f t="shared" si="2"/>
        <v>0</v>
      </c>
      <c r="P105" s="15"/>
      <c r="Q105" s="10" t="str">
        <f>IF(A105="","",C105)</f>
        <v/>
      </c>
      <c r="R105" s="51" t="str">
        <f>IF(A105="","",H105)</f>
        <v/>
      </c>
      <c r="S105" s="5">
        <f>J105</f>
        <v>0</v>
      </c>
      <c r="T105" s="5">
        <f>K105</f>
        <v>0</v>
      </c>
      <c r="U105" s="5">
        <f>L105</f>
        <v>0</v>
      </c>
      <c r="V105" s="5">
        <f>M105</f>
        <v>0</v>
      </c>
    </row>
    <row r="106" spans="1:22" x14ac:dyDescent="0.2">
      <c r="A106" s="33" t="str">
        <f>IF(Tabela17683[[#This Row],[Código]]="IBOV","^BVSP",IF(Tabela17683[[#This Row],[Código]]="","",CONCATENATE(LEFT(Tabela17683[[#This Row],[Código]],6),".SA")))</f>
        <v/>
      </c>
      <c r="H106" s="51"/>
      <c r="J106" s="3">
        <f t="shared" si="2"/>
        <v>0</v>
      </c>
      <c r="K106" s="3">
        <f t="shared" si="2"/>
        <v>0</v>
      </c>
      <c r="L106" s="3">
        <f t="shared" si="2"/>
        <v>0</v>
      </c>
      <c r="M106" s="3">
        <f t="shared" si="2"/>
        <v>0</v>
      </c>
      <c r="P106" s="14"/>
      <c r="Q106" s="10" t="str">
        <f>IF(A106="","",C106)</f>
        <v/>
      </c>
      <c r="R106" s="51" t="str">
        <f>IF(A106="","",H106)</f>
        <v/>
      </c>
      <c r="S106" s="5">
        <f>J106</f>
        <v>0</v>
      </c>
      <c r="T106" s="5">
        <f>K106</f>
        <v>0</v>
      </c>
      <c r="U106" s="5">
        <f>L106</f>
        <v>0</v>
      </c>
      <c r="V106" s="5">
        <f>M106</f>
        <v>0</v>
      </c>
    </row>
    <row r="107" spans="1:22" x14ac:dyDescent="0.2">
      <c r="A107" s="33" t="str">
        <f>IF(Tabela17683[[#This Row],[Código]]="IBOV","^BVSP",IF(Tabela17683[[#This Row],[Código]]="","",CONCATENATE(LEFT(Tabela17683[[#This Row],[Código]],6),".SA")))</f>
        <v/>
      </c>
      <c r="H107" s="51"/>
      <c r="J107" s="3">
        <f t="shared" si="2"/>
        <v>0</v>
      </c>
      <c r="K107" s="3">
        <f t="shared" si="2"/>
        <v>0</v>
      </c>
      <c r="L107" s="3">
        <f t="shared" si="2"/>
        <v>0</v>
      </c>
      <c r="M107" s="3">
        <f t="shared" si="2"/>
        <v>0</v>
      </c>
      <c r="P107" s="14"/>
      <c r="Q107" s="10" t="str">
        <f>IF(A107="","",C107)</f>
        <v/>
      </c>
      <c r="R107" s="51" t="str">
        <f>IF(A107="","",H107)</f>
        <v/>
      </c>
      <c r="S107" s="5">
        <f>J107</f>
        <v>0</v>
      </c>
      <c r="T107" s="5">
        <f>K107</f>
        <v>0</v>
      </c>
      <c r="U107" s="5">
        <f>L107</f>
        <v>0</v>
      </c>
      <c r="V107" s="5">
        <f>M107</f>
        <v>0</v>
      </c>
    </row>
    <row r="108" spans="1:22" x14ac:dyDescent="0.2">
      <c r="A108" s="33" t="str">
        <f>IF(Tabela17683[[#This Row],[Código]]="IBOV","^BVSP",IF(Tabela17683[[#This Row],[Código]]="","",CONCATENATE(LEFT(Tabela17683[[#This Row],[Código]],6),".SA")))</f>
        <v/>
      </c>
      <c r="H108" s="51"/>
      <c r="J108" s="3">
        <f t="shared" si="2"/>
        <v>0</v>
      </c>
      <c r="K108" s="3">
        <f t="shared" si="2"/>
        <v>0</v>
      </c>
      <c r="L108" s="3">
        <f t="shared" si="2"/>
        <v>0</v>
      </c>
      <c r="M108" s="3">
        <f t="shared" si="2"/>
        <v>0</v>
      </c>
      <c r="P108" s="14"/>
      <c r="Q108" s="10" t="str">
        <f>IF(A108="","",C108)</f>
        <v/>
      </c>
      <c r="R108" s="51" t="str">
        <f>IF(A108="","",H108)</f>
        <v/>
      </c>
      <c r="S108" s="5">
        <f>J108</f>
        <v>0</v>
      </c>
      <c r="T108" s="5">
        <f>K108</f>
        <v>0</v>
      </c>
      <c r="U108" s="5">
        <f>L108</f>
        <v>0</v>
      </c>
      <c r="V108" s="5">
        <f>M108</f>
        <v>0</v>
      </c>
    </row>
    <row r="109" spans="1:22" x14ac:dyDescent="0.2">
      <c r="A109" s="33" t="str">
        <f>IF(Tabela17683[[#This Row],[Código]]="IBOV","^BVSP",IF(Tabela17683[[#This Row],[Código]]="","",CONCATENATE(LEFT(Tabela17683[[#This Row],[Código]],6),".SA")))</f>
        <v/>
      </c>
      <c r="H109" s="51"/>
      <c r="J109" s="3">
        <f t="shared" si="2"/>
        <v>0</v>
      </c>
      <c r="K109" s="3">
        <f t="shared" si="2"/>
        <v>0</v>
      </c>
      <c r="L109" s="3">
        <f t="shared" si="2"/>
        <v>0</v>
      </c>
      <c r="M109" s="3">
        <f t="shared" si="2"/>
        <v>0</v>
      </c>
      <c r="P109" s="14"/>
      <c r="Q109" s="10" t="str">
        <f>IF(A109="","",C109)</f>
        <v/>
      </c>
      <c r="R109" s="51" t="str">
        <f>IF(A109="","",H109)</f>
        <v/>
      </c>
      <c r="S109" s="5">
        <f>J109</f>
        <v>0</v>
      </c>
      <c r="T109" s="5">
        <f>K109</f>
        <v>0</v>
      </c>
      <c r="U109" s="5">
        <f>L109</f>
        <v>0</v>
      </c>
      <c r="V109" s="5">
        <f>M109</f>
        <v>0</v>
      </c>
    </row>
    <row r="110" spans="1:22" x14ac:dyDescent="0.2">
      <c r="A110" s="33" t="str">
        <f>IF(Tabela17683[[#This Row],[Código]]="IBOV","^BVSP",IF(Tabela17683[[#This Row],[Código]]="","",CONCATENATE(LEFT(Tabela17683[[#This Row],[Código]],6),".SA")))</f>
        <v/>
      </c>
      <c r="H110" s="51"/>
      <c r="J110" s="3">
        <f t="shared" si="2"/>
        <v>0</v>
      </c>
      <c r="K110" s="3">
        <f t="shared" si="2"/>
        <v>0</v>
      </c>
      <c r="L110" s="3">
        <f t="shared" si="2"/>
        <v>0</v>
      </c>
      <c r="M110" s="3">
        <f t="shared" si="2"/>
        <v>0</v>
      </c>
      <c r="P110" s="15"/>
      <c r="Q110" s="10" t="str">
        <f>IF(A110="","",C110)</f>
        <v/>
      </c>
      <c r="R110" s="51" t="str">
        <f>IF(A110="","",H110)</f>
        <v/>
      </c>
      <c r="S110" s="5">
        <f>J110</f>
        <v>0</v>
      </c>
      <c r="T110" s="5">
        <f>K110</f>
        <v>0</v>
      </c>
      <c r="U110" s="5">
        <f>L110</f>
        <v>0</v>
      </c>
      <c r="V110" s="5">
        <f>M110</f>
        <v>0</v>
      </c>
    </row>
    <row r="111" spans="1:22" x14ac:dyDescent="0.2">
      <c r="A111" s="33" t="str">
        <f>IF(Tabela17683[[#This Row],[Código]]="IBOV","^BVSP",IF(Tabela17683[[#This Row],[Código]]="","",CONCATENATE(LEFT(Tabela17683[[#This Row],[Código]],6),".SA")))</f>
        <v/>
      </c>
      <c r="H111" s="51"/>
      <c r="J111" s="3">
        <f t="shared" si="2"/>
        <v>0</v>
      </c>
      <c r="K111" s="3">
        <f t="shared" si="2"/>
        <v>0</v>
      </c>
      <c r="L111" s="3">
        <f t="shared" si="2"/>
        <v>0</v>
      </c>
      <c r="M111" s="3">
        <f t="shared" si="2"/>
        <v>0</v>
      </c>
      <c r="P111" s="14"/>
      <c r="Q111" s="10" t="str">
        <f>IF(A111="","",C111)</f>
        <v/>
      </c>
      <c r="R111" s="51" t="str">
        <f>IF(A111="","",H111)</f>
        <v/>
      </c>
      <c r="S111" s="5">
        <f>J111</f>
        <v>0</v>
      </c>
      <c r="T111" s="5">
        <f>K111</f>
        <v>0</v>
      </c>
      <c r="U111" s="5">
        <f>L111</f>
        <v>0</v>
      </c>
      <c r="V111" s="5">
        <f>M111</f>
        <v>0</v>
      </c>
    </row>
    <row r="112" spans="1:22" x14ac:dyDescent="0.2">
      <c r="A112" s="33" t="str">
        <f>IF(Tabela17683[[#This Row],[Código]]="IBOV","^BVSP",IF(Tabela17683[[#This Row],[Código]]="","",CONCATENATE(LEFT(Tabela17683[[#This Row],[Código]],6),".SA")))</f>
        <v/>
      </c>
      <c r="H112" s="51"/>
      <c r="J112" s="3">
        <f t="shared" si="2"/>
        <v>0</v>
      </c>
      <c r="K112" s="3">
        <f t="shared" si="2"/>
        <v>0</v>
      </c>
      <c r="L112" s="3">
        <f t="shared" si="2"/>
        <v>0</v>
      </c>
      <c r="M112" s="3">
        <f t="shared" si="2"/>
        <v>0</v>
      </c>
      <c r="Q112" s="10" t="str">
        <f>IF(A112="","",C112)</f>
        <v/>
      </c>
      <c r="R112" s="51" t="str">
        <f>IF(A112="","",H112)</f>
        <v/>
      </c>
      <c r="S112" s="5">
        <f>J112</f>
        <v>0</v>
      </c>
      <c r="T112" s="5">
        <f>K112</f>
        <v>0</v>
      </c>
      <c r="U112" s="5">
        <f>L112</f>
        <v>0</v>
      </c>
      <c r="V112" s="5">
        <f>M112</f>
        <v>0</v>
      </c>
    </row>
    <row r="113" spans="1:22" x14ac:dyDescent="0.2">
      <c r="A113" s="33"/>
      <c r="H113" s="51"/>
      <c r="J113" s="3">
        <f t="shared" si="2"/>
        <v>0</v>
      </c>
      <c r="K113" s="3">
        <f t="shared" si="2"/>
        <v>0</v>
      </c>
      <c r="L113" s="3">
        <f t="shared" si="2"/>
        <v>0</v>
      </c>
      <c r="M113" s="3">
        <f t="shared" si="2"/>
        <v>0</v>
      </c>
      <c r="Q113" s="10" t="str">
        <f t="shared" ref="Q113:Q131" si="3">IF(A117="","",C117)</f>
        <v/>
      </c>
      <c r="R113" s="51" t="str">
        <f t="shared" ref="R113:R131" si="4">IF(A117="","",H117)</f>
        <v/>
      </c>
      <c r="S113" s="5">
        <f t="shared" ref="S113:V131" si="5">J117</f>
        <v>0</v>
      </c>
      <c r="T113" s="5">
        <f t="shared" si="5"/>
        <v>0</v>
      </c>
      <c r="U113" s="5">
        <f t="shared" si="5"/>
        <v>0</v>
      </c>
      <c r="V113" s="5">
        <f t="shared" si="5"/>
        <v>0</v>
      </c>
    </row>
    <row r="114" spans="1:22" x14ac:dyDescent="0.2">
      <c r="A114" s="33"/>
      <c r="J114" s="3">
        <f t="shared" si="2"/>
        <v>0</v>
      </c>
      <c r="K114" s="3">
        <f>IF($A114="",0,VALUE(CONCATENATE(LEFT(E114,LEN(E114)-3),",",RIGHT(E114,2))))</f>
        <v>0</v>
      </c>
      <c r="L114" s="3">
        <f t="shared" si="2"/>
        <v>0</v>
      </c>
      <c r="M114" s="3">
        <f t="shared" si="2"/>
        <v>0</v>
      </c>
      <c r="Q114" s="10" t="str">
        <f t="shared" si="3"/>
        <v/>
      </c>
      <c r="R114" s="51" t="str">
        <f t="shared" si="4"/>
        <v/>
      </c>
      <c r="S114" s="5">
        <f t="shared" si="5"/>
        <v>0</v>
      </c>
      <c r="T114" s="5">
        <f t="shared" si="5"/>
        <v>0</v>
      </c>
      <c r="U114" s="5">
        <f t="shared" si="5"/>
        <v>0</v>
      </c>
      <c r="V114" s="5">
        <f t="shared" si="5"/>
        <v>0</v>
      </c>
    </row>
    <row r="115" spans="1:22" x14ac:dyDescent="0.2">
      <c r="A115" s="33"/>
      <c r="J115" s="3">
        <f t="shared" si="2"/>
        <v>0</v>
      </c>
      <c r="K115" s="3">
        <f t="shared" si="2"/>
        <v>0</v>
      </c>
      <c r="L115" s="3">
        <f t="shared" si="2"/>
        <v>0</v>
      </c>
      <c r="M115" s="3">
        <f t="shared" si="2"/>
        <v>0</v>
      </c>
      <c r="Q115" s="10" t="str">
        <f t="shared" si="3"/>
        <v/>
      </c>
      <c r="R115" s="51" t="str">
        <f t="shared" si="4"/>
        <v/>
      </c>
      <c r="S115" s="5">
        <f t="shared" si="5"/>
        <v>0</v>
      </c>
      <c r="T115" s="5">
        <f t="shared" si="5"/>
        <v>0</v>
      </c>
      <c r="U115" s="5">
        <f t="shared" si="5"/>
        <v>0</v>
      </c>
      <c r="V115" s="5">
        <f t="shared" si="5"/>
        <v>0</v>
      </c>
    </row>
    <row r="116" spans="1:22" x14ac:dyDescent="0.2">
      <c r="A116" s="33"/>
      <c r="J116" s="3">
        <f t="shared" si="2"/>
        <v>0</v>
      </c>
      <c r="K116" s="3">
        <f t="shared" si="2"/>
        <v>0</v>
      </c>
      <c r="L116" s="3">
        <f t="shared" si="2"/>
        <v>0</v>
      </c>
      <c r="M116" s="3">
        <f t="shared" si="2"/>
        <v>0</v>
      </c>
      <c r="Q116" s="10" t="str">
        <f t="shared" si="3"/>
        <v/>
      </c>
      <c r="R116" s="51" t="str">
        <f t="shared" si="4"/>
        <v/>
      </c>
      <c r="S116" s="5">
        <f t="shared" si="5"/>
        <v>0</v>
      </c>
      <c r="T116" s="5">
        <f t="shared" si="5"/>
        <v>0</v>
      </c>
      <c r="U116" s="5">
        <f t="shared" si="5"/>
        <v>0</v>
      </c>
      <c r="V116" s="5">
        <f t="shared" si="5"/>
        <v>0</v>
      </c>
    </row>
    <row r="117" spans="1:22" x14ac:dyDescent="0.2">
      <c r="A117" s="33"/>
      <c r="J117" s="3">
        <f t="shared" si="2"/>
        <v>0</v>
      </c>
      <c r="K117" s="3">
        <f t="shared" si="2"/>
        <v>0</v>
      </c>
      <c r="L117" s="3">
        <f t="shared" si="2"/>
        <v>0</v>
      </c>
      <c r="M117" s="3">
        <f t="shared" si="2"/>
        <v>0</v>
      </c>
      <c r="Q117" s="10" t="e">
        <f t="shared" si="3"/>
        <v>#VALUE!</v>
      </c>
      <c r="R117" s="51" t="e">
        <f t="shared" si="4"/>
        <v>#VALUE!</v>
      </c>
      <c r="S117" s="5" t="e">
        <f t="shared" si="5"/>
        <v>#VALUE!</v>
      </c>
      <c r="T117" s="5" t="e">
        <f t="shared" si="5"/>
        <v>#VALUE!</v>
      </c>
      <c r="U117" s="5" t="e">
        <f t="shared" si="5"/>
        <v>#VALUE!</v>
      </c>
      <c r="V117" s="5" t="e">
        <f t="shared" si="5"/>
        <v>#VALUE!</v>
      </c>
    </row>
    <row r="118" spans="1:22" x14ac:dyDescent="0.2">
      <c r="A118" s="33"/>
      <c r="J118" s="3">
        <f t="shared" si="2"/>
        <v>0</v>
      </c>
      <c r="K118" s="3">
        <f t="shared" si="2"/>
        <v>0</v>
      </c>
      <c r="L118" s="3">
        <f t="shared" si="2"/>
        <v>0</v>
      </c>
      <c r="M118" s="3">
        <f t="shared" si="2"/>
        <v>0</v>
      </c>
      <c r="Q118" s="10" t="e">
        <f t="shared" si="3"/>
        <v>#VALUE!</v>
      </c>
      <c r="R118" s="51" t="e">
        <f t="shared" si="4"/>
        <v>#VALUE!</v>
      </c>
      <c r="S118" s="5" t="e">
        <f t="shared" si="5"/>
        <v>#VALUE!</v>
      </c>
      <c r="T118" s="5" t="e">
        <f t="shared" si="5"/>
        <v>#VALUE!</v>
      </c>
      <c r="U118" s="5" t="e">
        <f t="shared" si="5"/>
        <v>#VALUE!</v>
      </c>
      <c r="V118" s="5" t="e">
        <f t="shared" si="5"/>
        <v>#VALUE!</v>
      </c>
    </row>
    <row r="119" spans="1:22" x14ac:dyDescent="0.2">
      <c r="A119" s="33"/>
      <c r="J119" s="3">
        <f t="shared" si="2"/>
        <v>0</v>
      </c>
      <c r="K119" s="3">
        <f t="shared" si="2"/>
        <v>0</v>
      </c>
      <c r="L119" s="3">
        <f t="shared" si="2"/>
        <v>0</v>
      </c>
      <c r="M119" s="3">
        <f t="shared" si="2"/>
        <v>0</v>
      </c>
      <c r="Q119" s="10" t="e">
        <f t="shared" si="3"/>
        <v>#VALUE!</v>
      </c>
      <c r="R119" s="51" t="e">
        <f t="shared" si="4"/>
        <v>#VALUE!</v>
      </c>
      <c r="S119" s="5" t="e">
        <f t="shared" si="5"/>
        <v>#VALUE!</v>
      </c>
      <c r="T119" s="5" t="e">
        <f t="shared" si="5"/>
        <v>#VALUE!</v>
      </c>
      <c r="U119" s="5" t="e">
        <f t="shared" si="5"/>
        <v>#VALUE!</v>
      </c>
      <c r="V119" s="5" t="e">
        <f t="shared" si="5"/>
        <v>#VALUE!</v>
      </c>
    </row>
    <row r="120" spans="1:22" x14ac:dyDescent="0.2">
      <c r="A120" s="33"/>
      <c r="J120" s="3">
        <f t="shared" si="2"/>
        <v>0</v>
      </c>
      <c r="K120" s="3">
        <f t="shared" si="2"/>
        <v>0</v>
      </c>
      <c r="L120" s="3">
        <f t="shared" si="2"/>
        <v>0</v>
      </c>
      <c r="M120" s="3">
        <f t="shared" si="2"/>
        <v>0</v>
      </c>
      <c r="Q120" s="10" t="e">
        <f t="shared" si="3"/>
        <v>#VALUE!</v>
      </c>
      <c r="R120" s="51" t="e">
        <f t="shared" si="4"/>
        <v>#VALUE!</v>
      </c>
      <c r="S120" s="5" t="e">
        <f t="shared" si="5"/>
        <v>#VALUE!</v>
      </c>
      <c r="T120" s="5" t="e">
        <f t="shared" si="5"/>
        <v>#VALUE!</v>
      </c>
      <c r="U120" s="5" t="e">
        <f t="shared" si="5"/>
        <v>#VALUE!</v>
      </c>
      <c r="V120" s="5" t="e">
        <f t="shared" si="5"/>
        <v>#VALUE!</v>
      </c>
    </row>
    <row r="121" spans="1:22" x14ac:dyDescent="0.2">
      <c r="A121" s="33" t="e">
        <f>IF(Tabela17683[[#This Row],[Código]]="IBOV","^BVSP",IF(Tabela17683[[#This Row],[Código]]="","",CONCATENATE(LEFT(Tabela17683[[#This Row],[Código]],6),".SA")))</f>
        <v>#VALUE!</v>
      </c>
      <c r="J121" s="3" t="e">
        <f t="shared" si="2"/>
        <v>#VALUE!</v>
      </c>
      <c r="K121" s="3" t="e">
        <f t="shared" si="2"/>
        <v>#VALUE!</v>
      </c>
      <c r="L121" s="3" t="e">
        <f t="shared" si="2"/>
        <v>#VALUE!</v>
      </c>
      <c r="M121" s="3" t="e">
        <f t="shared" si="2"/>
        <v>#VALUE!</v>
      </c>
      <c r="Q121" s="10" t="e">
        <f t="shared" si="3"/>
        <v>#VALUE!</v>
      </c>
      <c r="R121" s="51" t="e">
        <f t="shared" si="4"/>
        <v>#VALUE!</v>
      </c>
      <c r="S121" s="5" t="e">
        <f t="shared" si="5"/>
        <v>#VALUE!</v>
      </c>
      <c r="T121" s="5" t="e">
        <f t="shared" si="5"/>
        <v>#VALUE!</v>
      </c>
      <c r="U121" s="5" t="e">
        <f t="shared" si="5"/>
        <v>#VALUE!</v>
      </c>
      <c r="V121" s="5" t="e">
        <f t="shared" si="5"/>
        <v>#VALUE!</v>
      </c>
    </row>
    <row r="122" spans="1:22" x14ac:dyDescent="0.2">
      <c r="A122" s="33" t="e">
        <f>IF(Tabela17683[[#This Row],[Código]]="IBOV","^BVSP",IF(Tabela17683[[#This Row],[Código]]="","",CONCATENATE(LEFT(Tabela17683[[#This Row],[Código]],6),".SA")))</f>
        <v>#VALUE!</v>
      </c>
      <c r="J122" s="3" t="e">
        <f t="shared" si="2"/>
        <v>#VALUE!</v>
      </c>
      <c r="K122" s="3" t="e">
        <f t="shared" si="2"/>
        <v>#VALUE!</v>
      </c>
      <c r="L122" s="3" t="e">
        <f t="shared" si="2"/>
        <v>#VALUE!</v>
      </c>
      <c r="M122" s="3" t="e">
        <f t="shared" si="2"/>
        <v>#VALUE!</v>
      </c>
      <c r="Q122" s="10" t="e">
        <f t="shared" si="3"/>
        <v>#VALUE!</v>
      </c>
      <c r="R122" s="51" t="e">
        <f t="shared" si="4"/>
        <v>#VALUE!</v>
      </c>
      <c r="S122" s="5" t="e">
        <f t="shared" si="5"/>
        <v>#VALUE!</v>
      </c>
      <c r="T122" s="5" t="e">
        <f t="shared" si="5"/>
        <v>#VALUE!</v>
      </c>
      <c r="U122" s="5" t="e">
        <f t="shared" si="5"/>
        <v>#VALUE!</v>
      </c>
      <c r="V122" s="5" t="e">
        <f t="shared" si="5"/>
        <v>#VALUE!</v>
      </c>
    </row>
    <row r="123" spans="1:22" x14ac:dyDescent="0.2">
      <c r="A123" s="33" t="e">
        <f>IF(Tabela17683[[#This Row],[Código]]="IBOV","^BVSP",IF(Tabela17683[[#This Row],[Código]]="","",CONCATENATE(LEFT(Tabela17683[[#This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"/>
        <v>#VALUE!</v>
      </c>
      <c r="L123" s="3" t="e">
        <f t="shared" si="2"/>
        <v>#VALUE!</v>
      </c>
      <c r="M123" s="3" t="e">
        <f t="shared" si="2"/>
        <v>#VALUE!</v>
      </c>
      <c r="Q123" s="10" t="e">
        <f t="shared" si="3"/>
        <v>#VALUE!</v>
      </c>
      <c r="R123" s="51" t="e">
        <f t="shared" si="4"/>
        <v>#VALUE!</v>
      </c>
      <c r="S123" s="5" t="e">
        <f t="shared" si="5"/>
        <v>#VALUE!</v>
      </c>
      <c r="T123" s="5" t="e">
        <f t="shared" si="5"/>
        <v>#VALUE!</v>
      </c>
      <c r="U123" s="5" t="e">
        <f t="shared" si="5"/>
        <v>#VALUE!</v>
      </c>
      <c r="V123" s="5" t="e">
        <f t="shared" si="5"/>
        <v>#VALUE!</v>
      </c>
    </row>
    <row r="124" spans="1:22" x14ac:dyDescent="0.2">
      <c r="A124" s="33" t="e">
        <f>IF(Tabela17683[[#This Row],[Código]]="IBOV","^BVSP",IF(Tabela17683[[#This Row],[Código]]="","",CONCATENATE(LEFT(Tabela17683[[#This Row],[Código]],6),".SA")))</f>
        <v>#VALUE!</v>
      </c>
      <c r="J124" s="3" t="e">
        <f t="shared" si="2"/>
        <v>#VALUE!</v>
      </c>
      <c r="K124" s="3" t="e">
        <f t="shared" si="2"/>
        <v>#VALUE!</v>
      </c>
      <c r="L124" s="3" t="e">
        <f t="shared" si="2"/>
        <v>#VALUE!</v>
      </c>
      <c r="M124" s="3" t="e">
        <f t="shared" si="2"/>
        <v>#VALUE!</v>
      </c>
      <c r="Q124" s="10" t="e">
        <f t="shared" si="3"/>
        <v>#VALUE!</v>
      </c>
      <c r="R124" s="51" t="e">
        <f t="shared" si="4"/>
        <v>#VALUE!</v>
      </c>
      <c r="S124" s="5" t="e">
        <f t="shared" si="5"/>
        <v>#VALUE!</v>
      </c>
      <c r="T124" s="5" t="e">
        <f t="shared" si="5"/>
        <v>#VALUE!</v>
      </c>
      <c r="U124" s="5" t="e">
        <f t="shared" si="5"/>
        <v>#VALUE!</v>
      </c>
      <c r="V124" s="5" t="e">
        <f t="shared" si="5"/>
        <v>#VALUE!</v>
      </c>
    </row>
    <row r="125" spans="1:22" x14ac:dyDescent="0.2">
      <c r="A125" s="33" t="e">
        <f>IF(Tabela17683[[#This Row],[Código]]="IBOV","^BVSP",IF(Tabela17683[[#This Row],[Código]]="","",CONCATENATE(LEFT(Tabela17683[[#This Row],[Código]],6),".SA")))</f>
        <v>#VALUE!</v>
      </c>
      <c r="J125" s="3" t="e">
        <f t="shared" si="2"/>
        <v>#VALUE!</v>
      </c>
      <c r="K125" s="3" t="e">
        <f t="shared" si="2"/>
        <v>#VALUE!</v>
      </c>
      <c r="L125" s="3" t="e">
        <f t="shared" si="2"/>
        <v>#VALUE!</v>
      </c>
      <c r="M125" s="3" t="e">
        <f t="shared" si="2"/>
        <v>#VALUE!</v>
      </c>
      <c r="Q125" s="10" t="e">
        <f t="shared" si="3"/>
        <v>#VALUE!</v>
      </c>
      <c r="R125" s="51" t="e">
        <f t="shared" si="4"/>
        <v>#VALUE!</v>
      </c>
      <c r="S125" s="5" t="e">
        <f t="shared" si="5"/>
        <v>#VALUE!</v>
      </c>
      <c r="T125" s="5" t="e">
        <f t="shared" si="5"/>
        <v>#VALUE!</v>
      </c>
      <c r="U125" s="5" t="e">
        <f t="shared" si="5"/>
        <v>#VALUE!</v>
      </c>
      <c r="V125" s="5" t="e">
        <f t="shared" si="5"/>
        <v>#VALUE!</v>
      </c>
    </row>
    <row r="126" spans="1:22" x14ac:dyDescent="0.2">
      <c r="A126" s="33" t="e">
        <f>IF(Tabela17683[[#This Row],[Código]]="IBOV","^BVSP",IF(Tabela17683[[#This Row],[Código]]="","",CONCATENATE(LEFT(Tabela17683[[#This Row],[Código]],6),".SA")))</f>
        <v>#VALUE!</v>
      </c>
      <c r="J126" s="3" t="e">
        <f t="shared" si="2"/>
        <v>#VALUE!</v>
      </c>
      <c r="K126" s="3" t="e">
        <f t="shared" si="2"/>
        <v>#VALUE!</v>
      </c>
      <c r="L126" s="3" t="e">
        <f t="shared" si="2"/>
        <v>#VALUE!</v>
      </c>
      <c r="M126" s="3" t="e">
        <f t="shared" si="2"/>
        <v>#VALUE!</v>
      </c>
      <c r="Q126" s="10" t="e">
        <f t="shared" si="3"/>
        <v>#VALUE!</v>
      </c>
      <c r="R126" s="51" t="e">
        <f t="shared" si="4"/>
        <v>#VALUE!</v>
      </c>
      <c r="S126" s="5" t="e">
        <f t="shared" si="5"/>
        <v>#VALUE!</v>
      </c>
      <c r="T126" s="5" t="e">
        <f t="shared" si="5"/>
        <v>#VALUE!</v>
      </c>
      <c r="U126" s="5" t="e">
        <f t="shared" si="5"/>
        <v>#VALUE!</v>
      </c>
      <c r="V126" s="5" t="e">
        <f t="shared" si="5"/>
        <v>#VALUE!</v>
      </c>
    </row>
    <row r="127" spans="1:22" x14ac:dyDescent="0.2">
      <c r="A127" s="33" t="e">
        <f>IF(Tabela17683[[#This Row],[Código]]="IBOV","^BVSP",IF(Tabela17683[[#This Row],[Código]]="","",CONCATENATE(LEFT(Tabela17683[[#This Row],[Código]],6),".SA")))</f>
        <v>#VALUE!</v>
      </c>
      <c r="J127" s="3" t="e">
        <f t="shared" si="2"/>
        <v>#VALUE!</v>
      </c>
      <c r="K127" s="3" t="e">
        <f t="shared" si="2"/>
        <v>#VALUE!</v>
      </c>
      <c r="L127" s="3" t="e">
        <f t="shared" si="2"/>
        <v>#VALUE!</v>
      </c>
      <c r="M127" s="3" t="e">
        <f t="shared" si="2"/>
        <v>#VALUE!</v>
      </c>
      <c r="Q127" s="10" t="e">
        <f t="shared" si="3"/>
        <v>#VALUE!</v>
      </c>
      <c r="R127" s="51" t="e">
        <f t="shared" si="4"/>
        <v>#VALUE!</v>
      </c>
      <c r="S127" s="5" t="e">
        <f t="shared" si="5"/>
        <v>#VALUE!</v>
      </c>
      <c r="T127" s="5" t="e">
        <f t="shared" si="5"/>
        <v>#VALUE!</v>
      </c>
      <c r="U127" s="5" t="e">
        <f t="shared" si="5"/>
        <v>#VALUE!</v>
      </c>
      <c r="V127" s="5" t="e">
        <f t="shared" si="5"/>
        <v>#VALUE!</v>
      </c>
    </row>
    <row r="128" spans="1:22" x14ac:dyDescent="0.2">
      <c r="A128" s="33" t="e">
        <f>IF(Tabela17683[[#This Row],[Código]]="IBOV","^BVSP",IF(Tabela17683[[#This Row],[Código]]="","",CONCATENATE(LEFT(Tabela17683[[#This Row],[Código]],6),".SA")))</f>
        <v>#VALUE!</v>
      </c>
      <c r="J128" s="3" t="e">
        <f t="shared" si="2"/>
        <v>#VALUE!</v>
      </c>
      <c r="K128" s="3" t="e">
        <f t="shared" si="2"/>
        <v>#VALUE!</v>
      </c>
      <c r="L128" s="3" t="e">
        <f t="shared" si="2"/>
        <v>#VALUE!</v>
      </c>
      <c r="M128" s="3" t="e">
        <f t="shared" si="2"/>
        <v>#VALUE!</v>
      </c>
      <c r="Q128" s="10" t="e">
        <f t="shared" si="3"/>
        <v>#VALUE!</v>
      </c>
      <c r="R128" s="51" t="e">
        <f t="shared" si="4"/>
        <v>#VALUE!</v>
      </c>
      <c r="S128" s="5" t="e">
        <f t="shared" si="5"/>
        <v>#VALUE!</v>
      </c>
      <c r="T128" s="5" t="e">
        <f t="shared" si="5"/>
        <v>#VALUE!</v>
      </c>
      <c r="U128" s="5" t="e">
        <f t="shared" si="5"/>
        <v>#VALUE!</v>
      </c>
      <c r="V128" s="5" t="e">
        <f t="shared" si="5"/>
        <v>#VALUE!</v>
      </c>
    </row>
    <row r="129" spans="1:22" x14ac:dyDescent="0.2">
      <c r="A129" s="33" t="e">
        <f>IF(Tabela17683[[#This Row],[Código]]="IBOV","^BVSP",IF(Tabela17683[[#This Row],[Código]]="","",CONCATENATE(LEFT(Tabela17683[[#This Row],[Código]],6),".SA")))</f>
        <v>#VALUE!</v>
      </c>
      <c r="J129" s="3" t="e">
        <f t="shared" si="2"/>
        <v>#VALUE!</v>
      </c>
      <c r="K129" s="3" t="e">
        <f t="shared" si="2"/>
        <v>#VALUE!</v>
      </c>
      <c r="L129" s="3" t="e">
        <f t="shared" si="2"/>
        <v>#VALUE!</v>
      </c>
      <c r="M129" s="3" t="e">
        <f t="shared" si="2"/>
        <v>#VALUE!</v>
      </c>
      <c r="P129" s="4"/>
      <c r="Q129" s="10" t="e">
        <f t="shared" si="3"/>
        <v>#VALUE!</v>
      </c>
      <c r="R129" s="51" t="e">
        <f t="shared" si="4"/>
        <v>#VALUE!</v>
      </c>
      <c r="S129" s="5" t="e">
        <f t="shared" si="5"/>
        <v>#VALUE!</v>
      </c>
      <c r="T129" s="5" t="e">
        <f t="shared" si="5"/>
        <v>#VALUE!</v>
      </c>
      <c r="U129" s="5" t="e">
        <f t="shared" si="5"/>
        <v>#VALUE!</v>
      </c>
      <c r="V129" s="5" t="e">
        <f t="shared" si="5"/>
        <v>#VALUE!</v>
      </c>
    </row>
    <row r="130" spans="1:22" x14ac:dyDescent="0.2">
      <c r="A130" s="33" t="e">
        <f>IF(Tabela17683[[#This Row],[Código]]="IBOV","^BVSP",IF(Tabela17683[[#This Row],[Código]]="","",CONCATENATE(LEFT(Tabela17683[[#This Row],[Código]],6),".SA")))</f>
        <v>#VALUE!</v>
      </c>
      <c r="J130" s="3" t="e">
        <f t="shared" si="2"/>
        <v>#VALUE!</v>
      </c>
      <c r="K130" s="3" t="e">
        <f t="shared" si="2"/>
        <v>#VALUE!</v>
      </c>
      <c r="L130" s="3" t="e">
        <f t="shared" si="2"/>
        <v>#VALUE!</v>
      </c>
      <c r="M130" s="3" t="e">
        <f t="shared" si="2"/>
        <v>#VALUE!</v>
      </c>
      <c r="P130" s="10"/>
      <c r="Q130" s="10" t="str">
        <f t="shared" si="3"/>
        <v/>
      </c>
      <c r="R130" s="51" t="str">
        <f t="shared" si="4"/>
        <v/>
      </c>
      <c r="S130" s="5">
        <f t="shared" si="5"/>
        <v>0</v>
      </c>
      <c r="T130" s="5">
        <f t="shared" si="5"/>
        <v>0</v>
      </c>
      <c r="U130" s="5">
        <f t="shared" si="5"/>
        <v>0</v>
      </c>
      <c r="V130" s="5">
        <f t="shared" si="5"/>
        <v>0</v>
      </c>
    </row>
    <row r="131" spans="1:22" x14ac:dyDescent="0.2">
      <c r="A131" s="33" t="e">
        <f>IF(Tabela17683[[#This Row],[Código]]="IBOV","^BVSP",IF(Tabela17683[[#This Row],[Código]]="","",CONCATENATE(LEFT(Tabela17683[[#This Row],[Código]],6),".SA")))</f>
        <v>#VALUE!</v>
      </c>
      <c r="J131" s="3" t="e">
        <f t="shared" si="2"/>
        <v>#VALUE!</v>
      </c>
      <c r="K131" s="3" t="e">
        <f t="shared" si="2"/>
        <v>#VALUE!</v>
      </c>
      <c r="L131" s="3" t="e">
        <f t="shared" si="2"/>
        <v>#VALUE!</v>
      </c>
      <c r="M131" s="3" t="e">
        <f t="shared" si="2"/>
        <v>#VALUE!</v>
      </c>
      <c r="Q131" s="10" t="str">
        <f t="shared" si="3"/>
        <v/>
      </c>
      <c r="R131" s="51" t="str">
        <f t="shared" si="4"/>
        <v/>
      </c>
      <c r="S131" s="5">
        <f t="shared" si="5"/>
        <v>0</v>
      </c>
      <c r="T131" s="5">
        <f t="shared" si="5"/>
        <v>0</v>
      </c>
      <c r="U131" s="5">
        <f t="shared" si="5"/>
        <v>0</v>
      </c>
      <c r="V131" s="5">
        <f t="shared" si="5"/>
        <v>0</v>
      </c>
    </row>
    <row r="132" spans="1:22" x14ac:dyDescent="0.2">
      <c r="A132" s="33" t="e">
        <f>IF(Tabela17683[[#This Row],[Código]]="IBOV","^BVSP",IF(Tabela17683[[#This Row],[Código]]="","",CONCATENATE(LEFT(Tabela17683[[#This Row],[Código]],6),".SA")))</f>
        <v>#VALUE!</v>
      </c>
      <c r="J132" s="3" t="e">
        <f t="shared" si="2"/>
        <v>#VALUE!</v>
      </c>
      <c r="K132" s="3" t="e">
        <f t="shared" si="2"/>
        <v>#VALUE!</v>
      </c>
      <c r="L132" s="3" t="e">
        <f t="shared" si="2"/>
        <v>#VALUE!</v>
      </c>
      <c r="M132" s="3" t="e">
        <f t="shared" si="2"/>
        <v>#VALUE!</v>
      </c>
      <c r="P132" s="3" t="str">
        <f>IF([1]Patrimonio!C143="","",[1]Patrimonio!C143)</f>
        <v/>
      </c>
      <c r="Q132" s="3" t="str">
        <f t="shared" ref="Q132:Q158" si="6">IF(A148="","",C149)</f>
        <v/>
      </c>
      <c r="R132" s="51" t="str">
        <f t="shared" ref="R132:R158" si="7">IF(A148="","",H148)</f>
        <v/>
      </c>
      <c r="S132" s="5">
        <f t="shared" ref="S132:V147" si="8">J148</f>
        <v>0</v>
      </c>
      <c r="T132" s="5">
        <f t="shared" si="8"/>
        <v>0</v>
      </c>
      <c r="U132" s="5">
        <f t="shared" si="8"/>
        <v>0</v>
      </c>
      <c r="V132" s="5">
        <f t="shared" si="8"/>
        <v>0</v>
      </c>
    </row>
    <row r="133" spans="1:22" x14ac:dyDescent="0.2">
      <c r="A133" s="33" t="e">
        <f>IF(Tabela17683[[#This Row],[Código]]="IBOV","^BVSP",IF(Tabela17683[[#This Row],[Código]]="","",CONCATENATE(LEFT(Tabela17683[[#This Row],[Código]],6),".SA")))</f>
        <v>#VALUE!</v>
      </c>
      <c r="J133" s="3" t="e">
        <f t="shared" si="2"/>
        <v>#VALUE!</v>
      </c>
      <c r="K133" s="3" t="e">
        <f t="shared" si="2"/>
        <v>#VALUE!</v>
      </c>
      <c r="L133" s="3" t="e">
        <f t="shared" si="2"/>
        <v>#VALUE!</v>
      </c>
      <c r="M133" s="3" t="e">
        <f t="shared" si="2"/>
        <v>#VALUE!</v>
      </c>
      <c r="P133" s="3" t="str">
        <f>IF([1]Patrimonio!C144="","",[1]Patrimonio!C144)</f>
        <v/>
      </c>
      <c r="Q133" s="3" t="str">
        <f t="shared" si="6"/>
        <v/>
      </c>
      <c r="R133" s="51" t="str">
        <f t="shared" si="7"/>
        <v/>
      </c>
      <c r="S133" s="5">
        <f t="shared" si="8"/>
        <v>0</v>
      </c>
      <c r="T133" s="5">
        <f t="shared" si="8"/>
        <v>0</v>
      </c>
      <c r="U133" s="5">
        <f t="shared" si="8"/>
        <v>0</v>
      </c>
      <c r="V133" s="5">
        <f t="shared" si="8"/>
        <v>0</v>
      </c>
    </row>
    <row r="134" spans="1:22" x14ac:dyDescent="0.2">
      <c r="A134" s="33"/>
      <c r="J134" s="3">
        <f t="shared" si="2"/>
        <v>0</v>
      </c>
      <c r="K134" s="3">
        <f t="shared" si="2"/>
        <v>0</v>
      </c>
      <c r="L134" s="3">
        <f t="shared" si="2"/>
        <v>0</v>
      </c>
      <c r="M134" s="3">
        <f t="shared" si="2"/>
        <v>0</v>
      </c>
      <c r="P134" s="3" t="str">
        <f>IF([1]Patrimonio!C145="","",[1]Patrimonio!C145)</f>
        <v/>
      </c>
      <c r="Q134" s="3" t="str">
        <f t="shared" si="6"/>
        <v/>
      </c>
      <c r="R134" s="51" t="str">
        <f t="shared" si="7"/>
        <v/>
      </c>
      <c r="S134" s="5">
        <f t="shared" si="8"/>
        <v>0</v>
      </c>
      <c r="T134" s="5">
        <f t="shared" si="8"/>
        <v>0</v>
      </c>
      <c r="U134" s="5">
        <f t="shared" si="8"/>
        <v>0</v>
      </c>
      <c r="V134" s="5">
        <f t="shared" si="8"/>
        <v>0</v>
      </c>
    </row>
    <row r="135" spans="1:22" x14ac:dyDescent="0.2">
      <c r="A135" s="33"/>
      <c r="J135" s="3">
        <f t="shared" si="2"/>
        <v>0</v>
      </c>
      <c r="K135" s="3">
        <f t="shared" si="2"/>
        <v>0</v>
      </c>
      <c r="L135" s="3">
        <f t="shared" si="2"/>
        <v>0</v>
      </c>
      <c r="M135" s="3">
        <f t="shared" si="2"/>
        <v>0</v>
      </c>
      <c r="P135" s="3" t="str">
        <f>IF([1]Patrimonio!C146="","",[1]Patrimonio!C146)</f>
        <v/>
      </c>
      <c r="Q135" s="3" t="str">
        <f t="shared" si="6"/>
        <v/>
      </c>
      <c r="R135" s="51" t="str">
        <f t="shared" si="7"/>
        <v/>
      </c>
      <c r="S135" s="5">
        <f t="shared" si="8"/>
        <v>0</v>
      </c>
      <c r="T135" s="5">
        <f t="shared" si="8"/>
        <v>0</v>
      </c>
      <c r="U135" s="5">
        <f t="shared" si="8"/>
        <v>0</v>
      </c>
      <c r="V135" s="5">
        <f t="shared" si="8"/>
        <v>0</v>
      </c>
    </row>
    <row r="136" spans="1:22" x14ac:dyDescent="0.2">
      <c r="A136" s="33"/>
      <c r="J136" s="3">
        <f t="shared" ref="J136:M172" si="9">IF($A136="",0,VALUE(CONCATENATE(LEFT(D136,LEN(D136)-3),",",RIGHT(D136,2))))</f>
        <v>0</v>
      </c>
      <c r="K136" s="3">
        <f t="shared" si="9"/>
        <v>0</v>
      </c>
      <c r="L136" s="3">
        <f t="shared" si="9"/>
        <v>0</v>
      </c>
      <c r="M136" s="3">
        <f t="shared" si="9"/>
        <v>0</v>
      </c>
      <c r="P136" s="3" t="str">
        <f>IF([1]Patrimonio!C147="","",[1]Patrimonio!C147)</f>
        <v/>
      </c>
      <c r="Q136" s="3" t="str">
        <f t="shared" si="6"/>
        <v/>
      </c>
      <c r="R136" s="51" t="str">
        <f t="shared" si="7"/>
        <v/>
      </c>
      <c r="S136" s="5">
        <f t="shared" si="8"/>
        <v>0</v>
      </c>
      <c r="T136" s="5">
        <f t="shared" si="8"/>
        <v>0</v>
      </c>
      <c r="U136" s="5">
        <f t="shared" si="8"/>
        <v>0</v>
      </c>
      <c r="V136" s="5">
        <f t="shared" si="8"/>
        <v>0</v>
      </c>
    </row>
    <row r="137" spans="1:22" x14ac:dyDescent="0.2">
      <c r="A137" s="33"/>
      <c r="J137" s="3">
        <f t="shared" si="9"/>
        <v>0</v>
      </c>
      <c r="K137" s="3">
        <f t="shared" si="9"/>
        <v>0</v>
      </c>
      <c r="L137" s="3">
        <f t="shared" si="9"/>
        <v>0</v>
      </c>
      <c r="M137" s="3">
        <f t="shared" si="9"/>
        <v>0</v>
      </c>
      <c r="P137" s="3" t="str">
        <f>IF([1]Patrimonio!C148="","",[1]Patrimonio!C148)</f>
        <v/>
      </c>
      <c r="Q137" s="3" t="str">
        <f t="shared" si="6"/>
        <v/>
      </c>
      <c r="R137" s="51" t="str">
        <f t="shared" si="7"/>
        <v/>
      </c>
      <c r="S137" s="5">
        <f t="shared" si="8"/>
        <v>0</v>
      </c>
      <c r="T137" s="5">
        <f t="shared" si="8"/>
        <v>0</v>
      </c>
      <c r="U137" s="5">
        <f t="shared" si="8"/>
        <v>0</v>
      </c>
      <c r="V137" s="5">
        <f t="shared" si="8"/>
        <v>0</v>
      </c>
    </row>
    <row r="138" spans="1:22" x14ac:dyDescent="0.2">
      <c r="A138" s="33"/>
      <c r="J138" s="3">
        <f t="shared" si="9"/>
        <v>0</v>
      </c>
      <c r="K138" s="3">
        <f t="shared" si="9"/>
        <v>0</v>
      </c>
      <c r="L138" s="3">
        <f t="shared" si="9"/>
        <v>0</v>
      </c>
      <c r="M138" s="3">
        <f t="shared" si="9"/>
        <v>0</v>
      </c>
      <c r="P138" s="3" t="str">
        <f>IF([1]Patrimonio!C149="","",[1]Patrimonio!C149)</f>
        <v/>
      </c>
      <c r="Q138" s="3" t="str">
        <f t="shared" si="6"/>
        <v/>
      </c>
      <c r="R138" s="51" t="str">
        <f t="shared" si="7"/>
        <v/>
      </c>
      <c r="S138" s="5">
        <f t="shared" si="8"/>
        <v>0</v>
      </c>
      <c r="T138" s="5">
        <f t="shared" si="8"/>
        <v>0</v>
      </c>
      <c r="U138" s="5">
        <f t="shared" si="8"/>
        <v>0</v>
      </c>
      <c r="V138" s="5">
        <f t="shared" si="8"/>
        <v>0</v>
      </c>
    </row>
    <row r="139" spans="1:22" x14ac:dyDescent="0.2">
      <c r="A139" s="33"/>
      <c r="J139" s="3">
        <f t="shared" si="9"/>
        <v>0</v>
      </c>
      <c r="K139" s="3">
        <f t="shared" si="9"/>
        <v>0</v>
      </c>
      <c r="L139" s="3">
        <f t="shared" si="9"/>
        <v>0</v>
      </c>
      <c r="M139" s="3">
        <f t="shared" si="9"/>
        <v>0</v>
      </c>
      <c r="P139" s="3" t="str">
        <f>IF([1]Patrimonio!C150="","",[1]Patrimonio!C150)</f>
        <v/>
      </c>
      <c r="Q139" s="3" t="str">
        <f t="shared" si="6"/>
        <v/>
      </c>
      <c r="R139" s="51" t="str">
        <f t="shared" si="7"/>
        <v/>
      </c>
      <c r="S139" s="5">
        <f t="shared" si="8"/>
        <v>0</v>
      </c>
      <c r="T139" s="5">
        <f t="shared" si="8"/>
        <v>0</v>
      </c>
      <c r="U139" s="5">
        <f t="shared" si="8"/>
        <v>0</v>
      </c>
      <c r="V139" s="5">
        <f t="shared" si="8"/>
        <v>0</v>
      </c>
    </row>
    <row r="140" spans="1:22" x14ac:dyDescent="0.2">
      <c r="A140" s="33"/>
      <c r="J140" s="3">
        <f t="shared" si="9"/>
        <v>0</v>
      </c>
      <c r="K140" s="3">
        <f t="shared" si="9"/>
        <v>0</v>
      </c>
      <c r="L140" s="3">
        <f t="shared" si="9"/>
        <v>0</v>
      </c>
      <c r="M140" s="3">
        <f t="shared" si="9"/>
        <v>0</v>
      </c>
      <c r="P140" s="3" t="str">
        <f>IF([1]Patrimonio!C151="","",[1]Patrimonio!C151)</f>
        <v/>
      </c>
      <c r="Q140" s="3" t="str">
        <f t="shared" si="6"/>
        <v/>
      </c>
      <c r="R140" s="51" t="str">
        <f t="shared" si="7"/>
        <v/>
      </c>
      <c r="S140" s="5">
        <f t="shared" si="8"/>
        <v>0</v>
      </c>
      <c r="T140" s="5">
        <f t="shared" si="8"/>
        <v>0</v>
      </c>
      <c r="U140" s="5">
        <f t="shared" si="8"/>
        <v>0</v>
      </c>
      <c r="V140" s="5">
        <f t="shared" si="8"/>
        <v>0</v>
      </c>
    </row>
    <row r="141" spans="1:22" x14ac:dyDescent="0.2">
      <c r="A141" s="33"/>
      <c r="J141" s="3">
        <f t="shared" si="9"/>
        <v>0</v>
      </c>
      <c r="K141" s="3">
        <f t="shared" si="9"/>
        <v>0</v>
      </c>
      <c r="L141" s="3">
        <f t="shared" si="9"/>
        <v>0</v>
      </c>
      <c r="M141" s="3">
        <f t="shared" si="9"/>
        <v>0</v>
      </c>
      <c r="P141" s="3" t="str">
        <f>IF([1]Patrimonio!C152="","",[1]Patrimonio!C152)</f>
        <v/>
      </c>
      <c r="Q141" s="3" t="str">
        <f t="shared" si="6"/>
        <v/>
      </c>
      <c r="R141" s="51" t="str">
        <f t="shared" si="7"/>
        <v/>
      </c>
      <c r="S141" s="5">
        <f t="shared" si="8"/>
        <v>0</v>
      </c>
      <c r="T141" s="5">
        <f t="shared" si="8"/>
        <v>0</v>
      </c>
      <c r="U141" s="5">
        <f t="shared" si="8"/>
        <v>0</v>
      </c>
      <c r="V141" s="5">
        <f t="shared" si="8"/>
        <v>0</v>
      </c>
    </row>
    <row r="142" spans="1:22" x14ac:dyDescent="0.2">
      <c r="A142" s="33"/>
      <c r="J142" s="3">
        <f t="shared" si="9"/>
        <v>0</v>
      </c>
      <c r="K142" s="3">
        <f t="shared" si="9"/>
        <v>0</v>
      </c>
      <c r="L142" s="3">
        <f t="shared" si="9"/>
        <v>0</v>
      </c>
      <c r="M142" s="3">
        <f t="shared" si="9"/>
        <v>0</v>
      </c>
      <c r="P142" s="3" t="str">
        <f>IF([1]Patrimonio!C153="","",[1]Patrimonio!C153)</f>
        <v/>
      </c>
      <c r="Q142" s="3" t="str">
        <f t="shared" si="6"/>
        <v/>
      </c>
      <c r="R142" s="51" t="str">
        <f t="shared" si="7"/>
        <v/>
      </c>
      <c r="S142" s="5">
        <f t="shared" si="8"/>
        <v>0</v>
      </c>
      <c r="T142" s="5">
        <f t="shared" si="8"/>
        <v>0</v>
      </c>
      <c r="U142" s="5">
        <f t="shared" si="8"/>
        <v>0</v>
      </c>
      <c r="V142" s="5">
        <f t="shared" si="8"/>
        <v>0</v>
      </c>
    </row>
    <row r="143" spans="1:22" x14ac:dyDescent="0.2">
      <c r="A143" s="33"/>
      <c r="J143" s="3">
        <f t="shared" si="9"/>
        <v>0</v>
      </c>
      <c r="K143" s="3">
        <f t="shared" si="9"/>
        <v>0</v>
      </c>
      <c r="L143" s="3">
        <f t="shared" si="9"/>
        <v>0</v>
      </c>
      <c r="M143" s="3">
        <f t="shared" si="9"/>
        <v>0</v>
      </c>
      <c r="P143" s="3" t="str">
        <f>IF([1]Patrimonio!C154="","",[1]Patrimonio!C154)</f>
        <v/>
      </c>
      <c r="Q143" s="3" t="str">
        <f t="shared" si="6"/>
        <v/>
      </c>
      <c r="R143" s="51" t="str">
        <f t="shared" si="7"/>
        <v/>
      </c>
      <c r="S143" s="5">
        <f t="shared" si="8"/>
        <v>0</v>
      </c>
      <c r="T143" s="5">
        <f t="shared" si="8"/>
        <v>0</v>
      </c>
      <c r="U143" s="5">
        <f t="shared" si="8"/>
        <v>0</v>
      </c>
      <c r="V143" s="5">
        <f t="shared" si="8"/>
        <v>0</v>
      </c>
    </row>
    <row r="144" spans="1:22" x14ac:dyDescent="0.2">
      <c r="A144" s="33"/>
      <c r="J144" s="3">
        <f t="shared" si="9"/>
        <v>0</v>
      </c>
      <c r="K144" s="3">
        <f t="shared" si="9"/>
        <v>0</v>
      </c>
      <c r="L144" s="3">
        <f t="shared" si="9"/>
        <v>0</v>
      </c>
      <c r="M144" s="3">
        <f t="shared" si="9"/>
        <v>0</v>
      </c>
      <c r="P144" s="3" t="str">
        <f>IF([1]Patrimonio!C155="","",[1]Patrimonio!C155)</f>
        <v/>
      </c>
      <c r="Q144" s="3" t="str">
        <f t="shared" si="6"/>
        <v/>
      </c>
      <c r="R144" s="51" t="str">
        <f t="shared" si="7"/>
        <v/>
      </c>
      <c r="S144" s="5">
        <f t="shared" si="8"/>
        <v>0</v>
      </c>
      <c r="T144" s="5">
        <f t="shared" si="8"/>
        <v>0</v>
      </c>
      <c r="U144" s="5">
        <f t="shared" si="8"/>
        <v>0</v>
      </c>
      <c r="V144" s="5">
        <f t="shared" si="8"/>
        <v>0</v>
      </c>
    </row>
    <row r="145" spans="1:22" x14ac:dyDescent="0.2">
      <c r="A145" s="33"/>
      <c r="J145" s="3">
        <f t="shared" si="9"/>
        <v>0</v>
      </c>
      <c r="K145" s="3">
        <f t="shared" si="9"/>
        <v>0</v>
      </c>
      <c r="L145" s="3">
        <f t="shared" si="9"/>
        <v>0</v>
      </c>
      <c r="M145" s="3">
        <f t="shared" si="9"/>
        <v>0</v>
      </c>
      <c r="P145" s="3" t="str">
        <f>IF([1]Patrimonio!C156="","",[1]Patrimonio!C156)</f>
        <v/>
      </c>
      <c r="Q145" s="3" t="str">
        <f t="shared" si="6"/>
        <v/>
      </c>
      <c r="R145" s="51" t="str">
        <f t="shared" si="7"/>
        <v/>
      </c>
      <c r="S145" s="5">
        <f t="shared" si="8"/>
        <v>0</v>
      </c>
      <c r="T145" s="5">
        <f t="shared" si="8"/>
        <v>0</v>
      </c>
      <c r="U145" s="5">
        <f t="shared" si="8"/>
        <v>0</v>
      </c>
      <c r="V145" s="5">
        <f t="shared" si="8"/>
        <v>0</v>
      </c>
    </row>
    <row r="146" spans="1:22" x14ac:dyDescent="0.2">
      <c r="A146" s="33"/>
      <c r="J146" s="3">
        <f t="shared" si="9"/>
        <v>0</v>
      </c>
      <c r="K146" s="3">
        <f t="shared" si="9"/>
        <v>0</v>
      </c>
      <c r="L146" s="3">
        <f t="shared" si="9"/>
        <v>0</v>
      </c>
      <c r="M146" s="3">
        <f t="shared" si="9"/>
        <v>0</v>
      </c>
      <c r="P146" s="3" t="str">
        <f>IF([1]Patrimonio!C157="","",[1]Patrimonio!C157)</f>
        <v/>
      </c>
      <c r="Q146" s="3" t="str">
        <f t="shared" si="6"/>
        <v/>
      </c>
      <c r="R146" s="51" t="str">
        <f t="shared" si="7"/>
        <v/>
      </c>
      <c r="S146" s="5">
        <f t="shared" si="8"/>
        <v>0</v>
      </c>
      <c r="T146" s="5">
        <f t="shared" si="8"/>
        <v>0</v>
      </c>
      <c r="U146" s="5">
        <f t="shared" si="8"/>
        <v>0</v>
      </c>
      <c r="V146" s="5">
        <f t="shared" si="8"/>
        <v>0</v>
      </c>
    </row>
    <row r="147" spans="1:22" x14ac:dyDescent="0.2">
      <c r="A147" s="33"/>
      <c r="J147" s="3">
        <f t="shared" si="9"/>
        <v>0</v>
      </c>
      <c r="K147" s="3">
        <f t="shared" si="9"/>
        <v>0</v>
      </c>
      <c r="L147" s="3">
        <f t="shared" si="9"/>
        <v>0</v>
      </c>
      <c r="M147" s="3">
        <f t="shared" si="9"/>
        <v>0</v>
      </c>
      <c r="P147" s="3" t="str">
        <f>IF([1]Patrimonio!C158="","",[1]Patrimonio!C158)</f>
        <v/>
      </c>
      <c r="Q147" s="3" t="str">
        <f t="shared" si="6"/>
        <v/>
      </c>
      <c r="R147" s="51" t="str">
        <f t="shared" si="7"/>
        <v/>
      </c>
      <c r="S147" s="5">
        <f t="shared" si="8"/>
        <v>0</v>
      </c>
      <c r="T147" s="5">
        <f t="shared" si="8"/>
        <v>0</v>
      </c>
      <c r="U147" s="5">
        <f t="shared" si="8"/>
        <v>0</v>
      </c>
      <c r="V147" s="5">
        <f t="shared" si="8"/>
        <v>0</v>
      </c>
    </row>
    <row r="148" spans="1:22" x14ac:dyDescent="0.2">
      <c r="A148" s="33"/>
      <c r="J148" s="3">
        <f t="shared" si="9"/>
        <v>0</v>
      </c>
      <c r="K148" s="3">
        <f t="shared" si="9"/>
        <v>0</v>
      </c>
      <c r="L148" s="3">
        <f t="shared" si="9"/>
        <v>0</v>
      </c>
      <c r="M148" s="3">
        <f t="shared" si="9"/>
        <v>0</v>
      </c>
      <c r="P148" s="3" t="str">
        <f>IF([1]Patrimonio!C159="","",[1]Patrimonio!C159)</f>
        <v/>
      </c>
      <c r="Q148" s="3" t="str">
        <f t="shared" si="6"/>
        <v/>
      </c>
      <c r="R148" s="51" t="str">
        <f t="shared" si="7"/>
        <v/>
      </c>
      <c r="S148" s="5">
        <f t="shared" ref="S148:V158" si="10">J164</f>
        <v>0</v>
      </c>
      <c r="T148" s="5">
        <f t="shared" si="10"/>
        <v>0</v>
      </c>
      <c r="U148" s="5">
        <f t="shared" si="10"/>
        <v>0</v>
      </c>
      <c r="V148" s="5">
        <f t="shared" si="10"/>
        <v>0</v>
      </c>
    </row>
    <row r="149" spans="1:22" x14ac:dyDescent="0.2">
      <c r="A149" s="33"/>
      <c r="J149" s="3">
        <f t="shared" si="9"/>
        <v>0</v>
      </c>
      <c r="K149" s="3">
        <f t="shared" si="9"/>
        <v>0</v>
      </c>
      <c r="L149" s="3">
        <f t="shared" si="9"/>
        <v>0</v>
      </c>
      <c r="M149" s="3">
        <f t="shared" si="9"/>
        <v>0</v>
      </c>
      <c r="P149" s="3" t="str">
        <f>IF([1]Patrimonio!C160="","",[1]Patrimonio!C160)</f>
        <v/>
      </c>
      <c r="Q149" s="3" t="str">
        <f t="shared" si="6"/>
        <v/>
      </c>
      <c r="R149" s="51" t="str">
        <f t="shared" si="7"/>
        <v/>
      </c>
      <c r="S149" s="5">
        <f t="shared" si="10"/>
        <v>0</v>
      </c>
      <c r="T149" s="5">
        <f t="shared" si="10"/>
        <v>0</v>
      </c>
      <c r="U149" s="5">
        <f t="shared" si="10"/>
        <v>0</v>
      </c>
      <c r="V149" s="5">
        <f t="shared" si="10"/>
        <v>0</v>
      </c>
    </row>
    <row r="150" spans="1:22" x14ac:dyDescent="0.2">
      <c r="A150" s="33"/>
      <c r="J150" s="3">
        <f t="shared" si="9"/>
        <v>0</v>
      </c>
      <c r="K150" s="3">
        <f t="shared" si="9"/>
        <v>0</v>
      </c>
      <c r="L150" s="3">
        <f t="shared" si="9"/>
        <v>0</v>
      </c>
      <c r="M150" s="3">
        <f t="shared" si="9"/>
        <v>0</v>
      </c>
      <c r="P150" s="3" t="str">
        <f>IF([1]Patrimonio!C161="","",[1]Patrimonio!C161)</f>
        <v/>
      </c>
      <c r="Q150" s="3" t="str">
        <f t="shared" si="6"/>
        <v/>
      </c>
      <c r="R150" s="51" t="str">
        <f t="shared" si="7"/>
        <v/>
      </c>
      <c r="S150" s="5">
        <f t="shared" si="10"/>
        <v>0</v>
      </c>
      <c r="T150" s="5">
        <f t="shared" si="10"/>
        <v>0</v>
      </c>
      <c r="U150" s="5">
        <f t="shared" si="10"/>
        <v>0</v>
      </c>
      <c r="V150" s="5">
        <f t="shared" si="10"/>
        <v>0</v>
      </c>
    </row>
    <row r="151" spans="1:22" x14ac:dyDescent="0.2">
      <c r="A151" s="33"/>
      <c r="J151" s="3">
        <f t="shared" si="9"/>
        <v>0</v>
      </c>
      <c r="K151" s="3">
        <f t="shared" si="9"/>
        <v>0</v>
      </c>
      <c r="L151" s="3">
        <f t="shared" si="9"/>
        <v>0</v>
      </c>
      <c r="M151" s="3">
        <f t="shared" si="9"/>
        <v>0</v>
      </c>
      <c r="P151" s="3" t="str">
        <f>IF([1]Patrimonio!C162="","",[1]Patrimonio!C162)</f>
        <v/>
      </c>
      <c r="Q151" s="3" t="str">
        <f t="shared" si="6"/>
        <v/>
      </c>
      <c r="R151" s="51" t="str">
        <f t="shared" si="7"/>
        <v/>
      </c>
      <c r="S151" s="5">
        <f t="shared" si="10"/>
        <v>0</v>
      </c>
      <c r="T151" s="5">
        <f t="shared" si="10"/>
        <v>0</v>
      </c>
      <c r="U151" s="5">
        <f t="shared" si="10"/>
        <v>0</v>
      </c>
      <c r="V151" s="5">
        <f t="shared" si="10"/>
        <v>0</v>
      </c>
    </row>
    <row r="152" spans="1:22" x14ac:dyDescent="0.2">
      <c r="A152" s="33"/>
      <c r="J152" s="3">
        <f t="shared" si="9"/>
        <v>0</v>
      </c>
      <c r="K152" s="3">
        <f t="shared" si="9"/>
        <v>0</v>
      </c>
      <c r="L152" s="3">
        <f t="shared" si="9"/>
        <v>0</v>
      </c>
      <c r="M152" s="3">
        <f t="shared" si="9"/>
        <v>0</v>
      </c>
      <c r="P152" s="3" t="str">
        <f>IF([1]Patrimonio!C163="","",[1]Patrimonio!C163)</f>
        <v/>
      </c>
      <c r="Q152" s="3" t="str">
        <f t="shared" si="6"/>
        <v/>
      </c>
      <c r="R152" s="51" t="str">
        <f t="shared" si="7"/>
        <v/>
      </c>
      <c r="S152" s="5">
        <f t="shared" si="10"/>
        <v>0</v>
      </c>
      <c r="T152" s="5">
        <f t="shared" si="10"/>
        <v>0</v>
      </c>
      <c r="U152" s="5">
        <f t="shared" si="10"/>
        <v>0</v>
      </c>
      <c r="V152" s="5">
        <f t="shared" si="10"/>
        <v>0</v>
      </c>
    </row>
    <row r="153" spans="1:22" x14ac:dyDescent="0.2">
      <c r="A153" s="33"/>
      <c r="J153" s="3">
        <f t="shared" si="9"/>
        <v>0</v>
      </c>
      <c r="K153" s="3">
        <f t="shared" si="9"/>
        <v>0</v>
      </c>
      <c r="L153" s="3">
        <f t="shared" si="9"/>
        <v>0</v>
      </c>
      <c r="M153" s="3">
        <f t="shared" si="9"/>
        <v>0</v>
      </c>
      <c r="P153" s="3" t="str">
        <f>IF([1]Patrimonio!C164="","",[1]Patrimonio!C164)</f>
        <v/>
      </c>
      <c r="Q153" s="3" t="str">
        <f t="shared" si="6"/>
        <v/>
      </c>
      <c r="R153" s="51" t="str">
        <f t="shared" si="7"/>
        <v/>
      </c>
      <c r="S153" s="5">
        <f t="shared" si="10"/>
        <v>0</v>
      </c>
      <c r="T153" s="5">
        <f t="shared" si="10"/>
        <v>0</v>
      </c>
      <c r="U153" s="5">
        <f t="shared" si="10"/>
        <v>0</v>
      </c>
      <c r="V153" s="5">
        <f t="shared" si="10"/>
        <v>0</v>
      </c>
    </row>
    <row r="154" spans="1:22" x14ac:dyDescent="0.2">
      <c r="A154" s="33"/>
      <c r="J154" s="3">
        <f t="shared" si="9"/>
        <v>0</v>
      </c>
      <c r="K154" s="3">
        <f t="shared" si="9"/>
        <v>0</v>
      </c>
      <c r="L154" s="3">
        <f t="shared" si="9"/>
        <v>0</v>
      </c>
      <c r="M154" s="3">
        <f t="shared" si="9"/>
        <v>0</v>
      </c>
      <c r="P154" s="3" t="str">
        <f>IF([1]Patrimonio!C165="","",[1]Patrimonio!C165)</f>
        <v/>
      </c>
      <c r="Q154" s="3" t="str">
        <f t="shared" si="6"/>
        <v/>
      </c>
      <c r="R154" s="51" t="str">
        <f t="shared" si="7"/>
        <v/>
      </c>
      <c r="S154" s="5">
        <f t="shared" si="10"/>
        <v>0</v>
      </c>
      <c r="T154" s="5">
        <f t="shared" si="10"/>
        <v>0</v>
      </c>
      <c r="U154" s="5">
        <f t="shared" si="10"/>
        <v>0</v>
      </c>
      <c r="V154" s="5">
        <f t="shared" si="10"/>
        <v>0</v>
      </c>
    </row>
    <row r="155" spans="1:22" x14ac:dyDescent="0.2">
      <c r="A155" s="33"/>
      <c r="J155" s="3">
        <f t="shared" si="9"/>
        <v>0</v>
      </c>
      <c r="K155" s="3">
        <f t="shared" si="9"/>
        <v>0</v>
      </c>
      <c r="L155" s="3">
        <f t="shared" si="9"/>
        <v>0</v>
      </c>
      <c r="M155" s="3">
        <f t="shared" si="9"/>
        <v>0</v>
      </c>
      <c r="P155" s="3" t="str">
        <f>IF([1]Patrimonio!C166="","",[1]Patrimonio!C166)</f>
        <v/>
      </c>
      <c r="Q155" s="3" t="str">
        <f t="shared" si="6"/>
        <v/>
      </c>
      <c r="R155" s="51" t="str">
        <f t="shared" si="7"/>
        <v/>
      </c>
      <c r="S155" s="5">
        <f t="shared" si="10"/>
        <v>0</v>
      </c>
      <c r="T155" s="5">
        <f t="shared" si="10"/>
        <v>0</v>
      </c>
      <c r="U155" s="5">
        <f t="shared" si="10"/>
        <v>0</v>
      </c>
      <c r="V155" s="5">
        <f t="shared" si="10"/>
        <v>0</v>
      </c>
    </row>
    <row r="156" spans="1:22" x14ac:dyDescent="0.2">
      <c r="A156" s="33"/>
      <c r="J156" s="3">
        <f t="shared" si="9"/>
        <v>0</v>
      </c>
      <c r="K156" s="3">
        <f t="shared" si="9"/>
        <v>0</v>
      </c>
      <c r="L156" s="3">
        <f t="shared" si="9"/>
        <v>0</v>
      </c>
      <c r="M156" s="3">
        <f t="shared" si="9"/>
        <v>0</v>
      </c>
      <c r="P156" s="3" t="str">
        <f>IF([1]Patrimonio!C167="","",[1]Patrimonio!C167)</f>
        <v/>
      </c>
      <c r="Q156" s="3" t="str">
        <f t="shared" si="6"/>
        <v/>
      </c>
      <c r="R156" s="51" t="str">
        <f t="shared" si="7"/>
        <v/>
      </c>
      <c r="S156" s="5">
        <f t="shared" si="10"/>
        <v>0</v>
      </c>
      <c r="T156" s="5">
        <f t="shared" si="10"/>
        <v>0</v>
      </c>
      <c r="U156" s="5">
        <f t="shared" si="10"/>
        <v>0</v>
      </c>
      <c r="V156" s="5">
        <f t="shared" si="10"/>
        <v>0</v>
      </c>
    </row>
    <row r="157" spans="1:22" x14ac:dyDescent="0.2">
      <c r="A157" s="33"/>
      <c r="J157" s="3">
        <f t="shared" si="9"/>
        <v>0</v>
      </c>
      <c r="K157" s="3">
        <f t="shared" si="9"/>
        <v>0</v>
      </c>
      <c r="L157" s="3">
        <f t="shared" si="9"/>
        <v>0</v>
      </c>
      <c r="M157" s="3">
        <f t="shared" si="9"/>
        <v>0</v>
      </c>
      <c r="P157" s="3" t="str">
        <f>IF([1]Patrimonio!C168="","",[1]Patrimonio!C168)</f>
        <v/>
      </c>
      <c r="Q157" s="3" t="str">
        <f t="shared" si="6"/>
        <v/>
      </c>
      <c r="R157" s="51" t="str">
        <f t="shared" si="7"/>
        <v/>
      </c>
      <c r="S157" s="5">
        <f t="shared" si="10"/>
        <v>0</v>
      </c>
      <c r="T157" s="5">
        <f t="shared" si="10"/>
        <v>0</v>
      </c>
      <c r="U157" s="5">
        <f t="shared" si="10"/>
        <v>0</v>
      </c>
      <c r="V157" s="5">
        <f t="shared" si="10"/>
        <v>0</v>
      </c>
    </row>
    <row r="158" spans="1:22" x14ac:dyDescent="0.2">
      <c r="A158" s="33"/>
      <c r="J158" s="3">
        <f t="shared" si="9"/>
        <v>0</v>
      </c>
      <c r="K158" s="3">
        <f t="shared" si="9"/>
        <v>0</v>
      </c>
      <c r="L158" s="3">
        <f t="shared" si="9"/>
        <v>0</v>
      </c>
      <c r="M158" s="3">
        <f t="shared" si="9"/>
        <v>0</v>
      </c>
      <c r="P158" s="3" t="str">
        <f>IF([1]Patrimonio!C169="","",[1]Patrimonio!C169)</f>
        <v/>
      </c>
      <c r="Q158" s="3" t="str">
        <f t="shared" si="6"/>
        <v/>
      </c>
      <c r="R158" s="51" t="str">
        <f t="shared" si="7"/>
        <v/>
      </c>
      <c r="S158" s="5">
        <f t="shared" si="10"/>
        <v>0</v>
      </c>
      <c r="T158" s="5">
        <f t="shared" si="10"/>
        <v>0</v>
      </c>
      <c r="U158" s="5">
        <f t="shared" si="10"/>
        <v>0</v>
      </c>
      <c r="V158" s="5">
        <f t="shared" si="10"/>
        <v>0</v>
      </c>
    </row>
    <row r="159" spans="1:22" x14ac:dyDescent="0.2">
      <c r="A159" s="33"/>
      <c r="J159" s="3">
        <f t="shared" si="9"/>
        <v>0</v>
      </c>
      <c r="K159" s="3">
        <f t="shared" si="9"/>
        <v>0</v>
      </c>
      <c r="L159" s="3">
        <f t="shared" si="9"/>
        <v>0</v>
      </c>
      <c r="M159" s="3">
        <f t="shared" si="9"/>
        <v>0</v>
      </c>
    </row>
    <row r="160" spans="1:22" x14ac:dyDescent="0.2">
      <c r="A160" s="33"/>
      <c r="J160" s="3">
        <f t="shared" si="9"/>
        <v>0</v>
      </c>
      <c r="K160" s="3">
        <f t="shared" si="9"/>
        <v>0</v>
      </c>
      <c r="L160" s="3">
        <f t="shared" si="9"/>
        <v>0</v>
      </c>
      <c r="M160" s="3">
        <f t="shared" si="9"/>
        <v>0</v>
      </c>
    </row>
    <row r="161" spans="1:13" x14ac:dyDescent="0.2">
      <c r="A161" s="33"/>
      <c r="J161" s="3">
        <f t="shared" si="9"/>
        <v>0</v>
      </c>
      <c r="K161" s="3">
        <f t="shared" si="9"/>
        <v>0</v>
      </c>
      <c r="L161" s="3">
        <f t="shared" si="9"/>
        <v>0</v>
      </c>
      <c r="M161" s="3">
        <f t="shared" si="9"/>
        <v>0</v>
      </c>
    </row>
    <row r="162" spans="1:13" x14ac:dyDescent="0.2">
      <c r="A162" s="33"/>
      <c r="J162" s="3">
        <f t="shared" si="9"/>
        <v>0</v>
      </c>
      <c r="K162" s="3">
        <f t="shared" si="9"/>
        <v>0</v>
      </c>
      <c r="L162" s="3">
        <f t="shared" si="9"/>
        <v>0</v>
      </c>
      <c r="M162" s="3">
        <f t="shared" si="9"/>
        <v>0</v>
      </c>
    </row>
    <row r="163" spans="1:13" x14ac:dyDescent="0.2">
      <c r="A163" s="33"/>
      <c r="J163" s="3">
        <f t="shared" si="9"/>
        <v>0</v>
      </c>
      <c r="K163" s="3">
        <f t="shared" si="9"/>
        <v>0</v>
      </c>
      <c r="L163" s="3">
        <f t="shared" si="9"/>
        <v>0</v>
      </c>
      <c r="M163" s="3">
        <f t="shared" si="9"/>
        <v>0</v>
      </c>
    </row>
    <row r="164" spans="1:13" x14ac:dyDescent="0.2">
      <c r="A164" s="33"/>
      <c r="J164" s="3">
        <f t="shared" si="9"/>
        <v>0</v>
      </c>
      <c r="K164" s="3">
        <f t="shared" si="9"/>
        <v>0</v>
      </c>
      <c r="L164" s="3">
        <f t="shared" si="9"/>
        <v>0</v>
      </c>
      <c r="M164" s="3">
        <f t="shared" si="9"/>
        <v>0</v>
      </c>
    </row>
    <row r="165" spans="1:13" x14ac:dyDescent="0.2">
      <c r="A165" s="33"/>
      <c r="J165" s="3">
        <f t="shared" si="9"/>
        <v>0</v>
      </c>
      <c r="K165" s="3">
        <f t="shared" si="9"/>
        <v>0</v>
      </c>
      <c r="L165" s="3">
        <f t="shared" si="9"/>
        <v>0</v>
      </c>
      <c r="M165" s="3">
        <f t="shared" si="9"/>
        <v>0</v>
      </c>
    </row>
    <row r="166" spans="1:13" x14ac:dyDescent="0.2">
      <c r="A166" s="33"/>
      <c r="J166" s="3">
        <f t="shared" si="9"/>
        <v>0</v>
      </c>
      <c r="K166" s="3">
        <f t="shared" si="9"/>
        <v>0</v>
      </c>
      <c r="L166" s="3">
        <f t="shared" si="9"/>
        <v>0</v>
      </c>
      <c r="M166" s="3">
        <f t="shared" si="9"/>
        <v>0</v>
      </c>
    </row>
    <row r="167" spans="1:13" x14ac:dyDescent="0.2">
      <c r="A167" s="33"/>
      <c r="J167" s="3">
        <f t="shared" si="9"/>
        <v>0</v>
      </c>
      <c r="K167" s="3">
        <f t="shared" si="9"/>
        <v>0</v>
      </c>
      <c r="L167" s="3">
        <f t="shared" si="9"/>
        <v>0</v>
      </c>
      <c r="M167" s="3">
        <f t="shared" si="9"/>
        <v>0</v>
      </c>
    </row>
    <row r="168" spans="1:13" x14ac:dyDescent="0.2">
      <c r="A168" s="33"/>
      <c r="J168" s="3">
        <f t="shared" si="9"/>
        <v>0</v>
      </c>
      <c r="K168" s="3">
        <f t="shared" si="9"/>
        <v>0</v>
      </c>
      <c r="L168" s="3">
        <f t="shared" si="9"/>
        <v>0</v>
      </c>
      <c r="M168" s="3">
        <f t="shared" si="9"/>
        <v>0</v>
      </c>
    </row>
    <row r="169" spans="1:13" x14ac:dyDescent="0.2">
      <c r="A169" s="33"/>
      <c r="J169" s="3">
        <f t="shared" si="9"/>
        <v>0</v>
      </c>
      <c r="K169" s="3">
        <f t="shared" si="9"/>
        <v>0</v>
      </c>
      <c r="L169" s="3">
        <f t="shared" si="9"/>
        <v>0</v>
      </c>
      <c r="M169" s="3">
        <f t="shared" si="9"/>
        <v>0</v>
      </c>
    </row>
    <row r="170" spans="1:13" x14ac:dyDescent="0.2">
      <c r="A170" s="33"/>
      <c r="J170" s="3">
        <f t="shared" si="9"/>
        <v>0</v>
      </c>
      <c r="K170" s="3">
        <f t="shared" si="9"/>
        <v>0</v>
      </c>
      <c r="L170" s="3">
        <f t="shared" si="9"/>
        <v>0</v>
      </c>
      <c r="M170" s="3">
        <f t="shared" si="9"/>
        <v>0</v>
      </c>
    </row>
    <row r="171" spans="1:13" x14ac:dyDescent="0.2">
      <c r="A171" s="33"/>
      <c r="J171" s="3">
        <f t="shared" si="9"/>
        <v>0</v>
      </c>
      <c r="K171" s="3">
        <f t="shared" si="9"/>
        <v>0</v>
      </c>
      <c r="L171" s="3">
        <f t="shared" si="9"/>
        <v>0</v>
      </c>
      <c r="M171" s="3">
        <f t="shared" si="9"/>
        <v>0</v>
      </c>
    </row>
    <row r="172" spans="1:13" x14ac:dyDescent="0.2">
      <c r="A172" s="33"/>
      <c r="J172" s="3">
        <f t="shared" si="9"/>
        <v>0</v>
      </c>
      <c r="K172" s="3">
        <f t="shared" si="9"/>
        <v>0</v>
      </c>
      <c r="L172" s="3">
        <f t="shared" si="9"/>
        <v>0</v>
      </c>
      <c r="M172" s="3">
        <f t="shared" si="9"/>
        <v>0</v>
      </c>
    </row>
    <row r="173" spans="1:13" x14ac:dyDescent="0.2">
      <c r="A173" s="33"/>
    </row>
    <row r="174" spans="1:13" x14ac:dyDescent="0.2">
      <c r="A174" s="33"/>
    </row>
    <row r="175" spans="1:13" x14ac:dyDescent="0.2">
      <c r="A175" s="33"/>
    </row>
    <row r="176" spans="1:13" x14ac:dyDescent="0.2">
      <c r="A176" s="33"/>
    </row>
    <row r="177" spans="1:1" x14ac:dyDescent="0.2">
      <c r="A177" s="33"/>
    </row>
    <row r="178" spans="1:1" x14ac:dyDescent="0.2">
      <c r="A178" s="33"/>
    </row>
    <row r="179" spans="1:1" x14ac:dyDescent="0.2">
      <c r="A179" s="33"/>
    </row>
    <row r="180" spans="1:1" x14ac:dyDescent="0.2">
      <c r="A180" s="33"/>
    </row>
    <row r="181" spans="1:1" x14ac:dyDescent="0.2">
      <c r="A181" s="33"/>
    </row>
    <row r="182" spans="1:1" x14ac:dyDescent="0.2">
      <c r="A182" s="33"/>
    </row>
    <row r="183" spans="1:1" x14ac:dyDescent="0.2">
      <c r="A183" s="33"/>
    </row>
    <row r="184" spans="1:1" x14ac:dyDescent="0.2">
      <c r="A184" s="33"/>
    </row>
    <row r="185" spans="1:1" x14ac:dyDescent="0.2">
      <c r="A185" s="33"/>
    </row>
    <row r="186" spans="1:1" x14ac:dyDescent="0.2">
      <c r="A186" s="33"/>
    </row>
    <row r="187" spans="1:1" x14ac:dyDescent="0.2">
      <c r="A187" s="33"/>
    </row>
    <row r="188" spans="1:1" x14ac:dyDescent="0.2">
      <c r="A188" s="33"/>
    </row>
    <row r="189" spans="1:1" x14ac:dyDescent="0.2">
      <c r="A189" s="33"/>
    </row>
    <row r="190" spans="1:1" x14ac:dyDescent="0.2">
      <c r="A190" s="33"/>
    </row>
    <row r="191" spans="1:1" x14ac:dyDescent="0.2">
      <c r="A191" s="33"/>
    </row>
    <row r="192" spans="1:1" x14ac:dyDescent="0.2">
      <c r="A192" s="33"/>
    </row>
    <row r="193" spans="1:1" x14ac:dyDescent="0.2">
      <c r="A193" s="33"/>
    </row>
    <row r="194" spans="1:1" x14ac:dyDescent="0.2">
      <c r="A194" s="33"/>
    </row>
    <row r="195" spans="1:1" x14ac:dyDescent="0.2">
      <c r="A195" s="33"/>
    </row>
    <row r="196" spans="1:1" x14ac:dyDescent="0.2">
      <c r="A196" s="33"/>
    </row>
    <row r="197" spans="1:1" x14ac:dyDescent="0.2">
      <c r="A197" s="33"/>
    </row>
    <row r="198" spans="1:1" x14ac:dyDescent="0.2">
      <c r="A198" s="33"/>
    </row>
    <row r="199" spans="1:1" x14ac:dyDescent="0.2">
      <c r="A199" s="33"/>
    </row>
    <row r="200" spans="1:1" x14ac:dyDescent="0.2">
      <c r="A200" s="33"/>
    </row>
    <row r="201" spans="1:1" x14ac:dyDescent="0.2">
      <c r="A201" s="33"/>
    </row>
    <row r="202" spans="1:1" x14ac:dyDescent="0.2">
      <c r="A202" s="33"/>
    </row>
    <row r="203" spans="1:1" x14ac:dyDescent="0.2">
      <c r="A203" s="33"/>
    </row>
    <row r="204" spans="1:1" x14ac:dyDescent="0.2">
      <c r="A204" s="33"/>
    </row>
    <row r="205" spans="1:1" x14ac:dyDescent="0.2">
      <c r="A205" s="33"/>
    </row>
    <row r="206" spans="1:1" x14ac:dyDescent="0.2">
      <c r="A206" s="33"/>
    </row>
    <row r="207" spans="1:1" x14ac:dyDescent="0.2">
      <c r="A207" s="33"/>
    </row>
    <row r="208" spans="1:1" x14ac:dyDescent="0.2">
      <c r="A208" s="33"/>
    </row>
    <row r="209" spans="1:1" x14ac:dyDescent="0.2">
      <c r="A209" s="33"/>
    </row>
    <row r="210" spans="1:1" x14ac:dyDescent="0.2">
      <c r="A210" s="33"/>
    </row>
    <row r="211" spans="1:1" x14ac:dyDescent="0.2">
      <c r="A211" s="33"/>
    </row>
    <row r="212" spans="1:1" x14ac:dyDescent="0.2">
      <c r="A212" s="33"/>
    </row>
    <row r="213" spans="1:1" x14ac:dyDescent="0.2">
      <c r="A213" s="33"/>
    </row>
    <row r="214" spans="1:1" x14ac:dyDescent="0.2">
      <c r="A214" s="33"/>
    </row>
    <row r="215" spans="1:1" x14ac:dyDescent="0.2">
      <c r="A215" s="33"/>
    </row>
    <row r="216" spans="1:1" x14ac:dyDescent="0.2">
      <c r="A216" s="33"/>
    </row>
    <row r="217" spans="1:1" x14ac:dyDescent="0.2">
      <c r="A217" s="33"/>
    </row>
    <row r="218" spans="1:1" x14ac:dyDescent="0.2">
      <c r="A218" s="33"/>
    </row>
    <row r="219" spans="1:1" x14ac:dyDescent="0.2">
      <c r="A219" s="33"/>
    </row>
    <row r="220" spans="1:1" x14ac:dyDescent="0.2">
      <c r="A220" s="33"/>
    </row>
    <row r="221" spans="1:1" x14ac:dyDescent="0.2">
      <c r="A221" s="33"/>
    </row>
    <row r="222" spans="1:1" x14ac:dyDescent="0.2">
      <c r="A222" s="33"/>
    </row>
    <row r="223" spans="1:1" x14ac:dyDescent="0.2">
      <c r="A223" s="33"/>
    </row>
    <row r="224" spans="1:1" x14ac:dyDescent="0.2">
      <c r="A224" s="33"/>
    </row>
    <row r="225" spans="1:1" x14ac:dyDescent="0.2">
      <c r="A225" s="33"/>
    </row>
    <row r="226" spans="1:1" x14ac:dyDescent="0.2">
      <c r="A226" s="33"/>
    </row>
    <row r="227" spans="1:1" x14ac:dyDescent="0.2">
      <c r="A227" s="33"/>
    </row>
    <row r="228" spans="1:1" x14ac:dyDescent="0.2">
      <c r="A228" s="33"/>
    </row>
    <row r="229" spans="1:1" x14ac:dyDescent="0.2">
      <c r="A229" s="33"/>
    </row>
    <row r="230" spans="1:1" x14ac:dyDescent="0.2">
      <c r="A230" s="33"/>
    </row>
    <row r="231" spans="1:1" x14ac:dyDescent="0.2">
      <c r="A231" s="33"/>
    </row>
    <row r="232" spans="1:1" x14ac:dyDescent="0.2">
      <c r="A232" s="33"/>
    </row>
    <row r="233" spans="1:1" x14ac:dyDescent="0.2">
      <c r="A233" s="33"/>
    </row>
    <row r="234" spans="1:1" x14ac:dyDescent="0.2">
      <c r="A234" s="33"/>
    </row>
    <row r="235" spans="1:1" x14ac:dyDescent="0.2">
      <c r="A235" s="33"/>
    </row>
    <row r="236" spans="1:1" x14ac:dyDescent="0.2">
      <c r="A236" s="33"/>
    </row>
    <row r="237" spans="1:1" x14ac:dyDescent="0.2">
      <c r="A237" s="33"/>
    </row>
    <row r="238" spans="1:1" x14ac:dyDescent="0.2">
      <c r="A238" s="33"/>
    </row>
    <row r="239" spans="1:1" x14ac:dyDescent="0.2">
      <c r="A239" s="33"/>
    </row>
    <row r="240" spans="1:1" x14ac:dyDescent="0.2">
      <c r="A240" s="33"/>
    </row>
    <row r="241" spans="1:1" x14ac:dyDescent="0.2">
      <c r="A241" s="33"/>
    </row>
    <row r="242" spans="1:1" x14ac:dyDescent="0.2">
      <c r="A242" s="33"/>
    </row>
    <row r="243" spans="1:1" x14ac:dyDescent="0.2">
      <c r="A243" s="33"/>
    </row>
    <row r="244" spans="1:1" x14ac:dyDescent="0.2">
      <c r="A244" s="33"/>
    </row>
    <row r="245" spans="1:1" x14ac:dyDescent="0.2">
      <c r="A245" s="33"/>
    </row>
    <row r="246" spans="1:1" x14ac:dyDescent="0.2">
      <c r="A246" s="33"/>
    </row>
    <row r="247" spans="1:1" x14ac:dyDescent="0.2">
      <c r="A247" s="33"/>
    </row>
    <row r="248" spans="1:1" x14ac:dyDescent="0.2">
      <c r="A248" s="33"/>
    </row>
    <row r="249" spans="1:1" x14ac:dyDescent="0.2">
      <c r="A249" s="33"/>
    </row>
    <row r="250" spans="1:1" x14ac:dyDescent="0.2">
      <c r="A250" s="33"/>
    </row>
    <row r="251" spans="1:1" x14ac:dyDescent="0.2">
      <c r="A251" s="33"/>
    </row>
    <row r="252" spans="1:1" x14ac:dyDescent="0.2">
      <c r="A252" s="33"/>
    </row>
    <row r="253" spans="1:1" x14ac:dyDescent="0.2">
      <c r="A253" s="33"/>
    </row>
    <row r="254" spans="1:1" x14ac:dyDescent="0.2">
      <c r="A254" s="33"/>
    </row>
    <row r="255" spans="1:1" x14ac:dyDescent="0.2">
      <c r="A255" s="33"/>
    </row>
    <row r="256" spans="1:1" x14ac:dyDescent="0.2">
      <c r="A256" s="33"/>
    </row>
    <row r="257" spans="1:1" x14ac:dyDescent="0.2">
      <c r="A257" s="33"/>
    </row>
    <row r="258" spans="1:1" x14ac:dyDescent="0.2">
      <c r="A258" s="33"/>
    </row>
    <row r="259" spans="1:1" x14ac:dyDescent="0.2">
      <c r="A259" s="33"/>
    </row>
    <row r="260" spans="1:1" x14ac:dyDescent="0.2">
      <c r="A260" s="33"/>
    </row>
    <row r="261" spans="1:1" x14ac:dyDescent="0.2">
      <c r="A261" s="33"/>
    </row>
    <row r="262" spans="1:1" x14ac:dyDescent="0.2">
      <c r="A262" s="33"/>
    </row>
    <row r="263" spans="1:1" x14ac:dyDescent="0.2">
      <c r="A263" s="33"/>
    </row>
    <row r="264" spans="1:1" x14ac:dyDescent="0.2">
      <c r="A264" s="33"/>
    </row>
    <row r="265" spans="1:1" x14ac:dyDescent="0.2">
      <c r="A265" s="33"/>
    </row>
    <row r="266" spans="1:1" x14ac:dyDescent="0.2">
      <c r="A266" s="33"/>
    </row>
    <row r="267" spans="1:1" x14ac:dyDescent="0.2">
      <c r="A267" s="33"/>
    </row>
    <row r="268" spans="1:1" x14ac:dyDescent="0.2">
      <c r="A268" s="33"/>
    </row>
    <row r="269" spans="1:1" x14ac:dyDescent="0.2">
      <c r="A269" s="33"/>
    </row>
    <row r="270" spans="1:1" x14ac:dyDescent="0.2">
      <c r="A270" s="33"/>
    </row>
    <row r="271" spans="1:1" x14ac:dyDescent="0.2">
      <c r="A271" s="33"/>
    </row>
    <row r="272" spans="1:1" x14ac:dyDescent="0.2">
      <c r="A272" s="33"/>
    </row>
    <row r="273" spans="1:1" x14ac:dyDescent="0.2">
      <c r="A273" s="33"/>
    </row>
    <row r="274" spans="1:1" x14ac:dyDescent="0.2">
      <c r="A274" s="33"/>
    </row>
    <row r="275" spans="1:1" x14ac:dyDescent="0.2">
      <c r="A275" s="33"/>
    </row>
    <row r="276" spans="1:1" x14ac:dyDescent="0.2">
      <c r="A276" s="33"/>
    </row>
    <row r="277" spans="1:1" x14ac:dyDescent="0.2">
      <c r="A277" s="33"/>
    </row>
    <row r="278" spans="1:1" x14ac:dyDescent="0.2">
      <c r="A278" s="33"/>
    </row>
    <row r="279" spans="1:1" x14ac:dyDescent="0.2">
      <c r="A279" s="33"/>
    </row>
    <row r="280" spans="1:1" x14ac:dyDescent="0.2">
      <c r="A280" s="33"/>
    </row>
    <row r="281" spans="1:1" x14ac:dyDescent="0.2">
      <c r="A281" s="33"/>
    </row>
    <row r="282" spans="1:1" x14ac:dyDescent="0.2">
      <c r="A282" s="33"/>
    </row>
    <row r="283" spans="1:1" x14ac:dyDescent="0.2">
      <c r="A283" s="33"/>
    </row>
    <row r="284" spans="1:1" x14ac:dyDescent="0.2">
      <c r="A284" s="33"/>
    </row>
    <row r="285" spans="1:1" x14ac:dyDescent="0.2">
      <c r="A285" s="33"/>
    </row>
    <row r="286" spans="1:1" x14ac:dyDescent="0.2">
      <c r="A286" s="33"/>
    </row>
    <row r="287" spans="1:1" x14ac:dyDescent="0.2">
      <c r="A287" s="33"/>
    </row>
    <row r="288" spans="1:1" x14ac:dyDescent="0.2">
      <c r="A288" s="33"/>
    </row>
    <row r="289" spans="1:1" x14ac:dyDescent="0.2">
      <c r="A289" s="33"/>
    </row>
    <row r="290" spans="1:1" x14ac:dyDescent="0.2">
      <c r="A290" s="33"/>
    </row>
    <row r="291" spans="1:1" x14ac:dyDescent="0.2">
      <c r="A291" s="33"/>
    </row>
    <row r="292" spans="1:1" x14ac:dyDescent="0.2">
      <c r="A292" s="33"/>
    </row>
    <row r="293" spans="1:1" x14ac:dyDescent="0.2">
      <c r="A293" s="33"/>
    </row>
    <row r="294" spans="1:1" x14ac:dyDescent="0.2">
      <c r="A294" s="33"/>
    </row>
    <row r="295" spans="1:1" x14ac:dyDescent="0.2">
      <c r="A295" s="33"/>
    </row>
    <row r="296" spans="1:1" x14ac:dyDescent="0.2">
      <c r="A296" s="33"/>
    </row>
    <row r="297" spans="1:1" x14ac:dyDescent="0.2">
      <c r="A297" s="33"/>
    </row>
    <row r="298" spans="1:1" x14ac:dyDescent="0.2">
      <c r="A298" s="33"/>
    </row>
    <row r="299" spans="1:1" x14ac:dyDescent="0.2">
      <c r="A299" s="33"/>
    </row>
    <row r="300" spans="1:1" x14ac:dyDescent="0.2">
      <c r="A300" s="33"/>
    </row>
    <row r="301" spans="1:1" x14ac:dyDescent="0.2">
      <c r="A301" s="33"/>
    </row>
    <row r="302" spans="1:1" x14ac:dyDescent="0.2">
      <c r="A302" s="33"/>
    </row>
    <row r="303" spans="1:1" x14ac:dyDescent="0.2">
      <c r="A303" s="33"/>
    </row>
    <row r="304" spans="1:1" x14ac:dyDescent="0.2">
      <c r="A304" s="33"/>
    </row>
    <row r="305" spans="1:1" x14ac:dyDescent="0.2">
      <c r="A305" s="33"/>
    </row>
    <row r="306" spans="1:1" x14ac:dyDescent="0.2">
      <c r="A306" s="33"/>
    </row>
    <row r="307" spans="1:1" x14ac:dyDescent="0.2">
      <c r="A307" s="33"/>
    </row>
    <row r="308" spans="1:1" x14ac:dyDescent="0.2">
      <c r="A308" s="33"/>
    </row>
    <row r="309" spans="1:1" x14ac:dyDescent="0.2">
      <c r="A309" s="33"/>
    </row>
    <row r="310" spans="1:1" x14ac:dyDescent="0.2">
      <c r="A310" s="33"/>
    </row>
    <row r="311" spans="1:1" x14ac:dyDescent="0.2">
      <c r="A311" s="33"/>
    </row>
    <row r="312" spans="1:1" x14ac:dyDescent="0.2">
      <c r="A312" s="33"/>
    </row>
    <row r="313" spans="1:1" x14ac:dyDescent="0.2">
      <c r="A313" s="33"/>
    </row>
    <row r="314" spans="1:1" x14ac:dyDescent="0.2">
      <c r="A314" s="33"/>
    </row>
    <row r="315" spans="1:1" x14ac:dyDescent="0.2">
      <c r="A315" s="33"/>
    </row>
    <row r="316" spans="1:1" x14ac:dyDescent="0.2">
      <c r="A316" s="33"/>
    </row>
    <row r="317" spans="1:1" x14ac:dyDescent="0.2">
      <c r="A317" s="33"/>
    </row>
    <row r="318" spans="1:1" x14ac:dyDescent="0.2">
      <c r="A318" s="33"/>
    </row>
    <row r="319" spans="1:1" x14ac:dyDescent="0.2">
      <c r="A319" s="33"/>
    </row>
    <row r="320" spans="1:1" x14ac:dyDescent="0.2">
      <c r="A320" s="33"/>
    </row>
    <row r="321" spans="1:1" x14ac:dyDescent="0.2">
      <c r="A321" s="33"/>
    </row>
    <row r="322" spans="1:1" x14ac:dyDescent="0.2">
      <c r="A322" s="33"/>
    </row>
    <row r="323" spans="1:1" x14ac:dyDescent="0.2">
      <c r="A323" s="33"/>
    </row>
    <row r="324" spans="1:1" x14ac:dyDescent="0.2">
      <c r="A324" s="33"/>
    </row>
    <row r="325" spans="1:1" x14ac:dyDescent="0.2">
      <c r="A325" s="33"/>
    </row>
    <row r="326" spans="1:1" x14ac:dyDescent="0.2">
      <c r="A326" s="33"/>
    </row>
    <row r="327" spans="1:1" x14ac:dyDescent="0.2">
      <c r="A327" s="33"/>
    </row>
    <row r="328" spans="1:1" x14ac:dyDescent="0.2">
      <c r="A328" s="33"/>
    </row>
    <row r="329" spans="1:1" x14ac:dyDescent="0.2">
      <c r="A329" s="33"/>
    </row>
    <row r="330" spans="1:1" x14ac:dyDescent="0.2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Atualizar_Yahoo">
                <anchor moveWithCells="1">
                  <from>
                    <xdr:col>17</xdr:col>
                    <xdr:colOff>66675</xdr:colOff>
                    <xdr:row>0</xdr:row>
                    <xdr:rowOff>114300</xdr:rowOff>
                  </from>
                  <to>
                    <xdr:col>18</xdr:col>
                    <xdr:colOff>200025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1"/>
  <sheetViews>
    <sheetView workbookViewId="0">
      <selection activeCell="S10" sqref="S10"/>
    </sheetView>
  </sheetViews>
  <sheetFormatPr defaultRowHeight="11.25" x14ac:dyDescent="0.2"/>
  <cols>
    <col min="1" max="1" width="13.5703125" style="51" bestFit="1" customWidth="1"/>
    <col min="2" max="2" width="5.28515625" style="16" hidden="1" customWidth="1"/>
    <col min="3" max="3" width="6" style="16" hidden="1" customWidth="1"/>
    <col min="4" max="4" width="5.85546875" style="16" hidden="1" customWidth="1"/>
    <col min="5" max="5" width="7.140625" style="5" bestFit="1" customWidth="1"/>
    <col min="6" max="6" width="10.42578125" style="72" bestFit="1" customWidth="1"/>
    <col min="7" max="7" width="7.42578125" style="73" bestFit="1" customWidth="1"/>
    <col min="8" max="8" width="9.7109375" style="74" bestFit="1" customWidth="1"/>
    <col min="9" max="9" width="10.85546875" style="74" bestFit="1" customWidth="1"/>
    <col min="10" max="10" width="7.7109375" style="5" bestFit="1" customWidth="1"/>
    <col min="11" max="11" width="11" style="3" bestFit="1" customWidth="1"/>
    <col min="12" max="12" width="12.5703125" style="3" bestFit="1" customWidth="1"/>
    <col min="13" max="13" width="13.140625" style="3" bestFit="1" customWidth="1"/>
    <col min="14" max="14" width="12.42578125" style="3" bestFit="1" customWidth="1"/>
    <col min="15" max="17" width="9.140625" style="3"/>
    <col min="18" max="18" width="12" style="3" bestFit="1" customWidth="1"/>
    <col min="19" max="16384" width="9.140625" style="3"/>
  </cols>
  <sheetData>
    <row r="1" spans="1:19" x14ac:dyDescent="0.2">
      <c r="A1" s="32" t="s">
        <v>309</v>
      </c>
      <c r="B1" s="70" t="s">
        <v>396</v>
      </c>
      <c r="C1" s="70" t="s">
        <v>397</v>
      </c>
      <c r="D1" s="70" t="s">
        <v>398</v>
      </c>
      <c r="E1" s="31" t="s">
        <v>388</v>
      </c>
      <c r="F1" s="71" t="s">
        <v>312</v>
      </c>
      <c r="G1" s="71" t="s">
        <v>310</v>
      </c>
      <c r="H1" s="71" t="s">
        <v>311</v>
      </c>
      <c r="I1" s="71" t="s">
        <v>399</v>
      </c>
      <c r="J1" s="12" t="s">
        <v>400</v>
      </c>
      <c r="K1" s="65" t="s">
        <v>389</v>
      </c>
      <c r="L1" s="66" t="s">
        <v>390</v>
      </c>
      <c r="M1" s="66" t="s">
        <v>391</v>
      </c>
      <c r="N1" s="62" t="s">
        <v>17</v>
      </c>
    </row>
    <row r="2" spans="1:19" x14ac:dyDescent="0.2">
      <c r="A2" s="63">
        <v>41645</v>
      </c>
      <c r="B2" s="16">
        <f>DAY(Table4[Data Liquidação])</f>
        <v>6</v>
      </c>
      <c r="C2" s="16">
        <f>MONTH(Table4[Data Liquidação])</f>
        <v>1</v>
      </c>
      <c r="D2" s="16">
        <f>YEAR(Table4[Data Liquidação])</f>
        <v>2014</v>
      </c>
      <c r="E2" s="63" t="s">
        <v>67</v>
      </c>
      <c r="F2" s="72">
        <v>940.06</v>
      </c>
      <c r="G2" s="72">
        <v>0</v>
      </c>
      <c r="H2" s="72">
        <v>0</v>
      </c>
      <c r="I2" s="72">
        <v>0</v>
      </c>
      <c r="K2" s="16">
        <v>100</v>
      </c>
      <c r="L2" s="67">
        <f>SUMPRODUCT(N(Table4[Nome]=Table4[[#This Row],[Nome]]),N(DATE(YEAR(Table4[Data Liquidação]),MONTH(Table4[Data Liquidação]),DAY(Table4[Data Liquidação]))&lt;=DATE(YEAR(Table4[[#This Row],[Data Liquidação]]),MONTH(Table4[[#This Row],[Data Liquidação]]),DAY(Table4[[#This Row],[Data Liquidação]]))),Table4[Aplicação])/SUMPRODUCT(N(Table4[Nome]=Table4[[#This Row],[Nome]]),N(DATE(YEAR(Table4[Data Liquidação]),MONTH(Table4[Data Liquidação]),DAY(Table4[Data Liquidação]))&lt;=DATE(YEAR(Table4[[#This Row],[Data Liquidação]]),MONTH(Table4[[#This Row],[Data Liquidação]]),DAY(Table4[[#This Row],[Data Liquidação]]))),Table4[Quantidade])</f>
        <v>9.400599999999999</v>
      </c>
      <c r="M2" s="67">
        <f>IF(OR(Table4[Dividendo]&gt;0,Table4[JPC]&gt;0),(Table4[[#This Row],[Dividendo]]+Table4[[#This Row],[JPC]])/SUMPRODUCT(N(Table4[Nome]=Table4[[#This Row],[Nome]]),N(DATE(YEAR(Table4[Data Liquidação]),MONTH(Table4[Data Liquidação]),DAY(Table4[Data Liquidação]))&lt;=DATE(YEAR(Table4[[#This Row],[Data Liquidação]]),MONTH(Table4[[#This Row],[Data Liquidação]]),DAY(Table4[[#This Row],[Data Liquidação]]))),Table4[Quantidade]),0)</f>
        <v>0</v>
      </c>
      <c r="N2" s="18" t="str">
        <f>IF(Table4[Lucro p/ Ação]&gt;0,Table4[Lucro p/ Ação]/Table4[Preço Médio],"")</f>
        <v/>
      </c>
    </row>
    <row r="3" spans="1:19" x14ac:dyDescent="0.2">
      <c r="A3" s="63">
        <v>41673</v>
      </c>
      <c r="B3" s="16">
        <f>DAY(Table4[Data Liquidação])</f>
        <v>3</v>
      </c>
      <c r="C3" s="16">
        <f>MONTH(Table4[Data Liquidação])</f>
        <v>2</v>
      </c>
      <c r="D3" s="16">
        <f>YEAR(Table4[Data Liquidação])</f>
        <v>2014</v>
      </c>
      <c r="E3" s="95" t="s">
        <v>39</v>
      </c>
      <c r="F3" s="72">
        <v>315.86</v>
      </c>
      <c r="G3" s="73">
        <v>0</v>
      </c>
      <c r="H3" s="74">
        <v>0</v>
      </c>
      <c r="I3" s="74">
        <v>0</v>
      </c>
      <c r="J3" s="5">
        <v>0</v>
      </c>
      <c r="K3" s="10">
        <v>600</v>
      </c>
      <c r="L3" s="59">
        <f>SUMPRODUCT(N(Table4[Nome]=Table4[[#This Row],[Nome]]),N(DATE(YEAR(Table4[Data Liquidação]),MONTH(Table4[Data Liquidação]),DAY(Table4[Data Liquidação]))&lt;=DATE(YEAR(Table4[[#This Row],[Data Liquidação]]),MONTH(Table4[[#This Row],[Data Liquidação]]),DAY(Table4[[#This Row],[Data Liquidação]]))),Table4[Aplicação])/SUMPRODUCT(N(Table4[Nome]=Table4[[#This Row],[Nome]]),N(DATE(YEAR(Table4[Data Liquidação]),MONTH(Table4[Data Liquidação]),DAY(Table4[Data Liquidação]))&lt;=DATE(YEAR(Table4[[#This Row],[Data Liquidação]]),MONTH(Table4[[#This Row],[Data Liquidação]]),DAY(Table4[[#This Row],[Data Liquidação]]))),Table4[Quantidade])</f>
        <v>0.52643333333333331</v>
      </c>
      <c r="M3" s="59">
        <f>IF(OR(Table4[Dividendo]&gt;0,Table4[JPC]&gt;0),(Table4[[#This Row],[Dividendo]]+Table4[[#This Row],[JPC]])/SUMPRODUCT(N(Table4[Nome]=Table4[[#This Row],[Nome]]),N(DATE(YEAR(Table4[Data Liquidação]),MONTH(Table4[Data Liquidação]),DAY(Table4[Data Liquidação]))&lt;=DATE(YEAR(Table4[[#This Row],[Data Liquidação]]),MONTH(Table4[[#This Row],[Data Liquidação]]),DAY(Table4[[#This Row],[Data Liquidação]]))),Table4[Quantidade]),0)</f>
        <v>0</v>
      </c>
      <c r="N3" s="22" t="str">
        <f>IF(Table4[Lucro p/ Ação]&gt;0,Table4[Lucro p/ Ação]/Table4[Preço Médio],"")</f>
        <v/>
      </c>
      <c r="Q3" s="53"/>
      <c r="R3" s="18"/>
      <c r="S3" s="64"/>
    </row>
    <row r="4" spans="1:19" x14ac:dyDescent="0.2">
      <c r="A4" s="51" t="s">
        <v>313</v>
      </c>
      <c r="B4" s="10"/>
      <c r="C4" s="10"/>
      <c r="D4" s="10"/>
      <c r="E4" s="10"/>
      <c r="F4" s="73">
        <f>SUBTOTAL(109,Table4[Aplicação])</f>
        <v>1255.92</v>
      </c>
      <c r="G4" s="73">
        <f>SUBTOTAL(105,Table4[Taxas])</f>
        <v>0</v>
      </c>
      <c r="H4" s="73">
        <f>SUBTOTAL(109,Table4[Resgates])</f>
        <v>0</v>
      </c>
      <c r="I4" s="73">
        <f>SUBTOTAL(109,Table4[Dividendo])</f>
        <v>0</v>
      </c>
      <c r="J4" s="7">
        <f>SUBTOTAL(109,Table4[JPC])</f>
        <v>0</v>
      </c>
      <c r="K4" s="10"/>
      <c r="L4" s="59"/>
      <c r="M4" s="59"/>
      <c r="N4" s="22">
        <f>(Table4[[#Totals],[JPC]]+Table4[[#Totals],[Dividendo]])/Table4[[#Totals],[Aplicação]]</f>
        <v>0</v>
      </c>
    </row>
    <row r="10" spans="1:19" x14ac:dyDescent="0.2">
      <c r="Q10" s="3">
        <v>3600</v>
      </c>
      <c r="R10" s="53">
        <v>0.5</v>
      </c>
      <c r="S10" s="3">
        <v>10</v>
      </c>
    </row>
    <row r="11" spans="1:19" x14ac:dyDescent="0.2">
      <c r="R11" s="96">
        <f>FV(R10,S10,-Q10)</f>
        <v>407988.28125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7"/>
  <sheetViews>
    <sheetView workbookViewId="0">
      <selection activeCell="E6" sqref="E6"/>
    </sheetView>
  </sheetViews>
  <sheetFormatPr defaultRowHeight="15" x14ac:dyDescent="0.25"/>
  <cols>
    <col min="1" max="1" width="13.140625" bestFit="1" customWidth="1"/>
    <col min="2" max="2" width="13.7109375" customWidth="1"/>
    <col min="3" max="3" width="14.28515625" customWidth="1"/>
    <col min="4" max="4" width="15.140625" customWidth="1"/>
    <col min="5" max="5" width="8.85546875" bestFit="1" customWidth="1"/>
    <col min="6" max="6" width="18" customWidth="1"/>
    <col min="7" max="7" width="15.5703125" bestFit="1" customWidth="1"/>
  </cols>
  <sheetData>
    <row r="3" spans="1:7" x14ac:dyDescent="0.25">
      <c r="B3" s="1" t="s">
        <v>11</v>
      </c>
    </row>
    <row r="4" spans="1:7" x14ac:dyDescent="0.25">
      <c r="A4" s="1" t="s">
        <v>806</v>
      </c>
      <c r="B4" t="s">
        <v>392</v>
      </c>
      <c r="C4" t="s">
        <v>393</v>
      </c>
      <c r="D4" t="s">
        <v>401</v>
      </c>
      <c r="E4" t="s">
        <v>402</v>
      </c>
      <c r="F4" t="s">
        <v>394</v>
      </c>
      <c r="G4" t="s">
        <v>395</v>
      </c>
    </row>
    <row r="5" spans="1:7" x14ac:dyDescent="0.25">
      <c r="A5" s="2" t="s">
        <v>67</v>
      </c>
      <c r="B5" s="69">
        <v>940.06</v>
      </c>
      <c r="C5" s="68">
        <v>100</v>
      </c>
      <c r="D5" s="69">
        <v>0</v>
      </c>
      <c r="E5" s="69"/>
      <c r="F5" s="69">
        <v>0</v>
      </c>
      <c r="G5" s="50">
        <v>0</v>
      </c>
    </row>
    <row r="6" spans="1:7" x14ac:dyDescent="0.25">
      <c r="A6" s="2" t="s">
        <v>39</v>
      </c>
      <c r="B6" s="69">
        <v>315.86</v>
      </c>
      <c r="C6" s="68">
        <v>600</v>
      </c>
      <c r="D6" s="69">
        <v>0</v>
      </c>
      <c r="E6" s="69">
        <v>0</v>
      </c>
      <c r="F6" s="69">
        <v>0</v>
      </c>
      <c r="G6" s="50">
        <v>0</v>
      </c>
    </row>
    <row r="7" spans="1:7" x14ac:dyDescent="0.25">
      <c r="A7" s="2" t="s">
        <v>807</v>
      </c>
      <c r="B7" s="69">
        <v>1255.92</v>
      </c>
      <c r="C7" s="68">
        <v>700</v>
      </c>
      <c r="D7" s="69">
        <v>0</v>
      </c>
      <c r="E7" s="69">
        <v>0</v>
      </c>
      <c r="F7" s="69">
        <v>0</v>
      </c>
      <c r="G7" s="50">
        <v>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5"/>
  <sheetViews>
    <sheetView topLeftCell="G1" workbookViewId="0">
      <selection activeCell="P2" sqref="P2"/>
    </sheetView>
  </sheetViews>
  <sheetFormatPr defaultRowHeight="15" x14ac:dyDescent="0.25"/>
  <cols>
    <col min="1" max="1" width="3" bestFit="1" customWidth="1"/>
    <col min="2" max="2" width="13.28515625" bestFit="1" customWidth="1"/>
    <col min="3" max="4" width="15.85546875" bestFit="1" customWidth="1"/>
    <col min="5" max="5" width="13.28515625" bestFit="1" customWidth="1"/>
    <col min="6" max="6" width="16.85546875" bestFit="1" customWidth="1"/>
    <col min="7" max="7" width="10.5703125" bestFit="1" customWidth="1"/>
    <col min="8" max="8" width="15.85546875" bestFit="1" customWidth="1"/>
    <col min="9" max="9" width="10.5703125" bestFit="1" customWidth="1"/>
    <col min="10" max="10" width="13.28515625" bestFit="1" customWidth="1"/>
    <col min="11" max="11" width="16.85546875" bestFit="1" customWidth="1"/>
    <col min="12" max="12" width="13.28515625" bestFit="1" customWidth="1"/>
    <col min="16" max="16" width="9.5703125" bestFit="1" customWidth="1"/>
    <col min="17" max="17" width="15.85546875" bestFit="1" customWidth="1"/>
    <col min="18" max="18" width="14.28515625" bestFit="1" customWidth="1"/>
  </cols>
  <sheetData>
    <row r="1" spans="1:18" x14ac:dyDescent="0.25">
      <c r="A1" s="97" t="s">
        <v>948</v>
      </c>
      <c r="B1" s="97" t="s">
        <v>949</v>
      </c>
      <c r="C1" s="97" t="s">
        <v>312</v>
      </c>
      <c r="D1" s="97" t="s">
        <v>53</v>
      </c>
      <c r="E1" s="99">
        <v>0.2</v>
      </c>
      <c r="F1" s="99">
        <v>0.8</v>
      </c>
      <c r="G1" s="100">
        <v>0.46</v>
      </c>
      <c r="O1">
        <v>500000</v>
      </c>
      <c r="P1" s="98">
        <v>0.46</v>
      </c>
      <c r="Q1" s="76">
        <f>O1*P1</f>
        <v>230000</v>
      </c>
    </row>
    <row r="2" spans="1:18" x14ac:dyDescent="0.25">
      <c r="A2">
        <v>1</v>
      </c>
      <c r="B2" s="98">
        <v>500</v>
      </c>
      <c r="C2" s="76">
        <f>SUM($B$2:B2)</f>
        <v>500</v>
      </c>
      <c r="D2" s="76">
        <f>C2*85%</f>
        <v>425</v>
      </c>
      <c r="E2" s="76">
        <f>D2*20%</f>
        <v>85</v>
      </c>
      <c r="F2" s="76">
        <f>D2-E2</f>
        <v>340</v>
      </c>
      <c r="G2">
        <f>F2/$G$1-MOD(F2/$G$1,100)</f>
        <v>700</v>
      </c>
      <c r="H2" s="76">
        <f>SUM(F$2:F2)+SUM(K$2:K2)</f>
        <v>340</v>
      </c>
      <c r="I2" s="101">
        <f>SUM(G$2:G2)</f>
        <v>700</v>
      </c>
      <c r="J2" s="76">
        <f>SUM(B$2:B2)/2</f>
        <v>250</v>
      </c>
      <c r="O2">
        <v>100000</v>
      </c>
      <c r="P2" s="98">
        <v>40</v>
      </c>
      <c r="Q2" s="76">
        <f>O2*P2</f>
        <v>4000000</v>
      </c>
    </row>
    <row r="3" spans="1:18" x14ac:dyDescent="0.25">
      <c r="A3">
        <v>2</v>
      </c>
      <c r="B3" s="98">
        <f>B2</f>
        <v>500</v>
      </c>
      <c r="C3" s="76">
        <f>SUM($B$2:B3)+SUM(E$2:E2)</f>
        <v>1085</v>
      </c>
      <c r="D3" s="76">
        <f t="shared" ref="D3:D22" si="0">C3*85%</f>
        <v>922.25</v>
      </c>
      <c r="E3" s="76">
        <f t="shared" ref="E3:E22" si="1">D3*20%</f>
        <v>184.45000000000002</v>
      </c>
      <c r="F3" s="76">
        <f t="shared" ref="F3:F22" si="2">D3-E3</f>
        <v>737.8</v>
      </c>
      <c r="G3">
        <f t="shared" ref="G3:G22" si="3">F3/$G$1-MOD(F3/$G$1,100)</f>
        <v>1600</v>
      </c>
      <c r="H3" s="76">
        <f>SUM(F$2:F3)+SUM(K$2:K2)</f>
        <v>1077.8</v>
      </c>
      <c r="I3" s="101">
        <f>SUM(G$2:G3)</f>
        <v>2300</v>
      </c>
      <c r="J3" s="76">
        <f>SUM(B$2:B3)/2</f>
        <v>500</v>
      </c>
      <c r="P3" s="76">
        <f>P2-P1</f>
        <v>39.54</v>
      </c>
      <c r="Q3" s="76">
        <f>P3*O2</f>
        <v>3954000</v>
      </c>
    </row>
    <row r="4" spans="1:18" x14ac:dyDescent="0.25">
      <c r="A4">
        <v>3</v>
      </c>
      <c r="B4" s="98">
        <f t="shared" ref="B4:B25" si="4">B3</f>
        <v>500</v>
      </c>
      <c r="C4" s="76">
        <f>SUM($B$2:B4)+SUM(E$2:E3)</f>
        <v>1769.45</v>
      </c>
      <c r="D4" s="76">
        <f t="shared" si="0"/>
        <v>1504.0325</v>
      </c>
      <c r="E4" s="76">
        <f t="shared" si="1"/>
        <v>300.80650000000003</v>
      </c>
      <c r="F4" s="76">
        <f t="shared" si="2"/>
        <v>1203.2260000000001</v>
      </c>
      <c r="G4">
        <f t="shared" si="3"/>
        <v>2600</v>
      </c>
      <c r="H4" s="76">
        <f>SUM(F$2:F4)+SUM(K$2:K3)</f>
        <v>2281.0259999999998</v>
      </c>
      <c r="I4" s="101">
        <f>SUM(G$2:G4)</f>
        <v>4900</v>
      </c>
      <c r="J4" s="76">
        <f>SUM(B$2:B4)/2</f>
        <v>750</v>
      </c>
      <c r="Q4" s="76">
        <f>Q3*85%</f>
        <v>3360900</v>
      </c>
      <c r="R4" s="76">
        <f>Q3-Q4</f>
        <v>593100</v>
      </c>
    </row>
    <row r="5" spans="1:18" x14ac:dyDescent="0.25">
      <c r="A5">
        <v>4</v>
      </c>
      <c r="B5" s="98">
        <f t="shared" si="4"/>
        <v>500</v>
      </c>
      <c r="C5" s="76">
        <f>SUM($B$2:B5)+SUM(E$2:E4)</f>
        <v>2570.2565</v>
      </c>
      <c r="D5" s="76">
        <f t="shared" si="0"/>
        <v>2184.7180250000001</v>
      </c>
      <c r="E5" s="76">
        <f t="shared" si="1"/>
        <v>436.94360500000005</v>
      </c>
      <c r="F5" s="76">
        <f t="shared" si="2"/>
        <v>1747.7744200000002</v>
      </c>
      <c r="G5">
        <f t="shared" si="3"/>
        <v>3700</v>
      </c>
      <c r="H5" s="76">
        <f>SUM(F$2:F5)+SUM(K$2:K4)</f>
        <v>4028.80042</v>
      </c>
      <c r="I5" s="101">
        <f>SUM(G$2:G5)</f>
        <v>8600</v>
      </c>
      <c r="J5" s="76">
        <f>SUM(B$2:B5)/2</f>
        <v>1000</v>
      </c>
    </row>
    <row r="6" spans="1:18" x14ac:dyDescent="0.25">
      <c r="A6">
        <v>5</v>
      </c>
      <c r="B6" s="98">
        <f t="shared" si="4"/>
        <v>500</v>
      </c>
      <c r="C6" s="76">
        <f>SUM($B$2:B6)+SUM(E$2:E5)</f>
        <v>3507.2001049999999</v>
      </c>
      <c r="D6" s="76">
        <f t="shared" si="0"/>
        <v>2981.1200892499996</v>
      </c>
      <c r="E6" s="76">
        <f t="shared" si="1"/>
        <v>596.22401785</v>
      </c>
      <c r="F6" s="76">
        <f t="shared" si="2"/>
        <v>2384.8960713999995</v>
      </c>
      <c r="G6">
        <f t="shared" si="3"/>
        <v>5100</v>
      </c>
      <c r="H6" s="76">
        <f>SUM(F$2:F6)+SUM(K$2:K5)</f>
        <v>6413.6964914</v>
      </c>
      <c r="I6" s="101">
        <f>SUM(G$2:G6)</f>
        <v>13700</v>
      </c>
      <c r="J6" s="76">
        <f>SUM(B$2:B6)/2</f>
        <v>1250</v>
      </c>
    </row>
    <row r="7" spans="1:18" x14ac:dyDescent="0.25">
      <c r="A7">
        <v>6</v>
      </c>
      <c r="B7" s="98">
        <f t="shared" si="4"/>
        <v>500</v>
      </c>
      <c r="C7" s="76">
        <f>SUM($B$2:B7)+SUM(E$2:E6)</f>
        <v>4603.4241228499995</v>
      </c>
      <c r="D7" s="76">
        <f t="shared" si="0"/>
        <v>3912.9105044224993</v>
      </c>
      <c r="E7" s="76">
        <f t="shared" si="1"/>
        <v>782.58210088449994</v>
      </c>
      <c r="F7" s="76">
        <f t="shared" si="2"/>
        <v>3130.3284035379993</v>
      </c>
      <c r="G7">
        <f t="shared" si="3"/>
        <v>6800</v>
      </c>
      <c r="H7" s="76">
        <f>SUM(F$2:F7)+SUM(K$2:K6)</f>
        <v>9544.0248949380002</v>
      </c>
      <c r="I7" s="101">
        <f>SUM(G$2:G7)</f>
        <v>20500</v>
      </c>
      <c r="J7" s="76">
        <f>SUM(B$2:B7)/2</f>
        <v>1500</v>
      </c>
    </row>
    <row r="8" spans="1:18" x14ac:dyDescent="0.25">
      <c r="A8">
        <v>7</v>
      </c>
      <c r="B8" s="98">
        <f>B7</f>
        <v>500</v>
      </c>
      <c r="C8" s="76">
        <f>SUM($B$2:B8)+SUM(E$2:E7)</f>
        <v>5886.0062237345001</v>
      </c>
      <c r="D8" s="76">
        <f t="shared" si="0"/>
        <v>5003.1052901743251</v>
      </c>
      <c r="E8" s="76">
        <f t="shared" si="1"/>
        <v>1000.6210580348651</v>
      </c>
      <c r="F8" s="76">
        <f t="shared" si="2"/>
        <v>4002.4842321394599</v>
      </c>
      <c r="G8">
        <f t="shared" si="3"/>
        <v>8700</v>
      </c>
      <c r="H8" s="76">
        <f>SUM(F$2:F8)+SUM(K$2:K7)</f>
        <v>13546.509127077461</v>
      </c>
      <c r="I8" s="101">
        <f>SUM(G$2:G8)</f>
        <v>29200</v>
      </c>
      <c r="J8" s="76">
        <f>SUM(B$2:B8)/2</f>
        <v>1750</v>
      </c>
    </row>
    <row r="9" spans="1:18" x14ac:dyDescent="0.25">
      <c r="A9">
        <v>8</v>
      </c>
      <c r="B9" s="98">
        <f>B8</f>
        <v>500</v>
      </c>
      <c r="C9" s="76">
        <f>SUM($B$2:B9)+SUM(E$2:E8)</f>
        <v>7386.6272817693653</v>
      </c>
      <c r="D9" s="76">
        <f t="shared" si="0"/>
        <v>6278.6331895039602</v>
      </c>
      <c r="E9" s="76">
        <f t="shared" si="1"/>
        <v>1255.7266379007922</v>
      </c>
      <c r="F9" s="76">
        <f t="shared" si="2"/>
        <v>5022.9065516031678</v>
      </c>
      <c r="G9">
        <f t="shared" si="3"/>
        <v>10900</v>
      </c>
      <c r="H9" s="76">
        <f>SUM(F$2:F9)+SUM(K$2:K8)</f>
        <v>18569.415678680627</v>
      </c>
      <c r="I9" s="101">
        <f>SUM(G$2:G9)</f>
        <v>40100</v>
      </c>
      <c r="J9" s="76">
        <f>SUM(B$2:B9)/2</f>
        <v>2000</v>
      </c>
    </row>
    <row r="10" spans="1:18" x14ac:dyDescent="0.25">
      <c r="A10">
        <v>9</v>
      </c>
      <c r="B10" s="98">
        <f>B9</f>
        <v>500</v>
      </c>
      <c r="C10" s="76">
        <f>SUM($B$2:B10)+SUM(E$2:E9)</f>
        <v>9142.3539196701568</v>
      </c>
      <c r="D10" s="76">
        <f t="shared" si="0"/>
        <v>7771.0008317196334</v>
      </c>
      <c r="E10" s="76">
        <f t="shared" si="1"/>
        <v>1554.2001663439269</v>
      </c>
      <c r="F10" s="76">
        <f t="shared" si="2"/>
        <v>6216.8006653757066</v>
      </c>
      <c r="G10">
        <f t="shared" si="3"/>
        <v>13500</v>
      </c>
      <c r="H10" s="76">
        <f>SUM(F$2:F10)+SUM(K$2:K9)</f>
        <v>24786.216344056334</v>
      </c>
      <c r="I10" s="101">
        <f>SUM(G$2:G10)</f>
        <v>53600</v>
      </c>
      <c r="J10" s="76">
        <f>SUM(B$2:B10)/2</f>
        <v>2250</v>
      </c>
    </row>
    <row r="11" spans="1:18" x14ac:dyDescent="0.25">
      <c r="A11" s="122">
        <v>10</v>
      </c>
      <c r="B11" s="123">
        <f t="shared" si="4"/>
        <v>500</v>
      </c>
      <c r="C11" s="124">
        <f>SUM($B$2:B11)+SUM(E$2:E10)</f>
        <v>11196.554086014085</v>
      </c>
      <c r="D11" s="124">
        <f t="shared" si="0"/>
        <v>9517.0709731119714</v>
      </c>
      <c r="E11" s="124">
        <f t="shared" si="1"/>
        <v>1903.4141946223945</v>
      </c>
      <c r="F11" s="124">
        <f t="shared" si="2"/>
        <v>7613.6567784895769</v>
      </c>
      <c r="G11" s="122">
        <f t="shared" si="3"/>
        <v>16500</v>
      </c>
      <c r="H11" s="76">
        <f>SUM(F$2:F11)+SUM(K$2:K10)</f>
        <v>32399.873122545912</v>
      </c>
      <c r="I11" s="125">
        <f>SUM(G$2:G11)</f>
        <v>70100</v>
      </c>
      <c r="J11" s="124">
        <f>SUM(B$2:B11)/2</f>
        <v>2500</v>
      </c>
      <c r="K11" s="76">
        <f>H11*20%</f>
        <v>6479.9746245091828</v>
      </c>
      <c r="L11" s="76">
        <f>40%*K11/12</f>
        <v>215.99915415030611</v>
      </c>
    </row>
    <row r="12" spans="1:18" x14ac:dyDescent="0.25">
      <c r="A12">
        <v>11</v>
      </c>
      <c r="B12" s="98">
        <f t="shared" si="4"/>
        <v>500</v>
      </c>
      <c r="C12" s="76">
        <f>SUM($B$2:B12)+SUM(E$2:E11)</f>
        <v>13599.96828063648</v>
      </c>
      <c r="D12" s="76">
        <f t="shared" si="0"/>
        <v>11559.973038541008</v>
      </c>
      <c r="E12" s="76">
        <f t="shared" si="1"/>
        <v>2311.9946077082018</v>
      </c>
      <c r="F12" s="76">
        <f t="shared" si="2"/>
        <v>9247.9784308328053</v>
      </c>
      <c r="G12">
        <f t="shared" si="3"/>
        <v>20100</v>
      </c>
      <c r="H12" s="76">
        <f>SUM(F$2:F12)+SUM(K$2:K11)</f>
        <v>48127.826177887895</v>
      </c>
      <c r="I12" s="101">
        <f>SUM(G$2:G12)</f>
        <v>90200</v>
      </c>
      <c r="J12" s="76">
        <f>SUM(B$2:B12)/2</f>
        <v>2750</v>
      </c>
    </row>
    <row r="13" spans="1:18" x14ac:dyDescent="0.25">
      <c r="A13">
        <v>12</v>
      </c>
      <c r="B13" s="98">
        <f t="shared" si="4"/>
        <v>500</v>
      </c>
      <c r="C13" s="76">
        <f>SUM($B$2:B13)+SUM(E$2:E12)</f>
        <v>16411.962888344679</v>
      </c>
      <c r="D13" s="76">
        <f t="shared" si="0"/>
        <v>13950.168455092977</v>
      </c>
      <c r="E13" s="76">
        <f t="shared" si="1"/>
        <v>2790.0336910185956</v>
      </c>
      <c r="F13" s="76">
        <f t="shared" si="2"/>
        <v>11160.134764074381</v>
      </c>
      <c r="G13">
        <f t="shared" si="3"/>
        <v>24200</v>
      </c>
      <c r="H13" s="76">
        <f>SUM(F$2:F13)+SUM(K$2:K12)</f>
        <v>59287.960941962272</v>
      </c>
      <c r="I13" s="101">
        <f>SUM(G$2:G13)</f>
        <v>114400</v>
      </c>
      <c r="J13" s="76">
        <f>SUM(B$2:B13)/2</f>
        <v>3000</v>
      </c>
    </row>
    <row r="14" spans="1:18" x14ac:dyDescent="0.25">
      <c r="A14">
        <v>13</v>
      </c>
      <c r="B14" s="98">
        <f t="shared" si="4"/>
        <v>500</v>
      </c>
      <c r="C14" s="76">
        <f>SUM($B$2:B14)+SUM(E$2:E13)</f>
        <v>19701.996579363276</v>
      </c>
      <c r="D14" s="76">
        <f t="shared" si="0"/>
        <v>16746.697092458784</v>
      </c>
      <c r="E14" s="76">
        <f t="shared" si="1"/>
        <v>3349.339418491757</v>
      </c>
      <c r="F14" s="76">
        <f t="shared" si="2"/>
        <v>13397.357673967028</v>
      </c>
      <c r="G14">
        <f t="shared" si="3"/>
        <v>29100</v>
      </c>
      <c r="H14" s="76">
        <f>SUM(F$2:F14)+SUM(K$2:K13)</f>
        <v>72685.318615929296</v>
      </c>
      <c r="I14" s="101">
        <f>SUM(G$2:G14)</f>
        <v>143500</v>
      </c>
      <c r="J14" s="76">
        <f>SUM(B$2:B14)/2</f>
        <v>3250</v>
      </c>
    </row>
    <row r="15" spans="1:18" x14ac:dyDescent="0.25">
      <c r="A15">
        <v>14</v>
      </c>
      <c r="B15" s="98">
        <f t="shared" si="4"/>
        <v>500</v>
      </c>
      <c r="C15" s="76">
        <f>SUM($B$2:B15)+SUM(E$2:E14)</f>
        <v>23551.335997855032</v>
      </c>
      <c r="D15" s="76">
        <f t="shared" si="0"/>
        <v>20018.635598176777</v>
      </c>
      <c r="E15" s="76">
        <f t="shared" si="1"/>
        <v>4003.7271196353558</v>
      </c>
      <c r="F15" s="76">
        <f t="shared" si="2"/>
        <v>16014.908478541422</v>
      </c>
      <c r="G15">
        <f t="shared" si="3"/>
        <v>34800</v>
      </c>
      <c r="H15" s="76">
        <f>SUM(F$2:F15)+SUM(K$2:K14)</f>
        <v>88700.227094470712</v>
      </c>
      <c r="I15" s="101">
        <f>SUM(G$2:G15)</f>
        <v>178300</v>
      </c>
      <c r="J15" s="76">
        <f>SUM(B$2:B15)/2</f>
        <v>3500</v>
      </c>
    </row>
    <row r="16" spans="1:18" x14ac:dyDescent="0.25">
      <c r="A16">
        <v>15</v>
      </c>
      <c r="B16" s="98">
        <f t="shared" si="4"/>
        <v>500</v>
      </c>
      <c r="C16" s="76">
        <f>SUM($B$2:B16)+SUM(E$2:E15)</f>
        <v>28055.06311749039</v>
      </c>
      <c r="D16" s="76">
        <f t="shared" si="0"/>
        <v>23846.80364986683</v>
      </c>
      <c r="E16" s="76">
        <f t="shared" si="1"/>
        <v>4769.3607299733658</v>
      </c>
      <c r="F16" s="76">
        <f t="shared" si="2"/>
        <v>19077.442919893463</v>
      </c>
      <c r="G16">
        <f t="shared" si="3"/>
        <v>41400</v>
      </c>
      <c r="H16" s="76">
        <f>SUM(F$2:F16)+SUM(K$2:K15)</f>
        <v>107777.67001436418</v>
      </c>
      <c r="I16" s="101">
        <f>SUM(G$2:G16)</f>
        <v>219700</v>
      </c>
      <c r="J16" s="76">
        <f>SUM(B$2:B16)/2</f>
        <v>3750</v>
      </c>
    </row>
    <row r="17" spans="1:12" x14ac:dyDescent="0.25">
      <c r="A17">
        <v>16</v>
      </c>
      <c r="B17" s="98">
        <f t="shared" si="4"/>
        <v>500</v>
      </c>
      <c r="C17" s="76">
        <f>SUM($B$2:B17)+SUM(E$2:E16)</f>
        <v>33324.423847463753</v>
      </c>
      <c r="D17" s="76">
        <f t="shared" si="0"/>
        <v>28325.760270344188</v>
      </c>
      <c r="E17" s="76">
        <f t="shared" si="1"/>
        <v>5665.152054068838</v>
      </c>
      <c r="F17" s="76">
        <f t="shared" si="2"/>
        <v>22660.608216275352</v>
      </c>
      <c r="G17">
        <f t="shared" si="3"/>
        <v>49200</v>
      </c>
      <c r="H17" s="76">
        <f>SUM(F$2:F17)+SUM(K$2:K16)</f>
        <v>130438.27823063954</v>
      </c>
      <c r="I17" s="101">
        <f>SUM(G$2:G17)</f>
        <v>268900</v>
      </c>
      <c r="J17" s="76">
        <f>SUM(B$2:B17)/2</f>
        <v>4000</v>
      </c>
    </row>
    <row r="18" spans="1:12" x14ac:dyDescent="0.25">
      <c r="A18">
        <v>17</v>
      </c>
      <c r="B18" s="98">
        <f t="shared" si="4"/>
        <v>500</v>
      </c>
      <c r="C18" s="76">
        <f>SUM($B$2:B18)+SUM(E$2:E17)</f>
        <v>39489.575901532597</v>
      </c>
      <c r="D18" s="76">
        <f t="shared" si="0"/>
        <v>33566.139516302705</v>
      </c>
      <c r="E18" s="76">
        <f t="shared" si="1"/>
        <v>6713.2279032605411</v>
      </c>
      <c r="F18" s="76">
        <f t="shared" si="2"/>
        <v>26852.911613042164</v>
      </c>
      <c r="G18">
        <f t="shared" si="3"/>
        <v>58300</v>
      </c>
      <c r="H18" s="76">
        <f>SUM(F$2:F18)+SUM(K$2:K17)</f>
        <v>157291.18984368173</v>
      </c>
      <c r="I18" s="101">
        <f>SUM(G$2:G18)</f>
        <v>327200</v>
      </c>
      <c r="J18" s="76">
        <f>SUM(B$2:B18)/2</f>
        <v>4250</v>
      </c>
    </row>
    <row r="19" spans="1:12" x14ac:dyDescent="0.25">
      <c r="A19">
        <v>18</v>
      </c>
      <c r="B19" s="98">
        <f t="shared" si="4"/>
        <v>500</v>
      </c>
      <c r="C19" s="76">
        <f>SUM($B$2:B19)+SUM(E$2:E18)</f>
        <v>46702.80380479314</v>
      </c>
      <c r="D19" s="76">
        <f t="shared" si="0"/>
        <v>39697.383234074172</v>
      </c>
      <c r="E19" s="76">
        <f t="shared" si="1"/>
        <v>7939.4766468148346</v>
      </c>
      <c r="F19" s="76">
        <f t="shared" si="2"/>
        <v>31757.906587259338</v>
      </c>
      <c r="G19">
        <f t="shared" si="3"/>
        <v>69000</v>
      </c>
      <c r="H19" s="76">
        <f>SUM(F$2:F19)+SUM(K$2:K18)</f>
        <v>189049.09643094108</v>
      </c>
      <c r="I19" s="101">
        <f>SUM(G$2:G19)</f>
        <v>396200</v>
      </c>
      <c r="J19" s="76">
        <f>SUM(B$2:B19)/2</f>
        <v>4500</v>
      </c>
    </row>
    <row r="20" spans="1:12" x14ac:dyDescent="0.25">
      <c r="A20">
        <v>19</v>
      </c>
      <c r="B20" s="98">
        <f t="shared" si="4"/>
        <v>500</v>
      </c>
      <c r="C20" s="76">
        <f>SUM($B$2:B20)+SUM(E$2:E19)</f>
        <v>55142.280451607978</v>
      </c>
      <c r="D20" s="76">
        <f t="shared" si="0"/>
        <v>46870.938383866778</v>
      </c>
      <c r="E20" s="76">
        <f t="shared" si="1"/>
        <v>9374.1876767733556</v>
      </c>
      <c r="F20" s="76">
        <f t="shared" si="2"/>
        <v>37496.750707093423</v>
      </c>
      <c r="G20">
        <f t="shared" si="3"/>
        <v>81500</v>
      </c>
      <c r="H20" s="76">
        <f>SUM(F$2:F20)+SUM(K$2:K19)</f>
        <v>226545.8471380345</v>
      </c>
      <c r="I20" s="101">
        <f>SUM(G$2:G20)</f>
        <v>477700</v>
      </c>
      <c r="J20" s="76">
        <f>SUM(B$2:B20)/2</f>
        <v>4750</v>
      </c>
    </row>
    <row r="21" spans="1:12" x14ac:dyDescent="0.25">
      <c r="A21">
        <v>20</v>
      </c>
      <c r="B21" s="98">
        <f t="shared" si="4"/>
        <v>500</v>
      </c>
      <c r="C21" s="76">
        <f>SUM($B$2:B21)+SUM(E$2:E20)</f>
        <v>65016.468128381333</v>
      </c>
      <c r="D21" s="76">
        <f t="shared" si="0"/>
        <v>55263.997909124133</v>
      </c>
      <c r="E21" s="76">
        <f t="shared" si="1"/>
        <v>11052.799581824827</v>
      </c>
      <c r="F21" s="76">
        <f t="shared" si="2"/>
        <v>44211.198327299309</v>
      </c>
      <c r="G21">
        <f t="shared" si="3"/>
        <v>96100</v>
      </c>
      <c r="H21" s="76">
        <f>SUM(F$2:F21)+SUM(K$2:K20)</f>
        <v>270757.04546533379</v>
      </c>
      <c r="I21" s="101">
        <f>SUM(G$2:G21)</f>
        <v>573800</v>
      </c>
      <c r="J21" s="76">
        <f>SUM(B$2:B21)/2</f>
        <v>5000</v>
      </c>
    </row>
    <row r="22" spans="1:12" x14ac:dyDescent="0.25">
      <c r="A22">
        <v>21</v>
      </c>
      <c r="B22" s="98">
        <f t="shared" si="4"/>
        <v>500</v>
      </c>
      <c r="C22" s="76">
        <f>SUM($B$2:B22)+SUM(E$2:E21)</f>
        <v>76569.267710206157</v>
      </c>
      <c r="D22" s="76">
        <f t="shared" si="0"/>
        <v>65083.877553675229</v>
      </c>
      <c r="E22" s="76">
        <f t="shared" si="1"/>
        <v>13016.775510735046</v>
      </c>
      <c r="F22" s="76">
        <f t="shared" si="2"/>
        <v>52067.102042940183</v>
      </c>
      <c r="G22">
        <f t="shared" si="3"/>
        <v>113100</v>
      </c>
      <c r="H22" s="76">
        <f>SUM(F$2:F22)+SUM(K$2:K21)</f>
        <v>322824.14750827401</v>
      </c>
      <c r="I22" s="101">
        <f>SUM(G$2:G22)</f>
        <v>686900</v>
      </c>
      <c r="J22" s="76">
        <f>SUM(B$2:B22)/2</f>
        <v>5250</v>
      </c>
    </row>
    <row r="23" spans="1:12" x14ac:dyDescent="0.25">
      <c r="A23" s="122">
        <v>22</v>
      </c>
      <c r="B23" s="123">
        <f t="shared" si="4"/>
        <v>500</v>
      </c>
      <c r="C23" s="124">
        <f>SUM($B$2:B23)+SUM(E$2:E22)</f>
        <v>90086.04322094121</v>
      </c>
      <c r="D23" s="124">
        <f t="shared" ref="D23:D24" si="5">C23*85%</f>
        <v>76573.136737800029</v>
      </c>
      <c r="E23" s="124">
        <f t="shared" ref="E23:E24" si="6">D23*20%</f>
        <v>15314.627347560006</v>
      </c>
      <c r="F23" s="124">
        <f t="shared" ref="F23:F24" si="7">D23-E23</f>
        <v>61258.509390240026</v>
      </c>
      <c r="G23" s="122">
        <f t="shared" ref="G23:G24" si="8">F23/$G$1-MOD(F23/$G$1,100)</f>
        <v>133100</v>
      </c>
      <c r="H23" s="76">
        <f>SUM(F$2:F23)+SUM(K$2:K22)</f>
        <v>384082.65689851402</v>
      </c>
      <c r="I23" s="125">
        <f>SUM(G$2:G23)</f>
        <v>820000</v>
      </c>
      <c r="J23" s="124">
        <f>SUM(B$2:B23)/2</f>
        <v>5500</v>
      </c>
      <c r="K23" s="76">
        <f>H23*20%</f>
        <v>76816.531379702807</v>
      </c>
      <c r="L23" s="76">
        <f>40%*K23/12</f>
        <v>2560.5510459900938</v>
      </c>
    </row>
    <row r="24" spans="1:12" x14ac:dyDescent="0.25">
      <c r="A24">
        <v>23</v>
      </c>
      <c r="B24" s="98">
        <f t="shared" si="4"/>
        <v>500</v>
      </c>
      <c r="C24" s="76">
        <f>SUM($B$2:B24)+SUM(E$2:E23)</f>
        <v>105900.67056850121</v>
      </c>
      <c r="D24" s="76">
        <f t="shared" si="5"/>
        <v>90015.569983226029</v>
      </c>
      <c r="E24" s="76">
        <f t="shared" si="6"/>
        <v>18003.113996645206</v>
      </c>
      <c r="F24" s="76">
        <f t="shared" si="7"/>
        <v>72012.455986580826</v>
      </c>
      <c r="G24">
        <f t="shared" si="8"/>
        <v>156500</v>
      </c>
      <c r="H24" s="76">
        <f>SUM(F$2:F24)+SUM(K$2:K23)</f>
        <v>532911.64426479768</v>
      </c>
      <c r="I24" s="101">
        <f>SUM(G$2:G24)</f>
        <v>976500</v>
      </c>
      <c r="J24" s="76">
        <f>SUM(B$2:B24)/2</f>
        <v>5750</v>
      </c>
    </row>
    <row r="25" spans="1:12" x14ac:dyDescent="0.25">
      <c r="A25">
        <v>24</v>
      </c>
      <c r="B25" s="98">
        <f t="shared" si="4"/>
        <v>500</v>
      </c>
      <c r="C25" s="76">
        <f>SUM($B$2:B25)+SUM(E$2:E24)</f>
        <v>124403.78456514642</v>
      </c>
      <c r="D25" s="76">
        <f t="shared" ref="D25" si="9">C25*85%</f>
        <v>105743.21688037446</v>
      </c>
      <c r="E25" s="76">
        <f t="shared" ref="E25" si="10">D25*20%</f>
        <v>21148.643376074891</v>
      </c>
      <c r="F25" s="76">
        <f t="shared" ref="F25" si="11">D25-E25</f>
        <v>84594.573504299566</v>
      </c>
      <c r="G25">
        <f t="shared" ref="G25" si="12">F25/$G$1-MOD(F25/$G$1,100)</f>
        <v>183900</v>
      </c>
      <c r="H25" s="76">
        <f>SUM(F$2:F25)+SUM(K$2:K24)</f>
        <v>617506.21776909719</v>
      </c>
      <c r="I25" s="101">
        <f>SUM(G$2:G25)</f>
        <v>1160400</v>
      </c>
      <c r="J25" s="76">
        <f>SUM(B$2:B25)/2</f>
        <v>6000</v>
      </c>
    </row>
  </sheetData>
  <dataConsolidate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"/>
  <sheetViews>
    <sheetView workbookViewId="0">
      <selection activeCell="I2" sqref="I2"/>
    </sheetView>
  </sheetViews>
  <sheetFormatPr defaultRowHeight="15" x14ac:dyDescent="0.25"/>
  <cols>
    <col min="1" max="1" width="8.42578125" bestFit="1" customWidth="1"/>
    <col min="2" max="2" width="8.5703125" bestFit="1" customWidth="1"/>
    <col min="3" max="4" width="9.5703125" bestFit="1" customWidth="1"/>
    <col min="5" max="6" width="8.5703125" bestFit="1" customWidth="1"/>
    <col min="7" max="7" width="9.5703125" bestFit="1" customWidth="1"/>
    <col min="8" max="8" width="6.140625" bestFit="1" customWidth="1"/>
  </cols>
  <sheetData>
    <row r="1" spans="1:9" x14ac:dyDescent="0.25">
      <c r="A1" s="97" t="s">
        <v>950</v>
      </c>
      <c r="B1" s="97" t="s">
        <v>951</v>
      </c>
      <c r="C1" s="97" t="s">
        <v>83</v>
      </c>
      <c r="D1" s="97" t="s">
        <v>953</v>
      </c>
      <c r="E1" s="97" t="s">
        <v>954</v>
      </c>
      <c r="F1" s="97" t="s">
        <v>955</v>
      </c>
      <c r="G1" s="97" t="s">
        <v>956</v>
      </c>
      <c r="H1" s="97" t="s">
        <v>957</v>
      </c>
      <c r="I1">
        <v>4</v>
      </c>
    </row>
    <row r="2" spans="1:9" x14ac:dyDescent="0.25">
      <c r="A2" t="s">
        <v>952</v>
      </c>
      <c r="B2" s="98">
        <v>0.21</v>
      </c>
      <c r="C2" s="98">
        <v>15</v>
      </c>
      <c r="D2" s="98">
        <v>14.97</v>
      </c>
      <c r="E2" s="98">
        <f>IF(D2&gt;C2,0,B2)</f>
        <v>0.21</v>
      </c>
      <c r="F2" s="76">
        <f>B2*2</f>
        <v>0.42</v>
      </c>
      <c r="G2" s="76">
        <f>C2+F2</f>
        <v>15.42</v>
      </c>
      <c r="H2" s="102">
        <f>G2/D2-1</f>
        <v>3.0060120240480881E-2</v>
      </c>
      <c r="I2" s="102">
        <f>H2/$I$1</f>
        <v>7.5150300601202202E-3</v>
      </c>
    </row>
    <row r="3" spans="1:9" x14ac:dyDescent="0.25">
      <c r="A3" t="s">
        <v>958</v>
      </c>
      <c r="B3" s="98">
        <v>0.76</v>
      </c>
      <c r="C3" s="98">
        <v>30.18</v>
      </c>
      <c r="D3" s="98">
        <v>30.89</v>
      </c>
      <c r="E3" s="98">
        <f>IF(D3&gt;C3,0,B3)</f>
        <v>0</v>
      </c>
      <c r="F3" s="76">
        <f>B3*2</f>
        <v>1.52</v>
      </c>
      <c r="G3" s="76">
        <f>C3+F3</f>
        <v>31.7</v>
      </c>
      <c r="H3" s="102">
        <f>G3/D3-1</f>
        <v>2.6222078342505561E-2</v>
      </c>
      <c r="I3" s="102">
        <f t="shared" ref="I3:I4" si="0">H3/$I$1</f>
        <v>6.5555195856263904E-3</v>
      </c>
    </row>
    <row r="4" spans="1:9" x14ac:dyDescent="0.25">
      <c r="A4" t="s">
        <v>959</v>
      </c>
      <c r="B4" s="98">
        <v>0.21</v>
      </c>
      <c r="C4" s="98">
        <v>31.18</v>
      </c>
      <c r="D4" s="98">
        <v>30.89</v>
      </c>
      <c r="E4" s="98">
        <f>IF(D4&gt;C4,0,B4)</f>
        <v>0.21</v>
      </c>
      <c r="F4" s="76">
        <f>B4*2</f>
        <v>0.42</v>
      </c>
      <c r="G4" s="76">
        <f>C4+F4</f>
        <v>31.6</v>
      </c>
      <c r="H4" s="102">
        <f>G4/D4-1</f>
        <v>2.2984784719974227E-2</v>
      </c>
      <c r="I4" s="102">
        <f t="shared" si="0"/>
        <v>5.7461961799935568E-3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2064</vt:i4>
      </vt:variant>
    </vt:vector>
  </HeadingPairs>
  <TitlesOfParts>
    <vt:vector size="2074" baseType="lpstr">
      <vt:lpstr>Patrimonio</vt:lpstr>
      <vt:lpstr>Cotacao</vt:lpstr>
      <vt:lpstr>Cotacao 2</vt:lpstr>
      <vt:lpstr>Cotacao 3</vt:lpstr>
      <vt:lpstr>Cotacao 4</vt:lpstr>
      <vt:lpstr>Cotacao 5</vt:lpstr>
      <vt:lpstr>Historia</vt:lpstr>
      <vt:lpstr>Tabela Hist</vt:lpstr>
      <vt:lpstr>Sheet1</vt:lpstr>
      <vt:lpstr>Sheet2</vt:lpstr>
      <vt:lpstr>Cotacao!DadosExternos_1</vt:lpstr>
      <vt:lpstr>'Cotacao 2'!DadosExternos_1</vt:lpstr>
      <vt:lpstr>'Cotacao 3'!DadosExternos_1</vt:lpstr>
      <vt:lpstr>'Cotacao 4'!DadosExternos_1</vt:lpstr>
      <vt:lpstr>'Cotacao 5'!DadosExternos_1</vt:lpstr>
      <vt:lpstr>Cotacao!DadosExternos_10</vt:lpstr>
      <vt:lpstr>'Cotacao 2'!DadosExternos_10</vt:lpstr>
      <vt:lpstr>'Cotacao 3'!DadosExternos_10</vt:lpstr>
      <vt:lpstr>'Cotacao 4'!DadosExternos_10</vt:lpstr>
      <vt:lpstr>'Cotacao 5'!DadosExternos_10</vt:lpstr>
      <vt:lpstr>Cotacao!DadosExternos_103</vt:lpstr>
      <vt:lpstr>'Cotacao 2'!DadosExternos_103</vt:lpstr>
      <vt:lpstr>'Cotacao 3'!DadosExternos_103</vt:lpstr>
      <vt:lpstr>'Cotacao 4'!DadosExternos_103</vt:lpstr>
      <vt:lpstr>'Cotacao 5'!DadosExternos_103</vt:lpstr>
      <vt:lpstr>Cotacao!DadosExternos_104</vt:lpstr>
      <vt:lpstr>'Cotacao 2'!DadosExternos_104</vt:lpstr>
      <vt:lpstr>'Cotacao 3'!DadosExternos_104</vt:lpstr>
      <vt:lpstr>'Cotacao 4'!DadosExternos_104</vt:lpstr>
      <vt:lpstr>'Cotacao 5'!DadosExternos_104</vt:lpstr>
      <vt:lpstr>Cotacao!DadosExternos_106</vt:lpstr>
      <vt:lpstr>'Cotacao 2'!DadosExternos_106</vt:lpstr>
      <vt:lpstr>'Cotacao 3'!DadosExternos_106</vt:lpstr>
      <vt:lpstr>'Cotacao 4'!DadosExternos_106</vt:lpstr>
      <vt:lpstr>'Cotacao 5'!DadosExternos_106</vt:lpstr>
      <vt:lpstr>Cotacao!DadosExternos_107</vt:lpstr>
      <vt:lpstr>'Cotacao 2'!DadosExternos_107</vt:lpstr>
      <vt:lpstr>'Cotacao 3'!DadosExternos_107</vt:lpstr>
      <vt:lpstr>'Cotacao 4'!DadosExternos_107</vt:lpstr>
      <vt:lpstr>'Cotacao 5'!DadosExternos_107</vt:lpstr>
      <vt:lpstr>Cotacao!DadosExternos_108</vt:lpstr>
      <vt:lpstr>'Cotacao 2'!DadosExternos_108</vt:lpstr>
      <vt:lpstr>'Cotacao 3'!DadosExternos_108</vt:lpstr>
      <vt:lpstr>'Cotacao 4'!DadosExternos_108</vt:lpstr>
      <vt:lpstr>'Cotacao 5'!DadosExternos_108</vt:lpstr>
      <vt:lpstr>Cotacao!DadosExternos_109</vt:lpstr>
      <vt:lpstr>'Cotacao 2'!DadosExternos_109</vt:lpstr>
      <vt:lpstr>'Cotacao 3'!DadosExternos_109</vt:lpstr>
      <vt:lpstr>'Cotacao 4'!DadosExternos_109</vt:lpstr>
      <vt:lpstr>'Cotacao 5'!DadosExternos_109</vt:lpstr>
      <vt:lpstr>Cotacao!DadosExternos_11</vt:lpstr>
      <vt:lpstr>'Cotacao 2'!DadosExternos_11</vt:lpstr>
      <vt:lpstr>'Cotacao 3'!DadosExternos_11</vt:lpstr>
      <vt:lpstr>'Cotacao 4'!DadosExternos_11</vt:lpstr>
      <vt:lpstr>'Cotacao 5'!DadosExternos_11</vt:lpstr>
      <vt:lpstr>Cotacao!DadosExternos_110</vt:lpstr>
      <vt:lpstr>'Cotacao 2'!DadosExternos_110</vt:lpstr>
      <vt:lpstr>'Cotacao 3'!DadosExternos_110</vt:lpstr>
      <vt:lpstr>'Cotacao 4'!DadosExternos_110</vt:lpstr>
      <vt:lpstr>'Cotacao 5'!DadosExternos_110</vt:lpstr>
      <vt:lpstr>Cotacao!DadosExternos_111</vt:lpstr>
      <vt:lpstr>'Cotacao 2'!DadosExternos_111</vt:lpstr>
      <vt:lpstr>'Cotacao 3'!DadosExternos_111</vt:lpstr>
      <vt:lpstr>'Cotacao 4'!DadosExternos_111</vt:lpstr>
      <vt:lpstr>'Cotacao 5'!DadosExternos_111</vt:lpstr>
      <vt:lpstr>Cotacao!DadosExternos_112</vt:lpstr>
      <vt:lpstr>'Cotacao 2'!DadosExternos_112</vt:lpstr>
      <vt:lpstr>'Cotacao 3'!DadosExternos_112</vt:lpstr>
      <vt:lpstr>'Cotacao 4'!DadosExternos_112</vt:lpstr>
      <vt:lpstr>'Cotacao 5'!DadosExternos_112</vt:lpstr>
      <vt:lpstr>Cotacao!DadosExternos_113</vt:lpstr>
      <vt:lpstr>'Cotacao 2'!DadosExternos_113</vt:lpstr>
      <vt:lpstr>'Cotacao 3'!DadosExternos_113</vt:lpstr>
      <vt:lpstr>'Cotacao 4'!DadosExternos_113</vt:lpstr>
      <vt:lpstr>'Cotacao 5'!DadosExternos_113</vt:lpstr>
      <vt:lpstr>Cotacao!DadosExternos_114</vt:lpstr>
      <vt:lpstr>'Cotacao 2'!DadosExternos_114</vt:lpstr>
      <vt:lpstr>'Cotacao 3'!DadosExternos_114</vt:lpstr>
      <vt:lpstr>'Cotacao 4'!DadosExternos_114</vt:lpstr>
      <vt:lpstr>'Cotacao 5'!DadosExternos_114</vt:lpstr>
      <vt:lpstr>Cotacao!DadosExternos_115</vt:lpstr>
      <vt:lpstr>'Cotacao 2'!DadosExternos_115</vt:lpstr>
      <vt:lpstr>'Cotacao 3'!DadosExternos_115</vt:lpstr>
      <vt:lpstr>'Cotacao 4'!DadosExternos_115</vt:lpstr>
      <vt:lpstr>'Cotacao 5'!DadosExternos_115</vt:lpstr>
      <vt:lpstr>Cotacao!DadosExternos_116</vt:lpstr>
      <vt:lpstr>'Cotacao 2'!DadosExternos_116</vt:lpstr>
      <vt:lpstr>'Cotacao 3'!DadosExternos_116</vt:lpstr>
      <vt:lpstr>'Cotacao 4'!DadosExternos_116</vt:lpstr>
      <vt:lpstr>'Cotacao 5'!DadosExternos_116</vt:lpstr>
      <vt:lpstr>Cotacao!DadosExternos_117</vt:lpstr>
      <vt:lpstr>'Cotacao 2'!DadosExternos_117</vt:lpstr>
      <vt:lpstr>'Cotacao 3'!DadosExternos_117</vt:lpstr>
      <vt:lpstr>'Cotacao 4'!DadosExternos_117</vt:lpstr>
      <vt:lpstr>'Cotacao 5'!DadosExternos_117</vt:lpstr>
      <vt:lpstr>Cotacao!DadosExternos_118</vt:lpstr>
      <vt:lpstr>'Cotacao 2'!DadosExternos_118</vt:lpstr>
      <vt:lpstr>'Cotacao 3'!DadosExternos_118</vt:lpstr>
      <vt:lpstr>'Cotacao 4'!DadosExternos_118</vt:lpstr>
      <vt:lpstr>'Cotacao 5'!DadosExternos_118</vt:lpstr>
      <vt:lpstr>Cotacao!DadosExternos_119</vt:lpstr>
      <vt:lpstr>'Cotacao 2'!DadosExternos_119</vt:lpstr>
      <vt:lpstr>'Cotacao 3'!DadosExternos_119</vt:lpstr>
      <vt:lpstr>'Cotacao 4'!DadosExternos_119</vt:lpstr>
      <vt:lpstr>'Cotacao 5'!DadosExternos_119</vt:lpstr>
      <vt:lpstr>Cotacao!DadosExternos_12</vt:lpstr>
      <vt:lpstr>'Cotacao 2'!DadosExternos_12</vt:lpstr>
      <vt:lpstr>'Cotacao 3'!DadosExternos_12</vt:lpstr>
      <vt:lpstr>'Cotacao 4'!DadosExternos_12</vt:lpstr>
      <vt:lpstr>'Cotacao 5'!DadosExternos_12</vt:lpstr>
      <vt:lpstr>Cotacao!DadosExternos_120</vt:lpstr>
      <vt:lpstr>'Cotacao 2'!DadosExternos_120</vt:lpstr>
      <vt:lpstr>'Cotacao 3'!DadosExternos_120</vt:lpstr>
      <vt:lpstr>'Cotacao 4'!DadosExternos_120</vt:lpstr>
      <vt:lpstr>'Cotacao 5'!DadosExternos_120</vt:lpstr>
      <vt:lpstr>Cotacao!DadosExternos_121</vt:lpstr>
      <vt:lpstr>'Cotacao 2'!DadosExternos_121</vt:lpstr>
      <vt:lpstr>'Cotacao 3'!DadosExternos_121</vt:lpstr>
      <vt:lpstr>'Cotacao 4'!DadosExternos_121</vt:lpstr>
      <vt:lpstr>'Cotacao 5'!DadosExternos_121</vt:lpstr>
      <vt:lpstr>Cotacao!DadosExternos_122</vt:lpstr>
      <vt:lpstr>'Cotacao 2'!DadosExternos_122</vt:lpstr>
      <vt:lpstr>'Cotacao 3'!DadosExternos_122</vt:lpstr>
      <vt:lpstr>'Cotacao 4'!DadosExternos_122</vt:lpstr>
      <vt:lpstr>'Cotacao 5'!DadosExternos_122</vt:lpstr>
      <vt:lpstr>Cotacao!DadosExternos_123</vt:lpstr>
      <vt:lpstr>'Cotacao 2'!DadosExternos_123</vt:lpstr>
      <vt:lpstr>'Cotacao 3'!DadosExternos_123</vt:lpstr>
      <vt:lpstr>'Cotacao 4'!DadosExternos_123</vt:lpstr>
      <vt:lpstr>'Cotacao 5'!DadosExternos_123</vt:lpstr>
      <vt:lpstr>Cotacao!DadosExternos_124</vt:lpstr>
      <vt:lpstr>'Cotacao 2'!DadosExternos_124</vt:lpstr>
      <vt:lpstr>'Cotacao 3'!DadosExternos_124</vt:lpstr>
      <vt:lpstr>'Cotacao 4'!DadosExternos_124</vt:lpstr>
      <vt:lpstr>'Cotacao 5'!DadosExternos_124</vt:lpstr>
      <vt:lpstr>Cotacao!DadosExternos_125</vt:lpstr>
      <vt:lpstr>'Cotacao 2'!DadosExternos_125</vt:lpstr>
      <vt:lpstr>'Cotacao 3'!DadosExternos_125</vt:lpstr>
      <vt:lpstr>'Cotacao 4'!DadosExternos_125</vt:lpstr>
      <vt:lpstr>'Cotacao 5'!DadosExternos_125</vt:lpstr>
      <vt:lpstr>Cotacao!DadosExternos_126</vt:lpstr>
      <vt:lpstr>'Cotacao 2'!DadosExternos_126</vt:lpstr>
      <vt:lpstr>'Cotacao 3'!DadosExternos_126</vt:lpstr>
      <vt:lpstr>'Cotacao 4'!DadosExternos_126</vt:lpstr>
      <vt:lpstr>'Cotacao 5'!DadosExternos_126</vt:lpstr>
      <vt:lpstr>Cotacao!DadosExternos_127</vt:lpstr>
      <vt:lpstr>'Cotacao 2'!DadosExternos_127</vt:lpstr>
      <vt:lpstr>'Cotacao 3'!DadosExternos_127</vt:lpstr>
      <vt:lpstr>'Cotacao 4'!DadosExternos_127</vt:lpstr>
      <vt:lpstr>'Cotacao 5'!DadosExternos_127</vt:lpstr>
      <vt:lpstr>Cotacao!DadosExternos_128</vt:lpstr>
      <vt:lpstr>'Cotacao 2'!DadosExternos_128</vt:lpstr>
      <vt:lpstr>'Cotacao 3'!DadosExternos_128</vt:lpstr>
      <vt:lpstr>'Cotacao 4'!DadosExternos_128</vt:lpstr>
      <vt:lpstr>'Cotacao 5'!DadosExternos_128</vt:lpstr>
      <vt:lpstr>Cotacao!DadosExternos_129</vt:lpstr>
      <vt:lpstr>'Cotacao 2'!DadosExternos_129</vt:lpstr>
      <vt:lpstr>'Cotacao 3'!DadosExternos_129</vt:lpstr>
      <vt:lpstr>'Cotacao 4'!DadosExternos_129</vt:lpstr>
      <vt:lpstr>'Cotacao 5'!DadosExternos_129</vt:lpstr>
      <vt:lpstr>Cotacao!DadosExternos_130</vt:lpstr>
      <vt:lpstr>'Cotacao 2'!DadosExternos_130</vt:lpstr>
      <vt:lpstr>'Cotacao 3'!DadosExternos_130</vt:lpstr>
      <vt:lpstr>'Cotacao 4'!DadosExternos_130</vt:lpstr>
      <vt:lpstr>'Cotacao 5'!DadosExternos_130</vt:lpstr>
      <vt:lpstr>Cotacao!DadosExternos_131</vt:lpstr>
      <vt:lpstr>'Cotacao 2'!DadosExternos_131</vt:lpstr>
      <vt:lpstr>'Cotacao 3'!DadosExternos_131</vt:lpstr>
      <vt:lpstr>'Cotacao 4'!DadosExternos_131</vt:lpstr>
      <vt:lpstr>'Cotacao 5'!DadosExternos_131</vt:lpstr>
      <vt:lpstr>Cotacao!DadosExternos_132</vt:lpstr>
      <vt:lpstr>'Cotacao 2'!DadosExternos_132</vt:lpstr>
      <vt:lpstr>'Cotacao 3'!DadosExternos_132</vt:lpstr>
      <vt:lpstr>'Cotacao 4'!DadosExternos_132</vt:lpstr>
      <vt:lpstr>'Cotacao 5'!DadosExternos_132</vt:lpstr>
      <vt:lpstr>Cotacao!DadosExternos_133</vt:lpstr>
      <vt:lpstr>'Cotacao 2'!DadosExternos_133</vt:lpstr>
      <vt:lpstr>'Cotacao 3'!DadosExternos_133</vt:lpstr>
      <vt:lpstr>'Cotacao 4'!DadosExternos_133</vt:lpstr>
      <vt:lpstr>'Cotacao 5'!DadosExternos_133</vt:lpstr>
      <vt:lpstr>Cotacao!DadosExternos_134</vt:lpstr>
      <vt:lpstr>'Cotacao 2'!DadosExternos_134</vt:lpstr>
      <vt:lpstr>'Cotacao 3'!DadosExternos_134</vt:lpstr>
      <vt:lpstr>'Cotacao 4'!DadosExternos_134</vt:lpstr>
      <vt:lpstr>'Cotacao 5'!DadosExternos_134</vt:lpstr>
      <vt:lpstr>Cotacao!DadosExternos_135</vt:lpstr>
      <vt:lpstr>'Cotacao 2'!DadosExternos_135</vt:lpstr>
      <vt:lpstr>'Cotacao 3'!DadosExternos_135</vt:lpstr>
      <vt:lpstr>'Cotacao 4'!DadosExternos_135</vt:lpstr>
      <vt:lpstr>'Cotacao 5'!DadosExternos_135</vt:lpstr>
      <vt:lpstr>Cotacao!DadosExternos_136</vt:lpstr>
      <vt:lpstr>'Cotacao 2'!DadosExternos_136</vt:lpstr>
      <vt:lpstr>'Cotacao 3'!DadosExternos_136</vt:lpstr>
      <vt:lpstr>'Cotacao 4'!DadosExternos_136</vt:lpstr>
      <vt:lpstr>'Cotacao 5'!DadosExternos_136</vt:lpstr>
      <vt:lpstr>Cotacao!DadosExternos_137</vt:lpstr>
      <vt:lpstr>'Cotacao 2'!DadosExternos_137</vt:lpstr>
      <vt:lpstr>'Cotacao 3'!DadosExternos_137</vt:lpstr>
      <vt:lpstr>'Cotacao 4'!DadosExternos_137</vt:lpstr>
      <vt:lpstr>'Cotacao 5'!DadosExternos_137</vt:lpstr>
      <vt:lpstr>Cotacao!DadosExternos_138</vt:lpstr>
      <vt:lpstr>'Cotacao 2'!DadosExternos_138</vt:lpstr>
      <vt:lpstr>'Cotacao 3'!DadosExternos_138</vt:lpstr>
      <vt:lpstr>'Cotacao 4'!DadosExternos_138</vt:lpstr>
      <vt:lpstr>'Cotacao 5'!DadosExternos_138</vt:lpstr>
      <vt:lpstr>Cotacao!DadosExternos_139</vt:lpstr>
      <vt:lpstr>'Cotacao 2'!DadosExternos_139</vt:lpstr>
      <vt:lpstr>'Cotacao 3'!DadosExternos_139</vt:lpstr>
      <vt:lpstr>'Cotacao 4'!DadosExternos_139</vt:lpstr>
      <vt:lpstr>'Cotacao 5'!DadosExternos_139</vt:lpstr>
      <vt:lpstr>Cotacao!DadosExternos_14</vt:lpstr>
      <vt:lpstr>'Cotacao 2'!DadosExternos_14</vt:lpstr>
      <vt:lpstr>'Cotacao 3'!DadosExternos_14</vt:lpstr>
      <vt:lpstr>'Cotacao 4'!DadosExternos_14</vt:lpstr>
      <vt:lpstr>'Cotacao 5'!DadosExternos_14</vt:lpstr>
      <vt:lpstr>Cotacao!DadosExternos_140</vt:lpstr>
      <vt:lpstr>'Cotacao 2'!DadosExternos_140</vt:lpstr>
      <vt:lpstr>'Cotacao 3'!DadosExternos_140</vt:lpstr>
      <vt:lpstr>'Cotacao 4'!DadosExternos_140</vt:lpstr>
      <vt:lpstr>'Cotacao 5'!DadosExternos_140</vt:lpstr>
      <vt:lpstr>Cotacao!DadosExternos_141</vt:lpstr>
      <vt:lpstr>'Cotacao 2'!DadosExternos_141</vt:lpstr>
      <vt:lpstr>'Cotacao 3'!DadosExternos_141</vt:lpstr>
      <vt:lpstr>'Cotacao 4'!DadosExternos_141</vt:lpstr>
      <vt:lpstr>'Cotacao 5'!DadosExternos_141</vt:lpstr>
      <vt:lpstr>Cotacao!DadosExternos_142</vt:lpstr>
      <vt:lpstr>'Cotacao 2'!DadosExternos_142</vt:lpstr>
      <vt:lpstr>'Cotacao 3'!DadosExternos_142</vt:lpstr>
      <vt:lpstr>'Cotacao 4'!DadosExternos_142</vt:lpstr>
      <vt:lpstr>'Cotacao 5'!DadosExternos_142</vt:lpstr>
      <vt:lpstr>Cotacao!DadosExternos_143</vt:lpstr>
      <vt:lpstr>'Cotacao 2'!DadosExternos_143</vt:lpstr>
      <vt:lpstr>'Cotacao 3'!DadosExternos_143</vt:lpstr>
      <vt:lpstr>'Cotacao 4'!DadosExternos_143</vt:lpstr>
      <vt:lpstr>'Cotacao 5'!DadosExternos_143</vt:lpstr>
      <vt:lpstr>Cotacao!DadosExternos_144</vt:lpstr>
      <vt:lpstr>'Cotacao 2'!DadosExternos_144</vt:lpstr>
      <vt:lpstr>'Cotacao 3'!DadosExternos_144</vt:lpstr>
      <vt:lpstr>'Cotacao 4'!DadosExternos_144</vt:lpstr>
      <vt:lpstr>'Cotacao 5'!DadosExternos_144</vt:lpstr>
      <vt:lpstr>Cotacao!DadosExternos_145</vt:lpstr>
      <vt:lpstr>'Cotacao 2'!DadosExternos_145</vt:lpstr>
      <vt:lpstr>'Cotacao 3'!DadosExternos_145</vt:lpstr>
      <vt:lpstr>'Cotacao 4'!DadosExternos_145</vt:lpstr>
      <vt:lpstr>'Cotacao 5'!DadosExternos_145</vt:lpstr>
      <vt:lpstr>Cotacao!DadosExternos_146</vt:lpstr>
      <vt:lpstr>'Cotacao 2'!DadosExternos_146</vt:lpstr>
      <vt:lpstr>'Cotacao 3'!DadosExternos_146</vt:lpstr>
      <vt:lpstr>'Cotacao 4'!DadosExternos_146</vt:lpstr>
      <vt:lpstr>'Cotacao 5'!DadosExternos_146</vt:lpstr>
      <vt:lpstr>Cotacao!DadosExternos_147</vt:lpstr>
      <vt:lpstr>'Cotacao 2'!DadosExternos_147</vt:lpstr>
      <vt:lpstr>'Cotacao 3'!DadosExternos_147</vt:lpstr>
      <vt:lpstr>'Cotacao 4'!DadosExternos_147</vt:lpstr>
      <vt:lpstr>'Cotacao 5'!DadosExternos_147</vt:lpstr>
      <vt:lpstr>Cotacao!DadosExternos_148</vt:lpstr>
      <vt:lpstr>'Cotacao 2'!DadosExternos_148</vt:lpstr>
      <vt:lpstr>'Cotacao 3'!DadosExternos_148</vt:lpstr>
      <vt:lpstr>'Cotacao 4'!DadosExternos_148</vt:lpstr>
      <vt:lpstr>'Cotacao 5'!DadosExternos_148</vt:lpstr>
      <vt:lpstr>Cotacao!DadosExternos_149</vt:lpstr>
      <vt:lpstr>'Cotacao 2'!DadosExternos_149</vt:lpstr>
      <vt:lpstr>'Cotacao 3'!DadosExternos_149</vt:lpstr>
      <vt:lpstr>'Cotacao 4'!DadosExternos_149</vt:lpstr>
      <vt:lpstr>'Cotacao 5'!DadosExternos_149</vt:lpstr>
      <vt:lpstr>Cotacao!DadosExternos_15</vt:lpstr>
      <vt:lpstr>'Cotacao 2'!DadosExternos_15</vt:lpstr>
      <vt:lpstr>'Cotacao 3'!DadosExternos_15</vt:lpstr>
      <vt:lpstr>'Cotacao 4'!DadosExternos_15</vt:lpstr>
      <vt:lpstr>'Cotacao 5'!DadosExternos_15</vt:lpstr>
      <vt:lpstr>Cotacao!DadosExternos_150</vt:lpstr>
      <vt:lpstr>'Cotacao 2'!DadosExternos_150</vt:lpstr>
      <vt:lpstr>'Cotacao 3'!DadosExternos_150</vt:lpstr>
      <vt:lpstr>'Cotacao 4'!DadosExternos_150</vt:lpstr>
      <vt:lpstr>'Cotacao 5'!DadosExternos_150</vt:lpstr>
      <vt:lpstr>Cotacao!DadosExternos_151</vt:lpstr>
      <vt:lpstr>'Cotacao 2'!DadosExternos_151</vt:lpstr>
      <vt:lpstr>'Cotacao 3'!DadosExternos_151</vt:lpstr>
      <vt:lpstr>'Cotacao 4'!DadosExternos_151</vt:lpstr>
      <vt:lpstr>'Cotacao 5'!DadosExternos_151</vt:lpstr>
      <vt:lpstr>Cotacao!DadosExternos_152</vt:lpstr>
      <vt:lpstr>'Cotacao 2'!DadosExternos_152</vt:lpstr>
      <vt:lpstr>'Cotacao 3'!DadosExternos_152</vt:lpstr>
      <vt:lpstr>'Cotacao 4'!DadosExternos_152</vt:lpstr>
      <vt:lpstr>'Cotacao 5'!DadosExternos_152</vt:lpstr>
      <vt:lpstr>Cotacao!DadosExternos_153</vt:lpstr>
      <vt:lpstr>'Cotacao 2'!DadosExternos_153</vt:lpstr>
      <vt:lpstr>'Cotacao 3'!DadosExternos_153</vt:lpstr>
      <vt:lpstr>'Cotacao 4'!DadosExternos_153</vt:lpstr>
      <vt:lpstr>'Cotacao 5'!DadosExternos_153</vt:lpstr>
      <vt:lpstr>Cotacao!DadosExternos_154</vt:lpstr>
      <vt:lpstr>'Cotacao 2'!DadosExternos_154</vt:lpstr>
      <vt:lpstr>'Cotacao 3'!DadosExternos_154</vt:lpstr>
      <vt:lpstr>'Cotacao 4'!DadosExternos_154</vt:lpstr>
      <vt:lpstr>'Cotacao 5'!DadosExternos_154</vt:lpstr>
      <vt:lpstr>Cotacao!DadosExternos_155</vt:lpstr>
      <vt:lpstr>'Cotacao 2'!DadosExternos_155</vt:lpstr>
      <vt:lpstr>'Cotacao 3'!DadosExternos_155</vt:lpstr>
      <vt:lpstr>'Cotacao 4'!DadosExternos_155</vt:lpstr>
      <vt:lpstr>'Cotacao 5'!DadosExternos_155</vt:lpstr>
      <vt:lpstr>Cotacao!DadosExternos_156</vt:lpstr>
      <vt:lpstr>'Cotacao 2'!DadosExternos_156</vt:lpstr>
      <vt:lpstr>'Cotacao 3'!DadosExternos_156</vt:lpstr>
      <vt:lpstr>'Cotacao 4'!DadosExternos_156</vt:lpstr>
      <vt:lpstr>'Cotacao 5'!DadosExternos_156</vt:lpstr>
      <vt:lpstr>Cotacao!DadosExternos_157</vt:lpstr>
      <vt:lpstr>'Cotacao 2'!DadosExternos_157</vt:lpstr>
      <vt:lpstr>'Cotacao 3'!DadosExternos_157</vt:lpstr>
      <vt:lpstr>'Cotacao 4'!DadosExternos_157</vt:lpstr>
      <vt:lpstr>'Cotacao 5'!DadosExternos_157</vt:lpstr>
      <vt:lpstr>Cotacao!DadosExternos_158</vt:lpstr>
      <vt:lpstr>'Cotacao 2'!DadosExternos_158</vt:lpstr>
      <vt:lpstr>'Cotacao 3'!DadosExternos_158</vt:lpstr>
      <vt:lpstr>'Cotacao 4'!DadosExternos_158</vt:lpstr>
      <vt:lpstr>'Cotacao 5'!DadosExternos_158</vt:lpstr>
      <vt:lpstr>Cotacao!DadosExternos_159</vt:lpstr>
      <vt:lpstr>'Cotacao 2'!DadosExternos_159</vt:lpstr>
      <vt:lpstr>'Cotacao 3'!DadosExternos_159</vt:lpstr>
      <vt:lpstr>'Cotacao 4'!DadosExternos_159</vt:lpstr>
      <vt:lpstr>'Cotacao 5'!DadosExternos_159</vt:lpstr>
      <vt:lpstr>Cotacao!DadosExternos_16</vt:lpstr>
      <vt:lpstr>'Cotacao 2'!DadosExternos_16</vt:lpstr>
      <vt:lpstr>'Cotacao 3'!DadosExternos_16</vt:lpstr>
      <vt:lpstr>'Cotacao 4'!DadosExternos_16</vt:lpstr>
      <vt:lpstr>'Cotacao 5'!DadosExternos_16</vt:lpstr>
      <vt:lpstr>Cotacao!DadosExternos_160</vt:lpstr>
      <vt:lpstr>'Cotacao 2'!DadosExternos_160</vt:lpstr>
      <vt:lpstr>'Cotacao 3'!DadosExternos_160</vt:lpstr>
      <vt:lpstr>'Cotacao 4'!DadosExternos_160</vt:lpstr>
      <vt:lpstr>'Cotacao 5'!DadosExternos_160</vt:lpstr>
      <vt:lpstr>Cotacao!DadosExternos_161</vt:lpstr>
      <vt:lpstr>'Cotacao 2'!DadosExternos_161</vt:lpstr>
      <vt:lpstr>'Cotacao 3'!DadosExternos_161</vt:lpstr>
      <vt:lpstr>'Cotacao 4'!DadosExternos_161</vt:lpstr>
      <vt:lpstr>'Cotacao 5'!DadosExternos_161</vt:lpstr>
      <vt:lpstr>Cotacao!DadosExternos_162</vt:lpstr>
      <vt:lpstr>'Cotacao 2'!DadosExternos_162</vt:lpstr>
      <vt:lpstr>'Cotacao 3'!DadosExternos_162</vt:lpstr>
      <vt:lpstr>'Cotacao 4'!DadosExternos_162</vt:lpstr>
      <vt:lpstr>'Cotacao 5'!DadosExternos_162</vt:lpstr>
      <vt:lpstr>Cotacao!DadosExternos_163</vt:lpstr>
      <vt:lpstr>'Cotacao 2'!DadosExternos_163</vt:lpstr>
      <vt:lpstr>'Cotacao 3'!DadosExternos_163</vt:lpstr>
      <vt:lpstr>'Cotacao 4'!DadosExternos_163</vt:lpstr>
      <vt:lpstr>'Cotacao 5'!DadosExternos_163</vt:lpstr>
      <vt:lpstr>Cotacao!DadosExternos_164</vt:lpstr>
      <vt:lpstr>'Cotacao 2'!DadosExternos_164</vt:lpstr>
      <vt:lpstr>'Cotacao 3'!DadosExternos_164</vt:lpstr>
      <vt:lpstr>'Cotacao 4'!DadosExternos_164</vt:lpstr>
      <vt:lpstr>'Cotacao 5'!DadosExternos_164</vt:lpstr>
      <vt:lpstr>Cotacao!DadosExternos_165</vt:lpstr>
      <vt:lpstr>'Cotacao 2'!DadosExternos_165</vt:lpstr>
      <vt:lpstr>'Cotacao 3'!DadosExternos_165</vt:lpstr>
      <vt:lpstr>'Cotacao 4'!DadosExternos_165</vt:lpstr>
      <vt:lpstr>'Cotacao 5'!DadosExternos_165</vt:lpstr>
      <vt:lpstr>Cotacao!DadosExternos_166</vt:lpstr>
      <vt:lpstr>'Cotacao 2'!DadosExternos_166</vt:lpstr>
      <vt:lpstr>'Cotacao 3'!DadosExternos_166</vt:lpstr>
      <vt:lpstr>'Cotacao 4'!DadosExternos_166</vt:lpstr>
      <vt:lpstr>'Cotacao 5'!DadosExternos_166</vt:lpstr>
      <vt:lpstr>Cotacao!DadosExternos_167</vt:lpstr>
      <vt:lpstr>'Cotacao 2'!DadosExternos_167</vt:lpstr>
      <vt:lpstr>'Cotacao 3'!DadosExternos_167</vt:lpstr>
      <vt:lpstr>'Cotacao 4'!DadosExternos_167</vt:lpstr>
      <vt:lpstr>'Cotacao 5'!DadosExternos_167</vt:lpstr>
      <vt:lpstr>Cotacao!DadosExternos_168</vt:lpstr>
      <vt:lpstr>'Cotacao 2'!DadosExternos_168</vt:lpstr>
      <vt:lpstr>'Cotacao 3'!DadosExternos_168</vt:lpstr>
      <vt:lpstr>'Cotacao 4'!DadosExternos_168</vt:lpstr>
      <vt:lpstr>'Cotacao 5'!DadosExternos_168</vt:lpstr>
      <vt:lpstr>Cotacao!DadosExternos_169</vt:lpstr>
      <vt:lpstr>'Cotacao 2'!DadosExternos_169</vt:lpstr>
      <vt:lpstr>'Cotacao 3'!DadosExternos_169</vt:lpstr>
      <vt:lpstr>'Cotacao 4'!DadosExternos_169</vt:lpstr>
      <vt:lpstr>'Cotacao 5'!DadosExternos_169</vt:lpstr>
      <vt:lpstr>Cotacao!DadosExternos_17</vt:lpstr>
      <vt:lpstr>'Cotacao 2'!DadosExternos_17</vt:lpstr>
      <vt:lpstr>'Cotacao 3'!DadosExternos_17</vt:lpstr>
      <vt:lpstr>'Cotacao 4'!DadosExternos_17</vt:lpstr>
      <vt:lpstr>'Cotacao 5'!DadosExternos_17</vt:lpstr>
      <vt:lpstr>Cotacao!DadosExternos_170</vt:lpstr>
      <vt:lpstr>'Cotacao 2'!DadosExternos_170</vt:lpstr>
      <vt:lpstr>'Cotacao 3'!DadosExternos_170</vt:lpstr>
      <vt:lpstr>'Cotacao 4'!DadosExternos_170</vt:lpstr>
      <vt:lpstr>'Cotacao 5'!DadosExternos_170</vt:lpstr>
      <vt:lpstr>Cotacao!DadosExternos_171</vt:lpstr>
      <vt:lpstr>'Cotacao 2'!DadosExternos_171</vt:lpstr>
      <vt:lpstr>'Cotacao 3'!DadosExternos_171</vt:lpstr>
      <vt:lpstr>'Cotacao 4'!DadosExternos_171</vt:lpstr>
      <vt:lpstr>'Cotacao 5'!DadosExternos_171</vt:lpstr>
      <vt:lpstr>Cotacao!DadosExternos_172</vt:lpstr>
      <vt:lpstr>'Cotacao 2'!DadosExternos_172</vt:lpstr>
      <vt:lpstr>'Cotacao 3'!DadosExternos_172</vt:lpstr>
      <vt:lpstr>'Cotacao 4'!DadosExternos_172</vt:lpstr>
      <vt:lpstr>'Cotacao 5'!DadosExternos_172</vt:lpstr>
      <vt:lpstr>Cotacao!DadosExternos_173</vt:lpstr>
      <vt:lpstr>'Cotacao 2'!DadosExternos_173</vt:lpstr>
      <vt:lpstr>'Cotacao 3'!DadosExternos_173</vt:lpstr>
      <vt:lpstr>'Cotacao 4'!DadosExternos_173</vt:lpstr>
      <vt:lpstr>'Cotacao 5'!DadosExternos_173</vt:lpstr>
      <vt:lpstr>Cotacao!DadosExternos_174</vt:lpstr>
      <vt:lpstr>'Cotacao 2'!DadosExternos_174</vt:lpstr>
      <vt:lpstr>'Cotacao 3'!DadosExternos_174</vt:lpstr>
      <vt:lpstr>'Cotacao 4'!DadosExternos_174</vt:lpstr>
      <vt:lpstr>'Cotacao 5'!DadosExternos_174</vt:lpstr>
      <vt:lpstr>Cotacao!DadosExternos_175</vt:lpstr>
      <vt:lpstr>'Cotacao 2'!DadosExternos_175</vt:lpstr>
      <vt:lpstr>'Cotacao 3'!DadosExternos_175</vt:lpstr>
      <vt:lpstr>'Cotacao 4'!DadosExternos_175</vt:lpstr>
      <vt:lpstr>'Cotacao 5'!DadosExternos_175</vt:lpstr>
      <vt:lpstr>Cotacao!DadosExternos_176</vt:lpstr>
      <vt:lpstr>'Cotacao 2'!DadosExternos_176</vt:lpstr>
      <vt:lpstr>'Cotacao 3'!DadosExternos_176</vt:lpstr>
      <vt:lpstr>'Cotacao 4'!DadosExternos_176</vt:lpstr>
      <vt:lpstr>'Cotacao 5'!DadosExternos_176</vt:lpstr>
      <vt:lpstr>Cotacao!DadosExternos_177</vt:lpstr>
      <vt:lpstr>'Cotacao 2'!DadosExternos_177</vt:lpstr>
      <vt:lpstr>'Cotacao 3'!DadosExternos_177</vt:lpstr>
      <vt:lpstr>'Cotacao 4'!DadosExternos_177</vt:lpstr>
      <vt:lpstr>'Cotacao 5'!DadosExternos_177</vt:lpstr>
      <vt:lpstr>Cotacao!DadosExternos_178</vt:lpstr>
      <vt:lpstr>'Cotacao 2'!DadosExternos_178</vt:lpstr>
      <vt:lpstr>'Cotacao 3'!DadosExternos_178</vt:lpstr>
      <vt:lpstr>'Cotacao 4'!DadosExternos_178</vt:lpstr>
      <vt:lpstr>'Cotacao 5'!DadosExternos_178</vt:lpstr>
      <vt:lpstr>Cotacao!DadosExternos_179</vt:lpstr>
      <vt:lpstr>'Cotacao 2'!DadosExternos_179</vt:lpstr>
      <vt:lpstr>'Cotacao 3'!DadosExternos_179</vt:lpstr>
      <vt:lpstr>'Cotacao 4'!DadosExternos_179</vt:lpstr>
      <vt:lpstr>'Cotacao 5'!DadosExternos_179</vt:lpstr>
      <vt:lpstr>Cotacao!DadosExternos_18</vt:lpstr>
      <vt:lpstr>'Cotacao 2'!DadosExternos_18</vt:lpstr>
      <vt:lpstr>'Cotacao 3'!DadosExternos_18</vt:lpstr>
      <vt:lpstr>'Cotacao 4'!DadosExternos_18</vt:lpstr>
      <vt:lpstr>'Cotacao 5'!DadosExternos_18</vt:lpstr>
      <vt:lpstr>Cotacao!DadosExternos_180</vt:lpstr>
      <vt:lpstr>'Cotacao 2'!DadosExternos_180</vt:lpstr>
      <vt:lpstr>'Cotacao 3'!DadosExternos_180</vt:lpstr>
      <vt:lpstr>'Cotacao 4'!DadosExternos_180</vt:lpstr>
      <vt:lpstr>'Cotacao 5'!DadosExternos_180</vt:lpstr>
      <vt:lpstr>Cotacao!DadosExternos_181</vt:lpstr>
      <vt:lpstr>'Cotacao 2'!DadosExternos_181</vt:lpstr>
      <vt:lpstr>'Cotacao 3'!DadosExternos_181</vt:lpstr>
      <vt:lpstr>'Cotacao 4'!DadosExternos_181</vt:lpstr>
      <vt:lpstr>'Cotacao 5'!DadosExternos_181</vt:lpstr>
      <vt:lpstr>Cotacao!DadosExternos_182</vt:lpstr>
      <vt:lpstr>'Cotacao 2'!DadosExternos_182</vt:lpstr>
      <vt:lpstr>'Cotacao 3'!DadosExternos_182</vt:lpstr>
      <vt:lpstr>'Cotacao 4'!DadosExternos_182</vt:lpstr>
      <vt:lpstr>'Cotacao 5'!DadosExternos_182</vt:lpstr>
      <vt:lpstr>Cotacao!DadosExternos_183</vt:lpstr>
      <vt:lpstr>'Cotacao 2'!DadosExternos_183</vt:lpstr>
      <vt:lpstr>'Cotacao 3'!DadosExternos_183</vt:lpstr>
      <vt:lpstr>'Cotacao 4'!DadosExternos_183</vt:lpstr>
      <vt:lpstr>'Cotacao 5'!DadosExternos_183</vt:lpstr>
      <vt:lpstr>Cotacao!DadosExternos_184</vt:lpstr>
      <vt:lpstr>'Cotacao 2'!DadosExternos_184</vt:lpstr>
      <vt:lpstr>'Cotacao 3'!DadosExternos_184</vt:lpstr>
      <vt:lpstr>'Cotacao 4'!DadosExternos_184</vt:lpstr>
      <vt:lpstr>'Cotacao 5'!DadosExternos_184</vt:lpstr>
      <vt:lpstr>Cotacao!DadosExternos_185</vt:lpstr>
      <vt:lpstr>'Cotacao 2'!DadosExternos_185</vt:lpstr>
      <vt:lpstr>'Cotacao 3'!DadosExternos_185</vt:lpstr>
      <vt:lpstr>'Cotacao 4'!DadosExternos_185</vt:lpstr>
      <vt:lpstr>'Cotacao 5'!DadosExternos_185</vt:lpstr>
      <vt:lpstr>Cotacao!DadosExternos_186</vt:lpstr>
      <vt:lpstr>'Cotacao 2'!DadosExternos_186</vt:lpstr>
      <vt:lpstr>'Cotacao 3'!DadosExternos_186</vt:lpstr>
      <vt:lpstr>'Cotacao 4'!DadosExternos_186</vt:lpstr>
      <vt:lpstr>'Cotacao 5'!DadosExternos_186</vt:lpstr>
      <vt:lpstr>Cotacao!DadosExternos_187</vt:lpstr>
      <vt:lpstr>'Cotacao 2'!DadosExternos_187</vt:lpstr>
      <vt:lpstr>'Cotacao 3'!DadosExternos_187</vt:lpstr>
      <vt:lpstr>'Cotacao 4'!DadosExternos_187</vt:lpstr>
      <vt:lpstr>'Cotacao 5'!DadosExternos_187</vt:lpstr>
      <vt:lpstr>Cotacao!DadosExternos_188</vt:lpstr>
      <vt:lpstr>'Cotacao 2'!DadosExternos_188</vt:lpstr>
      <vt:lpstr>'Cotacao 3'!DadosExternos_188</vt:lpstr>
      <vt:lpstr>'Cotacao 4'!DadosExternos_188</vt:lpstr>
      <vt:lpstr>'Cotacao 5'!DadosExternos_188</vt:lpstr>
      <vt:lpstr>Cotacao!DadosExternos_189</vt:lpstr>
      <vt:lpstr>'Cotacao 2'!DadosExternos_189</vt:lpstr>
      <vt:lpstr>'Cotacao 3'!DadosExternos_189</vt:lpstr>
      <vt:lpstr>'Cotacao 4'!DadosExternos_189</vt:lpstr>
      <vt:lpstr>'Cotacao 5'!DadosExternos_189</vt:lpstr>
      <vt:lpstr>Cotacao!DadosExternos_190</vt:lpstr>
      <vt:lpstr>'Cotacao 2'!DadosExternos_190</vt:lpstr>
      <vt:lpstr>'Cotacao 3'!DadosExternos_190</vt:lpstr>
      <vt:lpstr>'Cotacao 4'!DadosExternos_190</vt:lpstr>
      <vt:lpstr>'Cotacao 5'!DadosExternos_190</vt:lpstr>
      <vt:lpstr>Cotacao!DadosExternos_191</vt:lpstr>
      <vt:lpstr>'Cotacao 2'!DadosExternos_191</vt:lpstr>
      <vt:lpstr>'Cotacao 3'!DadosExternos_191</vt:lpstr>
      <vt:lpstr>'Cotacao 4'!DadosExternos_191</vt:lpstr>
      <vt:lpstr>'Cotacao 5'!DadosExternos_191</vt:lpstr>
      <vt:lpstr>Cotacao!DadosExternos_192</vt:lpstr>
      <vt:lpstr>'Cotacao 2'!DadosExternos_192</vt:lpstr>
      <vt:lpstr>'Cotacao 3'!DadosExternos_192</vt:lpstr>
      <vt:lpstr>'Cotacao 4'!DadosExternos_192</vt:lpstr>
      <vt:lpstr>'Cotacao 5'!DadosExternos_192</vt:lpstr>
      <vt:lpstr>Cotacao!DadosExternos_193</vt:lpstr>
      <vt:lpstr>'Cotacao 2'!DadosExternos_193</vt:lpstr>
      <vt:lpstr>'Cotacao 3'!DadosExternos_193</vt:lpstr>
      <vt:lpstr>'Cotacao 4'!DadosExternos_193</vt:lpstr>
      <vt:lpstr>'Cotacao 5'!DadosExternos_193</vt:lpstr>
      <vt:lpstr>Cotacao!DadosExternos_194</vt:lpstr>
      <vt:lpstr>'Cotacao 2'!DadosExternos_194</vt:lpstr>
      <vt:lpstr>'Cotacao 3'!DadosExternos_194</vt:lpstr>
      <vt:lpstr>'Cotacao 4'!DadosExternos_194</vt:lpstr>
      <vt:lpstr>'Cotacao 5'!DadosExternos_194</vt:lpstr>
      <vt:lpstr>Cotacao!DadosExternos_195</vt:lpstr>
      <vt:lpstr>'Cotacao 2'!DadosExternos_195</vt:lpstr>
      <vt:lpstr>'Cotacao 3'!DadosExternos_195</vt:lpstr>
      <vt:lpstr>'Cotacao 4'!DadosExternos_195</vt:lpstr>
      <vt:lpstr>'Cotacao 5'!DadosExternos_195</vt:lpstr>
      <vt:lpstr>Cotacao!DadosExternos_196</vt:lpstr>
      <vt:lpstr>'Cotacao 2'!DadosExternos_196</vt:lpstr>
      <vt:lpstr>'Cotacao 3'!DadosExternos_196</vt:lpstr>
      <vt:lpstr>'Cotacao 4'!DadosExternos_196</vt:lpstr>
      <vt:lpstr>'Cotacao 5'!DadosExternos_196</vt:lpstr>
      <vt:lpstr>Cotacao!DadosExternos_197</vt:lpstr>
      <vt:lpstr>'Cotacao 2'!DadosExternos_197</vt:lpstr>
      <vt:lpstr>'Cotacao 3'!DadosExternos_197</vt:lpstr>
      <vt:lpstr>'Cotacao 4'!DadosExternos_197</vt:lpstr>
      <vt:lpstr>'Cotacao 5'!DadosExternos_197</vt:lpstr>
      <vt:lpstr>Cotacao!DadosExternos_198</vt:lpstr>
      <vt:lpstr>'Cotacao 2'!DadosExternos_198</vt:lpstr>
      <vt:lpstr>'Cotacao 3'!DadosExternos_198</vt:lpstr>
      <vt:lpstr>'Cotacao 4'!DadosExternos_198</vt:lpstr>
      <vt:lpstr>'Cotacao 5'!DadosExternos_198</vt:lpstr>
      <vt:lpstr>'Cotacao 2'!DadosExternos_199</vt:lpstr>
      <vt:lpstr>'Cotacao 3'!DadosExternos_199</vt:lpstr>
      <vt:lpstr>'Cotacao 4'!DadosExternos_199</vt:lpstr>
      <vt:lpstr>'Cotacao 5'!DadosExternos_199</vt:lpstr>
      <vt:lpstr>Cotacao!DadosExternos_2</vt:lpstr>
      <vt:lpstr>'Cotacao 2'!DadosExternos_2</vt:lpstr>
      <vt:lpstr>'Cotacao 3'!DadosExternos_2</vt:lpstr>
      <vt:lpstr>'Cotacao 4'!DadosExternos_2</vt:lpstr>
      <vt:lpstr>'Cotacao 5'!DadosExternos_2</vt:lpstr>
      <vt:lpstr>Cotacao!DadosExternos_20</vt:lpstr>
      <vt:lpstr>'Cotacao 2'!DadosExternos_20</vt:lpstr>
      <vt:lpstr>'Cotacao 3'!DadosExternos_20</vt:lpstr>
      <vt:lpstr>'Cotacao 4'!DadosExternos_20</vt:lpstr>
      <vt:lpstr>'Cotacao 5'!DadosExternos_20</vt:lpstr>
      <vt:lpstr>Cotacao!DadosExternos_200</vt:lpstr>
      <vt:lpstr>'Cotacao 2'!DadosExternos_200</vt:lpstr>
      <vt:lpstr>'Cotacao 3'!DadosExternos_200</vt:lpstr>
      <vt:lpstr>'Cotacao 4'!DadosExternos_200</vt:lpstr>
      <vt:lpstr>'Cotacao 5'!DadosExternos_200</vt:lpstr>
      <vt:lpstr>Cotacao!DadosExternos_201</vt:lpstr>
      <vt:lpstr>'Cotacao 2'!DadosExternos_201</vt:lpstr>
      <vt:lpstr>'Cotacao 3'!DadosExternos_201</vt:lpstr>
      <vt:lpstr>'Cotacao 4'!DadosExternos_201</vt:lpstr>
      <vt:lpstr>'Cotacao 5'!DadosExternos_201</vt:lpstr>
      <vt:lpstr>Cotacao!DadosExternos_202</vt:lpstr>
      <vt:lpstr>'Cotacao 2'!DadosExternos_202</vt:lpstr>
      <vt:lpstr>'Cotacao 3'!DadosExternos_202</vt:lpstr>
      <vt:lpstr>'Cotacao 4'!DadosExternos_202</vt:lpstr>
      <vt:lpstr>'Cotacao 5'!DadosExternos_202</vt:lpstr>
      <vt:lpstr>Cotacao!DadosExternos_203</vt:lpstr>
      <vt:lpstr>'Cotacao 2'!DadosExternos_203</vt:lpstr>
      <vt:lpstr>'Cotacao 3'!DadosExternos_203</vt:lpstr>
      <vt:lpstr>'Cotacao 4'!DadosExternos_203</vt:lpstr>
      <vt:lpstr>'Cotacao 5'!DadosExternos_203</vt:lpstr>
      <vt:lpstr>Cotacao!DadosExternos_204</vt:lpstr>
      <vt:lpstr>'Cotacao 2'!DadosExternos_204</vt:lpstr>
      <vt:lpstr>'Cotacao 3'!DadosExternos_204</vt:lpstr>
      <vt:lpstr>'Cotacao 4'!DadosExternos_204</vt:lpstr>
      <vt:lpstr>'Cotacao 5'!DadosExternos_204</vt:lpstr>
      <vt:lpstr>Cotacao!DadosExternos_205</vt:lpstr>
      <vt:lpstr>'Cotacao 2'!DadosExternos_205</vt:lpstr>
      <vt:lpstr>'Cotacao 3'!DadosExternos_205</vt:lpstr>
      <vt:lpstr>'Cotacao 4'!DadosExternos_205</vt:lpstr>
      <vt:lpstr>'Cotacao 5'!DadosExternos_205</vt:lpstr>
      <vt:lpstr>Cotacao!DadosExternos_206</vt:lpstr>
      <vt:lpstr>'Cotacao 2'!DadosExternos_206</vt:lpstr>
      <vt:lpstr>'Cotacao 3'!DadosExternos_206</vt:lpstr>
      <vt:lpstr>'Cotacao 4'!DadosExternos_206</vt:lpstr>
      <vt:lpstr>'Cotacao 5'!DadosExternos_206</vt:lpstr>
      <vt:lpstr>Cotacao!DadosExternos_207</vt:lpstr>
      <vt:lpstr>'Cotacao 2'!DadosExternos_207</vt:lpstr>
      <vt:lpstr>'Cotacao 3'!DadosExternos_207</vt:lpstr>
      <vt:lpstr>'Cotacao 4'!DadosExternos_207</vt:lpstr>
      <vt:lpstr>'Cotacao 5'!DadosExternos_207</vt:lpstr>
      <vt:lpstr>'Cotacao 2'!DadosExternos_208</vt:lpstr>
      <vt:lpstr>'Cotacao 3'!DadosExternos_208</vt:lpstr>
      <vt:lpstr>'Cotacao 4'!DadosExternos_208</vt:lpstr>
      <vt:lpstr>'Cotacao 5'!DadosExternos_208</vt:lpstr>
      <vt:lpstr>Cotacao!DadosExternos_209</vt:lpstr>
      <vt:lpstr>'Cotacao 2'!DadosExternos_209</vt:lpstr>
      <vt:lpstr>'Cotacao 3'!DadosExternos_209</vt:lpstr>
      <vt:lpstr>'Cotacao 4'!DadosExternos_209</vt:lpstr>
      <vt:lpstr>'Cotacao 5'!DadosExternos_209</vt:lpstr>
      <vt:lpstr>Cotacao!DadosExternos_21</vt:lpstr>
      <vt:lpstr>'Cotacao 2'!DadosExternos_21</vt:lpstr>
      <vt:lpstr>'Cotacao 3'!DadosExternos_21</vt:lpstr>
      <vt:lpstr>'Cotacao 4'!DadosExternos_21</vt:lpstr>
      <vt:lpstr>'Cotacao 5'!DadosExternos_21</vt:lpstr>
      <vt:lpstr>'Cotacao 2'!DadosExternos_210</vt:lpstr>
      <vt:lpstr>'Cotacao 3'!DadosExternos_210</vt:lpstr>
      <vt:lpstr>'Cotacao 4'!DadosExternos_210</vt:lpstr>
      <vt:lpstr>'Cotacao 5'!DadosExternos_210</vt:lpstr>
      <vt:lpstr>Cotacao!DadosExternos_211</vt:lpstr>
      <vt:lpstr>'Cotacao 2'!DadosExternos_211</vt:lpstr>
      <vt:lpstr>'Cotacao 3'!DadosExternos_211</vt:lpstr>
      <vt:lpstr>'Cotacao 4'!DadosExternos_211</vt:lpstr>
      <vt:lpstr>'Cotacao 5'!DadosExternos_211</vt:lpstr>
      <vt:lpstr>Cotacao!DadosExternos_212</vt:lpstr>
      <vt:lpstr>'Cotacao 2'!DadosExternos_212</vt:lpstr>
      <vt:lpstr>'Cotacao 3'!DadosExternos_212</vt:lpstr>
      <vt:lpstr>'Cotacao 4'!DadosExternos_212</vt:lpstr>
      <vt:lpstr>'Cotacao 5'!DadosExternos_212</vt:lpstr>
      <vt:lpstr>Cotacao!DadosExternos_213</vt:lpstr>
      <vt:lpstr>'Cotacao 2'!DadosExternos_213</vt:lpstr>
      <vt:lpstr>'Cotacao 3'!DadosExternos_213</vt:lpstr>
      <vt:lpstr>'Cotacao 4'!DadosExternos_213</vt:lpstr>
      <vt:lpstr>'Cotacao 5'!DadosExternos_213</vt:lpstr>
      <vt:lpstr>'Cotacao 2'!DadosExternos_214</vt:lpstr>
      <vt:lpstr>'Cotacao 3'!DadosExternos_214</vt:lpstr>
      <vt:lpstr>'Cotacao 4'!DadosExternos_214</vt:lpstr>
      <vt:lpstr>'Cotacao 5'!DadosExternos_214</vt:lpstr>
      <vt:lpstr>Cotacao!DadosExternos_215</vt:lpstr>
      <vt:lpstr>'Cotacao 2'!DadosExternos_215</vt:lpstr>
      <vt:lpstr>'Cotacao 3'!DadosExternos_215</vt:lpstr>
      <vt:lpstr>'Cotacao 4'!DadosExternos_215</vt:lpstr>
      <vt:lpstr>'Cotacao 5'!DadosExternos_215</vt:lpstr>
      <vt:lpstr>Cotacao!DadosExternos_216</vt:lpstr>
      <vt:lpstr>'Cotacao 2'!DadosExternos_216</vt:lpstr>
      <vt:lpstr>'Cotacao 3'!DadosExternos_216</vt:lpstr>
      <vt:lpstr>'Cotacao 4'!DadosExternos_216</vt:lpstr>
      <vt:lpstr>'Cotacao 5'!DadosExternos_216</vt:lpstr>
      <vt:lpstr>Cotacao!DadosExternos_217</vt:lpstr>
      <vt:lpstr>'Cotacao 2'!DadosExternos_217</vt:lpstr>
      <vt:lpstr>'Cotacao 3'!DadosExternos_217</vt:lpstr>
      <vt:lpstr>'Cotacao 4'!DadosExternos_217</vt:lpstr>
      <vt:lpstr>'Cotacao 5'!DadosExternos_217</vt:lpstr>
      <vt:lpstr>Cotacao!DadosExternos_218</vt:lpstr>
      <vt:lpstr>Cotacao!DadosExternos_219</vt:lpstr>
      <vt:lpstr>'Cotacao 2'!DadosExternos_219</vt:lpstr>
      <vt:lpstr>'Cotacao 3'!DadosExternos_219</vt:lpstr>
      <vt:lpstr>'Cotacao 4'!DadosExternos_219</vt:lpstr>
      <vt:lpstr>'Cotacao 5'!DadosExternos_219</vt:lpstr>
      <vt:lpstr>Cotacao!DadosExternos_220</vt:lpstr>
      <vt:lpstr>'Cotacao 2'!DadosExternos_220</vt:lpstr>
      <vt:lpstr>'Cotacao 3'!DadosExternos_220</vt:lpstr>
      <vt:lpstr>'Cotacao 4'!DadosExternos_220</vt:lpstr>
      <vt:lpstr>'Cotacao 5'!DadosExternos_220</vt:lpstr>
      <vt:lpstr>Cotacao!DadosExternos_221</vt:lpstr>
      <vt:lpstr>'Cotacao 2'!DadosExternos_221</vt:lpstr>
      <vt:lpstr>'Cotacao 3'!DadosExternos_221</vt:lpstr>
      <vt:lpstr>'Cotacao 4'!DadosExternos_221</vt:lpstr>
      <vt:lpstr>'Cotacao 5'!DadosExternos_221</vt:lpstr>
      <vt:lpstr>Cotacao!DadosExternos_222</vt:lpstr>
      <vt:lpstr>'Cotacao 2'!DadosExternos_222</vt:lpstr>
      <vt:lpstr>'Cotacao 3'!DadosExternos_222</vt:lpstr>
      <vt:lpstr>'Cotacao 4'!DadosExternos_222</vt:lpstr>
      <vt:lpstr>'Cotacao 5'!DadosExternos_222</vt:lpstr>
      <vt:lpstr>'Cotacao 2'!DadosExternos_223</vt:lpstr>
      <vt:lpstr>'Cotacao 3'!DadosExternos_223</vt:lpstr>
      <vt:lpstr>'Cotacao 4'!DadosExternos_223</vt:lpstr>
      <vt:lpstr>'Cotacao 5'!DadosExternos_223</vt:lpstr>
      <vt:lpstr>Cotacao!DadosExternos_224</vt:lpstr>
      <vt:lpstr>'Cotacao 2'!DadosExternos_224</vt:lpstr>
      <vt:lpstr>'Cotacao 3'!DadosExternos_224</vt:lpstr>
      <vt:lpstr>'Cotacao 4'!DadosExternos_224</vt:lpstr>
      <vt:lpstr>'Cotacao 5'!DadosExternos_224</vt:lpstr>
      <vt:lpstr>Cotacao!DadosExternos_225</vt:lpstr>
      <vt:lpstr>'Cotacao 2'!DadosExternos_225</vt:lpstr>
      <vt:lpstr>'Cotacao 3'!DadosExternos_225</vt:lpstr>
      <vt:lpstr>'Cotacao 4'!DadosExternos_225</vt:lpstr>
      <vt:lpstr>'Cotacao 5'!DadosExternos_225</vt:lpstr>
      <vt:lpstr>Cotacao!DadosExternos_226</vt:lpstr>
      <vt:lpstr>'Cotacao 2'!DadosExternos_227</vt:lpstr>
      <vt:lpstr>'Cotacao 3'!DadosExternos_227</vt:lpstr>
      <vt:lpstr>'Cotacao 4'!DadosExternos_227</vt:lpstr>
      <vt:lpstr>'Cotacao 5'!DadosExternos_227</vt:lpstr>
      <vt:lpstr>Cotacao!DadosExternos_228</vt:lpstr>
      <vt:lpstr>'Cotacao 2'!DadosExternos_228</vt:lpstr>
      <vt:lpstr>'Cotacao 3'!DadosExternos_228</vt:lpstr>
      <vt:lpstr>'Cotacao 4'!DadosExternos_228</vt:lpstr>
      <vt:lpstr>'Cotacao 5'!DadosExternos_228</vt:lpstr>
      <vt:lpstr>Cotacao!DadosExternos_229</vt:lpstr>
      <vt:lpstr>'Cotacao 2'!DadosExternos_229</vt:lpstr>
      <vt:lpstr>'Cotacao 3'!DadosExternos_229</vt:lpstr>
      <vt:lpstr>'Cotacao 4'!DadosExternos_229</vt:lpstr>
      <vt:lpstr>'Cotacao 5'!DadosExternos_229</vt:lpstr>
      <vt:lpstr>Cotacao!DadosExternos_230</vt:lpstr>
      <vt:lpstr>'Cotacao 2'!DadosExternos_230</vt:lpstr>
      <vt:lpstr>'Cotacao 3'!DadosExternos_230</vt:lpstr>
      <vt:lpstr>'Cotacao 4'!DadosExternos_230</vt:lpstr>
      <vt:lpstr>'Cotacao 5'!DadosExternos_230</vt:lpstr>
      <vt:lpstr>Cotacao!DadosExternos_231</vt:lpstr>
      <vt:lpstr>Cotacao!DadosExternos_232</vt:lpstr>
      <vt:lpstr>Cotacao!DadosExternos_233</vt:lpstr>
      <vt:lpstr>'Cotacao 2'!DadosExternos_233</vt:lpstr>
      <vt:lpstr>'Cotacao 3'!DadosExternos_233</vt:lpstr>
      <vt:lpstr>'Cotacao 4'!DadosExternos_233</vt:lpstr>
      <vt:lpstr>'Cotacao 5'!DadosExternos_233</vt:lpstr>
      <vt:lpstr>'Cotacao 2'!DadosExternos_234</vt:lpstr>
      <vt:lpstr>'Cotacao 3'!DadosExternos_234</vt:lpstr>
      <vt:lpstr>'Cotacao 4'!DadosExternos_234</vt:lpstr>
      <vt:lpstr>'Cotacao 5'!DadosExternos_234</vt:lpstr>
      <vt:lpstr>Cotacao!DadosExternos_235</vt:lpstr>
      <vt:lpstr>'Cotacao 2'!DadosExternos_235</vt:lpstr>
      <vt:lpstr>'Cotacao 3'!DadosExternos_235</vt:lpstr>
      <vt:lpstr>'Cotacao 4'!DadosExternos_235</vt:lpstr>
      <vt:lpstr>'Cotacao 5'!DadosExternos_235</vt:lpstr>
      <vt:lpstr>Cotacao!DadosExternos_237</vt:lpstr>
      <vt:lpstr>'Cotacao 2'!DadosExternos_237</vt:lpstr>
      <vt:lpstr>'Cotacao 3'!DadosExternos_237</vt:lpstr>
      <vt:lpstr>'Cotacao 4'!DadosExternos_237</vt:lpstr>
      <vt:lpstr>'Cotacao 5'!DadosExternos_237</vt:lpstr>
      <vt:lpstr>Cotacao!DadosExternos_238</vt:lpstr>
      <vt:lpstr>'Cotacao 2'!DadosExternos_238</vt:lpstr>
      <vt:lpstr>'Cotacao 3'!DadosExternos_238</vt:lpstr>
      <vt:lpstr>'Cotacao 4'!DadosExternos_238</vt:lpstr>
      <vt:lpstr>'Cotacao 5'!DadosExternos_238</vt:lpstr>
      <vt:lpstr>'Cotacao 2'!DadosExternos_239</vt:lpstr>
      <vt:lpstr>'Cotacao 3'!DadosExternos_239</vt:lpstr>
      <vt:lpstr>'Cotacao 4'!DadosExternos_239</vt:lpstr>
      <vt:lpstr>'Cotacao 5'!DadosExternos_239</vt:lpstr>
      <vt:lpstr>Cotacao!DadosExternos_24</vt:lpstr>
      <vt:lpstr>'Cotacao 2'!DadosExternos_24</vt:lpstr>
      <vt:lpstr>'Cotacao 3'!DadosExternos_24</vt:lpstr>
      <vt:lpstr>'Cotacao 4'!DadosExternos_24</vt:lpstr>
      <vt:lpstr>'Cotacao 5'!DadosExternos_24</vt:lpstr>
      <vt:lpstr>Cotacao!DadosExternos_240</vt:lpstr>
      <vt:lpstr>'Cotacao 2'!DadosExternos_240</vt:lpstr>
      <vt:lpstr>'Cotacao 3'!DadosExternos_240</vt:lpstr>
      <vt:lpstr>'Cotacao 4'!DadosExternos_240</vt:lpstr>
      <vt:lpstr>'Cotacao 5'!DadosExternos_240</vt:lpstr>
      <vt:lpstr>Cotacao!DadosExternos_241</vt:lpstr>
      <vt:lpstr>'Cotacao 2'!DadosExternos_241</vt:lpstr>
      <vt:lpstr>'Cotacao 3'!DadosExternos_241</vt:lpstr>
      <vt:lpstr>'Cotacao 4'!DadosExternos_241</vt:lpstr>
      <vt:lpstr>'Cotacao 5'!DadosExternos_241</vt:lpstr>
      <vt:lpstr>'Cotacao 2'!DadosExternos_242</vt:lpstr>
      <vt:lpstr>'Cotacao 3'!DadosExternos_242</vt:lpstr>
      <vt:lpstr>'Cotacao 4'!DadosExternos_242</vt:lpstr>
      <vt:lpstr>'Cotacao 5'!DadosExternos_242</vt:lpstr>
      <vt:lpstr>Cotacao!DadosExternos_243</vt:lpstr>
      <vt:lpstr>'Cotacao 2'!DadosExternos_243</vt:lpstr>
      <vt:lpstr>'Cotacao 3'!DadosExternos_243</vt:lpstr>
      <vt:lpstr>'Cotacao 4'!DadosExternos_243</vt:lpstr>
      <vt:lpstr>'Cotacao 5'!DadosExternos_243</vt:lpstr>
      <vt:lpstr>Cotacao!DadosExternos_244</vt:lpstr>
      <vt:lpstr>'Cotacao 2'!DadosExternos_244</vt:lpstr>
      <vt:lpstr>'Cotacao 3'!DadosExternos_244</vt:lpstr>
      <vt:lpstr>'Cotacao 4'!DadosExternos_244</vt:lpstr>
      <vt:lpstr>'Cotacao 5'!DadosExternos_244</vt:lpstr>
      <vt:lpstr>Cotacao!DadosExternos_245</vt:lpstr>
      <vt:lpstr>'Cotacao 2'!DadosExternos_246</vt:lpstr>
      <vt:lpstr>'Cotacao 3'!DadosExternos_246</vt:lpstr>
      <vt:lpstr>'Cotacao 4'!DadosExternos_246</vt:lpstr>
      <vt:lpstr>'Cotacao 5'!DadosExternos_246</vt:lpstr>
      <vt:lpstr>Cotacao!DadosExternos_247</vt:lpstr>
      <vt:lpstr>Cotacao!DadosExternos_249</vt:lpstr>
      <vt:lpstr>'Cotacao 2'!DadosExternos_249</vt:lpstr>
      <vt:lpstr>'Cotacao 3'!DadosExternos_249</vt:lpstr>
      <vt:lpstr>'Cotacao 4'!DadosExternos_249</vt:lpstr>
      <vt:lpstr>'Cotacao 5'!DadosExternos_249</vt:lpstr>
      <vt:lpstr>Cotacao!DadosExternos_250</vt:lpstr>
      <vt:lpstr>'Cotacao 2'!DadosExternos_250</vt:lpstr>
      <vt:lpstr>'Cotacao 3'!DadosExternos_250</vt:lpstr>
      <vt:lpstr>'Cotacao 4'!DadosExternos_250</vt:lpstr>
      <vt:lpstr>'Cotacao 5'!DadosExternos_250</vt:lpstr>
      <vt:lpstr>Cotacao!DadosExternos_251</vt:lpstr>
      <vt:lpstr>'Cotacao 2'!DadosExternos_251</vt:lpstr>
      <vt:lpstr>'Cotacao 3'!DadosExternos_251</vt:lpstr>
      <vt:lpstr>'Cotacao 4'!DadosExternos_251</vt:lpstr>
      <vt:lpstr>'Cotacao 5'!DadosExternos_251</vt:lpstr>
      <vt:lpstr>Cotacao!DadosExternos_252</vt:lpstr>
      <vt:lpstr>Cotacao!DadosExternos_253</vt:lpstr>
      <vt:lpstr>'Cotacao 2'!DadosExternos_253</vt:lpstr>
      <vt:lpstr>'Cotacao 3'!DadosExternos_253</vt:lpstr>
      <vt:lpstr>'Cotacao 4'!DadosExternos_253</vt:lpstr>
      <vt:lpstr>'Cotacao 5'!DadosExternos_253</vt:lpstr>
      <vt:lpstr>Cotacao!DadosExternos_254</vt:lpstr>
      <vt:lpstr>Cotacao!DadosExternos_255</vt:lpstr>
      <vt:lpstr>Cotacao!DadosExternos_256</vt:lpstr>
      <vt:lpstr>'Cotacao 2'!DadosExternos_256</vt:lpstr>
      <vt:lpstr>'Cotacao 3'!DadosExternos_256</vt:lpstr>
      <vt:lpstr>'Cotacao 4'!DadosExternos_256</vt:lpstr>
      <vt:lpstr>'Cotacao 5'!DadosExternos_256</vt:lpstr>
      <vt:lpstr>'Cotacao 2'!DadosExternos_257</vt:lpstr>
      <vt:lpstr>'Cotacao 3'!DadosExternos_257</vt:lpstr>
      <vt:lpstr>'Cotacao 4'!DadosExternos_257</vt:lpstr>
      <vt:lpstr>'Cotacao 5'!DadosExternos_257</vt:lpstr>
      <vt:lpstr>'Cotacao 2'!DadosExternos_258</vt:lpstr>
      <vt:lpstr>'Cotacao 3'!DadosExternos_258</vt:lpstr>
      <vt:lpstr>'Cotacao 4'!DadosExternos_258</vt:lpstr>
      <vt:lpstr>'Cotacao 5'!DadosExternos_258</vt:lpstr>
      <vt:lpstr>'Cotacao 2'!DadosExternos_259</vt:lpstr>
      <vt:lpstr>'Cotacao 3'!DadosExternos_259</vt:lpstr>
      <vt:lpstr>'Cotacao 4'!DadosExternos_259</vt:lpstr>
      <vt:lpstr>'Cotacao 5'!DadosExternos_259</vt:lpstr>
      <vt:lpstr>Cotacao!DadosExternos_26</vt:lpstr>
      <vt:lpstr>'Cotacao 2'!DadosExternos_26</vt:lpstr>
      <vt:lpstr>'Cotacao 3'!DadosExternos_26</vt:lpstr>
      <vt:lpstr>'Cotacao 4'!DadosExternos_26</vt:lpstr>
      <vt:lpstr>'Cotacao 5'!DadosExternos_26</vt:lpstr>
      <vt:lpstr>'Cotacao 2'!DadosExternos_260</vt:lpstr>
      <vt:lpstr>'Cotacao 3'!DadosExternos_260</vt:lpstr>
      <vt:lpstr>'Cotacao 4'!DadosExternos_260</vt:lpstr>
      <vt:lpstr>'Cotacao 5'!DadosExternos_260</vt:lpstr>
      <vt:lpstr>'Cotacao 2'!DadosExternos_261</vt:lpstr>
      <vt:lpstr>'Cotacao 3'!DadosExternos_261</vt:lpstr>
      <vt:lpstr>'Cotacao 4'!DadosExternos_261</vt:lpstr>
      <vt:lpstr>'Cotacao 5'!DadosExternos_261</vt:lpstr>
      <vt:lpstr>'Cotacao 2'!DadosExternos_262</vt:lpstr>
      <vt:lpstr>'Cotacao 3'!DadosExternos_262</vt:lpstr>
      <vt:lpstr>'Cotacao 4'!DadosExternos_262</vt:lpstr>
      <vt:lpstr>'Cotacao 5'!DadosExternos_262</vt:lpstr>
      <vt:lpstr>'Cotacao 2'!DadosExternos_263</vt:lpstr>
      <vt:lpstr>'Cotacao 3'!DadosExternos_263</vt:lpstr>
      <vt:lpstr>'Cotacao 4'!DadosExternos_263</vt:lpstr>
      <vt:lpstr>'Cotacao 5'!DadosExternos_263</vt:lpstr>
      <vt:lpstr>'Cotacao 2'!DadosExternos_265</vt:lpstr>
      <vt:lpstr>'Cotacao 3'!DadosExternos_265</vt:lpstr>
      <vt:lpstr>'Cotacao 4'!DadosExternos_265</vt:lpstr>
      <vt:lpstr>'Cotacao 5'!DadosExternos_265</vt:lpstr>
      <vt:lpstr>'Cotacao 2'!DadosExternos_268</vt:lpstr>
      <vt:lpstr>'Cotacao 3'!DadosExternos_268</vt:lpstr>
      <vt:lpstr>'Cotacao 4'!DadosExternos_268</vt:lpstr>
      <vt:lpstr>'Cotacao 5'!DadosExternos_268</vt:lpstr>
      <vt:lpstr>'Cotacao 2'!DadosExternos_269</vt:lpstr>
      <vt:lpstr>'Cotacao 3'!DadosExternos_269</vt:lpstr>
      <vt:lpstr>'Cotacao 4'!DadosExternos_269</vt:lpstr>
      <vt:lpstr>'Cotacao 5'!DadosExternos_269</vt:lpstr>
      <vt:lpstr>Cotacao!DadosExternos_27</vt:lpstr>
      <vt:lpstr>'Cotacao 2'!DadosExternos_27</vt:lpstr>
      <vt:lpstr>'Cotacao 3'!DadosExternos_27</vt:lpstr>
      <vt:lpstr>'Cotacao 4'!DadosExternos_27</vt:lpstr>
      <vt:lpstr>'Cotacao 5'!DadosExternos_27</vt:lpstr>
      <vt:lpstr>'Cotacao 2'!DadosExternos_270</vt:lpstr>
      <vt:lpstr>'Cotacao 3'!DadosExternos_270</vt:lpstr>
      <vt:lpstr>'Cotacao 4'!DadosExternos_270</vt:lpstr>
      <vt:lpstr>'Cotacao 5'!DadosExternos_270</vt:lpstr>
      <vt:lpstr>'Cotacao 2'!DadosExternos_271</vt:lpstr>
      <vt:lpstr>'Cotacao 3'!DadosExternos_271</vt:lpstr>
      <vt:lpstr>'Cotacao 4'!DadosExternos_271</vt:lpstr>
      <vt:lpstr>'Cotacao 5'!DadosExternos_271</vt:lpstr>
      <vt:lpstr>'Cotacao 2'!DadosExternos_272</vt:lpstr>
      <vt:lpstr>'Cotacao 3'!DadosExternos_272</vt:lpstr>
      <vt:lpstr>'Cotacao 4'!DadosExternos_272</vt:lpstr>
      <vt:lpstr>'Cotacao 5'!DadosExternos_272</vt:lpstr>
      <vt:lpstr>'Cotacao 2'!DadosExternos_275</vt:lpstr>
      <vt:lpstr>'Cotacao 3'!DadosExternos_275</vt:lpstr>
      <vt:lpstr>'Cotacao 4'!DadosExternos_275</vt:lpstr>
      <vt:lpstr>'Cotacao 5'!DadosExternos_275</vt:lpstr>
      <vt:lpstr>'Cotacao 2'!DadosExternos_276</vt:lpstr>
      <vt:lpstr>'Cotacao 3'!DadosExternos_276</vt:lpstr>
      <vt:lpstr>'Cotacao 4'!DadosExternos_276</vt:lpstr>
      <vt:lpstr>'Cotacao 5'!DadosExternos_276</vt:lpstr>
      <vt:lpstr>'Cotacao 2'!DadosExternos_277</vt:lpstr>
      <vt:lpstr>'Cotacao 3'!DadosExternos_277</vt:lpstr>
      <vt:lpstr>'Cotacao 4'!DadosExternos_277</vt:lpstr>
      <vt:lpstr>'Cotacao 5'!DadosExternos_277</vt:lpstr>
      <vt:lpstr>'Cotacao 2'!DadosExternos_278</vt:lpstr>
      <vt:lpstr>'Cotacao 3'!DadosExternos_278</vt:lpstr>
      <vt:lpstr>'Cotacao 4'!DadosExternos_278</vt:lpstr>
      <vt:lpstr>'Cotacao 5'!DadosExternos_278</vt:lpstr>
      <vt:lpstr>'Cotacao 2'!DadosExternos_279</vt:lpstr>
      <vt:lpstr>'Cotacao 3'!DadosExternos_279</vt:lpstr>
      <vt:lpstr>'Cotacao 4'!DadosExternos_279</vt:lpstr>
      <vt:lpstr>'Cotacao 5'!DadosExternos_279</vt:lpstr>
      <vt:lpstr>Cotacao!DadosExternos_28</vt:lpstr>
      <vt:lpstr>'Cotacao 2'!DadosExternos_28</vt:lpstr>
      <vt:lpstr>'Cotacao 3'!DadosExternos_28</vt:lpstr>
      <vt:lpstr>'Cotacao 4'!DadosExternos_28</vt:lpstr>
      <vt:lpstr>'Cotacao 5'!DadosExternos_28</vt:lpstr>
      <vt:lpstr>'Cotacao 2'!DadosExternos_280</vt:lpstr>
      <vt:lpstr>'Cotacao 3'!DadosExternos_280</vt:lpstr>
      <vt:lpstr>'Cotacao 4'!DadosExternos_280</vt:lpstr>
      <vt:lpstr>'Cotacao 5'!DadosExternos_280</vt:lpstr>
      <vt:lpstr>'Cotacao 2'!DadosExternos_281</vt:lpstr>
      <vt:lpstr>'Cotacao 3'!DadosExternos_281</vt:lpstr>
      <vt:lpstr>'Cotacao 4'!DadosExternos_281</vt:lpstr>
      <vt:lpstr>'Cotacao 5'!DadosExternos_281</vt:lpstr>
      <vt:lpstr>'Cotacao 2'!DadosExternos_282</vt:lpstr>
      <vt:lpstr>'Cotacao 3'!DadosExternos_282</vt:lpstr>
      <vt:lpstr>'Cotacao 4'!DadosExternos_282</vt:lpstr>
      <vt:lpstr>'Cotacao 5'!DadosExternos_282</vt:lpstr>
      <vt:lpstr>'Cotacao 2'!DadosExternos_287</vt:lpstr>
      <vt:lpstr>'Cotacao 3'!DadosExternos_287</vt:lpstr>
      <vt:lpstr>'Cotacao 4'!DadosExternos_287</vt:lpstr>
      <vt:lpstr>'Cotacao 5'!DadosExternos_287</vt:lpstr>
      <vt:lpstr>'Cotacao 2'!DadosExternos_288</vt:lpstr>
      <vt:lpstr>'Cotacao 3'!DadosExternos_288</vt:lpstr>
      <vt:lpstr>'Cotacao 4'!DadosExternos_288</vt:lpstr>
      <vt:lpstr>'Cotacao 5'!DadosExternos_288</vt:lpstr>
      <vt:lpstr>Cotacao!DadosExternos_29</vt:lpstr>
      <vt:lpstr>'Cotacao 2'!DadosExternos_29</vt:lpstr>
      <vt:lpstr>'Cotacao 3'!DadosExternos_29</vt:lpstr>
      <vt:lpstr>'Cotacao 4'!DadosExternos_29</vt:lpstr>
      <vt:lpstr>'Cotacao 5'!DadosExternos_29</vt:lpstr>
      <vt:lpstr>'Cotacao 2'!DadosExternos_290</vt:lpstr>
      <vt:lpstr>'Cotacao 3'!DadosExternos_290</vt:lpstr>
      <vt:lpstr>'Cotacao 4'!DadosExternos_290</vt:lpstr>
      <vt:lpstr>'Cotacao 5'!DadosExternos_290</vt:lpstr>
      <vt:lpstr>'Cotacao 2'!DadosExternos_291</vt:lpstr>
      <vt:lpstr>'Cotacao 3'!DadosExternos_291</vt:lpstr>
      <vt:lpstr>'Cotacao 4'!DadosExternos_291</vt:lpstr>
      <vt:lpstr>'Cotacao 5'!DadosExternos_291</vt:lpstr>
      <vt:lpstr>'Cotacao 2'!DadosExternos_292</vt:lpstr>
      <vt:lpstr>'Cotacao 3'!DadosExternos_292</vt:lpstr>
      <vt:lpstr>'Cotacao 4'!DadosExternos_292</vt:lpstr>
      <vt:lpstr>'Cotacao 5'!DadosExternos_292</vt:lpstr>
      <vt:lpstr>'Cotacao 2'!DadosExternos_293</vt:lpstr>
      <vt:lpstr>'Cotacao 3'!DadosExternos_293</vt:lpstr>
      <vt:lpstr>'Cotacao 4'!DadosExternos_293</vt:lpstr>
      <vt:lpstr>'Cotacao 5'!DadosExternos_293</vt:lpstr>
      <vt:lpstr>'Cotacao 2'!DadosExternos_294</vt:lpstr>
      <vt:lpstr>'Cotacao 3'!DadosExternos_294</vt:lpstr>
      <vt:lpstr>'Cotacao 4'!DadosExternos_294</vt:lpstr>
      <vt:lpstr>'Cotacao 5'!DadosExternos_294</vt:lpstr>
      <vt:lpstr>'Cotacao 2'!DadosExternos_295</vt:lpstr>
      <vt:lpstr>'Cotacao 3'!DadosExternos_295</vt:lpstr>
      <vt:lpstr>'Cotacao 4'!DadosExternos_295</vt:lpstr>
      <vt:lpstr>'Cotacao 5'!DadosExternos_295</vt:lpstr>
      <vt:lpstr>'Cotacao 2'!DadosExternos_296</vt:lpstr>
      <vt:lpstr>'Cotacao 3'!DadosExternos_296</vt:lpstr>
      <vt:lpstr>'Cotacao 4'!DadosExternos_296</vt:lpstr>
      <vt:lpstr>'Cotacao 5'!DadosExternos_296</vt:lpstr>
      <vt:lpstr>'Cotacao 2'!DadosExternos_297</vt:lpstr>
      <vt:lpstr>'Cotacao 3'!DadosExternos_297</vt:lpstr>
      <vt:lpstr>'Cotacao 4'!DadosExternos_297</vt:lpstr>
      <vt:lpstr>'Cotacao 5'!DadosExternos_297</vt:lpstr>
      <vt:lpstr>'Cotacao 2'!DadosExternos_298</vt:lpstr>
      <vt:lpstr>'Cotacao 3'!DadosExternos_298</vt:lpstr>
      <vt:lpstr>'Cotacao 4'!DadosExternos_298</vt:lpstr>
      <vt:lpstr>'Cotacao 5'!DadosExternos_298</vt:lpstr>
      <vt:lpstr>'Cotacao 2'!DadosExternos_299</vt:lpstr>
      <vt:lpstr>'Cotacao 3'!DadosExternos_299</vt:lpstr>
      <vt:lpstr>'Cotacao 4'!DadosExternos_299</vt:lpstr>
      <vt:lpstr>'Cotacao 5'!DadosExternos_299</vt:lpstr>
      <vt:lpstr>Cotacao!DadosExternos_3</vt:lpstr>
      <vt:lpstr>'Cotacao 2'!DadosExternos_3</vt:lpstr>
      <vt:lpstr>'Cotacao 3'!DadosExternos_3</vt:lpstr>
      <vt:lpstr>'Cotacao 4'!DadosExternos_3</vt:lpstr>
      <vt:lpstr>'Cotacao 5'!DadosExternos_3</vt:lpstr>
      <vt:lpstr>Cotacao!DadosExternos_30</vt:lpstr>
      <vt:lpstr>'Cotacao 2'!DadosExternos_30</vt:lpstr>
      <vt:lpstr>'Cotacao 3'!DadosExternos_30</vt:lpstr>
      <vt:lpstr>'Cotacao 4'!DadosExternos_30</vt:lpstr>
      <vt:lpstr>'Cotacao 5'!DadosExternos_30</vt:lpstr>
      <vt:lpstr>'Cotacao 2'!DadosExternos_300</vt:lpstr>
      <vt:lpstr>'Cotacao 3'!DadosExternos_300</vt:lpstr>
      <vt:lpstr>'Cotacao 4'!DadosExternos_300</vt:lpstr>
      <vt:lpstr>'Cotacao 5'!DadosExternos_300</vt:lpstr>
      <vt:lpstr>'Cotacao 2'!DadosExternos_302</vt:lpstr>
      <vt:lpstr>'Cotacao 3'!DadosExternos_302</vt:lpstr>
      <vt:lpstr>'Cotacao 4'!DadosExternos_302</vt:lpstr>
      <vt:lpstr>'Cotacao 5'!DadosExternos_302</vt:lpstr>
      <vt:lpstr>'Cotacao 2'!DadosExternos_304</vt:lpstr>
      <vt:lpstr>'Cotacao 3'!DadosExternos_304</vt:lpstr>
      <vt:lpstr>'Cotacao 4'!DadosExternos_304</vt:lpstr>
      <vt:lpstr>'Cotacao 5'!DadosExternos_304</vt:lpstr>
      <vt:lpstr>'Cotacao 2'!DadosExternos_305</vt:lpstr>
      <vt:lpstr>'Cotacao 3'!DadosExternos_305</vt:lpstr>
      <vt:lpstr>'Cotacao 4'!DadosExternos_305</vt:lpstr>
      <vt:lpstr>'Cotacao 5'!DadosExternos_305</vt:lpstr>
      <vt:lpstr>'Cotacao 2'!DadosExternos_307</vt:lpstr>
      <vt:lpstr>'Cotacao 3'!DadosExternos_307</vt:lpstr>
      <vt:lpstr>'Cotacao 4'!DadosExternos_307</vt:lpstr>
      <vt:lpstr>'Cotacao 5'!DadosExternos_307</vt:lpstr>
      <vt:lpstr>'Cotacao 2'!DadosExternos_308</vt:lpstr>
      <vt:lpstr>'Cotacao 3'!DadosExternos_308</vt:lpstr>
      <vt:lpstr>'Cotacao 4'!DadosExternos_308</vt:lpstr>
      <vt:lpstr>'Cotacao 5'!DadosExternos_308</vt:lpstr>
      <vt:lpstr>'Cotacao 2'!DadosExternos_309</vt:lpstr>
      <vt:lpstr>'Cotacao 3'!DadosExternos_309</vt:lpstr>
      <vt:lpstr>'Cotacao 4'!DadosExternos_309</vt:lpstr>
      <vt:lpstr>'Cotacao 5'!DadosExternos_309</vt:lpstr>
      <vt:lpstr>Cotacao!DadosExternos_31</vt:lpstr>
      <vt:lpstr>'Cotacao 2'!DadosExternos_31</vt:lpstr>
      <vt:lpstr>'Cotacao 3'!DadosExternos_31</vt:lpstr>
      <vt:lpstr>'Cotacao 4'!DadosExternos_31</vt:lpstr>
      <vt:lpstr>'Cotacao 5'!DadosExternos_31</vt:lpstr>
      <vt:lpstr>'Cotacao 2'!DadosExternos_311</vt:lpstr>
      <vt:lpstr>'Cotacao 3'!DadosExternos_311</vt:lpstr>
      <vt:lpstr>'Cotacao 4'!DadosExternos_311</vt:lpstr>
      <vt:lpstr>'Cotacao 5'!DadosExternos_311</vt:lpstr>
      <vt:lpstr>'Cotacao 2'!DadosExternos_315</vt:lpstr>
      <vt:lpstr>'Cotacao 3'!DadosExternos_315</vt:lpstr>
      <vt:lpstr>'Cotacao 4'!DadosExternos_315</vt:lpstr>
      <vt:lpstr>'Cotacao 5'!DadosExternos_315</vt:lpstr>
      <vt:lpstr>'Cotacao 2'!DadosExternos_317</vt:lpstr>
      <vt:lpstr>'Cotacao 3'!DadosExternos_317</vt:lpstr>
      <vt:lpstr>'Cotacao 4'!DadosExternos_317</vt:lpstr>
      <vt:lpstr>'Cotacao 5'!DadosExternos_317</vt:lpstr>
      <vt:lpstr>'Cotacao 2'!DadosExternos_318</vt:lpstr>
      <vt:lpstr>'Cotacao 3'!DadosExternos_318</vt:lpstr>
      <vt:lpstr>'Cotacao 4'!DadosExternos_318</vt:lpstr>
      <vt:lpstr>'Cotacao 5'!DadosExternos_318</vt:lpstr>
      <vt:lpstr>'Cotacao 2'!DadosExternos_319</vt:lpstr>
      <vt:lpstr>'Cotacao 3'!DadosExternos_319</vt:lpstr>
      <vt:lpstr>'Cotacao 4'!DadosExternos_319</vt:lpstr>
      <vt:lpstr>'Cotacao 5'!DadosExternos_319</vt:lpstr>
      <vt:lpstr>Cotacao!DadosExternos_32</vt:lpstr>
      <vt:lpstr>'Cotacao 2'!DadosExternos_32</vt:lpstr>
      <vt:lpstr>'Cotacao 3'!DadosExternos_32</vt:lpstr>
      <vt:lpstr>'Cotacao 4'!DadosExternos_32</vt:lpstr>
      <vt:lpstr>'Cotacao 5'!DadosExternos_32</vt:lpstr>
      <vt:lpstr>'Cotacao 2'!DadosExternos_320</vt:lpstr>
      <vt:lpstr>'Cotacao 3'!DadosExternos_320</vt:lpstr>
      <vt:lpstr>'Cotacao 4'!DadosExternos_320</vt:lpstr>
      <vt:lpstr>'Cotacao 5'!DadosExternos_320</vt:lpstr>
      <vt:lpstr>'Cotacao 2'!DadosExternos_323</vt:lpstr>
      <vt:lpstr>'Cotacao 3'!DadosExternos_323</vt:lpstr>
      <vt:lpstr>'Cotacao 4'!DadosExternos_323</vt:lpstr>
      <vt:lpstr>'Cotacao 5'!DadosExternos_323</vt:lpstr>
      <vt:lpstr>'Cotacao 2'!DadosExternos_324</vt:lpstr>
      <vt:lpstr>'Cotacao 3'!DadosExternos_324</vt:lpstr>
      <vt:lpstr>'Cotacao 4'!DadosExternos_324</vt:lpstr>
      <vt:lpstr>'Cotacao 5'!DadosExternos_324</vt:lpstr>
      <vt:lpstr>'Cotacao 2'!DadosExternos_325</vt:lpstr>
      <vt:lpstr>'Cotacao 3'!DadosExternos_325</vt:lpstr>
      <vt:lpstr>'Cotacao 4'!DadosExternos_325</vt:lpstr>
      <vt:lpstr>'Cotacao 5'!DadosExternos_325</vt:lpstr>
      <vt:lpstr>'Cotacao 2'!DadosExternos_326</vt:lpstr>
      <vt:lpstr>'Cotacao 3'!DadosExternos_326</vt:lpstr>
      <vt:lpstr>'Cotacao 4'!DadosExternos_326</vt:lpstr>
      <vt:lpstr>'Cotacao 5'!DadosExternos_326</vt:lpstr>
      <vt:lpstr>'Cotacao 2'!DadosExternos_327</vt:lpstr>
      <vt:lpstr>'Cotacao 3'!DadosExternos_327</vt:lpstr>
      <vt:lpstr>'Cotacao 4'!DadosExternos_327</vt:lpstr>
      <vt:lpstr>'Cotacao 5'!DadosExternos_327</vt:lpstr>
      <vt:lpstr>'Cotacao 2'!DadosExternos_328</vt:lpstr>
      <vt:lpstr>'Cotacao 3'!DadosExternos_328</vt:lpstr>
      <vt:lpstr>'Cotacao 4'!DadosExternos_328</vt:lpstr>
      <vt:lpstr>'Cotacao 5'!DadosExternos_328</vt:lpstr>
      <vt:lpstr>'Cotacao 2'!DadosExternos_329</vt:lpstr>
      <vt:lpstr>'Cotacao 3'!DadosExternos_329</vt:lpstr>
      <vt:lpstr>'Cotacao 4'!DadosExternos_329</vt:lpstr>
      <vt:lpstr>'Cotacao 5'!DadosExternos_329</vt:lpstr>
      <vt:lpstr>Cotacao!DadosExternos_33</vt:lpstr>
      <vt:lpstr>'Cotacao 2'!DadosExternos_33</vt:lpstr>
      <vt:lpstr>'Cotacao 3'!DadosExternos_33</vt:lpstr>
      <vt:lpstr>'Cotacao 4'!DadosExternos_33</vt:lpstr>
      <vt:lpstr>'Cotacao 5'!DadosExternos_33</vt:lpstr>
      <vt:lpstr>'Cotacao 2'!DadosExternos_330</vt:lpstr>
      <vt:lpstr>'Cotacao 3'!DadosExternos_330</vt:lpstr>
      <vt:lpstr>'Cotacao 4'!DadosExternos_330</vt:lpstr>
      <vt:lpstr>'Cotacao 5'!DadosExternos_330</vt:lpstr>
      <vt:lpstr>'Cotacao 2'!DadosExternos_331</vt:lpstr>
      <vt:lpstr>'Cotacao 3'!DadosExternos_331</vt:lpstr>
      <vt:lpstr>'Cotacao 4'!DadosExternos_331</vt:lpstr>
      <vt:lpstr>'Cotacao 5'!DadosExternos_331</vt:lpstr>
      <vt:lpstr>'Cotacao 2'!DadosExternos_333</vt:lpstr>
      <vt:lpstr>'Cotacao 3'!DadosExternos_333</vt:lpstr>
      <vt:lpstr>'Cotacao 4'!DadosExternos_333</vt:lpstr>
      <vt:lpstr>'Cotacao 5'!DadosExternos_333</vt:lpstr>
      <vt:lpstr>'Cotacao 2'!DadosExternos_336</vt:lpstr>
      <vt:lpstr>'Cotacao 3'!DadosExternos_336</vt:lpstr>
      <vt:lpstr>'Cotacao 4'!DadosExternos_336</vt:lpstr>
      <vt:lpstr>'Cotacao 5'!DadosExternos_336</vt:lpstr>
      <vt:lpstr>'Cotacao 2'!DadosExternos_337</vt:lpstr>
      <vt:lpstr>'Cotacao 3'!DadosExternos_337</vt:lpstr>
      <vt:lpstr>'Cotacao 4'!DadosExternos_337</vt:lpstr>
      <vt:lpstr>'Cotacao 5'!DadosExternos_337</vt:lpstr>
      <vt:lpstr>'Cotacao 2'!DadosExternos_338</vt:lpstr>
      <vt:lpstr>'Cotacao 3'!DadosExternos_338</vt:lpstr>
      <vt:lpstr>'Cotacao 4'!DadosExternos_338</vt:lpstr>
      <vt:lpstr>'Cotacao 5'!DadosExternos_338</vt:lpstr>
      <vt:lpstr>'Cotacao 2'!DadosExternos_339</vt:lpstr>
      <vt:lpstr>'Cotacao 3'!DadosExternos_339</vt:lpstr>
      <vt:lpstr>'Cotacao 4'!DadosExternos_339</vt:lpstr>
      <vt:lpstr>'Cotacao 5'!DadosExternos_339</vt:lpstr>
      <vt:lpstr>Cotacao!DadosExternos_34</vt:lpstr>
      <vt:lpstr>'Cotacao 2'!DadosExternos_34</vt:lpstr>
      <vt:lpstr>'Cotacao 3'!DadosExternos_34</vt:lpstr>
      <vt:lpstr>'Cotacao 4'!DadosExternos_34</vt:lpstr>
      <vt:lpstr>'Cotacao 5'!DadosExternos_34</vt:lpstr>
      <vt:lpstr>'Cotacao 2'!DadosExternos_342</vt:lpstr>
      <vt:lpstr>'Cotacao 3'!DadosExternos_342</vt:lpstr>
      <vt:lpstr>'Cotacao 4'!DadosExternos_342</vt:lpstr>
      <vt:lpstr>'Cotacao 5'!DadosExternos_342</vt:lpstr>
      <vt:lpstr>'Cotacao 2'!DadosExternos_343</vt:lpstr>
      <vt:lpstr>'Cotacao 3'!DadosExternos_343</vt:lpstr>
      <vt:lpstr>'Cotacao 4'!DadosExternos_343</vt:lpstr>
      <vt:lpstr>'Cotacao 5'!DadosExternos_343</vt:lpstr>
      <vt:lpstr>'Cotacao 2'!DadosExternos_344</vt:lpstr>
      <vt:lpstr>'Cotacao 3'!DadosExternos_344</vt:lpstr>
      <vt:lpstr>'Cotacao 4'!DadosExternos_344</vt:lpstr>
      <vt:lpstr>'Cotacao 5'!DadosExternos_344</vt:lpstr>
      <vt:lpstr>'Cotacao 2'!DadosExternos_345</vt:lpstr>
      <vt:lpstr>'Cotacao 3'!DadosExternos_345</vt:lpstr>
      <vt:lpstr>'Cotacao 4'!DadosExternos_345</vt:lpstr>
      <vt:lpstr>'Cotacao 5'!DadosExternos_345</vt:lpstr>
      <vt:lpstr>'Cotacao 2'!DadosExternos_349</vt:lpstr>
      <vt:lpstr>'Cotacao 3'!DadosExternos_349</vt:lpstr>
      <vt:lpstr>'Cotacao 4'!DadosExternos_349</vt:lpstr>
      <vt:lpstr>'Cotacao 5'!DadosExternos_349</vt:lpstr>
      <vt:lpstr>Cotacao!DadosExternos_35</vt:lpstr>
      <vt:lpstr>'Cotacao 2'!DadosExternos_35</vt:lpstr>
      <vt:lpstr>'Cotacao 3'!DadosExternos_35</vt:lpstr>
      <vt:lpstr>'Cotacao 4'!DadosExternos_35</vt:lpstr>
      <vt:lpstr>'Cotacao 5'!DadosExternos_35</vt:lpstr>
      <vt:lpstr>'Cotacao 2'!DadosExternos_350</vt:lpstr>
      <vt:lpstr>'Cotacao 3'!DadosExternos_350</vt:lpstr>
      <vt:lpstr>'Cotacao 4'!DadosExternos_350</vt:lpstr>
      <vt:lpstr>'Cotacao 5'!DadosExternos_350</vt:lpstr>
      <vt:lpstr>'Cotacao 2'!DadosExternos_352</vt:lpstr>
      <vt:lpstr>'Cotacao 3'!DadosExternos_352</vt:lpstr>
      <vt:lpstr>'Cotacao 4'!DadosExternos_352</vt:lpstr>
      <vt:lpstr>'Cotacao 5'!DadosExternos_352</vt:lpstr>
      <vt:lpstr>'Cotacao 2'!DadosExternos_353</vt:lpstr>
      <vt:lpstr>'Cotacao 3'!DadosExternos_353</vt:lpstr>
      <vt:lpstr>'Cotacao 4'!DadosExternos_353</vt:lpstr>
      <vt:lpstr>'Cotacao 5'!DadosExternos_353</vt:lpstr>
      <vt:lpstr>'Cotacao 2'!DadosExternos_356</vt:lpstr>
      <vt:lpstr>'Cotacao 3'!DadosExternos_356</vt:lpstr>
      <vt:lpstr>'Cotacao 4'!DadosExternos_356</vt:lpstr>
      <vt:lpstr>'Cotacao 5'!DadosExternos_356</vt:lpstr>
      <vt:lpstr>'Cotacao 2'!DadosExternos_358</vt:lpstr>
      <vt:lpstr>'Cotacao 3'!DadosExternos_358</vt:lpstr>
      <vt:lpstr>'Cotacao 4'!DadosExternos_358</vt:lpstr>
      <vt:lpstr>'Cotacao 5'!DadosExternos_358</vt:lpstr>
      <vt:lpstr>Cotacao!DadosExternos_36</vt:lpstr>
      <vt:lpstr>'Cotacao 2'!DadosExternos_36</vt:lpstr>
      <vt:lpstr>'Cotacao 3'!DadosExternos_36</vt:lpstr>
      <vt:lpstr>'Cotacao 4'!DadosExternos_36</vt:lpstr>
      <vt:lpstr>'Cotacao 5'!DadosExternos_36</vt:lpstr>
      <vt:lpstr>'Cotacao 2'!DadosExternos_360</vt:lpstr>
      <vt:lpstr>'Cotacao 3'!DadosExternos_360</vt:lpstr>
      <vt:lpstr>'Cotacao 4'!DadosExternos_360</vt:lpstr>
      <vt:lpstr>'Cotacao 5'!DadosExternos_360</vt:lpstr>
      <vt:lpstr>'Cotacao 2'!DadosExternos_361</vt:lpstr>
      <vt:lpstr>'Cotacao 3'!DadosExternos_361</vt:lpstr>
      <vt:lpstr>'Cotacao 4'!DadosExternos_361</vt:lpstr>
      <vt:lpstr>'Cotacao 5'!DadosExternos_361</vt:lpstr>
      <vt:lpstr>'Cotacao 2'!DadosExternos_362</vt:lpstr>
      <vt:lpstr>'Cotacao 3'!DadosExternos_362</vt:lpstr>
      <vt:lpstr>'Cotacao 4'!DadosExternos_362</vt:lpstr>
      <vt:lpstr>'Cotacao 5'!DadosExternos_362</vt:lpstr>
      <vt:lpstr>'Cotacao 2'!DadosExternos_363</vt:lpstr>
      <vt:lpstr>'Cotacao 3'!DadosExternos_363</vt:lpstr>
      <vt:lpstr>'Cotacao 4'!DadosExternos_363</vt:lpstr>
      <vt:lpstr>'Cotacao 5'!DadosExternos_363</vt:lpstr>
      <vt:lpstr>'Cotacao 2'!DadosExternos_365</vt:lpstr>
      <vt:lpstr>'Cotacao 3'!DadosExternos_365</vt:lpstr>
      <vt:lpstr>'Cotacao 4'!DadosExternos_365</vt:lpstr>
      <vt:lpstr>'Cotacao 5'!DadosExternos_365</vt:lpstr>
      <vt:lpstr>'Cotacao 2'!DadosExternos_367</vt:lpstr>
      <vt:lpstr>'Cotacao 3'!DadosExternos_367</vt:lpstr>
      <vt:lpstr>'Cotacao 4'!DadosExternos_367</vt:lpstr>
      <vt:lpstr>'Cotacao 5'!DadosExternos_367</vt:lpstr>
      <vt:lpstr>'Cotacao 2'!DadosExternos_369</vt:lpstr>
      <vt:lpstr>'Cotacao 3'!DadosExternos_369</vt:lpstr>
      <vt:lpstr>'Cotacao 4'!DadosExternos_369</vt:lpstr>
      <vt:lpstr>'Cotacao 5'!DadosExternos_369</vt:lpstr>
      <vt:lpstr>Cotacao!DadosExternos_37</vt:lpstr>
      <vt:lpstr>'Cotacao 2'!DadosExternos_37</vt:lpstr>
      <vt:lpstr>'Cotacao 3'!DadosExternos_37</vt:lpstr>
      <vt:lpstr>'Cotacao 4'!DadosExternos_37</vt:lpstr>
      <vt:lpstr>'Cotacao 5'!DadosExternos_37</vt:lpstr>
      <vt:lpstr>'Cotacao 2'!DadosExternos_370</vt:lpstr>
      <vt:lpstr>'Cotacao 3'!DadosExternos_370</vt:lpstr>
      <vt:lpstr>'Cotacao 4'!DadosExternos_370</vt:lpstr>
      <vt:lpstr>'Cotacao 5'!DadosExternos_370</vt:lpstr>
      <vt:lpstr>'Cotacao 2'!DadosExternos_371</vt:lpstr>
      <vt:lpstr>'Cotacao 3'!DadosExternos_371</vt:lpstr>
      <vt:lpstr>'Cotacao 4'!DadosExternos_371</vt:lpstr>
      <vt:lpstr>'Cotacao 5'!DadosExternos_371</vt:lpstr>
      <vt:lpstr>'Cotacao 3'!DadosExternos_372</vt:lpstr>
      <vt:lpstr>'Cotacao 4'!DadosExternos_372</vt:lpstr>
      <vt:lpstr>'Cotacao 5'!DadosExternos_372</vt:lpstr>
      <vt:lpstr>'Cotacao 3'!DadosExternos_373</vt:lpstr>
      <vt:lpstr>'Cotacao 4'!DadosExternos_373</vt:lpstr>
      <vt:lpstr>'Cotacao 5'!DadosExternos_373</vt:lpstr>
      <vt:lpstr>'Cotacao 3'!DadosExternos_374</vt:lpstr>
      <vt:lpstr>'Cotacao 4'!DadosExternos_374</vt:lpstr>
      <vt:lpstr>'Cotacao 5'!DadosExternos_374</vt:lpstr>
      <vt:lpstr>'Cotacao 2'!DadosExternos_375</vt:lpstr>
      <vt:lpstr>'Cotacao 2'!DadosExternos_376</vt:lpstr>
      <vt:lpstr>'Cotacao 3'!DadosExternos_376</vt:lpstr>
      <vt:lpstr>'Cotacao 4'!DadosExternos_376</vt:lpstr>
      <vt:lpstr>'Cotacao 5'!DadosExternos_376</vt:lpstr>
      <vt:lpstr>'Cotacao 2'!DadosExternos_377</vt:lpstr>
      <vt:lpstr>'Cotacao 3'!DadosExternos_377</vt:lpstr>
      <vt:lpstr>'Cotacao 4'!DadosExternos_377</vt:lpstr>
      <vt:lpstr>'Cotacao 5'!DadosExternos_377</vt:lpstr>
      <vt:lpstr>'Cotacao 2'!DadosExternos_378</vt:lpstr>
      <vt:lpstr>'Cotacao 3'!DadosExternos_378</vt:lpstr>
      <vt:lpstr>'Cotacao 4'!DadosExternos_378</vt:lpstr>
      <vt:lpstr>'Cotacao 5'!DadosExternos_378</vt:lpstr>
      <vt:lpstr>'Cotacao 2'!DadosExternos_379</vt:lpstr>
      <vt:lpstr>'Cotacao 3'!DadosExternos_379</vt:lpstr>
      <vt:lpstr>'Cotacao 4'!DadosExternos_379</vt:lpstr>
      <vt:lpstr>'Cotacao 5'!DadosExternos_379</vt:lpstr>
      <vt:lpstr>Cotacao!DadosExternos_38</vt:lpstr>
      <vt:lpstr>'Cotacao 2'!DadosExternos_38</vt:lpstr>
      <vt:lpstr>'Cotacao 3'!DadosExternos_38</vt:lpstr>
      <vt:lpstr>'Cotacao 4'!DadosExternos_38</vt:lpstr>
      <vt:lpstr>'Cotacao 5'!DadosExternos_38</vt:lpstr>
      <vt:lpstr>'Cotacao 3'!DadosExternos_380</vt:lpstr>
      <vt:lpstr>'Cotacao 4'!DadosExternos_380</vt:lpstr>
      <vt:lpstr>'Cotacao 5'!DadosExternos_380</vt:lpstr>
      <vt:lpstr>'Cotacao 3'!DadosExternos_381</vt:lpstr>
      <vt:lpstr>'Cotacao 4'!DadosExternos_381</vt:lpstr>
      <vt:lpstr>'Cotacao 5'!DadosExternos_381</vt:lpstr>
      <vt:lpstr>'Cotacao 3'!DadosExternos_382</vt:lpstr>
      <vt:lpstr>'Cotacao 4'!DadosExternos_382</vt:lpstr>
      <vt:lpstr>'Cotacao 5'!DadosExternos_382</vt:lpstr>
      <vt:lpstr>'Cotacao 3'!DadosExternos_388</vt:lpstr>
      <vt:lpstr>'Cotacao 4'!DadosExternos_388</vt:lpstr>
      <vt:lpstr>'Cotacao 5'!DadosExternos_388</vt:lpstr>
      <vt:lpstr>'Cotacao 3'!DadosExternos_389</vt:lpstr>
      <vt:lpstr>'Cotacao 4'!DadosExternos_389</vt:lpstr>
      <vt:lpstr>'Cotacao 5'!DadosExternos_389</vt:lpstr>
      <vt:lpstr>Cotacao!DadosExternos_39</vt:lpstr>
      <vt:lpstr>'Cotacao 2'!DadosExternos_39</vt:lpstr>
      <vt:lpstr>'Cotacao 3'!DadosExternos_39</vt:lpstr>
      <vt:lpstr>'Cotacao 4'!DadosExternos_39</vt:lpstr>
      <vt:lpstr>'Cotacao 5'!DadosExternos_39</vt:lpstr>
      <vt:lpstr>'Cotacao 3'!DadosExternos_390</vt:lpstr>
      <vt:lpstr>'Cotacao 4'!DadosExternos_390</vt:lpstr>
      <vt:lpstr>'Cotacao 5'!DadosExternos_390</vt:lpstr>
      <vt:lpstr>'Cotacao 3'!DadosExternos_391</vt:lpstr>
      <vt:lpstr>'Cotacao 4'!DadosExternos_391</vt:lpstr>
      <vt:lpstr>'Cotacao 5'!DadosExternos_391</vt:lpstr>
      <vt:lpstr>'Cotacao 3'!DadosExternos_392</vt:lpstr>
      <vt:lpstr>'Cotacao 4'!DadosExternos_392</vt:lpstr>
      <vt:lpstr>'Cotacao 5'!DadosExternos_392</vt:lpstr>
      <vt:lpstr>'Cotacao 3'!DadosExternos_394</vt:lpstr>
      <vt:lpstr>'Cotacao 4'!DadosExternos_394</vt:lpstr>
      <vt:lpstr>'Cotacao 5'!DadosExternos_394</vt:lpstr>
      <vt:lpstr>'Cotacao 3'!DadosExternos_397</vt:lpstr>
      <vt:lpstr>'Cotacao 4'!DadosExternos_397</vt:lpstr>
      <vt:lpstr>'Cotacao 5'!DadosExternos_397</vt:lpstr>
      <vt:lpstr>'Cotacao 3'!DadosExternos_398</vt:lpstr>
      <vt:lpstr>'Cotacao 4'!DadosExternos_398</vt:lpstr>
      <vt:lpstr>'Cotacao 5'!DadosExternos_398</vt:lpstr>
      <vt:lpstr>Cotacao!DadosExternos_4</vt:lpstr>
      <vt:lpstr>'Cotacao 2'!DadosExternos_4</vt:lpstr>
      <vt:lpstr>'Cotacao 3'!DadosExternos_4</vt:lpstr>
      <vt:lpstr>'Cotacao 4'!DadosExternos_4</vt:lpstr>
      <vt:lpstr>'Cotacao 5'!DadosExternos_4</vt:lpstr>
      <vt:lpstr>Cotacao!DadosExternos_40</vt:lpstr>
      <vt:lpstr>'Cotacao 2'!DadosExternos_40</vt:lpstr>
      <vt:lpstr>'Cotacao 3'!DadosExternos_40</vt:lpstr>
      <vt:lpstr>'Cotacao 4'!DadosExternos_40</vt:lpstr>
      <vt:lpstr>'Cotacao 5'!DadosExternos_40</vt:lpstr>
      <vt:lpstr>'Cotacao 3'!DadosExternos_400</vt:lpstr>
      <vt:lpstr>'Cotacao 4'!DadosExternos_400</vt:lpstr>
      <vt:lpstr>'Cotacao 5'!DadosExternos_400</vt:lpstr>
      <vt:lpstr>'Cotacao 3'!DadosExternos_401</vt:lpstr>
      <vt:lpstr>'Cotacao 4'!DadosExternos_401</vt:lpstr>
      <vt:lpstr>'Cotacao 5'!DadosExternos_401</vt:lpstr>
      <vt:lpstr>'Cotacao 3'!DadosExternos_402</vt:lpstr>
      <vt:lpstr>'Cotacao 4'!DadosExternos_402</vt:lpstr>
      <vt:lpstr>'Cotacao 5'!DadosExternos_402</vt:lpstr>
      <vt:lpstr>'Cotacao 3'!DadosExternos_403</vt:lpstr>
      <vt:lpstr>'Cotacao 4'!DadosExternos_403</vt:lpstr>
      <vt:lpstr>'Cotacao 5'!DadosExternos_403</vt:lpstr>
      <vt:lpstr>'Cotacao 3'!DadosExternos_404</vt:lpstr>
      <vt:lpstr>'Cotacao 4'!DadosExternos_404</vt:lpstr>
      <vt:lpstr>'Cotacao 5'!DadosExternos_404</vt:lpstr>
      <vt:lpstr>'Cotacao 3'!DadosExternos_408</vt:lpstr>
      <vt:lpstr>'Cotacao 4'!DadosExternos_408</vt:lpstr>
      <vt:lpstr>'Cotacao 5'!DadosExternos_408</vt:lpstr>
      <vt:lpstr>'Cotacao 3'!DadosExternos_409</vt:lpstr>
      <vt:lpstr>'Cotacao 4'!DadosExternos_409</vt:lpstr>
      <vt:lpstr>'Cotacao 5'!DadosExternos_409</vt:lpstr>
      <vt:lpstr>Cotacao!DadosExternos_41</vt:lpstr>
      <vt:lpstr>'Cotacao 2'!DadosExternos_41</vt:lpstr>
      <vt:lpstr>'Cotacao 3'!DadosExternos_41</vt:lpstr>
      <vt:lpstr>'Cotacao 4'!DadosExternos_41</vt:lpstr>
      <vt:lpstr>'Cotacao 5'!DadosExternos_41</vt:lpstr>
      <vt:lpstr>'Cotacao 3'!DadosExternos_410</vt:lpstr>
      <vt:lpstr>'Cotacao 4'!DadosExternos_410</vt:lpstr>
      <vt:lpstr>'Cotacao 5'!DadosExternos_410</vt:lpstr>
      <vt:lpstr>'Cotacao 3'!DadosExternos_411</vt:lpstr>
      <vt:lpstr>'Cotacao 4'!DadosExternos_411</vt:lpstr>
      <vt:lpstr>'Cotacao 5'!DadosExternos_411</vt:lpstr>
      <vt:lpstr>'Cotacao 3'!DadosExternos_414</vt:lpstr>
      <vt:lpstr>'Cotacao 4'!DadosExternos_414</vt:lpstr>
      <vt:lpstr>'Cotacao 5'!DadosExternos_414</vt:lpstr>
      <vt:lpstr>'Cotacao 3'!DadosExternos_415</vt:lpstr>
      <vt:lpstr>'Cotacao 4'!DadosExternos_415</vt:lpstr>
      <vt:lpstr>'Cotacao 5'!DadosExternos_415</vt:lpstr>
      <vt:lpstr>'Cotacao 3'!DadosExternos_416</vt:lpstr>
      <vt:lpstr>'Cotacao 4'!DadosExternos_416</vt:lpstr>
      <vt:lpstr>'Cotacao 5'!DadosExternos_416</vt:lpstr>
      <vt:lpstr>'Cotacao 3'!DadosExternos_418</vt:lpstr>
      <vt:lpstr>'Cotacao 4'!DadosExternos_418</vt:lpstr>
      <vt:lpstr>'Cotacao 5'!DadosExternos_418</vt:lpstr>
      <vt:lpstr>Cotacao!DadosExternos_42</vt:lpstr>
      <vt:lpstr>'Cotacao 2'!DadosExternos_42</vt:lpstr>
      <vt:lpstr>'Cotacao 3'!DadosExternos_42</vt:lpstr>
      <vt:lpstr>'Cotacao 4'!DadosExternos_42</vt:lpstr>
      <vt:lpstr>'Cotacao 5'!DadosExternos_42</vt:lpstr>
      <vt:lpstr>'Cotacao 3'!DadosExternos_421</vt:lpstr>
      <vt:lpstr>'Cotacao 4'!DadosExternos_421</vt:lpstr>
      <vt:lpstr>'Cotacao 5'!DadosExternos_421</vt:lpstr>
      <vt:lpstr>'Cotacao 3'!DadosExternos_423</vt:lpstr>
      <vt:lpstr>'Cotacao 4'!DadosExternos_423</vt:lpstr>
      <vt:lpstr>'Cotacao 5'!DadosExternos_423</vt:lpstr>
      <vt:lpstr>'Cotacao 3'!DadosExternos_424</vt:lpstr>
      <vt:lpstr>'Cotacao 4'!DadosExternos_424</vt:lpstr>
      <vt:lpstr>'Cotacao 5'!DadosExternos_424</vt:lpstr>
      <vt:lpstr>'Cotacao 3'!DadosExternos_425</vt:lpstr>
      <vt:lpstr>'Cotacao 4'!DadosExternos_425</vt:lpstr>
      <vt:lpstr>'Cotacao 5'!DadosExternos_425</vt:lpstr>
      <vt:lpstr>'Cotacao 3'!DadosExternos_426</vt:lpstr>
      <vt:lpstr>'Cotacao 4'!DadosExternos_426</vt:lpstr>
      <vt:lpstr>'Cotacao 5'!DadosExternos_426</vt:lpstr>
      <vt:lpstr>'Cotacao 3'!DadosExternos_428</vt:lpstr>
      <vt:lpstr>'Cotacao 4'!DadosExternos_428</vt:lpstr>
      <vt:lpstr>'Cotacao 5'!DadosExternos_428</vt:lpstr>
      <vt:lpstr>Cotacao!DadosExternos_43</vt:lpstr>
      <vt:lpstr>'Cotacao 2'!DadosExternos_43</vt:lpstr>
      <vt:lpstr>'Cotacao 3'!DadosExternos_43</vt:lpstr>
      <vt:lpstr>'Cotacao 4'!DadosExternos_43</vt:lpstr>
      <vt:lpstr>'Cotacao 5'!DadosExternos_43</vt:lpstr>
      <vt:lpstr>'Cotacao 3'!DadosExternos_431</vt:lpstr>
      <vt:lpstr>'Cotacao 4'!DadosExternos_431</vt:lpstr>
      <vt:lpstr>'Cotacao 5'!DadosExternos_431</vt:lpstr>
      <vt:lpstr>'Cotacao 3'!DadosExternos_432</vt:lpstr>
      <vt:lpstr>'Cotacao 4'!DadosExternos_432</vt:lpstr>
      <vt:lpstr>'Cotacao 5'!DadosExternos_432</vt:lpstr>
      <vt:lpstr>'Cotacao 3'!DadosExternos_433</vt:lpstr>
      <vt:lpstr>'Cotacao 4'!DadosExternos_433</vt:lpstr>
      <vt:lpstr>'Cotacao 5'!DadosExternos_433</vt:lpstr>
      <vt:lpstr>'Cotacao 3'!DadosExternos_434</vt:lpstr>
      <vt:lpstr>'Cotacao 4'!DadosExternos_434</vt:lpstr>
      <vt:lpstr>'Cotacao 5'!DadosExternos_434</vt:lpstr>
      <vt:lpstr>'Cotacao 3'!DadosExternos_435</vt:lpstr>
      <vt:lpstr>'Cotacao 4'!DadosExternos_435</vt:lpstr>
      <vt:lpstr>'Cotacao 5'!DadosExternos_435</vt:lpstr>
      <vt:lpstr>'Cotacao 3'!DadosExternos_437</vt:lpstr>
      <vt:lpstr>'Cotacao 4'!DadosExternos_437</vt:lpstr>
      <vt:lpstr>'Cotacao 5'!DadosExternos_437</vt:lpstr>
      <vt:lpstr>'Cotacao 3'!DadosExternos_438</vt:lpstr>
      <vt:lpstr>'Cotacao 4'!DadosExternos_438</vt:lpstr>
      <vt:lpstr>'Cotacao 5'!DadosExternos_438</vt:lpstr>
      <vt:lpstr>'Cotacao 3'!DadosExternos_439</vt:lpstr>
      <vt:lpstr>'Cotacao 4'!DadosExternos_439</vt:lpstr>
      <vt:lpstr>'Cotacao 5'!DadosExternos_439</vt:lpstr>
      <vt:lpstr>Cotacao!DadosExternos_44</vt:lpstr>
      <vt:lpstr>'Cotacao 2'!DadosExternos_44</vt:lpstr>
      <vt:lpstr>'Cotacao 3'!DadosExternos_44</vt:lpstr>
      <vt:lpstr>'Cotacao 4'!DadosExternos_44</vt:lpstr>
      <vt:lpstr>'Cotacao 5'!DadosExternos_44</vt:lpstr>
      <vt:lpstr>'Cotacao 3'!DadosExternos_440</vt:lpstr>
      <vt:lpstr>'Cotacao 4'!DadosExternos_440</vt:lpstr>
      <vt:lpstr>'Cotacao 5'!DadosExternos_440</vt:lpstr>
      <vt:lpstr>'Cotacao 3'!DadosExternos_441</vt:lpstr>
      <vt:lpstr>'Cotacao 4'!DadosExternos_441</vt:lpstr>
      <vt:lpstr>'Cotacao 5'!DadosExternos_441</vt:lpstr>
      <vt:lpstr>'Cotacao 3'!DadosExternos_442</vt:lpstr>
      <vt:lpstr>'Cotacao 4'!DadosExternos_442</vt:lpstr>
      <vt:lpstr>'Cotacao 5'!DadosExternos_442</vt:lpstr>
      <vt:lpstr>'Cotacao 3'!DadosExternos_444</vt:lpstr>
      <vt:lpstr>'Cotacao 4'!DadosExternos_444</vt:lpstr>
      <vt:lpstr>'Cotacao 5'!DadosExternos_444</vt:lpstr>
      <vt:lpstr>'Cotacao 3'!DadosExternos_445</vt:lpstr>
      <vt:lpstr>'Cotacao 4'!DadosExternos_445</vt:lpstr>
      <vt:lpstr>'Cotacao 5'!DadosExternos_445</vt:lpstr>
      <vt:lpstr>'Cotacao 3'!DadosExternos_446</vt:lpstr>
      <vt:lpstr>'Cotacao 4'!DadosExternos_446</vt:lpstr>
      <vt:lpstr>'Cotacao 5'!DadosExternos_446</vt:lpstr>
      <vt:lpstr>'Cotacao 3'!DadosExternos_447</vt:lpstr>
      <vt:lpstr>'Cotacao 4'!DadosExternos_447</vt:lpstr>
      <vt:lpstr>'Cotacao 5'!DadosExternos_447</vt:lpstr>
      <vt:lpstr>Cotacao!DadosExternos_45</vt:lpstr>
      <vt:lpstr>'Cotacao 2'!DadosExternos_45</vt:lpstr>
      <vt:lpstr>'Cotacao 3'!DadosExternos_45</vt:lpstr>
      <vt:lpstr>'Cotacao 4'!DadosExternos_45</vt:lpstr>
      <vt:lpstr>'Cotacao 5'!DadosExternos_45</vt:lpstr>
      <vt:lpstr>'Cotacao 3'!DadosExternos_450</vt:lpstr>
      <vt:lpstr>'Cotacao 4'!DadosExternos_450</vt:lpstr>
      <vt:lpstr>'Cotacao 5'!DadosExternos_450</vt:lpstr>
      <vt:lpstr>'Cotacao 3'!DadosExternos_451</vt:lpstr>
      <vt:lpstr>'Cotacao 4'!DadosExternos_451</vt:lpstr>
      <vt:lpstr>'Cotacao 5'!DadosExternos_451</vt:lpstr>
      <vt:lpstr>'Cotacao 3'!DadosExternos_452</vt:lpstr>
      <vt:lpstr>'Cotacao 4'!DadosExternos_452</vt:lpstr>
      <vt:lpstr>'Cotacao 5'!DadosExternos_452</vt:lpstr>
      <vt:lpstr>'Cotacao 3'!DadosExternos_453</vt:lpstr>
      <vt:lpstr>'Cotacao 4'!DadosExternos_453</vt:lpstr>
      <vt:lpstr>'Cotacao 5'!DadosExternos_453</vt:lpstr>
      <vt:lpstr>'Cotacao 3'!DadosExternos_454</vt:lpstr>
      <vt:lpstr>'Cotacao 4'!DadosExternos_454</vt:lpstr>
      <vt:lpstr>'Cotacao 5'!DadosExternos_454</vt:lpstr>
      <vt:lpstr>'Cotacao 3'!DadosExternos_455</vt:lpstr>
      <vt:lpstr>'Cotacao 4'!DadosExternos_455</vt:lpstr>
      <vt:lpstr>'Cotacao 5'!DadosExternos_455</vt:lpstr>
      <vt:lpstr>'Cotacao 3'!DadosExternos_456</vt:lpstr>
      <vt:lpstr>'Cotacao 4'!DadosExternos_456</vt:lpstr>
      <vt:lpstr>'Cotacao 5'!DadosExternos_456</vt:lpstr>
      <vt:lpstr>'Cotacao 3'!DadosExternos_457</vt:lpstr>
      <vt:lpstr>'Cotacao 4'!DadosExternos_457</vt:lpstr>
      <vt:lpstr>'Cotacao 5'!DadosExternos_457</vt:lpstr>
      <vt:lpstr>'Cotacao 3'!DadosExternos_458</vt:lpstr>
      <vt:lpstr>'Cotacao 4'!DadosExternos_458</vt:lpstr>
      <vt:lpstr>'Cotacao 5'!DadosExternos_458</vt:lpstr>
      <vt:lpstr>'Cotacao 3'!DadosExternos_459</vt:lpstr>
      <vt:lpstr>'Cotacao 4'!DadosExternos_459</vt:lpstr>
      <vt:lpstr>'Cotacao 5'!DadosExternos_459</vt:lpstr>
      <vt:lpstr>Cotacao!DadosExternos_46</vt:lpstr>
      <vt:lpstr>'Cotacao 2'!DadosExternos_46</vt:lpstr>
      <vt:lpstr>'Cotacao 3'!DadosExternos_46</vt:lpstr>
      <vt:lpstr>'Cotacao 4'!DadosExternos_46</vt:lpstr>
      <vt:lpstr>'Cotacao 5'!DadosExternos_46</vt:lpstr>
      <vt:lpstr>'Cotacao 3'!DadosExternos_460</vt:lpstr>
      <vt:lpstr>'Cotacao 4'!DadosExternos_460</vt:lpstr>
      <vt:lpstr>'Cotacao 5'!DadosExternos_460</vt:lpstr>
      <vt:lpstr>'Cotacao 3'!DadosExternos_461</vt:lpstr>
      <vt:lpstr>'Cotacao 4'!DadosExternos_461</vt:lpstr>
      <vt:lpstr>'Cotacao 5'!DadosExternos_461</vt:lpstr>
      <vt:lpstr>'Cotacao 3'!DadosExternos_462</vt:lpstr>
      <vt:lpstr>'Cotacao 4'!DadosExternos_462</vt:lpstr>
      <vt:lpstr>'Cotacao 5'!DadosExternos_462</vt:lpstr>
      <vt:lpstr>'Cotacao 3'!DadosExternos_463</vt:lpstr>
      <vt:lpstr>'Cotacao 4'!DadosExternos_463</vt:lpstr>
      <vt:lpstr>'Cotacao 5'!DadosExternos_463</vt:lpstr>
      <vt:lpstr>'Cotacao 3'!DadosExternos_464</vt:lpstr>
      <vt:lpstr>'Cotacao 4'!DadosExternos_464</vt:lpstr>
      <vt:lpstr>'Cotacao 5'!DadosExternos_464</vt:lpstr>
      <vt:lpstr>'Cotacao 3'!DadosExternos_465</vt:lpstr>
      <vt:lpstr>'Cotacao 4'!DadosExternos_465</vt:lpstr>
      <vt:lpstr>'Cotacao 5'!DadosExternos_465</vt:lpstr>
      <vt:lpstr>'Cotacao 3'!DadosExternos_466</vt:lpstr>
      <vt:lpstr>'Cotacao 4'!DadosExternos_466</vt:lpstr>
      <vt:lpstr>'Cotacao 5'!DadosExternos_466</vt:lpstr>
      <vt:lpstr>'Cotacao 3'!DadosExternos_467</vt:lpstr>
      <vt:lpstr>'Cotacao 4'!DadosExternos_467</vt:lpstr>
      <vt:lpstr>'Cotacao 5'!DadosExternos_467</vt:lpstr>
      <vt:lpstr>'Cotacao 3'!DadosExternos_468</vt:lpstr>
      <vt:lpstr>'Cotacao 4'!DadosExternos_468</vt:lpstr>
      <vt:lpstr>'Cotacao 5'!DadosExternos_468</vt:lpstr>
      <vt:lpstr>'Cotacao 3'!DadosExternos_469</vt:lpstr>
      <vt:lpstr>'Cotacao 4'!DadosExternos_469</vt:lpstr>
      <vt:lpstr>'Cotacao 5'!DadosExternos_469</vt:lpstr>
      <vt:lpstr>Cotacao!DadosExternos_47</vt:lpstr>
      <vt:lpstr>'Cotacao 2'!DadosExternos_47</vt:lpstr>
      <vt:lpstr>'Cotacao 3'!DadosExternos_47</vt:lpstr>
      <vt:lpstr>'Cotacao 4'!DadosExternos_47</vt:lpstr>
      <vt:lpstr>'Cotacao 5'!DadosExternos_47</vt:lpstr>
      <vt:lpstr>Cotacao!DadosExternos_48</vt:lpstr>
      <vt:lpstr>'Cotacao 2'!DadosExternos_48</vt:lpstr>
      <vt:lpstr>'Cotacao 3'!DadosExternos_48</vt:lpstr>
      <vt:lpstr>'Cotacao 4'!DadosExternos_48</vt:lpstr>
      <vt:lpstr>'Cotacao 5'!DadosExternos_48</vt:lpstr>
      <vt:lpstr>Cotacao!DadosExternos_49</vt:lpstr>
      <vt:lpstr>'Cotacao 2'!DadosExternos_49</vt:lpstr>
      <vt:lpstr>'Cotacao 3'!DadosExternos_49</vt:lpstr>
      <vt:lpstr>'Cotacao 4'!DadosExternos_49</vt:lpstr>
      <vt:lpstr>'Cotacao 5'!DadosExternos_49</vt:lpstr>
      <vt:lpstr>Cotacao!DadosExternos_50</vt:lpstr>
      <vt:lpstr>'Cotacao 2'!DadosExternos_50</vt:lpstr>
      <vt:lpstr>'Cotacao 3'!DadosExternos_50</vt:lpstr>
      <vt:lpstr>'Cotacao 4'!DadosExternos_50</vt:lpstr>
      <vt:lpstr>'Cotacao 5'!DadosExternos_50</vt:lpstr>
      <vt:lpstr>Cotacao!DadosExternos_51</vt:lpstr>
      <vt:lpstr>'Cotacao 2'!DadosExternos_51</vt:lpstr>
      <vt:lpstr>'Cotacao 3'!DadosExternos_51</vt:lpstr>
      <vt:lpstr>'Cotacao 4'!DadosExternos_51</vt:lpstr>
      <vt:lpstr>'Cotacao 5'!DadosExternos_51</vt:lpstr>
      <vt:lpstr>Cotacao!DadosExternos_52</vt:lpstr>
      <vt:lpstr>'Cotacao 2'!DadosExternos_52</vt:lpstr>
      <vt:lpstr>'Cotacao 3'!DadosExternos_52</vt:lpstr>
      <vt:lpstr>'Cotacao 4'!DadosExternos_52</vt:lpstr>
      <vt:lpstr>'Cotacao 5'!DadosExternos_52</vt:lpstr>
      <vt:lpstr>Cotacao!DadosExternos_53</vt:lpstr>
      <vt:lpstr>'Cotacao 2'!DadosExternos_53</vt:lpstr>
      <vt:lpstr>'Cotacao 3'!DadosExternos_53</vt:lpstr>
      <vt:lpstr>'Cotacao 4'!DadosExternos_53</vt:lpstr>
      <vt:lpstr>'Cotacao 5'!DadosExternos_53</vt:lpstr>
      <vt:lpstr>Cotacao!DadosExternos_54</vt:lpstr>
      <vt:lpstr>'Cotacao 2'!DadosExternos_54</vt:lpstr>
      <vt:lpstr>'Cotacao 3'!DadosExternos_54</vt:lpstr>
      <vt:lpstr>'Cotacao 4'!DadosExternos_54</vt:lpstr>
      <vt:lpstr>'Cotacao 5'!DadosExternos_54</vt:lpstr>
      <vt:lpstr>Cotacao!DadosExternos_55</vt:lpstr>
      <vt:lpstr>'Cotacao 2'!DadosExternos_55</vt:lpstr>
      <vt:lpstr>'Cotacao 3'!DadosExternos_55</vt:lpstr>
      <vt:lpstr>'Cotacao 4'!DadosExternos_55</vt:lpstr>
      <vt:lpstr>'Cotacao 5'!DadosExternos_55</vt:lpstr>
      <vt:lpstr>Cotacao!DadosExternos_56</vt:lpstr>
      <vt:lpstr>'Cotacao 2'!DadosExternos_56</vt:lpstr>
      <vt:lpstr>'Cotacao 3'!DadosExternos_56</vt:lpstr>
      <vt:lpstr>'Cotacao 4'!DadosExternos_56</vt:lpstr>
      <vt:lpstr>'Cotacao 5'!DadosExternos_56</vt:lpstr>
      <vt:lpstr>Cotacao!DadosExternos_57</vt:lpstr>
      <vt:lpstr>'Cotacao 2'!DadosExternos_57</vt:lpstr>
      <vt:lpstr>'Cotacao 3'!DadosExternos_57</vt:lpstr>
      <vt:lpstr>'Cotacao 4'!DadosExternos_57</vt:lpstr>
      <vt:lpstr>'Cotacao 5'!DadosExternos_57</vt:lpstr>
      <vt:lpstr>Cotacao!DadosExternos_58</vt:lpstr>
      <vt:lpstr>'Cotacao 2'!DadosExternos_58</vt:lpstr>
      <vt:lpstr>'Cotacao 3'!DadosExternos_58</vt:lpstr>
      <vt:lpstr>'Cotacao 4'!DadosExternos_58</vt:lpstr>
      <vt:lpstr>'Cotacao 5'!DadosExternos_58</vt:lpstr>
      <vt:lpstr>Cotacao!DadosExternos_59</vt:lpstr>
      <vt:lpstr>'Cotacao 2'!DadosExternos_59</vt:lpstr>
      <vt:lpstr>'Cotacao 3'!DadosExternos_59</vt:lpstr>
      <vt:lpstr>'Cotacao 4'!DadosExternos_59</vt:lpstr>
      <vt:lpstr>'Cotacao 5'!DadosExternos_59</vt:lpstr>
      <vt:lpstr>Cotacao!DadosExternos_6</vt:lpstr>
      <vt:lpstr>'Cotacao 2'!DadosExternos_6</vt:lpstr>
      <vt:lpstr>'Cotacao 3'!DadosExternos_6</vt:lpstr>
      <vt:lpstr>'Cotacao 4'!DadosExternos_6</vt:lpstr>
      <vt:lpstr>'Cotacao 5'!DadosExternos_6</vt:lpstr>
      <vt:lpstr>Cotacao!DadosExternos_60</vt:lpstr>
      <vt:lpstr>'Cotacao 2'!DadosExternos_60</vt:lpstr>
      <vt:lpstr>'Cotacao 3'!DadosExternos_60</vt:lpstr>
      <vt:lpstr>'Cotacao 4'!DadosExternos_60</vt:lpstr>
      <vt:lpstr>'Cotacao 5'!DadosExternos_60</vt:lpstr>
      <vt:lpstr>Cotacao!DadosExternos_61</vt:lpstr>
      <vt:lpstr>'Cotacao 2'!DadosExternos_61</vt:lpstr>
      <vt:lpstr>'Cotacao 3'!DadosExternos_61</vt:lpstr>
      <vt:lpstr>'Cotacao 4'!DadosExternos_61</vt:lpstr>
      <vt:lpstr>'Cotacao 5'!DadosExternos_61</vt:lpstr>
      <vt:lpstr>Cotacao!DadosExternos_62</vt:lpstr>
      <vt:lpstr>'Cotacao 2'!DadosExternos_62</vt:lpstr>
      <vt:lpstr>'Cotacao 3'!DadosExternos_62</vt:lpstr>
      <vt:lpstr>'Cotacao 4'!DadosExternos_62</vt:lpstr>
      <vt:lpstr>'Cotacao 5'!DadosExternos_62</vt:lpstr>
      <vt:lpstr>Cotacao!DadosExternos_63</vt:lpstr>
      <vt:lpstr>'Cotacao 2'!DadosExternos_63</vt:lpstr>
      <vt:lpstr>'Cotacao 3'!DadosExternos_63</vt:lpstr>
      <vt:lpstr>'Cotacao 4'!DadosExternos_63</vt:lpstr>
      <vt:lpstr>'Cotacao 5'!DadosExternos_63</vt:lpstr>
      <vt:lpstr>Cotacao!DadosExternos_64</vt:lpstr>
      <vt:lpstr>'Cotacao 2'!DadosExternos_64</vt:lpstr>
      <vt:lpstr>'Cotacao 3'!DadosExternos_64</vt:lpstr>
      <vt:lpstr>'Cotacao 4'!DadosExternos_64</vt:lpstr>
      <vt:lpstr>'Cotacao 5'!DadosExternos_64</vt:lpstr>
      <vt:lpstr>Cotacao!DadosExternos_65</vt:lpstr>
      <vt:lpstr>'Cotacao 2'!DadosExternos_65</vt:lpstr>
      <vt:lpstr>'Cotacao 3'!DadosExternos_65</vt:lpstr>
      <vt:lpstr>'Cotacao 4'!DadosExternos_65</vt:lpstr>
      <vt:lpstr>'Cotacao 5'!DadosExternos_65</vt:lpstr>
      <vt:lpstr>Cotacao!DadosExternos_66</vt:lpstr>
      <vt:lpstr>'Cotacao 2'!DadosExternos_66</vt:lpstr>
      <vt:lpstr>'Cotacao 3'!DadosExternos_66</vt:lpstr>
      <vt:lpstr>'Cotacao 4'!DadosExternos_66</vt:lpstr>
      <vt:lpstr>'Cotacao 5'!DadosExternos_66</vt:lpstr>
      <vt:lpstr>Cotacao!DadosExternos_67</vt:lpstr>
      <vt:lpstr>'Cotacao 2'!DadosExternos_67</vt:lpstr>
      <vt:lpstr>'Cotacao 3'!DadosExternos_67</vt:lpstr>
      <vt:lpstr>'Cotacao 4'!DadosExternos_67</vt:lpstr>
      <vt:lpstr>'Cotacao 5'!DadosExternos_67</vt:lpstr>
      <vt:lpstr>Cotacao!DadosExternos_68</vt:lpstr>
      <vt:lpstr>'Cotacao 2'!DadosExternos_68</vt:lpstr>
      <vt:lpstr>'Cotacao 3'!DadosExternos_68</vt:lpstr>
      <vt:lpstr>'Cotacao 4'!DadosExternos_68</vt:lpstr>
      <vt:lpstr>'Cotacao 5'!DadosExternos_68</vt:lpstr>
      <vt:lpstr>Cotacao!DadosExternos_69</vt:lpstr>
      <vt:lpstr>'Cotacao 2'!DadosExternos_69</vt:lpstr>
      <vt:lpstr>'Cotacao 3'!DadosExternos_69</vt:lpstr>
      <vt:lpstr>'Cotacao 4'!DadosExternos_69</vt:lpstr>
      <vt:lpstr>'Cotacao 5'!DadosExternos_69</vt:lpstr>
      <vt:lpstr>Cotacao!DadosExternos_7</vt:lpstr>
      <vt:lpstr>'Cotacao 2'!DadosExternos_7</vt:lpstr>
      <vt:lpstr>'Cotacao 3'!DadosExternos_7</vt:lpstr>
      <vt:lpstr>'Cotacao 4'!DadosExternos_7</vt:lpstr>
      <vt:lpstr>'Cotacao 5'!DadosExternos_7</vt:lpstr>
      <vt:lpstr>Cotacao!DadosExternos_70</vt:lpstr>
      <vt:lpstr>'Cotacao 2'!DadosExternos_70</vt:lpstr>
      <vt:lpstr>'Cotacao 3'!DadosExternos_70</vt:lpstr>
      <vt:lpstr>'Cotacao 4'!DadosExternos_70</vt:lpstr>
      <vt:lpstr>'Cotacao 5'!DadosExternos_70</vt:lpstr>
      <vt:lpstr>Cotacao!DadosExternos_71</vt:lpstr>
      <vt:lpstr>'Cotacao 2'!DadosExternos_71</vt:lpstr>
      <vt:lpstr>'Cotacao 3'!DadosExternos_71</vt:lpstr>
      <vt:lpstr>'Cotacao 4'!DadosExternos_71</vt:lpstr>
      <vt:lpstr>'Cotacao 5'!DadosExternos_71</vt:lpstr>
      <vt:lpstr>Cotacao!DadosExternos_72</vt:lpstr>
      <vt:lpstr>'Cotacao 2'!DadosExternos_72</vt:lpstr>
      <vt:lpstr>'Cotacao 3'!DadosExternos_72</vt:lpstr>
      <vt:lpstr>'Cotacao 4'!DadosExternos_72</vt:lpstr>
      <vt:lpstr>'Cotacao 5'!DadosExternos_72</vt:lpstr>
      <vt:lpstr>Cotacao!DadosExternos_73</vt:lpstr>
      <vt:lpstr>'Cotacao 2'!DadosExternos_73</vt:lpstr>
      <vt:lpstr>'Cotacao 3'!DadosExternos_73</vt:lpstr>
      <vt:lpstr>'Cotacao 4'!DadosExternos_73</vt:lpstr>
      <vt:lpstr>'Cotacao 5'!DadosExternos_73</vt:lpstr>
      <vt:lpstr>Cotacao!DadosExternos_8</vt:lpstr>
      <vt:lpstr>'Cotacao 2'!DadosExternos_8</vt:lpstr>
      <vt:lpstr>'Cotacao 3'!DadosExternos_8</vt:lpstr>
      <vt:lpstr>'Cotacao 4'!DadosExternos_8</vt:lpstr>
      <vt:lpstr>'Cotacao 5'!DadosExternos_8</vt:lpstr>
      <vt:lpstr>Cotacao!DadosExternos_9</vt:lpstr>
      <vt:lpstr>'Cotacao 2'!DadosExternos_9</vt:lpstr>
      <vt:lpstr>'Cotacao 3'!DadosExternos_9</vt:lpstr>
      <vt:lpstr>'Cotacao 4'!DadosExternos_9</vt:lpstr>
      <vt:lpstr>'Cotacao 5'!DadosExternos_9</vt:lpstr>
      <vt:lpstr>Cotacao!DadosExternos_90</vt:lpstr>
      <vt:lpstr>'Cotacao 2'!DadosExternos_90</vt:lpstr>
      <vt:lpstr>'Cotacao 3'!DadosExternos_90</vt:lpstr>
      <vt:lpstr>'Cotacao 4'!DadosExternos_90</vt:lpstr>
      <vt:lpstr>'Cotacao 5'!DadosExternos_90</vt:lpstr>
      <vt:lpstr>Cotacao!DadosExternos_96</vt:lpstr>
      <vt:lpstr>'Cotacao 2'!DadosExternos_96</vt:lpstr>
      <vt:lpstr>'Cotacao 3'!DadosExternos_96</vt:lpstr>
      <vt:lpstr>'Cotacao 4'!DadosExternos_96</vt:lpstr>
      <vt:lpstr>'Cotacao 5'!DadosExternos_96</vt:lpstr>
      <vt:lpstr>Cotacao!DadosExternos_97</vt:lpstr>
      <vt:lpstr>'Cotacao 2'!DadosExternos_97</vt:lpstr>
      <vt:lpstr>'Cotacao 3'!DadosExternos_97</vt:lpstr>
      <vt:lpstr>'Cotacao 4'!DadosExternos_97</vt:lpstr>
      <vt:lpstr>'Cotacao 5'!DadosExternos_97</vt:lpstr>
      <vt:lpstr>Cotacao!DadosExternos_98</vt:lpstr>
      <vt:lpstr>'Cotacao 2'!DadosExternos_98</vt:lpstr>
      <vt:lpstr>'Cotacao 3'!DadosExternos_98</vt:lpstr>
      <vt:lpstr>'Cotacao 4'!DadosExternos_98</vt:lpstr>
      <vt:lpstr>'Cotacao 5'!DadosExternos_98</vt:lpstr>
      <vt:lpstr>Cotacao!ExternalData_1</vt:lpstr>
      <vt:lpstr>'Cotacao 2'!ExternalData_1</vt:lpstr>
      <vt:lpstr>'Cotacao 3'!ExternalData_1</vt:lpstr>
      <vt:lpstr>'Cotacao 4'!ExternalData_1</vt:lpstr>
      <vt:lpstr>'Cotacao 5'!ExternalData_1</vt:lpstr>
      <vt:lpstr>Cotacao!ExternalData_10</vt:lpstr>
      <vt:lpstr>'Cotacao 2'!ExternalData_10</vt:lpstr>
      <vt:lpstr>'Cotacao 3'!ExternalData_10</vt:lpstr>
      <vt:lpstr>'Cotacao 4'!ExternalData_10</vt:lpstr>
      <vt:lpstr>'Cotacao 5'!ExternalData_10</vt:lpstr>
      <vt:lpstr>'Cotacao 4'!ExternalData_100</vt:lpstr>
      <vt:lpstr>'Cotacao 5'!ExternalData_100</vt:lpstr>
      <vt:lpstr>'Cotacao 4'!ExternalData_101</vt:lpstr>
      <vt:lpstr>'Cotacao 5'!ExternalData_101</vt:lpstr>
      <vt:lpstr>'Cotacao 4'!ExternalData_102</vt:lpstr>
      <vt:lpstr>'Cotacao 5'!ExternalData_102</vt:lpstr>
      <vt:lpstr>'Cotacao 4'!ExternalData_103</vt:lpstr>
      <vt:lpstr>'Cotacao 5'!ExternalData_103</vt:lpstr>
      <vt:lpstr>'Cotacao 4'!ExternalData_104</vt:lpstr>
      <vt:lpstr>'Cotacao 5'!ExternalData_104</vt:lpstr>
      <vt:lpstr>'Cotacao 4'!ExternalData_105</vt:lpstr>
      <vt:lpstr>'Cotacao 5'!ExternalData_105</vt:lpstr>
      <vt:lpstr>'Cotacao 4'!ExternalData_106</vt:lpstr>
      <vt:lpstr>'Cotacao 5'!ExternalData_106</vt:lpstr>
      <vt:lpstr>'Cotacao 4'!ExternalData_107</vt:lpstr>
      <vt:lpstr>'Cotacao 5'!ExternalData_107</vt:lpstr>
      <vt:lpstr>'Cotacao 4'!ExternalData_108</vt:lpstr>
      <vt:lpstr>'Cotacao 5'!ExternalData_108</vt:lpstr>
      <vt:lpstr>'Cotacao 4'!ExternalData_109</vt:lpstr>
      <vt:lpstr>'Cotacao 5'!ExternalData_109</vt:lpstr>
      <vt:lpstr>Cotacao!ExternalData_11</vt:lpstr>
      <vt:lpstr>'Cotacao 2'!ExternalData_11</vt:lpstr>
      <vt:lpstr>'Cotacao 3'!ExternalData_11</vt:lpstr>
      <vt:lpstr>'Cotacao 4'!ExternalData_11</vt:lpstr>
      <vt:lpstr>'Cotacao 5'!ExternalData_11</vt:lpstr>
      <vt:lpstr>'Cotacao 4'!ExternalData_110</vt:lpstr>
      <vt:lpstr>'Cotacao 5'!ExternalData_110</vt:lpstr>
      <vt:lpstr>'Cotacao 4'!ExternalData_111</vt:lpstr>
      <vt:lpstr>'Cotacao 5'!ExternalData_111</vt:lpstr>
      <vt:lpstr>'Cotacao 4'!ExternalData_112</vt:lpstr>
      <vt:lpstr>'Cotacao 5'!ExternalData_112</vt:lpstr>
      <vt:lpstr>'Cotacao 4'!ExternalData_113</vt:lpstr>
      <vt:lpstr>'Cotacao 5'!ExternalData_113</vt:lpstr>
      <vt:lpstr>'Cotacao 4'!ExternalData_114</vt:lpstr>
      <vt:lpstr>'Cotacao 5'!ExternalData_114</vt:lpstr>
      <vt:lpstr>'Cotacao 4'!ExternalData_115</vt:lpstr>
      <vt:lpstr>'Cotacao 5'!ExternalData_115</vt:lpstr>
      <vt:lpstr>'Cotacao 4'!ExternalData_116</vt:lpstr>
      <vt:lpstr>'Cotacao 5'!ExternalData_116</vt:lpstr>
      <vt:lpstr>'Cotacao 4'!ExternalData_117</vt:lpstr>
      <vt:lpstr>'Cotacao 5'!ExternalData_117</vt:lpstr>
      <vt:lpstr>'Cotacao 4'!ExternalData_118</vt:lpstr>
      <vt:lpstr>'Cotacao 5'!ExternalData_118</vt:lpstr>
      <vt:lpstr>'Cotacao 4'!ExternalData_119</vt:lpstr>
      <vt:lpstr>'Cotacao 5'!ExternalData_119</vt:lpstr>
      <vt:lpstr>Cotacao!ExternalData_12</vt:lpstr>
      <vt:lpstr>'Cotacao 2'!ExternalData_12</vt:lpstr>
      <vt:lpstr>'Cotacao 3'!ExternalData_12</vt:lpstr>
      <vt:lpstr>'Cotacao 4'!ExternalData_12</vt:lpstr>
      <vt:lpstr>'Cotacao 5'!ExternalData_12</vt:lpstr>
      <vt:lpstr>'Cotacao 4'!ExternalData_120</vt:lpstr>
      <vt:lpstr>'Cotacao 5'!ExternalData_120</vt:lpstr>
      <vt:lpstr>'Cotacao 4'!ExternalData_121</vt:lpstr>
      <vt:lpstr>'Cotacao 5'!ExternalData_121</vt:lpstr>
      <vt:lpstr>'Cotacao 4'!ExternalData_122</vt:lpstr>
      <vt:lpstr>'Cotacao 5'!ExternalData_122</vt:lpstr>
      <vt:lpstr>'Cotacao 4'!ExternalData_123</vt:lpstr>
      <vt:lpstr>'Cotacao 5'!ExternalData_123</vt:lpstr>
      <vt:lpstr>'Cotacao 4'!ExternalData_124</vt:lpstr>
      <vt:lpstr>'Cotacao 5'!ExternalData_124</vt:lpstr>
      <vt:lpstr>'Cotacao 4'!ExternalData_125</vt:lpstr>
      <vt:lpstr>'Cotacao 5'!ExternalData_125</vt:lpstr>
      <vt:lpstr>'Cotacao 4'!ExternalData_126</vt:lpstr>
      <vt:lpstr>'Cotacao 5'!ExternalData_126</vt:lpstr>
      <vt:lpstr>'Cotacao 4'!ExternalData_127</vt:lpstr>
      <vt:lpstr>'Cotacao 5'!ExternalData_127</vt:lpstr>
      <vt:lpstr>'Cotacao 4'!ExternalData_128</vt:lpstr>
      <vt:lpstr>'Cotacao 5'!ExternalData_128</vt:lpstr>
      <vt:lpstr>'Cotacao 4'!ExternalData_129</vt:lpstr>
      <vt:lpstr>'Cotacao 5'!ExternalData_129</vt:lpstr>
      <vt:lpstr>Cotacao!ExternalData_13</vt:lpstr>
      <vt:lpstr>'Cotacao 2'!ExternalData_13</vt:lpstr>
      <vt:lpstr>'Cotacao 3'!ExternalData_13</vt:lpstr>
      <vt:lpstr>'Cotacao 4'!ExternalData_13</vt:lpstr>
      <vt:lpstr>'Cotacao 5'!ExternalData_13</vt:lpstr>
      <vt:lpstr>'Cotacao 4'!ExternalData_130</vt:lpstr>
      <vt:lpstr>'Cotacao 5'!ExternalData_130</vt:lpstr>
      <vt:lpstr>'Cotacao 4'!ExternalData_131</vt:lpstr>
      <vt:lpstr>'Cotacao 5'!ExternalData_131</vt:lpstr>
      <vt:lpstr>'Cotacao 4'!ExternalData_132</vt:lpstr>
      <vt:lpstr>'Cotacao 5'!ExternalData_132</vt:lpstr>
      <vt:lpstr>'Cotacao 4'!ExternalData_133</vt:lpstr>
      <vt:lpstr>'Cotacao 5'!ExternalData_133</vt:lpstr>
      <vt:lpstr>'Cotacao 4'!ExternalData_134</vt:lpstr>
      <vt:lpstr>'Cotacao 5'!ExternalData_134</vt:lpstr>
      <vt:lpstr>'Cotacao 4'!ExternalData_135</vt:lpstr>
      <vt:lpstr>'Cotacao 5'!ExternalData_135</vt:lpstr>
      <vt:lpstr>'Cotacao 4'!ExternalData_136</vt:lpstr>
      <vt:lpstr>'Cotacao 5'!ExternalData_136</vt:lpstr>
      <vt:lpstr>'Cotacao 4'!ExternalData_137</vt:lpstr>
      <vt:lpstr>'Cotacao 5'!ExternalData_137</vt:lpstr>
      <vt:lpstr>'Cotacao 4'!ExternalData_138</vt:lpstr>
      <vt:lpstr>'Cotacao 5'!ExternalData_138</vt:lpstr>
      <vt:lpstr>'Cotacao 4'!ExternalData_139</vt:lpstr>
      <vt:lpstr>'Cotacao 5'!ExternalData_139</vt:lpstr>
      <vt:lpstr>Cotacao!ExternalData_14</vt:lpstr>
      <vt:lpstr>'Cotacao 2'!ExternalData_14</vt:lpstr>
      <vt:lpstr>'Cotacao 3'!ExternalData_14</vt:lpstr>
      <vt:lpstr>'Cotacao 4'!ExternalData_14</vt:lpstr>
      <vt:lpstr>'Cotacao 5'!ExternalData_14</vt:lpstr>
      <vt:lpstr>'Cotacao 4'!ExternalData_140</vt:lpstr>
      <vt:lpstr>'Cotacao 5'!ExternalData_140</vt:lpstr>
      <vt:lpstr>'Cotacao 5'!ExternalData_141</vt:lpstr>
      <vt:lpstr>'Cotacao 5'!ExternalData_142</vt:lpstr>
      <vt:lpstr>'Cotacao 5'!ExternalData_143</vt:lpstr>
      <vt:lpstr>'Cotacao 5'!ExternalData_144</vt:lpstr>
      <vt:lpstr>'Cotacao 5'!ExternalData_145</vt:lpstr>
      <vt:lpstr>'Cotacao 5'!ExternalData_146</vt:lpstr>
      <vt:lpstr>'Cotacao 5'!ExternalData_147</vt:lpstr>
      <vt:lpstr>'Cotacao 5'!ExternalData_148</vt:lpstr>
      <vt:lpstr>'Cotacao 5'!ExternalData_149</vt:lpstr>
      <vt:lpstr>Cotacao!ExternalData_15</vt:lpstr>
      <vt:lpstr>'Cotacao 2'!ExternalData_15</vt:lpstr>
      <vt:lpstr>'Cotacao 3'!ExternalData_15</vt:lpstr>
      <vt:lpstr>'Cotacao 4'!ExternalData_15</vt:lpstr>
      <vt:lpstr>'Cotacao 5'!ExternalData_15</vt:lpstr>
      <vt:lpstr>'Cotacao 5'!ExternalData_150</vt:lpstr>
      <vt:lpstr>'Cotacao 5'!ExternalData_151</vt:lpstr>
      <vt:lpstr>'Cotacao 5'!ExternalData_152</vt:lpstr>
      <vt:lpstr>'Cotacao 5'!ExternalData_153</vt:lpstr>
      <vt:lpstr>'Cotacao 5'!ExternalData_154</vt:lpstr>
      <vt:lpstr>'Cotacao 5'!ExternalData_155</vt:lpstr>
      <vt:lpstr>'Cotacao 5'!ExternalData_156</vt:lpstr>
      <vt:lpstr>'Cotacao 5'!ExternalData_157</vt:lpstr>
      <vt:lpstr>'Cotacao 5'!ExternalData_158</vt:lpstr>
      <vt:lpstr>'Cotacao 5'!ExternalData_159</vt:lpstr>
      <vt:lpstr>Cotacao!ExternalData_16</vt:lpstr>
      <vt:lpstr>'Cotacao 2'!ExternalData_16</vt:lpstr>
      <vt:lpstr>'Cotacao 3'!ExternalData_16</vt:lpstr>
      <vt:lpstr>'Cotacao 4'!ExternalData_16</vt:lpstr>
      <vt:lpstr>'Cotacao 5'!ExternalData_16</vt:lpstr>
      <vt:lpstr>'Cotacao 5'!ExternalData_160</vt:lpstr>
      <vt:lpstr>'Cotacao 5'!ExternalData_161</vt:lpstr>
      <vt:lpstr>'Cotacao 5'!ExternalData_162</vt:lpstr>
      <vt:lpstr>'Cotacao 5'!ExternalData_163</vt:lpstr>
      <vt:lpstr>'Cotacao 5'!ExternalData_164</vt:lpstr>
      <vt:lpstr>'Cotacao 5'!ExternalData_165</vt:lpstr>
      <vt:lpstr>'Cotacao 5'!ExternalData_166</vt:lpstr>
      <vt:lpstr>'Cotacao 5'!ExternalData_167</vt:lpstr>
      <vt:lpstr>'Cotacao 5'!ExternalData_168</vt:lpstr>
      <vt:lpstr>Cotacao!ExternalData_17</vt:lpstr>
      <vt:lpstr>'Cotacao 2'!ExternalData_17</vt:lpstr>
      <vt:lpstr>'Cotacao 3'!ExternalData_17</vt:lpstr>
      <vt:lpstr>'Cotacao 4'!ExternalData_17</vt:lpstr>
      <vt:lpstr>'Cotacao 5'!ExternalData_17</vt:lpstr>
      <vt:lpstr>Cotacao!ExternalData_18</vt:lpstr>
      <vt:lpstr>'Cotacao 2'!ExternalData_18</vt:lpstr>
      <vt:lpstr>'Cotacao 3'!ExternalData_18</vt:lpstr>
      <vt:lpstr>'Cotacao 4'!ExternalData_18</vt:lpstr>
      <vt:lpstr>'Cotacao 5'!ExternalData_18</vt:lpstr>
      <vt:lpstr>Cotacao!ExternalData_19</vt:lpstr>
      <vt:lpstr>'Cotacao 2'!ExternalData_19</vt:lpstr>
      <vt:lpstr>'Cotacao 3'!ExternalData_19</vt:lpstr>
      <vt:lpstr>'Cotacao 4'!ExternalData_19</vt:lpstr>
      <vt:lpstr>'Cotacao 5'!ExternalData_19</vt:lpstr>
      <vt:lpstr>Cotacao!ExternalData_2</vt:lpstr>
      <vt:lpstr>'Cotacao 2'!ExternalData_2</vt:lpstr>
      <vt:lpstr>'Cotacao 3'!ExternalData_2</vt:lpstr>
      <vt:lpstr>'Cotacao 4'!ExternalData_2</vt:lpstr>
      <vt:lpstr>'Cotacao 5'!ExternalData_2</vt:lpstr>
      <vt:lpstr>Cotacao!ExternalData_20</vt:lpstr>
      <vt:lpstr>'Cotacao 2'!ExternalData_20</vt:lpstr>
      <vt:lpstr>'Cotacao 3'!ExternalData_20</vt:lpstr>
      <vt:lpstr>'Cotacao 4'!ExternalData_20</vt:lpstr>
      <vt:lpstr>'Cotacao 5'!ExternalData_20</vt:lpstr>
      <vt:lpstr>Cotacao!ExternalData_21</vt:lpstr>
      <vt:lpstr>'Cotacao 2'!ExternalData_21</vt:lpstr>
      <vt:lpstr>'Cotacao 3'!ExternalData_21</vt:lpstr>
      <vt:lpstr>'Cotacao 4'!ExternalData_21</vt:lpstr>
      <vt:lpstr>'Cotacao 5'!ExternalData_21</vt:lpstr>
      <vt:lpstr>Cotacao!ExternalData_22</vt:lpstr>
      <vt:lpstr>'Cotacao 2'!ExternalData_22</vt:lpstr>
      <vt:lpstr>'Cotacao 3'!ExternalData_22</vt:lpstr>
      <vt:lpstr>'Cotacao 4'!ExternalData_22</vt:lpstr>
      <vt:lpstr>'Cotacao 5'!ExternalData_22</vt:lpstr>
      <vt:lpstr>Cotacao!ExternalData_23</vt:lpstr>
      <vt:lpstr>'Cotacao 2'!ExternalData_23</vt:lpstr>
      <vt:lpstr>'Cotacao 3'!ExternalData_23</vt:lpstr>
      <vt:lpstr>'Cotacao 4'!ExternalData_23</vt:lpstr>
      <vt:lpstr>'Cotacao 5'!ExternalData_23</vt:lpstr>
      <vt:lpstr>Cotacao!ExternalData_24</vt:lpstr>
      <vt:lpstr>'Cotacao 2'!ExternalData_24</vt:lpstr>
      <vt:lpstr>'Cotacao 3'!ExternalData_24</vt:lpstr>
      <vt:lpstr>'Cotacao 4'!ExternalData_24</vt:lpstr>
      <vt:lpstr>'Cotacao 5'!ExternalData_24</vt:lpstr>
      <vt:lpstr>'Cotacao 2'!ExternalData_25</vt:lpstr>
      <vt:lpstr>'Cotacao 3'!ExternalData_25</vt:lpstr>
      <vt:lpstr>'Cotacao 4'!ExternalData_25</vt:lpstr>
      <vt:lpstr>'Cotacao 5'!ExternalData_25</vt:lpstr>
      <vt:lpstr>Cotacao!ExternalData_26</vt:lpstr>
      <vt:lpstr>'Cotacao 2'!ExternalData_26</vt:lpstr>
      <vt:lpstr>'Cotacao 3'!ExternalData_26</vt:lpstr>
      <vt:lpstr>'Cotacao 4'!ExternalData_26</vt:lpstr>
      <vt:lpstr>'Cotacao 5'!ExternalData_26</vt:lpstr>
      <vt:lpstr>Cotacao!ExternalData_27</vt:lpstr>
      <vt:lpstr>'Cotacao 2'!ExternalData_27</vt:lpstr>
      <vt:lpstr>'Cotacao 3'!ExternalData_27</vt:lpstr>
      <vt:lpstr>'Cotacao 4'!ExternalData_27</vt:lpstr>
      <vt:lpstr>'Cotacao 5'!ExternalData_27</vt:lpstr>
      <vt:lpstr>Cotacao!ExternalData_28</vt:lpstr>
      <vt:lpstr>'Cotacao 2'!ExternalData_28</vt:lpstr>
      <vt:lpstr>'Cotacao 3'!ExternalData_28</vt:lpstr>
      <vt:lpstr>'Cotacao 4'!ExternalData_28</vt:lpstr>
      <vt:lpstr>'Cotacao 5'!ExternalData_28</vt:lpstr>
      <vt:lpstr>Cotacao!ExternalData_29</vt:lpstr>
      <vt:lpstr>'Cotacao 2'!ExternalData_29</vt:lpstr>
      <vt:lpstr>'Cotacao 3'!ExternalData_29</vt:lpstr>
      <vt:lpstr>'Cotacao 4'!ExternalData_29</vt:lpstr>
      <vt:lpstr>'Cotacao 5'!ExternalData_29</vt:lpstr>
      <vt:lpstr>Cotacao!ExternalData_3</vt:lpstr>
      <vt:lpstr>'Cotacao 2'!ExternalData_3</vt:lpstr>
      <vt:lpstr>'Cotacao 3'!ExternalData_3</vt:lpstr>
      <vt:lpstr>'Cotacao 4'!ExternalData_3</vt:lpstr>
      <vt:lpstr>'Cotacao 5'!ExternalData_3</vt:lpstr>
      <vt:lpstr>Cotacao!ExternalData_30</vt:lpstr>
      <vt:lpstr>'Cotacao 2'!ExternalData_30</vt:lpstr>
      <vt:lpstr>'Cotacao 3'!ExternalData_30</vt:lpstr>
      <vt:lpstr>'Cotacao 4'!ExternalData_30</vt:lpstr>
      <vt:lpstr>'Cotacao 5'!ExternalData_30</vt:lpstr>
      <vt:lpstr>Cotacao!ExternalData_31</vt:lpstr>
      <vt:lpstr>'Cotacao 2'!ExternalData_31</vt:lpstr>
      <vt:lpstr>'Cotacao 3'!ExternalData_31</vt:lpstr>
      <vt:lpstr>'Cotacao 4'!ExternalData_31</vt:lpstr>
      <vt:lpstr>'Cotacao 5'!ExternalData_31</vt:lpstr>
      <vt:lpstr>Cotacao!ExternalData_32</vt:lpstr>
      <vt:lpstr>'Cotacao 2'!ExternalData_32</vt:lpstr>
      <vt:lpstr>'Cotacao 3'!ExternalData_32</vt:lpstr>
      <vt:lpstr>'Cotacao 4'!ExternalData_32</vt:lpstr>
      <vt:lpstr>'Cotacao 5'!ExternalData_32</vt:lpstr>
      <vt:lpstr>Cotacao!ExternalData_33</vt:lpstr>
      <vt:lpstr>'Cotacao 2'!ExternalData_33</vt:lpstr>
      <vt:lpstr>'Cotacao 3'!ExternalData_33</vt:lpstr>
      <vt:lpstr>'Cotacao 4'!ExternalData_33</vt:lpstr>
      <vt:lpstr>'Cotacao 5'!ExternalData_33</vt:lpstr>
      <vt:lpstr>'Cotacao 2'!ExternalData_34</vt:lpstr>
      <vt:lpstr>'Cotacao 3'!ExternalData_34</vt:lpstr>
      <vt:lpstr>'Cotacao 4'!ExternalData_34</vt:lpstr>
      <vt:lpstr>'Cotacao 5'!ExternalData_34</vt:lpstr>
      <vt:lpstr>'Cotacao 2'!ExternalData_35</vt:lpstr>
      <vt:lpstr>'Cotacao 3'!ExternalData_35</vt:lpstr>
      <vt:lpstr>'Cotacao 4'!ExternalData_35</vt:lpstr>
      <vt:lpstr>'Cotacao 5'!ExternalData_35</vt:lpstr>
      <vt:lpstr>'Cotacao 2'!ExternalData_36</vt:lpstr>
      <vt:lpstr>'Cotacao 3'!ExternalData_36</vt:lpstr>
      <vt:lpstr>'Cotacao 4'!ExternalData_36</vt:lpstr>
      <vt:lpstr>'Cotacao 5'!ExternalData_36</vt:lpstr>
      <vt:lpstr>'Cotacao 2'!ExternalData_37</vt:lpstr>
      <vt:lpstr>'Cotacao 3'!ExternalData_37</vt:lpstr>
      <vt:lpstr>'Cotacao 4'!ExternalData_37</vt:lpstr>
      <vt:lpstr>'Cotacao 5'!ExternalData_37</vt:lpstr>
      <vt:lpstr>'Cotacao 2'!ExternalData_38</vt:lpstr>
      <vt:lpstr>'Cotacao 3'!ExternalData_38</vt:lpstr>
      <vt:lpstr>'Cotacao 4'!ExternalData_38</vt:lpstr>
      <vt:lpstr>'Cotacao 5'!ExternalData_38</vt:lpstr>
      <vt:lpstr>'Cotacao 2'!ExternalData_39</vt:lpstr>
      <vt:lpstr>'Cotacao 3'!ExternalData_39</vt:lpstr>
      <vt:lpstr>'Cotacao 4'!ExternalData_39</vt:lpstr>
      <vt:lpstr>'Cotacao 5'!ExternalData_39</vt:lpstr>
      <vt:lpstr>Cotacao!ExternalData_4</vt:lpstr>
      <vt:lpstr>'Cotacao 2'!ExternalData_4</vt:lpstr>
      <vt:lpstr>'Cotacao 3'!ExternalData_4</vt:lpstr>
      <vt:lpstr>'Cotacao 4'!ExternalData_4</vt:lpstr>
      <vt:lpstr>'Cotacao 5'!ExternalData_4</vt:lpstr>
      <vt:lpstr>'Cotacao 2'!ExternalData_40</vt:lpstr>
      <vt:lpstr>'Cotacao 3'!ExternalData_40</vt:lpstr>
      <vt:lpstr>'Cotacao 4'!ExternalData_40</vt:lpstr>
      <vt:lpstr>'Cotacao 5'!ExternalData_40</vt:lpstr>
      <vt:lpstr>'Cotacao 2'!ExternalData_41</vt:lpstr>
      <vt:lpstr>'Cotacao 3'!ExternalData_41</vt:lpstr>
      <vt:lpstr>'Cotacao 4'!ExternalData_41</vt:lpstr>
      <vt:lpstr>'Cotacao 5'!ExternalData_41</vt:lpstr>
      <vt:lpstr>'Cotacao 2'!ExternalData_42</vt:lpstr>
      <vt:lpstr>'Cotacao 3'!ExternalData_42</vt:lpstr>
      <vt:lpstr>'Cotacao 4'!ExternalData_42</vt:lpstr>
      <vt:lpstr>'Cotacao 5'!ExternalData_42</vt:lpstr>
      <vt:lpstr>'Cotacao 2'!ExternalData_43</vt:lpstr>
      <vt:lpstr>'Cotacao 3'!ExternalData_43</vt:lpstr>
      <vt:lpstr>'Cotacao 4'!ExternalData_43</vt:lpstr>
      <vt:lpstr>'Cotacao 5'!ExternalData_43</vt:lpstr>
      <vt:lpstr>'Cotacao 2'!ExternalData_44</vt:lpstr>
      <vt:lpstr>'Cotacao 3'!ExternalData_44</vt:lpstr>
      <vt:lpstr>'Cotacao 4'!ExternalData_44</vt:lpstr>
      <vt:lpstr>'Cotacao 5'!ExternalData_44</vt:lpstr>
      <vt:lpstr>'Cotacao 2'!ExternalData_45</vt:lpstr>
      <vt:lpstr>'Cotacao 3'!ExternalData_45</vt:lpstr>
      <vt:lpstr>'Cotacao 4'!ExternalData_45</vt:lpstr>
      <vt:lpstr>'Cotacao 5'!ExternalData_45</vt:lpstr>
      <vt:lpstr>'Cotacao 2'!ExternalData_46</vt:lpstr>
      <vt:lpstr>'Cotacao 3'!ExternalData_46</vt:lpstr>
      <vt:lpstr>'Cotacao 4'!ExternalData_46</vt:lpstr>
      <vt:lpstr>'Cotacao 5'!ExternalData_46</vt:lpstr>
      <vt:lpstr>'Cotacao 2'!ExternalData_47</vt:lpstr>
      <vt:lpstr>'Cotacao 3'!ExternalData_47</vt:lpstr>
      <vt:lpstr>'Cotacao 4'!ExternalData_47</vt:lpstr>
      <vt:lpstr>'Cotacao 5'!ExternalData_47</vt:lpstr>
      <vt:lpstr>'Cotacao 2'!ExternalData_48</vt:lpstr>
      <vt:lpstr>'Cotacao 3'!ExternalData_48</vt:lpstr>
      <vt:lpstr>'Cotacao 4'!ExternalData_48</vt:lpstr>
      <vt:lpstr>'Cotacao 5'!ExternalData_48</vt:lpstr>
      <vt:lpstr>'Cotacao 2'!ExternalData_49</vt:lpstr>
      <vt:lpstr>'Cotacao 3'!ExternalData_49</vt:lpstr>
      <vt:lpstr>'Cotacao 4'!ExternalData_49</vt:lpstr>
      <vt:lpstr>'Cotacao 5'!ExternalData_49</vt:lpstr>
      <vt:lpstr>Cotacao!ExternalData_5</vt:lpstr>
      <vt:lpstr>'Cotacao 2'!ExternalData_5</vt:lpstr>
      <vt:lpstr>'Cotacao 3'!ExternalData_5</vt:lpstr>
      <vt:lpstr>'Cotacao 4'!ExternalData_5</vt:lpstr>
      <vt:lpstr>'Cotacao 5'!ExternalData_5</vt:lpstr>
      <vt:lpstr>'Cotacao 2'!ExternalData_50</vt:lpstr>
      <vt:lpstr>'Cotacao 3'!ExternalData_50</vt:lpstr>
      <vt:lpstr>'Cotacao 4'!ExternalData_50</vt:lpstr>
      <vt:lpstr>'Cotacao 5'!ExternalData_50</vt:lpstr>
      <vt:lpstr>'Cotacao 2'!ExternalData_51</vt:lpstr>
      <vt:lpstr>'Cotacao 3'!ExternalData_51</vt:lpstr>
      <vt:lpstr>'Cotacao 4'!ExternalData_51</vt:lpstr>
      <vt:lpstr>'Cotacao 5'!ExternalData_51</vt:lpstr>
      <vt:lpstr>'Cotacao 3'!ExternalData_52</vt:lpstr>
      <vt:lpstr>'Cotacao 4'!ExternalData_52</vt:lpstr>
      <vt:lpstr>'Cotacao 5'!ExternalData_52</vt:lpstr>
      <vt:lpstr>'Cotacao 3'!ExternalData_53</vt:lpstr>
      <vt:lpstr>'Cotacao 4'!ExternalData_53</vt:lpstr>
      <vt:lpstr>'Cotacao 5'!ExternalData_53</vt:lpstr>
      <vt:lpstr>'Cotacao 3'!ExternalData_54</vt:lpstr>
      <vt:lpstr>'Cotacao 4'!ExternalData_54</vt:lpstr>
      <vt:lpstr>'Cotacao 5'!ExternalData_54</vt:lpstr>
      <vt:lpstr>'Cotacao 3'!ExternalData_55</vt:lpstr>
      <vt:lpstr>'Cotacao 4'!ExternalData_55</vt:lpstr>
      <vt:lpstr>'Cotacao 5'!ExternalData_55</vt:lpstr>
      <vt:lpstr>'Cotacao 3'!ExternalData_56</vt:lpstr>
      <vt:lpstr>'Cotacao 4'!ExternalData_56</vt:lpstr>
      <vt:lpstr>'Cotacao 5'!ExternalData_56</vt:lpstr>
      <vt:lpstr>'Cotacao 3'!ExternalData_57</vt:lpstr>
      <vt:lpstr>'Cotacao 4'!ExternalData_57</vt:lpstr>
      <vt:lpstr>'Cotacao 5'!ExternalData_57</vt:lpstr>
      <vt:lpstr>'Cotacao 3'!ExternalData_58</vt:lpstr>
      <vt:lpstr>'Cotacao 4'!ExternalData_58</vt:lpstr>
      <vt:lpstr>'Cotacao 5'!ExternalData_58</vt:lpstr>
      <vt:lpstr>'Cotacao 3'!ExternalData_59</vt:lpstr>
      <vt:lpstr>'Cotacao 4'!ExternalData_59</vt:lpstr>
      <vt:lpstr>'Cotacao 5'!ExternalData_59</vt:lpstr>
      <vt:lpstr>Cotacao!ExternalData_6</vt:lpstr>
      <vt:lpstr>'Cotacao 2'!ExternalData_6</vt:lpstr>
      <vt:lpstr>'Cotacao 3'!ExternalData_6</vt:lpstr>
      <vt:lpstr>'Cotacao 4'!ExternalData_6</vt:lpstr>
      <vt:lpstr>'Cotacao 5'!ExternalData_6</vt:lpstr>
      <vt:lpstr>'Cotacao 3'!ExternalData_60</vt:lpstr>
      <vt:lpstr>'Cotacao 4'!ExternalData_60</vt:lpstr>
      <vt:lpstr>'Cotacao 5'!ExternalData_60</vt:lpstr>
      <vt:lpstr>'Cotacao 3'!ExternalData_61</vt:lpstr>
      <vt:lpstr>'Cotacao 4'!ExternalData_61</vt:lpstr>
      <vt:lpstr>'Cotacao 5'!ExternalData_61</vt:lpstr>
      <vt:lpstr>'Cotacao 3'!ExternalData_62</vt:lpstr>
      <vt:lpstr>'Cotacao 4'!ExternalData_62</vt:lpstr>
      <vt:lpstr>'Cotacao 5'!ExternalData_62</vt:lpstr>
      <vt:lpstr>'Cotacao 3'!ExternalData_63</vt:lpstr>
      <vt:lpstr>'Cotacao 4'!ExternalData_63</vt:lpstr>
      <vt:lpstr>'Cotacao 5'!ExternalData_63</vt:lpstr>
      <vt:lpstr>'Cotacao 3'!ExternalData_64</vt:lpstr>
      <vt:lpstr>'Cotacao 4'!ExternalData_64</vt:lpstr>
      <vt:lpstr>'Cotacao 5'!ExternalData_64</vt:lpstr>
      <vt:lpstr>'Cotacao 3'!ExternalData_65</vt:lpstr>
      <vt:lpstr>'Cotacao 4'!ExternalData_65</vt:lpstr>
      <vt:lpstr>'Cotacao 5'!ExternalData_65</vt:lpstr>
      <vt:lpstr>'Cotacao 3'!ExternalData_66</vt:lpstr>
      <vt:lpstr>'Cotacao 4'!ExternalData_66</vt:lpstr>
      <vt:lpstr>'Cotacao 5'!ExternalData_66</vt:lpstr>
      <vt:lpstr>'Cotacao 3'!ExternalData_67</vt:lpstr>
      <vt:lpstr>'Cotacao 4'!ExternalData_67</vt:lpstr>
      <vt:lpstr>'Cotacao 5'!ExternalData_67</vt:lpstr>
      <vt:lpstr>'Cotacao 3'!ExternalData_68</vt:lpstr>
      <vt:lpstr>'Cotacao 4'!ExternalData_68</vt:lpstr>
      <vt:lpstr>'Cotacao 5'!ExternalData_68</vt:lpstr>
      <vt:lpstr>'Cotacao 3'!ExternalData_69</vt:lpstr>
      <vt:lpstr>'Cotacao 4'!ExternalData_69</vt:lpstr>
      <vt:lpstr>'Cotacao 5'!ExternalData_69</vt:lpstr>
      <vt:lpstr>Cotacao!ExternalData_7</vt:lpstr>
      <vt:lpstr>'Cotacao 2'!ExternalData_7</vt:lpstr>
      <vt:lpstr>'Cotacao 3'!ExternalData_7</vt:lpstr>
      <vt:lpstr>'Cotacao 4'!ExternalData_7</vt:lpstr>
      <vt:lpstr>'Cotacao 5'!ExternalData_7</vt:lpstr>
      <vt:lpstr>'Cotacao 3'!ExternalData_70</vt:lpstr>
      <vt:lpstr>'Cotacao 4'!ExternalData_70</vt:lpstr>
      <vt:lpstr>'Cotacao 5'!ExternalData_70</vt:lpstr>
      <vt:lpstr>'Cotacao 3'!ExternalData_71</vt:lpstr>
      <vt:lpstr>'Cotacao 4'!ExternalData_71</vt:lpstr>
      <vt:lpstr>'Cotacao 5'!ExternalData_71</vt:lpstr>
      <vt:lpstr>'Cotacao 3'!ExternalData_72</vt:lpstr>
      <vt:lpstr>'Cotacao 4'!ExternalData_72</vt:lpstr>
      <vt:lpstr>'Cotacao 5'!ExternalData_72</vt:lpstr>
      <vt:lpstr>'Cotacao 4'!ExternalData_73</vt:lpstr>
      <vt:lpstr>'Cotacao 5'!ExternalData_73</vt:lpstr>
      <vt:lpstr>'Cotacao 4'!ExternalData_74</vt:lpstr>
      <vt:lpstr>'Cotacao 5'!ExternalData_74</vt:lpstr>
      <vt:lpstr>'Cotacao 4'!ExternalData_75</vt:lpstr>
      <vt:lpstr>'Cotacao 5'!ExternalData_75</vt:lpstr>
      <vt:lpstr>'Cotacao 4'!ExternalData_76</vt:lpstr>
      <vt:lpstr>'Cotacao 5'!ExternalData_76</vt:lpstr>
      <vt:lpstr>'Cotacao 4'!ExternalData_77</vt:lpstr>
      <vt:lpstr>'Cotacao 5'!ExternalData_77</vt:lpstr>
      <vt:lpstr>'Cotacao 4'!ExternalData_78</vt:lpstr>
      <vt:lpstr>'Cotacao 5'!ExternalData_78</vt:lpstr>
      <vt:lpstr>'Cotacao 4'!ExternalData_79</vt:lpstr>
      <vt:lpstr>'Cotacao 5'!ExternalData_79</vt:lpstr>
      <vt:lpstr>Cotacao!ExternalData_8</vt:lpstr>
      <vt:lpstr>'Cotacao 2'!ExternalData_8</vt:lpstr>
      <vt:lpstr>'Cotacao 3'!ExternalData_8</vt:lpstr>
      <vt:lpstr>'Cotacao 4'!ExternalData_8</vt:lpstr>
      <vt:lpstr>'Cotacao 5'!ExternalData_8</vt:lpstr>
      <vt:lpstr>'Cotacao 4'!ExternalData_80</vt:lpstr>
      <vt:lpstr>'Cotacao 5'!ExternalData_80</vt:lpstr>
      <vt:lpstr>'Cotacao 4'!ExternalData_81</vt:lpstr>
      <vt:lpstr>'Cotacao 5'!ExternalData_81</vt:lpstr>
      <vt:lpstr>'Cotacao 4'!ExternalData_82</vt:lpstr>
      <vt:lpstr>'Cotacao 5'!ExternalData_82</vt:lpstr>
      <vt:lpstr>'Cotacao 4'!ExternalData_83</vt:lpstr>
      <vt:lpstr>'Cotacao 5'!ExternalData_83</vt:lpstr>
      <vt:lpstr>'Cotacao 4'!ExternalData_84</vt:lpstr>
      <vt:lpstr>'Cotacao 5'!ExternalData_84</vt:lpstr>
      <vt:lpstr>'Cotacao 4'!ExternalData_85</vt:lpstr>
      <vt:lpstr>'Cotacao 5'!ExternalData_85</vt:lpstr>
      <vt:lpstr>'Cotacao 4'!ExternalData_86</vt:lpstr>
      <vt:lpstr>'Cotacao 5'!ExternalData_86</vt:lpstr>
      <vt:lpstr>'Cotacao 4'!ExternalData_87</vt:lpstr>
      <vt:lpstr>'Cotacao 5'!ExternalData_87</vt:lpstr>
      <vt:lpstr>'Cotacao 4'!ExternalData_88</vt:lpstr>
      <vt:lpstr>'Cotacao 5'!ExternalData_88</vt:lpstr>
      <vt:lpstr>'Cotacao 4'!ExternalData_89</vt:lpstr>
      <vt:lpstr>'Cotacao 5'!ExternalData_89</vt:lpstr>
      <vt:lpstr>Cotacao!ExternalData_9</vt:lpstr>
      <vt:lpstr>'Cotacao 2'!ExternalData_9</vt:lpstr>
      <vt:lpstr>'Cotacao 3'!ExternalData_9</vt:lpstr>
      <vt:lpstr>'Cotacao 4'!ExternalData_9</vt:lpstr>
      <vt:lpstr>'Cotacao 5'!ExternalData_9</vt:lpstr>
      <vt:lpstr>'Cotacao 4'!ExternalData_90</vt:lpstr>
      <vt:lpstr>'Cotacao 5'!ExternalData_90</vt:lpstr>
      <vt:lpstr>'Cotacao 4'!ExternalData_91</vt:lpstr>
      <vt:lpstr>'Cotacao 5'!ExternalData_91</vt:lpstr>
      <vt:lpstr>'Cotacao 4'!ExternalData_92</vt:lpstr>
      <vt:lpstr>'Cotacao 5'!ExternalData_92</vt:lpstr>
      <vt:lpstr>'Cotacao 4'!ExternalData_93</vt:lpstr>
      <vt:lpstr>'Cotacao 5'!ExternalData_93</vt:lpstr>
      <vt:lpstr>'Cotacao 4'!ExternalData_94</vt:lpstr>
      <vt:lpstr>'Cotacao 5'!ExternalData_94</vt:lpstr>
      <vt:lpstr>'Cotacao 4'!ExternalData_95</vt:lpstr>
      <vt:lpstr>'Cotacao 5'!ExternalData_95</vt:lpstr>
      <vt:lpstr>'Cotacao 4'!ExternalData_96</vt:lpstr>
      <vt:lpstr>'Cotacao 5'!ExternalData_96</vt:lpstr>
      <vt:lpstr>'Cotacao 4'!ExternalData_97</vt:lpstr>
      <vt:lpstr>'Cotacao 5'!ExternalData_97</vt:lpstr>
      <vt:lpstr>'Cotacao 4'!ExternalData_98</vt:lpstr>
      <vt:lpstr>'Cotacao 5'!ExternalData_98</vt:lpstr>
      <vt:lpstr>'Cotacao 4'!ExternalData_99</vt:lpstr>
      <vt:lpstr>'Cotacao 5'!ExternalData_99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2014-02-20T00:02:01Z</dcterms:modified>
</cp:coreProperties>
</file>