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5" localSheetId="4">'Cotacao 4'!$C$7:$C$112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0" r:id="rId12"/>
  </pivotCaches>
</workbook>
</file>

<file path=xl/calcChain.xml><?xml version="1.0" encoding="utf-8"?>
<calcChain xmlns="http://schemas.openxmlformats.org/spreadsheetml/2006/main">
  <c r="R2" i="1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32"/>
  <c r="X32" s="1"/>
  <c r="R33"/>
  <c r="X33" s="1"/>
  <c r="R34"/>
  <c r="X34" s="1"/>
  <c r="R35"/>
  <c r="X35" s="1"/>
  <c r="R36"/>
  <c r="X3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86"/>
  <c r="X86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2"/>
  <c r="X142" s="1"/>
  <c r="R80"/>
  <c r="X80" s="1"/>
  <c r="R81"/>
  <c r="X81" s="1"/>
  <c r="R143"/>
  <c r="X143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246"/>
  <c r="X246" s="1"/>
  <c r="R137"/>
  <c r="X137" s="1"/>
  <c r="R138"/>
  <c r="X138" s="1"/>
  <c r="R139"/>
  <c r="X139" s="1"/>
  <c r="R140"/>
  <c r="X140" s="1"/>
  <c r="R79"/>
  <c r="X79" s="1"/>
  <c r="R263"/>
  <c r="X263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364"/>
  <c r="X364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462"/>
  <c r="X462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496"/>
  <c r="X49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136"/>
  <c r="X13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497"/>
  <c r="X497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363"/>
  <c r="X363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498"/>
  <c r="X498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V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86"/>
  <c r="V57"/>
  <c r="V58"/>
  <c r="V59"/>
  <c r="V60"/>
  <c r="V61"/>
  <c r="V62"/>
  <c r="V63"/>
  <c r="V64"/>
  <c r="V65"/>
  <c r="V66"/>
  <c r="V67"/>
  <c r="V68"/>
  <c r="V69"/>
  <c r="V111"/>
  <c r="V71"/>
  <c r="V72"/>
  <c r="V151"/>
  <c r="V74"/>
  <c r="V129"/>
  <c r="V75"/>
  <c r="V77"/>
  <c r="V78"/>
  <c r="V142"/>
  <c r="V80"/>
  <c r="V81"/>
  <c r="V143"/>
  <c r="V83"/>
  <c r="V84"/>
  <c r="V85"/>
  <c r="V412"/>
  <c r="V87"/>
  <c r="V88"/>
  <c r="V89"/>
  <c r="V90"/>
  <c r="V91"/>
  <c r="V92"/>
  <c r="V93"/>
  <c r="V94"/>
  <c r="V156"/>
  <c r="V95"/>
  <c r="V96"/>
  <c r="V97"/>
  <c r="V98"/>
  <c r="V99"/>
  <c r="V100"/>
  <c r="V101"/>
  <c r="V102"/>
  <c r="V103"/>
  <c r="V104"/>
  <c r="V105"/>
  <c r="V106"/>
  <c r="V107"/>
  <c r="V108"/>
  <c r="V109"/>
  <c r="V110"/>
  <c r="V70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73"/>
  <c r="V130"/>
  <c r="V131"/>
  <c r="V132"/>
  <c r="V133"/>
  <c r="V134"/>
  <c r="V135"/>
  <c r="V246"/>
  <c r="V137"/>
  <c r="V138"/>
  <c r="V139"/>
  <c r="V140"/>
  <c r="V79"/>
  <c r="V263"/>
  <c r="V141"/>
  <c r="V144"/>
  <c r="V145"/>
  <c r="V146"/>
  <c r="V147"/>
  <c r="V148"/>
  <c r="V149"/>
  <c r="V364"/>
  <c r="V371"/>
  <c r="V152"/>
  <c r="V153"/>
  <c r="V154"/>
  <c r="V155"/>
  <c r="V7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462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211"/>
  <c r="V198"/>
  <c r="V199"/>
  <c r="V200"/>
  <c r="V201"/>
  <c r="V202"/>
  <c r="V203"/>
  <c r="V204"/>
  <c r="V205"/>
  <c r="V206"/>
  <c r="V207"/>
  <c r="V208"/>
  <c r="V209"/>
  <c r="V496"/>
  <c r="V328"/>
  <c r="V212"/>
  <c r="V213"/>
  <c r="V214"/>
  <c r="V215"/>
  <c r="V216"/>
  <c r="V217"/>
  <c r="V218"/>
  <c r="V219"/>
  <c r="V220"/>
  <c r="V221"/>
  <c r="V222"/>
  <c r="V223"/>
  <c r="V224"/>
  <c r="V225"/>
  <c r="V226"/>
  <c r="V227"/>
  <c r="V361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136"/>
  <c r="V247"/>
  <c r="V248"/>
  <c r="V249"/>
  <c r="V250"/>
  <c r="V251"/>
  <c r="V252"/>
  <c r="V253"/>
  <c r="V254"/>
  <c r="V255"/>
  <c r="V256"/>
  <c r="V257"/>
  <c r="V258"/>
  <c r="V259"/>
  <c r="V260"/>
  <c r="V261"/>
  <c r="V262"/>
  <c r="V497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197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82"/>
  <c r="V362"/>
  <c r="V150"/>
  <c r="V365"/>
  <c r="V366"/>
  <c r="V367"/>
  <c r="V368"/>
  <c r="V369"/>
  <c r="V370"/>
  <c r="V56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210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363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28"/>
  <c r="V498"/>
  <c r="V174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86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2"/>
  <c r="T80"/>
  <c r="T81"/>
  <c r="T143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246"/>
  <c r="T137"/>
  <c r="T138"/>
  <c r="T139"/>
  <c r="T140"/>
  <c r="T79"/>
  <c r="T263"/>
  <c r="T141"/>
  <c r="T144"/>
  <c r="T145"/>
  <c r="T146"/>
  <c r="T147"/>
  <c r="T148"/>
  <c r="T149"/>
  <c r="T364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462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49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136"/>
  <c r="T247"/>
  <c r="T248"/>
  <c r="T249"/>
  <c r="T250"/>
  <c r="T251"/>
  <c r="T252"/>
  <c r="T253"/>
  <c r="T254"/>
  <c r="T255"/>
  <c r="T256"/>
  <c r="T257"/>
  <c r="T258"/>
  <c r="T259"/>
  <c r="T260"/>
  <c r="T261"/>
  <c r="T262"/>
  <c r="T497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363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498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246"/>
  <c r="C32"/>
  <c r="Z246"/>
  <c r="AA246" s="1"/>
  <c r="AB246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364"/>
  <c r="Z364"/>
  <c r="AA364" s="1"/>
  <c r="AB364" s="1"/>
  <c r="AC364" s="1"/>
  <c r="C136"/>
  <c r="Z136"/>
  <c r="AA136" s="1"/>
  <c r="AB136" s="1"/>
  <c r="AC13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246"/>
  <c r="U32"/>
  <c r="U33"/>
  <c r="U34"/>
  <c r="U35"/>
  <c r="U49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498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497"/>
  <c r="U137"/>
  <c r="U138"/>
  <c r="U139"/>
  <c r="U140"/>
  <c r="U141"/>
  <c r="U143"/>
  <c r="U142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136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31"/>
  <c r="U86"/>
  <c r="U3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363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263"/>
  <c r="U462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364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263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3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462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31"/>
  <c r="Y494"/>
  <c r="Y490"/>
  <c r="Y486"/>
  <c r="Y482"/>
  <c r="Y478"/>
  <c r="Y474"/>
  <c r="Y470"/>
  <c r="Y466"/>
  <c r="Y363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497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246"/>
  <c r="Y35"/>
  <c r="Y39"/>
  <c r="Y43"/>
  <c r="Y47"/>
  <c r="Y51"/>
  <c r="Y55"/>
  <c r="Y59"/>
  <c r="Y63"/>
  <c r="Y66"/>
  <c r="Y70"/>
  <c r="Y74"/>
  <c r="Y78"/>
  <c r="Y82"/>
  <c r="Y498"/>
  <c r="Y90"/>
  <c r="Y94"/>
  <c r="Y98"/>
  <c r="Y102"/>
  <c r="Y106"/>
  <c r="Y110"/>
  <c r="Y114"/>
  <c r="Y118"/>
  <c r="Y122"/>
  <c r="Y126"/>
  <c r="Y130"/>
  <c r="Y134"/>
  <c r="Y138"/>
  <c r="Y143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136"/>
  <c r="Y250"/>
  <c r="Y254"/>
  <c r="Y258"/>
  <c r="Y262"/>
  <c r="Y266"/>
  <c r="Y270"/>
  <c r="Y274"/>
  <c r="Y4"/>
  <c r="Y8"/>
  <c r="Y12"/>
  <c r="Y16"/>
  <c r="Y20"/>
  <c r="Y24"/>
  <c r="Y28"/>
  <c r="Y32"/>
  <c r="Y49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2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364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86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49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2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364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363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462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246"/>
  <c r="W39"/>
  <c r="W47"/>
  <c r="W55"/>
  <c r="W63"/>
  <c r="W70"/>
  <c r="W78"/>
  <c r="W498"/>
  <c r="W94"/>
  <c r="W102"/>
  <c r="W110"/>
  <c r="W118"/>
  <c r="W126"/>
  <c r="W134"/>
  <c r="W143"/>
  <c r="W150"/>
  <c r="W158"/>
  <c r="W166"/>
  <c r="W174"/>
  <c r="W182"/>
  <c r="W190"/>
  <c r="W198"/>
  <c r="W206"/>
  <c r="W214"/>
  <c r="W222"/>
  <c r="W230"/>
  <c r="W238"/>
  <c r="W13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263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3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497"/>
  <c r="W104"/>
  <c r="W72"/>
  <c r="W518"/>
  <c r="W513"/>
  <c r="W506"/>
  <c r="W31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86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246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246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31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86"/>
  <c r="BB388"/>
  <c r="BB209"/>
  <c r="BB430"/>
  <c r="BB412"/>
  <c r="BB325"/>
  <c r="BB136"/>
  <c r="BB3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497"/>
  <c r="BB433"/>
  <c r="BB347"/>
  <c r="BB248"/>
  <c r="BB40"/>
  <c r="BB134"/>
  <c r="BB296"/>
  <c r="BB449"/>
  <c r="BB465"/>
  <c r="BB295"/>
  <c r="BB102"/>
  <c r="BB504"/>
  <c r="BB227"/>
  <c r="BB518"/>
  <c r="BB315"/>
  <c r="BB363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462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364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498"/>
  <c r="BB107"/>
  <c r="BB124"/>
  <c r="BB143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263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2"/>
  <c r="BB109"/>
  <c r="BB71"/>
  <c r="BB49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31"/>
  <c r="Z31"/>
  <c r="AA31" s="1"/>
  <c r="AB31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31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496"/>
  <c r="BA370"/>
  <c r="BA143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246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246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13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364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363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263"/>
  <c r="BA234"/>
  <c r="BA137"/>
  <c r="BA51"/>
  <c r="BA372"/>
  <c r="BA480"/>
  <c r="BA414"/>
  <c r="BA361"/>
  <c r="BA289"/>
  <c r="BA231"/>
  <c r="BA185"/>
  <c r="BA132"/>
  <c r="BA498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364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497"/>
  <c r="BA155"/>
  <c r="BA191"/>
  <c r="BA212"/>
  <c r="BA233"/>
  <c r="BA257"/>
  <c r="BA291"/>
  <c r="BA333"/>
  <c r="BA462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86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3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31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2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13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49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498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497"/>
  <c r="AZ137"/>
  <c r="AZ140"/>
  <c r="AZ141"/>
  <c r="AZ143"/>
  <c r="AZ142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462"/>
  <c r="AZ263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363"/>
  <c r="AZ463"/>
  <c r="AZ464"/>
  <c r="AZ465"/>
  <c r="AZ477"/>
  <c r="AZ284"/>
  <c r="AZ484"/>
  <c r="AZ490"/>
  <c r="AZ491"/>
  <c r="AZ492"/>
  <c r="AZ495"/>
  <c r="AZ36"/>
  <c r="AZ86"/>
  <c r="AZ31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363"/>
  <c r="Z363"/>
  <c r="AA363" s="1"/>
  <c r="AB363" s="1"/>
  <c r="AC363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496"/>
  <c r="Z496"/>
  <c r="AA496" s="1"/>
  <c r="AB496" s="1"/>
  <c r="AC49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498"/>
  <c r="Z498"/>
  <c r="AA498" s="1"/>
  <c r="AB498" s="1"/>
  <c r="AC498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497"/>
  <c r="Z497"/>
  <c r="AA497" s="1"/>
  <c r="AB497" s="1"/>
  <c r="AC497" l="1"/>
  <c r="C137"/>
  <c r="Z137"/>
  <c r="AA137" s="1"/>
  <c r="AB137" s="1"/>
  <c r="AC137" l="1"/>
  <c r="C141"/>
  <c r="Z141"/>
  <c r="AA141" s="1"/>
  <c r="AB141" s="1"/>
  <c r="AC141" l="1"/>
  <c r="C143"/>
  <c r="Z143"/>
  <c r="AA143" s="1"/>
  <c r="AB143" s="1"/>
  <c r="AC143" l="1"/>
  <c r="C142"/>
  <c r="Z142"/>
  <c r="AA142" s="1"/>
  <c r="AB142" s="1"/>
  <c r="AC142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462"/>
  <c r="Z462"/>
  <c r="AA462" s="1"/>
  <c r="AB462" s="1"/>
  <c r="AC462" l="1"/>
  <c r="C263"/>
  <c r="Z263"/>
  <c r="AA263" s="1"/>
  <c r="AB263" s="1"/>
  <c r="AC263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36"/>
  <c r="AA36" s="1"/>
  <c r="AB36" s="1"/>
  <c r="Z86"/>
  <c r="AA86" s="1"/>
  <c r="AB86" s="1"/>
  <c r="C86"/>
  <c r="C3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246"/>
  <c r="AD106"/>
  <c r="AG261"/>
  <c r="AG262"/>
  <c r="AG226"/>
  <c r="AD261"/>
  <c r="AD386"/>
  <c r="AD246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36"/>
  <c r="AM36" s="1"/>
  <c r="AD462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364"/>
  <c r="AD430"/>
  <c r="AG96"/>
  <c r="AD506"/>
  <c r="AD136"/>
  <c r="AG230"/>
  <c r="AD230"/>
  <c r="AD340"/>
  <c r="AG364"/>
  <c r="AG153"/>
  <c r="AD416"/>
  <c r="AD229"/>
  <c r="AD153"/>
  <c r="AG294"/>
  <c r="AG136"/>
  <c r="AG178"/>
  <c r="AD293"/>
  <c r="AD96"/>
  <c r="AD184"/>
  <c r="AD178"/>
  <c r="AG229"/>
  <c r="AD371"/>
  <c r="AI371" s="1"/>
  <c r="AD95"/>
  <c r="AG95"/>
  <c r="AD52"/>
  <c r="AG52"/>
  <c r="AD86"/>
  <c r="AI86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31"/>
  <c r="AI31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363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49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498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497"/>
  <c r="AD130"/>
  <c r="AD137"/>
  <c r="AD141"/>
  <c r="AD143"/>
  <c r="AI143" s="1"/>
  <c r="AD144"/>
  <c r="AD142"/>
  <c r="AI142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263"/>
  <c r="AI263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363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31"/>
  <c r="AG20"/>
  <c r="AG8"/>
  <c r="AG35"/>
  <c r="AG30"/>
  <c r="AG37"/>
  <c r="AG49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498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497"/>
  <c r="AG135"/>
  <c r="AG141"/>
  <c r="AG137"/>
  <c r="AG142"/>
  <c r="AG143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462"/>
  <c r="AC86"/>
  <c r="AG86" s="1"/>
  <c r="AC36"/>
  <c r="AC373"/>
  <c r="AG361"/>
  <c r="AG263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246"/>
  <c r="AE246"/>
  <c r="AE226"/>
  <c r="AF226"/>
  <c r="AI105"/>
  <c r="AH105"/>
  <c r="AH106"/>
  <c r="AI246"/>
  <c r="AH32"/>
  <c r="AI106"/>
  <c r="AH261"/>
  <c r="AH386"/>
  <c r="AH246"/>
  <c r="AI262"/>
  <c r="AI386"/>
  <c r="AI261"/>
  <c r="AH262"/>
  <c r="AI32"/>
  <c r="AH226"/>
  <c r="AI226"/>
  <c r="AM32"/>
  <c r="AQ32"/>
  <c r="AM246"/>
  <c r="AQ246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P451" s="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136"/>
  <c r="AM136"/>
  <c r="AE136"/>
  <c r="AQ136"/>
  <c r="AQ364"/>
  <c r="AE364"/>
  <c r="AM364"/>
  <c r="AF364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364"/>
  <c r="AI364"/>
  <c r="AH136"/>
  <c r="AI13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498"/>
  <c r="AF498"/>
  <c r="AI498"/>
  <c r="AM498"/>
  <c r="AQ498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P281" s="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49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497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363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36"/>
  <c r="AI462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3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497"/>
  <c r="AE497"/>
  <c r="AM497"/>
  <c r="AQ497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3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363"/>
  <c r="AF363"/>
  <c r="AM363"/>
  <c r="AQ363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P407" s="1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263"/>
  <c r="AH142"/>
  <c r="AH373"/>
  <c r="AH36"/>
  <c r="AH86"/>
  <c r="AH370"/>
  <c r="AH462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3"/>
  <c r="AH141"/>
  <c r="AH137"/>
  <c r="AH497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498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49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363"/>
  <c r="AH465"/>
  <c r="AH477"/>
  <c r="AH482"/>
  <c r="AH484"/>
  <c r="AH490"/>
  <c r="AH491"/>
  <c r="AH492"/>
  <c r="AH412"/>
  <c r="AH31"/>
  <c r="AE462"/>
  <c r="AF462"/>
  <c r="AM462"/>
  <c r="AQ462"/>
  <c r="AE263"/>
  <c r="AF263"/>
  <c r="AM263"/>
  <c r="AQ263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2"/>
  <c r="AF142"/>
  <c r="AM142"/>
  <c r="AQ142"/>
  <c r="AE143"/>
  <c r="AF143"/>
  <c r="AM143"/>
  <c r="AQ143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496"/>
  <c r="AF496"/>
  <c r="AM496"/>
  <c r="AQ49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31"/>
  <c r="AF31"/>
  <c r="AM31"/>
  <c r="AQ31"/>
  <c r="AQ36"/>
  <c r="AQ86"/>
  <c r="AE86"/>
  <c r="AE36"/>
  <c r="AF86"/>
  <c r="AM86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246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136"/>
  <c r="AK136" s="1"/>
  <c r="AJ364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86"/>
  <c r="AR86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363"/>
  <c r="AK363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31"/>
  <c r="AR31" s="1"/>
  <c r="AJ504"/>
  <c r="AR504" s="1"/>
  <c r="AJ507"/>
  <c r="AR507" s="1"/>
  <c r="AJ508"/>
  <c r="AR508" s="1"/>
  <c r="AJ30"/>
  <c r="AR30" s="1"/>
  <c r="AJ35"/>
  <c r="AR35" s="1"/>
  <c r="AJ496"/>
  <c r="AR49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498"/>
  <c r="AR498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497"/>
  <c r="AR497" s="1"/>
  <c r="AJ137"/>
  <c r="AR137" s="1"/>
  <c r="AJ141"/>
  <c r="AR141" s="1"/>
  <c r="AJ143"/>
  <c r="AR143" s="1"/>
  <c r="AJ142"/>
  <c r="AR142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462"/>
  <c r="AR462" s="1"/>
  <c r="AJ36"/>
  <c r="AR36" s="1"/>
  <c r="AJ373"/>
  <c r="AR373" s="1"/>
  <c r="AJ263"/>
  <c r="AR263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246"/>
  <c r="AL226"/>
  <c r="AR106"/>
  <c r="AK106"/>
  <c r="AK261"/>
  <c r="AR261"/>
  <c r="AK262"/>
  <c r="AR262"/>
  <c r="AR386"/>
  <c r="AK386"/>
  <c r="AK246"/>
  <c r="AR246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136"/>
  <c r="AR294"/>
  <c r="AR153"/>
  <c r="AL364"/>
  <c r="AL294"/>
  <c r="AK364"/>
  <c r="AR364"/>
  <c r="AL230"/>
  <c r="AL13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498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497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363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49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498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497"/>
  <c r="AL137"/>
  <c r="AL141"/>
  <c r="AL143"/>
  <c r="AL142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462"/>
  <c r="AL263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363"/>
  <c r="AL465"/>
  <c r="AL477"/>
  <c r="AL482"/>
  <c r="AL484"/>
  <c r="AL490"/>
  <c r="AL491"/>
  <c r="AL492"/>
  <c r="AL495"/>
  <c r="AL36"/>
  <c r="AL86"/>
  <c r="AL31"/>
  <c r="AL504"/>
  <c r="AL507"/>
  <c r="AL508"/>
  <c r="AK462"/>
  <c r="AK263"/>
  <c r="AK328"/>
  <c r="AK327"/>
  <c r="AK322"/>
  <c r="AK310"/>
  <c r="AK258"/>
  <c r="AK257"/>
  <c r="AK215"/>
  <c r="AK211"/>
  <c r="AK210"/>
  <c r="AK152"/>
  <c r="AK151"/>
  <c r="AK150"/>
  <c r="AK142"/>
  <c r="AK143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496"/>
  <c r="AK8"/>
  <c r="AK450"/>
  <c r="AK424"/>
  <c r="AK413"/>
  <c r="AK412"/>
  <c r="AK411"/>
  <c r="AK374"/>
  <c r="AK31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246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364"/>
  <c r="AY13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263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496"/>
  <c r="AY460"/>
  <c r="AY390"/>
  <c r="AY148"/>
  <c r="AY256"/>
  <c r="AY51"/>
  <c r="AY86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36"/>
  <c r="AY22"/>
  <c r="AY11"/>
  <c r="AY383"/>
  <c r="AY391"/>
  <c r="AY411"/>
  <c r="AY423"/>
  <c r="AY439"/>
  <c r="AY461"/>
  <c r="AY482"/>
  <c r="AY492"/>
  <c r="AY37"/>
  <c r="AY50"/>
  <c r="AY70"/>
  <c r="AY78"/>
  <c r="AY498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143"/>
  <c r="AY135"/>
  <c r="AY127"/>
  <c r="AY112"/>
  <c r="AY100"/>
  <c r="AY87"/>
  <c r="AY83"/>
  <c r="AY79"/>
  <c r="AY75"/>
  <c r="AY71"/>
  <c r="AY67"/>
  <c r="AY55"/>
  <c r="AY47"/>
  <c r="AY38"/>
  <c r="AY30"/>
  <c r="AY495"/>
  <c r="AY484"/>
  <c r="AY363"/>
  <c r="AY450"/>
  <c r="AY424"/>
  <c r="AY412"/>
  <c r="AY394"/>
  <c r="AY384"/>
  <c r="AY507"/>
  <c r="AY10"/>
  <c r="AY21"/>
  <c r="AY208"/>
  <c r="AY13"/>
  <c r="AY373"/>
  <c r="AY462"/>
  <c r="AY338"/>
  <c r="AY312"/>
  <c r="AY300"/>
  <c r="AY287"/>
  <c r="AY258"/>
  <c r="AY243"/>
  <c r="AY228"/>
  <c r="AY219"/>
  <c r="AY213"/>
  <c r="AY207"/>
  <c r="AY201"/>
  <c r="AY169"/>
  <c r="AY161"/>
  <c r="AY156"/>
  <c r="AY150"/>
  <c r="AY142"/>
  <c r="AY497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31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246"/>
  <c r="AN246" s="1"/>
  <c r="AV246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364"/>
  <c r="AN364" s="1"/>
  <c r="AV364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136"/>
  <c r="AN136" s="1"/>
  <c r="AP13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31"/>
  <c r="AN31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363"/>
  <c r="AN363" s="1"/>
  <c r="AV363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49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498"/>
  <c r="AN498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497"/>
  <c r="AN497" s="1"/>
  <c r="AV497" s="1"/>
  <c r="AX137"/>
  <c r="AN137" s="1"/>
  <c r="AX141"/>
  <c r="AN141" s="1"/>
  <c r="AX143"/>
  <c r="AN143" s="1"/>
  <c r="AV143" s="1"/>
  <c r="AX142"/>
  <c r="AN142" s="1"/>
  <c r="AV142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462"/>
  <c r="AN462" s="1"/>
  <c r="AV462" s="1"/>
  <c r="AX263"/>
  <c r="AN263" s="1"/>
  <c r="AV263" s="1"/>
  <c r="AX370"/>
  <c r="AN370" s="1"/>
  <c r="AX371"/>
  <c r="AN371" s="1"/>
  <c r="AX373"/>
  <c r="AN373" s="1"/>
  <c r="AX86"/>
  <c r="AN86" s="1"/>
  <c r="AV86" s="1"/>
  <c r="AX36"/>
  <c r="AN36" s="1"/>
  <c r="AV36" s="1"/>
  <c r="AO298" l="1"/>
  <c r="AP298"/>
  <c r="AN496"/>
  <c r="AV49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498"/>
  <c r="AV498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31"/>
  <c r="AV31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136"/>
  <c r="AV13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497"/>
  <c r="S496"/>
  <c r="S462"/>
  <c r="S363"/>
  <c r="S364"/>
  <c r="S263"/>
  <c r="S246"/>
  <c r="S142"/>
  <c r="S143"/>
  <c r="S86"/>
  <c r="S3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364"/>
  <c r="AO364"/>
  <c r="AP364"/>
  <c r="AT364"/>
  <c r="AU364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246"/>
  <c r="AP246"/>
  <c r="AO246"/>
  <c r="AT246"/>
  <c r="AU246" s="1"/>
  <c r="AW308"/>
  <c r="AT308"/>
  <c r="AU308" s="1"/>
  <c r="AO308"/>
  <c r="AP308"/>
  <c r="AW136"/>
  <c r="AO136"/>
  <c r="AT136"/>
  <c r="AU13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263"/>
  <c r="AO263"/>
  <c r="AP263"/>
  <c r="AT263"/>
  <c r="AU263" s="1"/>
  <c r="AO462"/>
  <c r="AP462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2"/>
  <c r="AP142"/>
  <c r="AO143"/>
  <c r="AP143"/>
  <c r="AW141"/>
  <c r="AO141"/>
  <c r="AP141"/>
  <c r="AT141"/>
  <c r="AU141" s="1"/>
  <c r="AW137"/>
  <c r="AO137"/>
  <c r="AP137"/>
  <c r="AT137"/>
  <c r="AU137" s="1"/>
  <c r="AW497"/>
  <c r="AO497"/>
  <c r="AP497"/>
  <c r="AT497"/>
  <c r="AU497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498"/>
  <c r="AO498"/>
  <c r="AP498"/>
  <c r="AT498"/>
  <c r="AU498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496"/>
  <c r="AP49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363"/>
  <c r="AO363"/>
  <c r="AP363"/>
  <c r="AT363"/>
  <c r="AU363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31"/>
  <c r="AP31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36"/>
  <c r="AT23"/>
  <c r="AU23" s="1"/>
  <c r="AO117"/>
  <c r="AO2"/>
  <c r="AW117"/>
  <c r="AW253"/>
  <c r="AW102"/>
  <c r="AO102"/>
  <c r="AO140"/>
  <c r="AO125"/>
  <c r="AW203"/>
  <c r="AT203"/>
  <c r="AU203" s="1"/>
  <c r="AP86"/>
  <c r="AO86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3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36"/>
  <c r="AK86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364"/>
  <c r="AS325"/>
  <c r="AS509"/>
  <c r="AS251"/>
  <c r="AS195"/>
  <c r="AS96"/>
  <c r="AS416"/>
  <c r="AS28"/>
  <c r="AS25"/>
  <c r="AS429"/>
  <c r="AS261"/>
  <c r="AS24"/>
  <c r="AS468"/>
  <c r="AS445"/>
  <c r="AS279"/>
  <c r="AS321"/>
  <c r="AS246"/>
  <c r="AS308"/>
  <c r="AS136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174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263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497"/>
  <c r="AS135"/>
  <c r="AS129"/>
  <c r="AS127"/>
  <c r="AS126"/>
  <c r="AS116"/>
  <c r="AS115"/>
  <c r="AS111"/>
  <c r="AS107"/>
  <c r="AS100"/>
  <c r="AS94"/>
  <c r="AS498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363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462"/>
  <c r="AT462"/>
  <c r="AU462" s="1"/>
  <c r="AS462" s="1"/>
  <c r="AW36" l="1"/>
  <c r="AT36"/>
  <c r="AW86"/>
  <c r="AT86"/>
  <c r="AU86" s="1"/>
  <c r="AS86" s="1"/>
  <c r="AW31"/>
  <c r="AT31"/>
  <c r="AU31" s="1"/>
  <c r="AS31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496"/>
  <c r="AT496"/>
  <c r="AU496" s="1"/>
  <c r="AS49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2"/>
  <c r="AT142"/>
  <c r="AU142" s="1"/>
  <c r="AS142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3"/>
  <c r="AU36"/>
  <c r="AS36" s="1"/>
  <c r="AU143" l="1"/>
  <c r="AS143" s="1"/>
  <c r="AW143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3" deleted="1" background="1" saveData="1">
    <webPr xl2000="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deleted="1" background="1" saveData="1">
    <webPr xl2000="1" htmlTables="1" htmlFormat="all"/>
  </connection>
  <connection id="135" name="Conexão149" type="4" refreshedVersion="3" deleted="1" background="1" saveData="1">
    <webPr xl2000="1" htmlTables="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deleted="1" background="1" saveData="1">
    <webPr xl2000="1" htmlTables="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0" deleted="1" background="1" saveData="1">
    <webPr htmlTables="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0" deleted="1" background="1" saveData="1">
    <webPr htmlTables="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3" deleted="1" background="1" saveData="1">
    <webPr xl2000="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3" deleted="1" background="1" saveData="1">
    <webPr xl2000="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deleted="1" background="1" saveData="1">
    <webPr xl2000="1" htmlTables="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deleted="1" background="1" saveData="1">
    <webPr xl2000="1" htmlTables="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<sst xmlns="http://schemas.openxmlformats.org/spreadsheetml/2006/main" count="4322" uniqueCount="2091">
  <si>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</si>
  <si>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</si>
  <si>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</si>
  <si>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</si>
  <si>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</si>
  <si>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</si>
  <si>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</si>
  <si>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</si>
  <si>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</si>
  <si>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</si>
  <si>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</si>
  <si>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</si>
  <si>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</si>
  <si>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</si>
  <si>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</si>
  <si>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</si>
  <si>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</si>
  <si>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</si>
  <si>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</si>
  <si>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</si>
  <si>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</si>
  <si>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</si>
  <si>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</si>
  <si>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</si>
  <si>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</si>
  <si>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</si>
  <si>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</si>
  <si>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</si>
  <si>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</si>
  <si>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</si>
  <si>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</si>
  <si>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</si>
  <si>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</si>
  <si>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</si>
  <si>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</si>
  <si>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</si>
  <si>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</si>
  <si>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</si>
  <si>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</si>
  <si>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</si>
  <si>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</si>
  <si>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</si>
  <si>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</si>
  <si>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</si>
  <si>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</si>
  <si>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</si>
  <si>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</si>
  <si>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</si>
  <si>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</si>
  <si>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</si>
  <si>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</si>
  <si>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</si>
  <si>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</si>
  <si>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</si>
  <si>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</si>
  <si>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</si>
  <si>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</si>
  <si>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</si>
  <si>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</si>
  <si>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</si>
  <si>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</si>
  <si>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</si>
  <si>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</si>
  <si>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</si>
  <si>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</si>
  <si>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</si>
  <si>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</si>
  <si>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</si>
  <si>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</si>
  <si>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</si>
  <si>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</si>
  <si>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</si>
  <si>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</si>
  <si>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</si>
  <si>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</si>
  <si>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</si>
  <si>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</si>
  <si>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</si>
  <si>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</si>
  <si>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</si>
  <si>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</si>
  <si>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</si>
  <si>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</si>
  <si>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</si>
  <si>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</si>
  <si>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</si>
  <si>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</si>
  <si>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</si>
  <si>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</si>
  <si>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</si>
  <si>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</si>
  <si>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</si>
  <si>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</si>
  <si>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</si>
  <si>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</si>
  <si>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</si>
  <si>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</si>
  <si>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</si>
  <si>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</si>
  <si>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</si>
  <si>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</si>
  <si>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</si>
  <si>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</si>
  <si>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</si>
  <si>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</si>
  <si>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</si>
  <si>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</si>
  <si>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</si>
  <si>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</si>
  <si>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</si>
  <si>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</si>
  <si>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</si>
  <si>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</si>
  <si>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</si>
  <si>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</si>
  <si>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</si>
  <si>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</si>
  <si>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</si>
  <si>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</si>
  <si>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</si>
  <si>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</si>
  <si>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</si>
  <si>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</si>
  <si>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</si>
  <si>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</si>
  <si>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</si>
  <si>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</si>
  <si>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</si>
  <si>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</si>
  <si>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</si>
  <si>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</si>
  <si>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</si>
  <si>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</si>
  <si>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</si>
  <si>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</si>
  <si>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</si>
  <si>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</si>
  <si>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</si>
  <si>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</si>
  <si>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</si>
  <si>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</si>
  <si>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</si>
  <si>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</si>
  <si>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</si>
  <si>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</si>
  <si>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</si>
  <si>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</si>
  <si>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</si>
  <si>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</si>
  <si>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</si>
  <si>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</si>
  <si>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</si>
  <si>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</si>
  <si>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</si>
  <si>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</si>
  <si>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</si>
  <si>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</si>
  <si>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</si>
  <si>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</si>
  <si>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</si>
  <si>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</si>
  <si>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</si>
  <si>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</si>
  <si>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</si>
  <si>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</si>
  <si>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</si>
  <si>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</si>
  <si>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</si>
  <si>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</si>
  <si>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</si>
  <si>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</si>
  <si>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</si>
  <si>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</si>
  <si>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</si>
  <si>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</si>
  <si>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</si>
  <si>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</si>
  <si>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</si>
  <si>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</si>
  <si>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</si>
  <si>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</si>
  <si>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</si>
  <si>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</si>
  <si>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</si>
  <si>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</si>
  <si>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</si>
  <si>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</si>
  <si>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</si>
  <si>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</si>
  <si>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</si>
  <si>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</si>
  <si>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</si>
  <si>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</si>
  <si>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</si>
  <si>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</si>
  <si>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</si>
  <si>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</si>
  <si>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</si>
  <si>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</si>
  <si>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</si>
  <si>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</si>
  <si>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</si>
  <si>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</si>
  <si>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</si>
  <si>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</si>
  <si>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</si>
  <si>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</si>
  <si>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</si>
  <si>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</si>
  <si>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</si>
  <si>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</si>
  <si>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</si>
  <si>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</si>
  <si>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</si>
  <si>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</si>
  <si>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</si>
  <si>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</si>
  <si>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</si>
  <si>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</si>
  <si>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</si>
  <si>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</si>
  <si>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</si>
  <si>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</si>
  <si>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</si>
  <si>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</si>
  <si>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</si>
  <si>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</si>
  <si>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</si>
  <si>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</si>
  <si>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</si>
  <si>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</si>
  <si>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</si>
  <si>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</si>
  <si>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</si>
  <si>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</si>
  <si>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</si>
  <si>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</si>
  <si>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</si>
  <si>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</si>
  <si>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</si>
  <si>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</si>
  <si>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</si>
  <si>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</si>
  <si>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</si>
  <si>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</si>
  <si>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</si>
  <si>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</si>
  <si>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</si>
  <si>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</si>
  <si>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</si>
  <si>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</si>
  <si>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</si>
  <si>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</si>
  <si>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</si>
  <si>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</si>
  <si>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</si>
  <si>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</si>
  <si>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</si>
  <si>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</si>
  <si>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</si>
  <si>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</si>
  <si>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</si>
  <si>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</si>
  <si>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</si>
  <si>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</si>
  <si>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</si>
  <si>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</si>
  <si>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</si>
  <si>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</si>
  <si>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</si>
  <si>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</si>
  <si>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</si>
  <si>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</si>
  <si>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</si>
  <si>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</si>
  <si>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</si>
  <si>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</si>
  <si>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</si>
  <si>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</si>
  <si>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</si>
  <si>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</si>
  <si>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</si>
  <si>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</si>
  <si>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</si>
  <si>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</si>
  <si>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</si>
  <si>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</si>
  <si>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</si>
  <si>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</si>
  <si>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</si>
  <si>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</si>
  <si>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</si>
  <si>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</si>
  <si>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</si>
  <si>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</si>
  <si>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</si>
  <si>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</si>
  <si>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</si>
  <si>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</si>
  <si>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</si>
  <si>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</si>
  <si>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</si>
  <si>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</si>
  <si>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</si>
  <si>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</si>
  <si>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</si>
  <si>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</si>
  <si>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</si>
  <si>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</si>
  <si>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</si>
  <si>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</si>
  <si>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</si>
  <si>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</si>
  <si>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</si>
  <si>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</si>
  <si>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</si>
  <si>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</si>
  <si>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</si>
  <si>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</si>
  <si>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</si>
  <si>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</si>
  <si>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</si>
  <si>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</si>
  <si>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</si>
  <si>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</si>
  <si>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</si>
  <si>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</si>
  <si>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</si>
  <si>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</si>
  <si>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</si>
  <si>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</si>
  <si>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</si>
  <si>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</si>
  <si>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</si>
  <si>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</si>
  <si>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</si>
  <si>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</si>
  <si>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</si>
  <si>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</si>
  <si>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</si>
  <si>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</si>
  <si>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</si>
  <si>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</si>
  <si>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</si>
  <si>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</si>
  <si>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</si>
  <si>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</si>
  <si>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</si>
  <si>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</si>
  <si>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</si>
  <si>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</si>
  <si>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</si>
  <si>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</si>
  <si>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</si>
  <si>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</si>
  <si>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</si>
  <si>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</si>
  <si>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</si>
  <si>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</si>
  <si>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</si>
  <si>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</si>
  <si>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</si>
  <si>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</si>
  <si>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</si>
  <si>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</si>
  <si>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</si>
  <si>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</si>
  <si>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</si>
  <si>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</si>
  <si>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</si>
  <si>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</si>
  <si>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</si>
  <si>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</si>
  <si>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</si>
  <si>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</si>
  <si>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</si>
  <si>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</si>
  <si>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</si>
  <si>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</si>
  <si>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</si>
  <si>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</si>
  <si>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</si>
  <si>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</si>
  <si>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</si>
  <si>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</si>
  <si>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</si>
  <si>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</si>
  <si>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</si>
  <si>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</si>
  <si>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</si>
  <si>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</si>
  <si>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</si>
  <si>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</si>
  <si>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</si>
  <si>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</si>
  <si>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</si>
  <si>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</si>
  <si>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</si>
  <si>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BANESE      -ON</t>
  </si>
  <si>
    <t>BANESE      -PN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</si>
  <si>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</si>
  <si>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</si>
  <si>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</si>
  <si>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</si>
  <si>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</si>
  <si>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</si>
  <si>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</si>
  <si>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</si>
  <si>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</si>
  <si>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</si>
  <si>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</si>
  <si>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</si>
  <si>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</si>
  <si>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</si>
  <si>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</si>
  <si>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</si>
  <si>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</si>
  <si>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</si>
  <si>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</si>
  <si>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</si>
  <si>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</si>
  <si>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</si>
  <si>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</si>
  <si>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</si>
  <si>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</si>
  <si>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</si>
  <si>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</si>
  <si>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</si>
  <si>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</si>
  <si>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</si>
  <si>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</si>
  <si>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</si>
  <si>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</si>
  <si>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</si>
  <si>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</si>
  <si>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</si>
  <si>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</si>
  <si>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</si>
  <si>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</si>
  <si>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</si>
  <si>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</si>
  <si>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</si>
  <si>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</si>
  <si>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</si>
  <si>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</si>
  <si>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</si>
  <si>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</si>
  <si>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</si>
  <si>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</si>
  <si>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</si>
  <si>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</si>
  <si>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</si>
  <si>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</si>
  <si>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</si>
  <si>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</si>
  <si>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</si>
  <si>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</si>
  <si>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</si>
  <si>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</si>
  <si>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</si>
  <si>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</si>
  <si>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</si>
  <si>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</si>
  <si>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</si>
  <si>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</si>
  <si>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</si>
  <si>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</si>
  <si>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</si>
  <si>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</si>
  <si>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</si>
  <si>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</si>
  <si>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</si>
  <si>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</si>
  <si>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</si>
  <si>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</si>
  <si>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</si>
  <si>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</si>
  <si>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</si>
  <si>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</si>
  <si>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</si>
  <si>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</si>
  <si>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</si>
  <si>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</si>
  <si>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</si>
  <si>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</si>
  <si>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</si>
  <si>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</si>
  <si>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</si>
  <si>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</si>
  <si>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</si>
  <si>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</si>
  <si>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</si>
  <si>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</si>
  <si>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</si>
  <si>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</si>
  <si>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</si>
  <si>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</si>
  <si>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</si>
  <si>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</si>
  <si>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</si>
  <si>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</si>
  <si>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</si>
  <si>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</si>
  <si>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</si>
  <si>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</si>
  <si>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</si>
  <si>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</si>
  <si>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</si>
  <si>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</si>
  <si>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</si>
  <si>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</si>
  <si>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</si>
  <si>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</si>
  <si>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</si>
  <si>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</si>
  <si>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</si>
  <si>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</si>
  <si>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</si>
  <si>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</si>
  <si>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</si>
  <si>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</si>
  <si>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</si>
  <si>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</si>
  <si>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</si>
  <si>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</si>
  <si>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</si>
  <si>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</si>
  <si>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</si>
  <si>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</si>
  <si>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</si>
  <si>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</si>
  <si>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</si>
  <si>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</si>
  <si>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</si>
  <si>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</si>
  <si>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</si>
  <si>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</si>
  <si>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</si>
  <si>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</si>
  <si>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</si>
  <si>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</si>
  <si>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</si>
  <si>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</si>
  <si>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</si>
  <si>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</si>
  <si>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</si>
  <si>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</si>
  <si>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</si>
  <si>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</si>
  <si>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</si>
  <si>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</si>
  <si>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</si>
  <si>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</si>
  <si>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</si>
  <si>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</si>
  <si>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</si>
  <si>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</si>
  <si>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</si>
  <si>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</si>
  <si>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</si>
  <si>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</si>
  <si>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</si>
  <si>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</si>
  <si>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</si>
  <si>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</si>
  <si>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</si>
  <si>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</si>
  <si>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</si>
  <si>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</si>
  <si>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</si>
  <si>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</si>
  <si>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</si>
  <si>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</si>
  <si>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</si>
  <si>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</si>
  <si>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</si>
  <si>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</si>
  <si>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</si>
  <si>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</si>
  <si>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</si>
  <si>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</si>
  <si>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</si>
  <si>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</si>
  <si>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</si>
  <si>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</si>
  <si>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</si>
  <si>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</si>
  <si>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</si>
  <si>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</si>
  <si>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</si>
  <si>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</si>
  <si>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</si>
  <si>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</si>
  <si>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</si>
  <si>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</si>
  <si>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</si>
  <si>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</si>
  <si>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</si>
  <si>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</si>
  <si>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</si>
  <si>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</si>
  <si>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</si>
  <si>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</si>
  <si>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</si>
  <si>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</si>
  <si>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</si>
  <si>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</si>
  <si>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</si>
  <si>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</si>
  <si>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</si>
  <si>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</si>
  <si>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</si>
  <si>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</si>
  <si>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</si>
  <si>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</si>
  <si>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</si>
  <si>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</si>
  <si>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</si>
  <si>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</si>
  <si>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</si>
  <si>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</si>
  <si>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</si>
  <si>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</si>
  <si>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</si>
  <si>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</si>
  <si>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</si>
  <si>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</si>
  <si>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</si>
  <si>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</si>
  <si>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</si>
  <si>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</si>
  <si>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</si>
  <si>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</si>
  <si>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</si>
  <si>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</si>
  <si>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</si>
  <si>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</si>
  <si>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</si>
  <si>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</si>
  <si>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</si>
  <si>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</si>
  <si>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</si>
  <si>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</si>
  <si>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</si>
  <si>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</si>
  <si>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</si>
  <si>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</si>
  <si>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</si>
  <si>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</si>
  <si>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</si>
  <si>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</si>
  <si>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</si>
  <si>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</si>
  <si>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</si>
  <si>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</si>
  <si>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</si>
  <si>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</si>
  <si>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</si>
  <si>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</si>
  <si>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</si>
  <si>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</si>
  <si>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</si>
  <si>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</si>
  <si>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</si>
  <si>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</si>
  <si>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</si>
  <si>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</si>
  <si>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</si>
  <si>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</si>
  <si>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</si>
  <si>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</si>
  <si>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</si>
  <si>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</si>
  <si>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</si>
  <si>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</si>
  <si>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</si>
  <si>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</si>
  <si>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</si>
  <si>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</si>
  <si>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</si>
  <si>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</si>
  <si>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</si>
  <si>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</si>
  <si>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</si>
  <si>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</si>
  <si>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</si>
  <si>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</si>
  <si>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</si>
  <si>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</si>
  <si>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</si>
  <si>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</si>
  <si>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</si>
  <si>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</si>
  <si>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</si>
  <si>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</si>
  <si>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</si>
  <si>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</si>
  <si>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</si>
  <si>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</si>
  <si>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</si>
  <si>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</si>
  <si>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</si>
  <si>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</si>
  <si>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</si>
  <si>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</si>
  <si>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</si>
  <si>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</si>
  <si>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</si>
  <si>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</si>
  <si>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</si>
  <si>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</si>
  <si>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</si>
  <si>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</si>
  <si>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</si>
  <si>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</si>
  <si>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</si>
  <si>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</si>
  <si>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</si>
  <si>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</si>
  <si>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</si>
  <si>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</si>
  <si>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</si>
  <si>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</si>
  <si>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4.90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</si>
  <si>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</si>
  <si>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</si>
  <si>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</si>
  <si>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</si>
  <si>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</si>
  <si>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</si>
  <si>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</si>
  <si>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</si>
  <si>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</si>
  <si>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</si>
  <si>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0.43</t>
  </si>
  <si>
    <t>45.80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</si>
  <si>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</si>
  <si>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</si>
  <si>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</si>
  <si>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</si>
  <si>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</si>
  <si>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</si>
  <si>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</si>
  <si>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</si>
  <si>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</si>
  <si>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</si>
  <si>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</si>
  <si>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</si>
  <si>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</si>
  <si>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</si>
  <si>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</si>
  <si>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</si>
  <si>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</si>
  <si>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</si>
  <si>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</si>
  <si>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</si>
  <si>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</si>
  <si>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</si>
  <si>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</si>
  <si>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</si>
  <si>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</si>
  <si>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</si>
  <si>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</si>
  <si>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</si>
  <si>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</si>
  <si>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</si>
  <si>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</si>
  <si>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</si>
  <si>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</si>
  <si>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</si>
  <si>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</si>
  <si>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</si>
  <si>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</si>
  <si>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</si>
  <si>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</si>
  <si>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18.11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</si>
  <si>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</si>
  <si>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</si>
  <si>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</si>
  <si>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</si>
  <si>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</si>
  <si>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</si>
  <si>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</si>
  <si>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</si>
  <si>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</si>
  <si>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</si>
  <si>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</si>
  <si>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</si>
  <si>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</si>
  <si>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1.01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</si>
  <si>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</si>
  <si>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</si>
  <si>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</si>
  <si>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</si>
  <si>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</si>
  <si>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</si>
  <si>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</si>
  <si>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</si>
  <si>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</si>
  <si>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</si>
  <si>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</si>
  <si>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</si>
  <si>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</si>
  <si>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</si>
  <si>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</si>
  <si>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</si>
  <si>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</si>
  <si>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</si>
  <si>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</si>
  <si>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</si>
  <si>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</si>
  <si>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</si>
  <si>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</si>
  <si>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</si>
  <si>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</si>
  <si>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</si>
  <si>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</si>
  <si>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</si>
  <si>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</si>
  <si>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</si>
  <si>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</si>
  <si>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</si>
  <si>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</si>
  <si>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</si>
  <si>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</si>
  <si>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</si>
  <si>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</si>
  <si>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</si>
  <si>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</si>
  <si>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</si>
  <si>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</si>
  <si>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</si>
  <si>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</si>
  <si>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</si>
  <si>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</si>
  <si>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</si>
  <si>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</si>
  <si>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</si>
  <si>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</si>
  <si>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</si>
  <si>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</si>
  <si>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</si>
  <si>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</si>
  <si>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</si>
  <si>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</si>
  <si>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</si>
  <si>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</si>
  <si>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</si>
  <si>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</si>
  <si>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</si>
  <si>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</si>
  <si>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</si>
  <si>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</si>
  <si>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</si>
  <si>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</si>
  <si>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</si>
  <si>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</si>
  <si>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</si>
  <si>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</si>
  <si>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</si>
  <si>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</si>
  <si>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</si>
  <si>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</si>
  <si>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</si>
  <si>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</si>
  <si>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</si>
  <si>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</si>
  <si>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</si>
  <si>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</si>
  <si>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</si>
  <si>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</si>
  <si>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</si>
  <si>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</si>
  <si>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</si>
  <si>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</si>
  <si>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</si>
  <si>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</si>
  <si>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</si>
  <si>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</si>
  <si>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</si>
  <si>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</si>
  <si>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</si>
  <si>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</si>
  <si>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</si>
  <si>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</si>
  <si>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</si>
  <si>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</si>
  <si>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</si>
  <si>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</si>
  <si>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</si>
  <si>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</si>
  <si>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</si>
  <si>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</si>
  <si>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</si>
  <si>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</si>
  <si>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</si>
  <si>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</si>
  <si>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</si>
  <si>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</si>
  <si>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</si>
  <si>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</si>
  <si>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</si>
  <si>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</si>
  <si>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</si>
  <si>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</si>
  <si>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</si>
  <si>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</si>
  <si>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</si>
  <si>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</si>
  <si>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</si>
  <si>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</si>
  <si>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</si>
  <si>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</si>
  <si>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</si>
  <si>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</si>
  <si>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</si>
  <si>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</si>
  <si>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</si>
  <si>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</si>
  <si>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</si>
  <si>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</si>
  <si>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</si>
  <si>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</si>
  <si>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</si>
  <si>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</si>
  <si>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</si>
  <si>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</si>
  <si>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</si>
  <si>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</si>
  <si>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</si>
  <si>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</si>
  <si>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</si>
  <si>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</si>
  <si>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</si>
  <si>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0.82</t>
  </si>
  <si>
    <t>3.87</t>
  </si>
  <si>
    <t>5.97</t>
  </si>
  <si>
    <t>2.04</t>
  </si>
  <si>
    <t>85.00</t>
  </si>
  <si>
    <t>27.30</t>
  </si>
  <si>
    <t>10.90</t>
  </si>
  <si>
    <t>2.75</t>
  </si>
  <si>
    <t>49.00</t>
  </si>
  <si>
    <t>0.54</t>
  </si>
  <si>
    <t>0.77</t>
  </si>
  <si>
    <t>2.81</t>
  </si>
  <si>
    <t>BRB BANCO   -ON</t>
  </si>
  <si>
    <t>BRB BANCO   -PN</t>
  </si>
  <si>
    <t>CELUL IRANI -ON</t>
  </si>
  <si>
    <t>CELUL IRANI -PN</t>
  </si>
  <si>
    <t>MONT ARANHA -ON</t>
  </si>
  <si>
    <t>4.30</t>
  </si>
  <si>
    <t>31.20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</si>
  <si>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</si>
  <si>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</si>
  <si>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</si>
  <si>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</si>
  <si>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</si>
  <si>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</si>
  <si>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</si>
  <si>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</si>
  <si>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</si>
  <si>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</si>
  <si>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</si>
  <si>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</si>
  <si>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</si>
  <si>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</si>
  <si>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</si>
  <si>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</si>
  <si>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</si>
  <si>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</si>
  <si>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</si>
  <si>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</si>
  <si>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</si>
  <si>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</si>
  <si>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</si>
  <si>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</si>
  <si>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</si>
  <si>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</si>
  <si>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2.47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</si>
  <si>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</si>
  <si>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</si>
  <si>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</si>
  <si>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</si>
  <si>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</si>
  <si>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</si>
  <si>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</si>
  <si>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</si>
  <si>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</si>
  <si>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</si>
  <si>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</si>
  <si>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</si>
  <si>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</si>
  <si>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</si>
  <si>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</si>
  <si>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</si>
  <si>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</si>
  <si>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</si>
  <si>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</si>
  <si>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</si>
  <si>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</si>
  <si>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</si>
  <si>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</si>
  <si>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</si>
  <si>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</si>
  <si>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</si>
  <si>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</si>
  <si>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</si>
  <si>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</si>
  <si>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</si>
  <si>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</si>
  <si>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</si>
  <si>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</si>
  <si>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</si>
  <si>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</si>
  <si>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</si>
  <si>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</si>
  <si>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</si>
  <si>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</si>
  <si>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</si>
  <si>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</si>
  <si>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</si>
  <si>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</si>
  <si>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</si>
  <si>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</si>
  <si>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</si>
  <si>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</si>
  <si>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</si>
  <si>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</si>
  <si>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</si>
  <si>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</si>
  <si>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</si>
  <si>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</si>
  <si>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</si>
  <si>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</si>
  <si>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</si>
  <si>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</si>
  <si>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</si>
  <si>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</si>
  <si>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</si>
  <si>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</si>
  <si>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</si>
  <si>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</si>
  <si>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</si>
  <si>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</si>
  <si>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</si>
  <si>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</si>
  <si>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</si>
  <si>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</si>
  <si>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</si>
  <si>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</si>
  <si>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</si>
  <si>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</si>
  <si>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</si>
  <si>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30.12</t>
  </si>
  <si>
    <t>8.15</t>
  </si>
  <si>
    <t>8.20</t>
  </si>
  <si>
    <t>1.40</t>
  </si>
  <si>
    <t>7.50</t>
  </si>
  <si>
    <t>13.21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</si>
  <si>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</si>
  <si>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</si>
  <si>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</si>
  <si>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</si>
  <si>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</si>
  <si>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</si>
  <si>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</si>
  <si>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</si>
  <si>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</si>
  <si>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</si>
  <si>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</si>
  <si>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</si>
  <si>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</si>
  <si>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</si>
  <si>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</si>
  <si>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</si>
  <si>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</si>
  <si>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</si>
  <si>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</si>
  <si>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</si>
  <si>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</si>
  <si>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</si>
  <si>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</si>
  <si>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</si>
  <si>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</si>
  <si>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</si>
  <si>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</si>
  <si>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</si>
  <si>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</si>
  <si>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</si>
  <si>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</si>
  <si>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</si>
  <si>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</si>
  <si>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</si>
  <si>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</si>
  <si>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</si>
  <si>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</si>
  <si>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</si>
  <si>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</si>
  <si>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</si>
  <si>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</si>
  <si>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</si>
  <si>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</si>
  <si>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</si>
  <si>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</si>
  <si>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</si>
  <si>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</si>
  <si>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</si>
  <si>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</si>
  <si>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</si>
  <si>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</si>
  <si>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</si>
  <si>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</si>
  <si>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</si>
  <si>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</si>
  <si>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</si>
  <si>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</si>
  <si>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</si>
  <si>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</si>
  <si>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</si>
  <si>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</si>
  <si>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</si>
  <si>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</si>
  <si>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</si>
  <si>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</si>
  <si>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</si>
  <si>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</si>
  <si>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</si>
  <si>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</si>
  <si>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</si>
  <si>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</si>
  <si>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</si>
  <si>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</si>
  <si>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</si>
  <si>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</si>
  <si>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</si>
  <si>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</si>
  <si>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</si>
  <si>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</si>
  <si>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</si>
  <si>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</si>
  <si>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</si>
  <si>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</si>
  <si>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</si>
  <si>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</si>
  <si>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</si>
  <si>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</si>
  <si>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</si>
  <si>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</si>
  <si>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</si>
  <si>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1.50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</si>
  <si>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</si>
  <si>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</si>
  <si>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</si>
  <si>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</si>
  <si>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</si>
  <si>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</si>
  <si>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</si>
  <si>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11.22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</si>
  <si>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</si>
  <si>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</si>
  <si>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</si>
  <si>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</si>
  <si>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</si>
  <si>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</si>
  <si>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</si>
  <si>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</si>
  <si>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</si>
  <si>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</si>
  <si>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</si>
  <si>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</si>
  <si>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</si>
  <si>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</si>
  <si>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</si>
  <si>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</si>
  <si>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0.06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</si>
  <si>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</si>
  <si>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</si>
  <si>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</si>
  <si>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</si>
  <si>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</si>
  <si>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</si>
  <si>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</si>
  <si>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</si>
  <si>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</si>
  <si>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</si>
  <si>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</si>
  <si>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</si>
  <si>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</si>
  <si>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</si>
  <si>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</si>
  <si>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</si>
  <si>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</si>
  <si>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</si>
  <si>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</si>
  <si>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</si>
  <si>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</si>
  <si>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</si>
  <si>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</si>
  <si>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</si>
  <si>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</si>
  <si>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</si>
  <si>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</si>
  <si>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</si>
  <si>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</si>
  <si>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</si>
  <si>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</si>
  <si>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</si>
  <si>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</si>
  <si>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</si>
  <si>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</si>
  <si>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</si>
  <si>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</si>
  <si>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</si>
  <si>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</si>
  <si>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</si>
  <si>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</si>
  <si>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</si>
  <si>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</si>
  <si>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</si>
  <si>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</si>
  <si>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</si>
  <si>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</si>
  <si>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</si>
  <si>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</si>
  <si>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</si>
  <si>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</si>
  <si>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</si>
  <si>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</si>
  <si>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>0.90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</si>
  <si>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</si>
  <si>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</si>
  <si>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</si>
  <si>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</si>
  <si>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</si>
  <si>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</si>
  <si>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</si>
  <si>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</si>
  <si>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</si>
  <si>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</si>
  <si>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</si>
  <si>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</si>
  <si>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</si>
  <si>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</si>
  <si>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</si>
  <si>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</si>
  <si>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</si>
  <si>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</si>
  <si>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</si>
  <si>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</si>
  <si>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</si>
  <si>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</si>
  <si>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</si>
  <si>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</si>
  <si>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</si>
  <si>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</si>
  <si>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</si>
  <si>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</si>
  <si>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</si>
  <si>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</si>
  <si>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</si>
  <si>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</si>
  <si>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</si>
  <si>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</si>
  <si>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</si>
  <si>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</si>
  <si>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</si>
  <si>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</si>
  <si>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</si>
  <si>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</si>
  <si>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</si>
  <si>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</si>
  <si>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1.75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</si>
  <si>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</si>
  <si>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</si>
  <si>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</si>
  <si>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</si>
  <si>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</si>
  <si>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</si>
  <si>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</si>
  <si>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</si>
  <si>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</si>
  <si>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</si>
  <si>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</si>
  <si>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</si>
  <si>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</si>
  <si>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98.00</t>
  </si>
  <si>
    <t>Bens Industriais / Máquinas e Equipamentos / Máq. e Equip. Hospitalares</t>
  </si>
  <si>
    <t>0.44</t>
  </si>
  <si>
    <t>0.41</t>
  </si>
  <si>
    <t>1.44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</si>
  <si>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</si>
  <si>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</si>
  <si>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</si>
  <si>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</si>
  <si>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</si>
  <si>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</si>
  <si>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</si>
  <si>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</si>
  <si>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</si>
  <si>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</si>
  <si>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</si>
  <si>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</si>
  <si>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</si>
  <si>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</si>
  <si>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</si>
  <si>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>0.95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</si>
  <si>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</si>
  <si>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</si>
  <si>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</si>
  <si>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</si>
  <si>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</si>
  <si>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</si>
  <si>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</si>
  <si>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</si>
  <si>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</si>
  <si>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</si>
  <si>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</si>
  <si>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</si>
  <si>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</si>
  <si>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</si>
  <si>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</si>
  <si>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</si>
  <si>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</si>
  <si>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</si>
  <si>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0.05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</si>
  <si>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</si>
  <si>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</si>
  <si>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</si>
  <si>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</si>
  <si>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</si>
  <si>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</si>
  <si>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</si>
  <si>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</si>
  <si>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</si>
  <si>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</si>
  <si>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</si>
  <si>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</si>
  <si>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</si>
  <si>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</si>
  <si>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</si>
  <si>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</si>
  <si>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</si>
  <si>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</si>
  <si>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</si>
  <si>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</si>
  <si>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</si>
  <si>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</si>
  <si>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</si>
  <si>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</si>
  <si>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</si>
  <si>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</si>
  <si>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</si>
  <si>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</si>
  <si>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</si>
  <si>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</si>
  <si>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</si>
  <si>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</si>
  <si>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</si>
  <si>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</si>
  <si>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</si>
  <si>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</si>
  <si>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</si>
  <si>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</si>
  <si>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</si>
  <si>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</si>
  <si>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</si>
  <si>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RECRUSUL    -PN</t>
  </si>
  <si>
    <t>10.91</t>
  </si>
  <si>
    <t>5.15</t>
  </si>
  <si>
    <t>10.50</t>
  </si>
  <si>
    <t>27.01</t>
  </si>
  <si>
    <t>3.77</t>
  </si>
  <si>
    <t>0.99</t>
  </si>
  <si>
    <t>29.73</t>
  </si>
  <si>
    <t>0.35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</si>
  <si>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</si>
  <si>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</si>
  <si>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</si>
  <si>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</si>
  <si>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</si>
  <si>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</si>
  <si>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</si>
  <si>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</si>
  <si>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</si>
  <si>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</si>
  <si>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</si>
  <si>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7.05</t>
  </si>
  <si>
    <t>15.40</t>
  </si>
  <si>
    <t>0.13</t>
  </si>
  <si>
    <t>51.00</t>
  </si>
  <si>
    <t>49.78</t>
  </si>
  <si>
    <t>49.50</t>
  </si>
  <si>
    <t>5.25</t>
  </si>
  <si>
    <t>16.29</t>
  </si>
  <si>
    <t>7.94</t>
  </si>
  <si>
    <t>9.40</t>
  </si>
  <si>
    <t>9.10</t>
  </si>
  <si>
    <t>13.20</t>
  </si>
  <si>
    <t>8.64</t>
  </si>
  <si>
    <t>3.85</t>
  </si>
  <si>
    <t>11.49</t>
  </si>
  <si>
    <t>3.05</t>
  </si>
  <si>
    <t>27.31</t>
  </si>
  <si>
    <t>27.53</t>
  </si>
  <si>
    <t>15.05</t>
  </si>
  <si>
    <t>1.48</t>
  </si>
  <si>
    <t>360.00</t>
  </si>
  <si>
    <t>4.91</t>
  </si>
  <si>
    <t>5.19</t>
  </si>
  <si>
    <t>1.69</t>
  </si>
  <si>
    <t>0.38</t>
  </si>
  <si>
    <t>1.09</t>
  </si>
  <si>
    <t>8.63</t>
  </si>
  <si>
    <t>19.35</t>
  </si>
  <si>
    <t>62.10</t>
  </si>
  <si>
    <t>68.90</t>
  </si>
  <si>
    <t>68.99</t>
  </si>
  <si>
    <t>60.10</t>
  </si>
  <si>
    <t>4.70</t>
  </si>
  <si>
    <t>6.62</t>
  </si>
  <si>
    <t>9.02</t>
  </si>
  <si>
    <t>17.25</t>
  </si>
  <si>
    <t>17.24</t>
  </si>
  <si>
    <t>7.89</t>
  </si>
  <si>
    <t>3.82</t>
  </si>
  <si>
    <t>1.38</t>
  </si>
  <si>
    <t>14.67</t>
  </si>
  <si>
    <t>0.49</t>
  </si>
  <si>
    <t>7.99</t>
  </si>
  <si>
    <t>3.62</t>
  </si>
  <si>
    <t>15.04</t>
  </si>
  <si>
    <t>12.31</t>
  </si>
  <si>
    <t>1.52</t>
  </si>
  <si>
    <t>0.84</t>
  </si>
  <si>
    <t>0.62</t>
  </si>
  <si>
    <t>4.03</t>
  </si>
  <si>
    <t>7.49</t>
  </si>
  <si>
    <t>7.60</t>
  </si>
  <si>
    <t>0.16</t>
  </si>
  <si>
    <t>4.47</t>
  </si>
  <si>
    <t>7.19</t>
  </si>
  <si>
    <t>28.71</t>
  </si>
  <si>
    <t>26.99</t>
  </si>
  <si>
    <t>28.08</t>
  </si>
  <si>
    <t>13.30</t>
  </si>
  <si>
    <t>12.95</t>
  </si>
  <si>
    <t>8.30</t>
  </si>
  <si>
    <t>8.72</t>
  </si>
  <si>
    <t>8.10</t>
  </si>
  <si>
    <t>8.80</t>
  </si>
  <si>
    <t>8.73</t>
  </si>
  <si>
    <t>57.16</t>
  </si>
  <si>
    <t>58.00</t>
  </si>
  <si>
    <t>16.80</t>
  </si>
  <si>
    <t>16.73</t>
  </si>
  <si>
    <t>9.03</t>
  </si>
  <si>
    <t>7.26</t>
  </si>
  <si>
    <t>22.10</t>
  </si>
  <si>
    <t>3.03</t>
  </si>
  <si>
    <t>33.20</t>
  </si>
  <si>
    <t>20.87</t>
  </si>
  <si>
    <t>16.98</t>
  </si>
  <si>
    <t>17.06</t>
  </si>
  <si>
    <t>16.77</t>
  </si>
  <si>
    <t>9.61</t>
  </si>
  <si>
    <t>1.24</t>
  </si>
  <si>
    <t>24.63</t>
  </si>
  <si>
    <t>3.73</t>
  </si>
  <si>
    <t>11.30</t>
  </si>
  <si>
    <t>11.44</t>
  </si>
  <si>
    <t>13.63</t>
  </si>
  <si>
    <t>0.21</t>
  </si>
  <si>
    <t>4.92</t>
  </si>
  <si>
    <t>12.80</t>
  </si>
  <si>
    <t>43.00</t>
  </si>
  <si>
    <t>7.76</t>
  </si>
  <si>
    <t>2.63</t>
  </si>
  <si>
    <t>0.31</t>
  </si>
  <si>
    <t>9.97</t>
  </si>
  <si>
    <t>14.94</t>
  </si>
  <si>
    <t>0.58</t>
  </si>
  <si>
    <t>1.03</t>
  </si>
  <si>
    <t>7.98</t>
  </si>
  <si>
    <t>8.57</t>
  </si>
  <si>
    <t>20.94</t>
  </si>
  <si>
    <t>14.78</t>
  </si>
  <si>
    <t>2.15</t>
  </si>
  <si>
    <t>16.25</t>
  </si>
  <si>
    <t>16.05</t>
  </si>
  <si>
    <t>13.77</t>
  </si>
  <si>
    <t>7.36</t>
  </si>
  <si>
    <t>5.42</t>
  </si>
  <si>
    <t>5.31</t>
  </si>
  <si>
    <t>4.19</t>
  </si>
  <si>
    <t>4.22</t>
  </si>
  <si>
    <t>1.72</t>
  </si>
  <si>
    <t>18.15</t>
  </si>
  <si>
    <t>18.50</t>
  </si>
  <si>
    <t>3.10</t>
  </si>
  <si>
    <t>4.93</t>
  </si>
  <si>
    <t>1.30</t>
  </si>
  <si>
    <t>5.52</t>
  </si>
  <si>
    <t>3.70</t>
  </si>
  <si>
    <t>8.65</t>
  </si>
  <si>
    <t>0.68</t>
  </si>
  <si>
    <t>0.93</t>
  </si>
  <si>
    <t>11.63</t>
  </si>
  <si>
    <t>6.70</t>
  </si>
  <si>
    <t>13.56</t>
  </si>
  <si>
    <t>19.41</t>
  </si>
  <si>
    <t>2.14</t>
  </si>
  <si>
    <t>1.73</t>
  </si>
  <si>
    <t>15.60</t>
  </si>
  <si>
    <t>15.69</t>
  </si>
  <si>
    <t>23.43</t>
  </si>
  <si>
    <t>0.42</t>
  </si>
  <si>
    <t>7.88</t>
  </si>
  <si>
    <t>8.67</t>
  </si>
  <si>
    <t>1.46</t>
  </si>
  <si>
    <t>11.27</t>
  </si>
  <si>
    <t>11.31</t>
  </si>
  <si>
    <t>7.44</t>
  </si>
  <si>
    <t>19.87</t>
  </si>
  <si>
    <t>28.59</t>
  </si>
  <si>
    <t>28.63</t>
  </si>
  <si>
    <t>28.06</t>
  </si>
  <si>
    <t>26.56</t>
  </si>
  <si>
    <t>7.06</t>
  </si>
  <si>
    <t>7.12</t>
  </si>
  <si>
    <t>7.04</t>
  </si>
  <si>
    <t>5.72</t>
  </si>
  <si>
    <t>10.83</t>
  </si>
  <si>
    <t>10.62</t>
  </si>
  <si>
    <t>19.07</t>
  </si>
  <si>
    <t>22.36</t>
  </si>
  <si>
    <t>22.64</t>
  </si>
  <si>
    <t>15.51</t>
  </si>
  <si>
    <t>12.76</t>
  </si>
  <si>
    <t>38.59</t>
  </si>
  <si>
    <t>38.80</t>
  </si>
  <si>
    <t>37.99</t>
  </si>
  <si>
    <t>16.16</t>
  </si>
  <si>
    <t>16.43</t>
  </si>
  <si>
    <t>16.53</t>
  </si>
  <si>
    <t>16.14</t>
  </si>
  <si>
    <t>17.44</t>
  </si>
  <si>
    <t>17.41</t>
  </si>
  <si>
    <t>23.95</t>
  </si>
  <si>
    <t>33.00</t>
  </si>
  <si>
    <t>32.85</t>
  </si>
  <si>
    <t>8.28</t>
  </si>
  <si>
    <t>8.70</t>
  </si>
  <si>
    <t>8.78</t>
  </si>
  <si>
    <t>8.76</t>
  </si>
  <si>
    <t>11.40</t>
  </si>
  <si>
    <t>15.50</t>
  </si>
  <si>
    <t>20.07</t>
  </si>
  <si>
    <t>20.63</t>
  </si>
  <si>
    <t>12.14</t>
  </si>
  <si>
    <t>12.29</t>
  </si>
  <si>
    <t>14.43</t>
  </si>
  <si>
    <t>14.54</t>
  </si>
  <si>
    <t>16.89</t>
  </si>
  <si>
    <t>16.59</t>
  </si>
  <si>
    <t>8.45</t>
  </si>
  <si>
    <t>8.47</t>
  </si>
  <si>
    <t>28.97</t>
  </si>
  <si>
    <t>31.17</t>
  </si>
  <si>
    <t>31.19</t>
  </si>
  <si>
    <t>30.80</t>
  </si>
  <si>
    <t>11.90</t>
  </si>
  <si>
    <t>7.30</t>
  </si>
  <si>
    <t>7.17</t>
  </si>
  <si>
    <t>10.41</t>
  </si>
  <si>
    <t>30.60</t>
  </si>
  <si>
    <t>3.07</t>
  </si>
  <si>
    <t>4.98</t>
  </si>
  <si>
    <t>3.04</t>
  </si>
  <si>
    <t>2.29</t>
  </si>
  <si>
    <t>2.33</t>
  </si>
  <si>
    <t>5.11</t>
  </si>
  <si>
    <t>21.88</t>
  </si>
  <si>
    <t>21.96</t>
  </si>
  <si>
    <t>17.17</t>
  </si>
  <si>
    <t>33.71</t>
  </si>
  <si>
    <t>32.75</t>
  </si>
  <si>
    <t>24.18</t>
  </si>
  <si>
    <t>23.97</t>
  </si>
  <si>
    <t>16.99</t>
  </si>
  <si>
    <t>17.11</t>
  </si>
  <si>
    <t>5.26</t>
  </si>
  <si>
    <t>23.38</t>
  </si>
  <si>
    <t>23.66</t>
  </si>
  <si>
    <t>23.33</t>
  </si>
  <si>
    <t>17.16</t>
  </si>
  <si>
    <t>17.05</t>
  </si>
  <si>
    <t>21.28</t>
  </si>
  <si>
    <t>20.73</t>
  </si>
  <si>
    <t>40.35</t>
  </si>
  <si>
    <t>16.52</t>
  </si>
  <si>
    <t>12.74</t>
  </si>
  <si>
    <t>13.25</t>
  </si>
  <si>
    <t>16.84</t>
  </si>
  <si>
    <t>17.14</t>
  </si>
  <si>
    <t>17.03</t>
  </si>
  <si>
    <t>16.69</t>
  </si>
  <si>
    <t>16.82</t>
  </si>
  <si>
    <t>16.15</t>
  </si>
  <si>
    <t>9.60</t>
  </si>
  <si>
    <t>9.69</t>
  </si>
  <si>
    <t>64.05</t>
  </si>
  <si>
    <t>3.98</t>
  </si>
  <si>
    <t>3.74</t>
  </si>
  <si>
    <t>36.18</t>
  </si>
  <si>
    <t>35.55</t>
  </si>
  <si>
    <t>24.67</t>
  </si>
  <si>
    <t>24.40</t>
  </si>
  <si>
    <t>10.85</t>
  </si>
  <si>
    <t>8.27</t>
  </si>
  <si>
    <t>8.17</t>
  </si>
  <si>
    <t>5.43</t>
  </si>
  <si>
    <t>5.37</t>
  </si>
  <si>
    <t>20.65</t>
  </si>
  <si>
    <t>20.51</t>
  </si>
  <si>
    <t>7.40</t>
  </si>
  <si>
    <t>7.52</t>
  </si>
  <si>
    <t>3.66</t>
  </si>
  <si>
    <t>3.80</t>
  </si>
  <si>
    <t>3.54</t>
  </si>
  <si>
    <t>44.68</t>
  </si>
  <si>
    <t>44.26</t>
  </si>
  <si>
    <t>4.07</t>
  </si>
  <si>
    <t>3.94</t>
  </si>
  <si>
    <t>13.34</t>
  </si>
  <si>
    <t>14.20</t>
  </si>
  <si>
    <t>14.25</t>
  </si>
  <si>
    <t>59.00</t>
  </si>
  <si>
    <t>55.50</t>
  </si>
  <si>
    <t>55.09</t>
  </si>
  <si>
    <t>8.61</t>
  </si>
  <si>
    <t>8.29</t>
  </si>
  <si>
    <t>34.90</t>
  </si>
  <si>
    <t>28.33</t>
  </si>
  <si>
    <t>15.49</t>
  </si>
  <si>
    <t>14.44</t>
  </si>
  <si>
    <t>14.59</t>
  </si>
  <si>
    <t>2.05</t>
  </si>
  <si>
    <t>11.34</t>
  </si>
  <si>
    <t>13.62</t>
  </si>
  <si>
    <t>52.41</t>
  </si>
  <si>
    <t>51.90</t>
  </si>
  <si>
    <t>29.06</t>
  </si>
  <si>
    <t>29.31</t>
  </si>
  <si>
    <t>37.36</t>
  </si>
  <si>
    <t>38.00</t>
  </si>
  <si>
    <t>42.99</t>
  </si>
  <si>
    <t>43.74</t>
  </si>
  <si>
    <t>2.12</t>
  </si>
  <si>
    <t>39.15</t>
  </si>
  <si>
    <t>46.60</t>
  </si>
  <si>
    <t>46.00</t>
  </si>
  <si>
    <t>50.46</t>
  </si>
  <si>
    <t>50.69</t>
  </si>
  <si>
    <t>49.82</t>
  </si>
  <si>
    <t>0.20</t>
  </si>
  <si>
    <t>13.15</t>
  </si>
  <si>
    <t>3.81</t>
  </si>
  <si>
    <t>11.73</t>
  </si>
  <si>
    <t>43.69</t>
  </si>
  <si>
    <t>43.50</t>
  </si>
  <si>
    <t>2.55</t>
  </si>
  <si>
    <t>2.80</t>
  </si>
  <si>
    <t>2.53</t>
  </si>
  <si>
    <t>31.47</t>
  </si>
  <si>
    <t>31.03</t>
  </si>
  <si>
    <t>2.60</t>
  </si>
  <si>
    <t>10.95</t>
  </si>
  <si>
    <t>9.18</t>
  </si>
  <si>
    <t>9.23</t>
  </si>
  <si>
    <t>9.34</t>
  </si>
  <si>
    <t>10.08</t>
  </si>
  <si>
    <t>12.40</t>
  </si>
  <si>
    <t>15.20</t>
  </si>
  <si>
    <t>15.24</t>
  </si>
  <si>
    <t>14.65</t>
  </si>
  <si>
    <t>14.91</t>
  </si>
  <si>
    <t>18.93</t>
  </si>
  <si>
    <t>3.61</t>
  </si>
  <si>
    <t>1.02</t>
  </si>
  <si>
    <t>3.12</t>
  </si>
  <si>
    <t>3.18</t>
  </si>
  <si>
    <t>25.29</t>
  </si>
  <si>
    <t>24.72</t>
  </si>
  <si>
    <t>59.10</t>
  </si>
  <si>
    <t>8.00</t>
  </si>
  <si>
    <t>8.02</t>
  </si>
  <si>
    <t>3.40</t>
  </si>
  <si>
    <t>19.60</t>
  </si>
  <si>
    <t>19.97</t>
  </si>
  <si>
    <t>21.06</t>
  </si>
  <si>
    <t>12.57</t>
  </si>
  <si>
    <t>34.55</t>
  </si>
  <si>
    <t>34.45</t>
  </si>
  <si>
    <t>5.90</t>
  </si>
  <si>
    <t>19.62</t>
  </si>
  <si>
    <t>12.39</t>
  </si>
  <si>
    <t>12.37</t>
  </si>
  <si>
    <t>14.08</t>
  </si>
  <si>
    <t>14.06</t>
  </si>
  <si>
    <t>22.98</t>
  </si>
  <si>
    <t>23.45</t>
  </si>
  <si>
    <t>22.80</t>
  </si>
  <si>
    <t>15.96</t>
  </si>
  <si>
    <t>4.88</t>
  </si>
  <si>
    <t>179.79</t>
  </si>
  <si>
    <t>165.00</t>
  </si>
  <si>
    <t>160.00</t>
  </si>
  <si>
    <t>17.56</t>
  </si>
  <si>
    <t>17.68</t>
  </si>
  <si>
    <t>17.71</t>
  </si>
  <si>
    <t>96.81</t>
  </si>
  <si>
    <t>96.30</t>
  </si>
  <si>
    <t>16.87</t>
  </si>
  <si>
    <t>10.27</t>
  </si>
  <si>
    <t>3.88</t>
  </si>
  <si>
    <t>3.79</t>
  </si>
  <si>
    <t>28.79</t>
  </si>
  <si>
    <t>29.12</t>
  </si>
  <si>
    <t>11.39</t>
  </si>
  <si>
    <t>12.13</t>
  </si>
  <si>
    <t>14.00</t>
  </si>
  <si>
    <t>26.30</t>
  </si>
  <si>
    <t>26.86</t>
  </si>
  <si>
    <t>1.45</t>
  </si>
  <si>
    <t>16.06</t>
  </si>
  <si>
    <t>3.15</t>
  </si>
  <si>
    <t>12.42</t>
  </si>
  <si>
    <t>10.05</t>
  </si>
  <si>
    <t>9.98</t>
  </si>
  <si>
    <t>7.22</t>
  </si>
  <si>
    <t>25.51</t>
  </si>
  <si>
    <t>25.06</t>
  </si>
  <si>
    <t>91.80</t>
  </si>
  <si>
    <t>95.00</t>
  </si>
  <si>
    <t>90.50</t>
  </si>
  <si>
    <t>83.36</t>
  </si>
  <si>
    <t>7.09</t>
  </si>
  <si>
    <t>24.78</t>
  </si>
  <si>
    <t>5.49</t>
  </si>
  <si>
    <t>5.59</t>
  </si>
  <si>
    <t>4.95</t>
  </si>
  <si>
    <t>16.02</t>
  </si>
  <si>
    <t>16.04</t>
  </si>
  <si>
    <t>4.23</t>
  </si>
  <si>
    <t>68.00</t>
  </si>
  <si>
    <t>5.99</t>
  </si>
  <si>
    <t>56.88</t>
  </si>
  <si>
    <t>56.31</t>
  </si>
  <si>
    <t>9.86</t>
  </si>
  <si>
    <t>7.87</t>
  </si>
  <si>
    <t>29.20</t>
  </si>
  <si>
    <t>1.27</t>
  </si>
  <si>
    <t>10.65</t>
  </si>
  <si>
    <t>1.42</t>
  </si>
  <si>
    <t>4.31</t>
  </si>
  <si>
    <t>4.39</t>
  </si>
  <si>
    <t>18.02</t>
  </si>
  <si>
    <t>20.42</t>
  </si>
  <si>
    <t>20.68</t>
  </si>
  <si>
    <t>20.72</t>
  </si>
  <si>
    <t>7.27</t>
  </si>
  <si>
    <t>14.05</t>
  </si>
  <si>
    <t>14.17</t>
  </si>
  <si>
    <t>4.53</t>
  </si>
  <si>
    <t>4.62</t>
  </si>
  <si>
    <t>23.34</t>
  </si>
  <si>
    <t>23.90</t>
  </si>
  <si>
    <t>6.13</t>
  </si>
  <si>
    <t>2.70</t>
  </si>
  <si>
    <t>2.99</t>
  </si>
  <si>
    <t>2.95</t>
  </si>
  <si>
    <t>4.99</t>
  </si>
  <si>
    <t>0.15</t>
  </si>
  <si>
    <t>1.28</t>
  </si>
  <si>
    <t>4.44</t>
  </si>
  <si>
    <t>20.79</t>
  </si>
  <si>
    <t>26.50</t>
  </si>
  <si>
    <t>29.38</t>
  </si>
  <si>
    <t>29.91</t>
  </si>
  <si>
    <t>28.86</t>
  </si>
  <si>
    <t>16.18</t>
  </si>
  <si>
    <t>12.32</t>
  </si>
  <si>
    <t>8.92</t>
  </si>
  <si>
    <t>14.86</t>
  </si>
  <si>
    <t>14.77</t>
  </si>
  <si>
    <t>11.12</t>
  </si>
  <si>
    <t>9.08</t>
  </si>
  <si>
    <t>18.83</t>
  </si>
  <si>
    <t>19.06</t>
  </si>
  <si>
    <t>1.91</t>
  </si>
  <si>
    <t>2.07</t>
  </si>
  <si>
    <t>5.58</t>
  </si>
  <si>
    <t>36.54</t>
  </si>
  <si>
    <t>36.59</t>
  </si>
  <si>
    <t>34.68</t>
  </si>
  <si>
    <t>29.37</t>
  </si>
  <si>
    <t>20.40</t>
  </si>
  <si>
    <t>15.39</t>
  </si>
  <si>
    <t>23.17</t>
  </si>
  <si>
    <t>22.69</t>
  </si>
  <si>
    <t>23.20</t>
  </si>
  <si>
    <t>4.45</t>
  </si>
  <si>
    <t>4.33</t>
  </si>
  <si>
    <t>1.43</t>
  </si>
  <si>
    <t>4.71</t>
  </si>
  <si>
    <t>28.45</t>
  </si>
  <si>
    <t>28.96</t>
  </si>
  <si>
    <t>27.13</t>
  </si>
  <si>
    <t>0.45</t>
  </si>
  <si>
    <t>43.24</t>
  </si>
  <si>
    <t>43.59</t>
  </si>
  <si>
    <t>7.15</t>
  </si>
  <si>
    <t>7.20</t>
  </si>
  <si>
    <t>5.73</t>
  </si>
  <si>
    <t>10.73</t>
  </si>
  <si>
    <t>17.09</t>
  </si>
  <si>
    <t>29.99</t>
  </si>
  <si>
    <t>18.98</t>
  </si>
  <si>
    <t>22.15</t>
  </si>
  <si>
    <t>13.12</t>
  </si>
  <si>
    <t>12.92</t>
  </si>
  <si>
    <t>13.05</t>
  </si>
  <si>
    <t>48.20</t>
  </si>
  <si>
    <t>38.10</t>
  </si>
  <si>
    <t>16.48</t>
  </si>
  <si>
    <t>18.00</t>
  </si>
  <si>
    <t>24.51</t>
  </si>
  <si>
    <t>24.69</t>
  </si>
  <si>
    <t>34.46</t>
  </si>
  <si>
    <t>8.23</t>
  </si>
  <si>
    <t>8.32</t>
  </si>
  <si>
    <t>1.41</t>
  </si>
  <si>
    <t>4.73</t>
  </si>
  <si>
    <t>8.69</t>
  </si>
  <si>
    <t>8.83</t>
  </si>
  <si>
    <t>8.97</t>
  </si>
  <si>
    <t>20.04</t>
  </si>
  <si>
    <t>19.71</t>
  </si>
  <si>
    <t>12.05</t>
  </si>
  <si>
    <t>14.37</t>
  </si>
  <si>
    <t>14.16</t>
  </si>
  <si>
    <t>16.50</t>
  </si>
  <si>
    <t>16.40</t>
  </si>
  <si>
    <t>8.26</t>
  </si>
  <si>
    <t>29.03</t>
  </si>
  <si>
    <t>28.61</t>
  </si>
  <si>
    <t>30.94</t>
  </si>
  <si>
    <t>11.54</t>
  </si>
  <si>
    <t>15.75</t>
  </si>
  <si>
    <t>10.51</t>
  </si>
  <si>
    <t>31.59</t>
  </si>
  <si>
    <t>31.79</t>
  </si>
  <si>
    <t>3.56</t>
  </si>
  <si>
    <t>3.58</t>
  </si>
  <si>
    <t>5.10</t>
  </si>
  <si>
    <t>21.50</t>
  </si>
  <si>
    <t>21.41</t>
  </si>
  <si>
    <t>8.75</t>
  </si>
  <si>
    <t>17.55</t>
  </si>
  <si>
    <t>17.67</t>
  </si>
  <si>
    <t>33.09</t>
  </si>
  <si>
    <t>24.62</t>
  </si>
  <si>
    <t>0.59</t>
  </si>
  <si>
    <t>17.57</t>
  </si>
  <si>
    <t>17.40</t>
  </si>
  <si>
    <t>21.11</t>
  </si>
  <si>
    <t>40.05</t>
  </si>
  <si>
    <t>15.95</t>
  </si>
  <si>
    <t>13.32</t>
  </si>
  <si>
    <t>16.55</t>
  </si>
  <si>
    <t>17.36</t>
  </si>
  <si>
    <t>17.47</t>
  </si>
  <si>
    <t>9.46</t>
  </si>
  <si>
    <t>64.10</t>
  </si>
  <si>
    <t>64.82</t>
  </si>
  <si>
    <t>63.76</t>
  </si>
  <si>
    <t>35.89</t>
  </si>
  <si>
    <t>24.71</t>
  </si>
  <si>
    <t>10.97</t>
  </si>
  <si>
    <t>8.24</t>
  </si>
  <si>
    <t>20.75</t>
  </si>
  <si>
    <t>20.91</t>
  </si>
  <si>
    <t>7.31</t>
  </si>
  <si>
    <t>3.65</t>
  </si>
  <si>
    <t>5.33</t>
  </si>
  <si>
    <t>8.55</t>
  </si>
  <si>
    <t>45.49</t>
  </si>
  <si>
    <t>4.02</t>
  </si>
  <si>
    <t>3.63</t>
  </si>
  <si>
    <t>18.56</t>
  </si>
  <si>
    <t>12.90</t>
  </si>
  <si>
    <t>13.68</t>
  </si>
  <si>
    <t>8.18</t>
  </si>
  <si>
    <t>8.40</t>
  </si>
  <si>
    <t>36.22</t>
  </si>
  <si>
    <t>36.74</t>
  </si>
  <si>
    <t>29.45</t>
  </si>
  <si>
    <t>15.55</t>
  </si>
  <si>
    <t>14.40</t>
  </si>
  <si>
    <t>2.02</t>
  </si>
  <si>
    <t>11.26</t>
  </si>
  <si>
    <t>11.18</t>
  </si>
  <si>
    <t>89.99</t>
  </si>
  <si>
    <t>52.60</t>
  </si>
  <si>
    <t>29.02</t>
  </si>
  <si>
    <t>7.01</t>
  </si>
  <si>
    <t>7.02</t>
  </si>
  <si>
    <t>37.50</t>
  </si>
  <si>
    <t>2.01</t>
  </si>
  <si>
    <t>0.86</t>
  </si>
  <si>
    <t>41.00</t>
  </si>
  <si>
    <t>41.28</t>
  </si>
  <si>
    <t>22.40</t>
  </si>
  <si>
    <t>49.89</t>
  </si>
  <si>
    <t>50.80</t>
  </si>
  <si>
    <t>1.59</t>
  </si>
  <si>
    <t>1.58</t>
  </si>
  <si>
    <t>11.56</t>
  </si>
  <si>
    <t>1.35</t>
  </si>
  <si>
    <t>45.40</t>
  </si>
  <si>
    <t>45.64</t>
  </si>
  <si>
    <t>2.54</t>
  </si>
  <si>
    <t>32.30</t>
  </si>
  <si>
    <t>7.85</t>
  </si>
  <si>
    <t>2.48</t>
  </si>
  <si>
    <t>10.63</t>
  </si>
  <si>
    <t>10.52</t>
  </si>
  <si>
    <t>9.95</t>
  </si>
  <si>
    <t>12.16</t>
  </si>
  <si>
    <t>12.11</t>
  </si>
  <si>
    <t>14.83</t>
  </si>
  <si>
    <t>18.40</t>
  </si>
  <si>
    <t>0.57</t>
  </si>
  <si>
    <t>3.48</t>
  </si>
  <si>
    <t>1.34</t>
  </si>
  <si>
    <t>25.76</t>
  </si>
  <si>
    <t>58.05</t>
  </si>
  <si>
    <t>57.72</t>
  </si>
  <si>
    <t>0.26</t>
  </si>
  <si>
    <t>7.97</t>
  </si>
  <si>
    <t>7.90</t>
  </si>
  <si>
    <t>7.32</t>
  </si>
  <si>
    <t>3.38</t>
  </si>
  <si>
    <t>3.31</t>
  </si>
  <si>
    <t>15.08</t>
  </si>
  <si>
    <t>19.80</t>
  </si>
  <si>
    <t>19.37</t>
  </si>
  <si>
    <t>20.74</t>
  </si>
  <si>
    <t>34.65</t>
  </si>
  <si>
    <t>35.34</t>
  </si>
  <si>
    <t>6.00</t>
  </si>
  <si>
    <t>19.72</t>
  </si>
  <si>
    <t>19.89</t>
  </si>
  <si>
    <t>12.65</t>
  </si>
  <si>
    <t>12.84</t>
  </si>
  <si>
    <t>14.47</t>
  </si>
  <si>
    <t>22.73</t>
  </si>
  <si>
    <t>14.95</t>
  </si>
  <si>
    <t>15.21</t>
  </si>
  <si>
    <t>16.35</t>
  </si>
  <si>
    <t>16.66</t>
  </si>
  <si>
    <t>177.00</t>
  </si>
  <si>
    <t>97.18</t>
  </si>
  <si>
    <t>97.99</t>
  </si>
  <si>
    <t>16.78</t>
  </si>
  <si>
    <t>16.70</t>
  </si>
  <si>
    <t>10.39</t>
  </si>
  <si>
    <t>3.92</t>
  </si>
  <si>
    <t>28.95</t>
  </si>
  <si>
    <t>12.44</t>
  </si>
  <si>
    <t>13.72</t>
  </si>
  <si>
    <t>25.63</t>
  </si>
  <si>
    <t>25.55</t>
  </si>
  <si>
    <t>16.38</t>
  </si>
  <si>
    <t>3.22</t>
  </si>
  <si>
    <t>3.25</t>
  </si>
  <si>
    <t>2.10</t>
  </si>
  <si>
    <t>13.10</t>
  </si>
  <si>
    <t>13.23</t>
  </si>
  <si>
    <t>25.45</t>
  </si>
  <si>
    <t>25.54</t>
  </si>
  <si>
    <t>3.13</t>
  </si>
  <si>
    <t>3.14</t>
  </si>
  <si>
    <t>90.05</t>
  </si>
  <si>
    <t>83.90</t>
  </si>
  <si>
    <t>83.00</t>
  </si>
  <si>
    <t>6.92</t>
  </si>
  <si>
    <t>24.90</t>
  </si>
  <si>
    <t>25.20</t>
  </si>
  <si>
    <t>5.02</t>
  </si>
  <si>
    <t>15.47</t>
  </si>
  <si>
    <t>15.26</t>
  </si>
  <si>
    <t>4.36</t>
  </si>
  <si>
    <t>6.04</t>
  </si>
  <si>
    <t>6.10</t>
  </si>
  <si>
    <t>57.77</t>
  </si>
  <si>
    <t>58.29</t>
  </si>
  <si>
    <t>7.28</t>
  </si>
  <si>
    <t>7.78</t>
  </si>
  <si>
    <t>29.14</t>
  </si>
  <si>
    <t>29.30</t>
  </si>
  <si>
    <t>10.60</t>
  </si>
  <si>
    <t>31.50</t>
  </si>
  <si>
    <t>32.25</t>
  </si>
  <si>
    <t>31.37</t>
  </si>
  <si>
    <t>1.65</t>
  </si>
  <si>
    <t>1.64</t>
  </si>
  <si>
    <t>1.36</t>
  </si>
  <si>
    <t>4.21</t>
  </si>
  <si>
    <t>17.80</t>
  </si>
  <si>
    <t>18.18</t>
  </si>
  <si>
    <t>17.61</t>
  </si>
  <si>
    <t>18.54</t>
  </si>
  <si>
    <t>24.99</t>
  </si>
  <si>
    <t>7.38</t>
  </si>
  <si>
    <t>14.03</t>
  </si>
  <si>
    <t>3.55</t>
  </si>
  <si>
    <t>4.60</t>
  </si>
  <si>
    <t>4.69</t>
  </si>
  <si>
    <t>3.09</t>
  </si>
  <si>
    <t>23.80</t>
  </si>
  <si>
    <t>3.97</t>
  </si>
  <si>
    <t>2.90</t>
  </si>
  <si>
    <t>0.09</t>
  </si>
  <si>
    <t>4.81</t>
  </si>
  <si>
    <t>12.75</t>
  </si>
  <si>
    <t>12.64</t>
  </si>
  <si>
    <t>0.14</t>
  </si>
  <si>
    <t>1.32</t>
  </si>
  <si>
    <t>4.40</t>
  </si>
  <si>
    <t>4.49</t>
  </si>
  <si>
    <t>20.43</t>
  </si>
  <si>
    <t>5.70</t>
  </si>
  <si>
    <t>6.20</t>
  </si>
  <si>
    <t>3.57</t>
  </si>
  <si>
    <t>3.53</t>
  </si>
  <si>
    <t>2.58</t>
  </si>
  <si>
    <t>25.60</t>
  </si>
  <si>
    <t>25.46</t>
  </si>
  <si>
    <t>30.51</t>
  </si>
  <si>
    <t>16.08</t>
  </si>
  <si>
    <t>12.86</t>
  </si>
  <si>
    <t>8.84</t>
  </si>
  <si>
    <t>8.96</t>
  </si>
  <si>
    <t>0.66</t>
  </si>
  <si>
    <t>0.92</t>
  </si>
  <si>
    <t>14.66</t>
  </si>
  <si>
    <t>15.10</t>
  </si>
  <si>
    <t>11.19</t>
  </si>
  <si>
    <t>11.08</t>
  </si>
  <si>
    <t>6.80</t>
  </si>
  <si>
    <t>9.19</t>
  </si>
  <si>
    <t>13.55</t>
  </si>
  <si>
    <t>13.44</t>
  </si>
  <si>
    <t>18.72</t>
  </si>
  <si>
    <t>1.94</t>
  </si>
  <si>
    <t>1.90</t>
  </si>
  <si>
    <t>97.00</t>
  </si>
  <si>
    <t>40.01</t>
  </si>
  <si>
    <t>5.53</t>
  </si>
  <si>
    <t>5.44</t>
  </si>
  <si>
    <t>0.89</t>
  </si>
  <si>
    <t>36.20</t>
  </si>
  <si>
    <t>9.92</t>
  </si>
  <si>
    <t>10.28</t>
  </si>
  <si>
    <t>10.29</t>
  </si>
  <si>
    <t>9.91</t>
  </si>
  <si>
    <t>30.98</t>
  </si>
  <si>
    <t>20.76</t>
  </si>
  <si>
    <t>21.15</t>
  </si>
  <si>
    <t>15.67</t>
  </si>
  <si>
    <t>23.40</t>
  </si>
  <si>
    <t>22.94</t>
  </si>
  <si>
    <t>7.51</t>
  </si>
  <si>
    <t>8.48</t>
  </si>
  <si>
    <t>8.43</t>
  </si>
  <si>
    <t>17.98</t>
  </si>
  <si>
    <t>4.68</t>
  </si>
  <si>
    <t>4.55</t>
  </si>
  <si>
    <t>4.72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</si>
</sst>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>
      <filters>
        <filter val="Sim"/>
      </filters>
    </filterColumn>
  </autoFilter>
  <sortState ref="A31:BB498">
    <sortCondition descending="1" ref="AU1:AU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43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2" totalsRowDxfId="31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151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50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9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8" totalsRowDxfId="27">
      <calculatedColumnFormula>Tabela3[[#This Row],[Capital Social]]*20%</calculatedColumnFormula>
    </tableColumn>
    <tableColumn id="36" name="Reserva Legal" dataDxfId="147" totalsRowDxfId="26">
      <calculatedColumnFormula>IF(([Lucro Líquido]*5%)&gt;[Teto R. Legal],[Teto R. Legal],[Lucro Líquido]*5%)</calculatedColumnFormula>
    </tableColumn>
    <tableColumn id="37" name="Lucro Distribuir" dataDxfId="146" totalsRowDxfId="25">
      <calculatedColumnFormula>IF([Lucro Líquido]&lt;0,0,[Lucro Líquido]-[Reserva Legal])</calculatedColumnFormula>
    </tableColumn>
    <tableColumn id="23" name="25 % Div" dataDxfId="145" totalsRowDxfId="24">
      <calculatedColumnFormula>Tabela3[[#This Row],[Lucro Distribuir]]*[%Div]</calculatedColumnFormula>
    </tableColumn>
    <tableColumn id="3" name="Total Ações" dataDxfId="144" totalsRowDxfId="23">
      <calculatedColumnFormula>SUMPRODUCT(N([Nome]=Tabela3[[#This Row],[Nome]]),[Ações])</calculatedColumnFormula>
    </tableColumn>
    <tableColumn id="44" name="VN" dataDxfId="143" totalsRowDxfId="22">
      <calculatedColumnFormula>[Capital Social]/[Total Ações]</calculatedColumnFormula>
    </tableColumn>
    <tableColumn id="19" name="Lucro/Ação" dataDxfId="142" totalsRowDxfId="21">
      <calculatedColumnFormula>Tabela3[[#This Row],[Lucro Líquido]]/Tabela3[[#This Row],[Total Ações]]</calculatedColumnFormula>
    </tableColumn>
    <tableColumn id="40" name="Div. Mínimo" dataDxfId="141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40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9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8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7" totalsRowDxfId="16">
      <calculatedColumnFormula>[Div Base]*[Ações]</calculatedColumnFormula>
    </tableColumn>
    <tableColumn id="22" name="Total" dataDxfId="136" totalsRowDxfId="15">
      <calculatedColumnFormula>SUMPRODUCT(N([Nome]=Tabela3[[#This Row],[Nome]]),[Div Base]*[Ações])</calculatedColumnFormula>
    </tableColumn>
    <tableColumn id="4" name="VPA" dataDxfId="135" totalsRowDxfId="14">
      <calculatedColumnFormula>[Patrimônio Líquido]/[Total Ações]</calculatedColumnFormula>
    </tableColumn>
    <tableColumn id="5" name="Cotação" dataDxfId="134" totalsRowDxfId="13">
      <calculatedColumnFormula>MAX(Tabela3[[#This Row],[Cotação 1]:[Cotação 5]])</calculatedColumnFormula>
    </tableColumn>
    <tableColumn id="6" name="PVPA" dataDxfId="133" totalsRowDxfId="12">
      <calculatedColumnFormula>[Cotação]/[VPA]</calculatedColumnFormula>
    </tableColumn>
    <tableColumn id="16" name="PL" dataDxfId="132">
      <calculatedColumnFormula>IF(Tabela3[[#This Row],[Lucro/Ação]]&gt;0,Tabela3[[#This Row],[Cotação]]/(Tabela3[[#This Row],[Lucro/Ação]]/[Ref]*4),0)</calculatedColumnFormula>
    </tableColumn>
    <tableColumn id="53" name="Lucro Dist./Ação" dataDxfId="131" totalsRowDxfId="11">
      <calculatedColumnFormula>[Lucro Distribuir]/[Total Ações]</calculatedColumnFormula>
    </tableColumn>
    <tableColumn id="52" name="Lucro" dataDxfId="130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9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8" totalsRowDxfId="8">
      <calculatedColumnFormula>IF([Cotação]&gt;0,Tabela3[[#This Row],[Lucro]]/Tabela3[[#This Row],[Cotação]],0)</calculatedColumnFormula>
    </tableColumn>
    <tableColumn id="12" name="% A.A." dataDxfId="127" totalsRowDxfId="7">
      <calculatedColumnFormula>((1+Tabela3[[#This Row],[% Yield]])^(1/(3*Tabela3[[#This Row],[Ref]])))^(12)-1</calculatedColumnFormula>
    </tableColumn>
    <tableColumn id="17" name="Ativos" dataDxfId="126" totalsRowDxfId="6">
      <calculatedColumnFormula>IF([Cotação]&gt;0,($BH$1/Tabela3[[#This Row],[Cotação]]-MOD($BH$1/Tabela3[[#This Row],[Cotação]],100)),)</calculatedColumnFormula>
    </tableColumn>
    <tableColumn id="18" name="Lucro Med A.A" dataDxfId="125" totalsRowDxfId="5">
      <calculatedColumnFormula>Tabela3[[#This Row],[Ativos]]*[Lucro]</calculatedColumnFormula>
    </tableColumn>
    <tableColumn id="15" name="Cotação 1" dataDxfId="124" totalsRowDxfId="4">
      <calculatedColumnFormula>SUMPRODUCT(N(Tabela1[Código]=Tabela3[[#This Row],[PAPEL]]),Tabela1[Fechamento])</calculatedColumnFormula>
    </tableColumn>
    <tableColumn id="20" name="Cotação 2" dataDxfId="123" totalsRowDxfId="3">
      <calculatedColumnFormula>SUMPRODUCT(N(Tabela17[Código]=Tabela3[[#This Row],[PAPEL]]),Tabela17[Fechamento])</calculatedColumnFormula>
    </tableColumn>
    <tableColumn id="11" name="Cotação 3" dataDxfId="122" totalsRowDxfId="2">
      <calculatedColumnFormula>SUMPRODUCT(N(Tabela176[Código]=Tabela3[[#This Row],[PAPEL]]),Tabela176[Fechamento])</calculatedColumnFormula>
    </tableColumn>
    <tableColumn id="21" name="Cotação 4" dataDxfId="121" totalsRowDxfId="1">
      <calculatedColumnFormula>SUMPRODUCT(N(Tabela1768[Código]=Tabela3[[#This Row],[PAPEL]]),Tabela1768[Fechamento])</calculatedColumnFormula>
    </tableColumn>
    <tableColumn id="26" name="Cotação 5" dataDxfId="120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9" dataDxfId="118">
  <autoFilter ref="P6:V112"/>
  <sortState ref="P7:V112">
    <sortCondition ref="P6:P112"/>
  </sortState>
  <tableColumns count="7">
    <tableColumn id="1" name="Código" dataDxfId="117"/>
    <tableColumn id="2" name="Ativo" dataDxfId="116">
      <calculatedColumnFormula>IF(A7="","",C7)</calculatedColumnFormula>
    </tableColumn>
    <tableColumn id="3" name="Data" dataDxfId="115">
      <calculatedColumnFormula>IF(A7="","",H7)</calculatedColumnFormula>
    </tableColumn>
    <tableColumn id="4" name="Abertura" dataDxfId="114">
      <calculatedColumnFormula>J7</calculatedColumnFormula>
    </tableColumn>
    <tableColumn id="5" name="Fechamento" dataDxfId="113">
      <calculatedColumnFormula>K7</calculatedColumnFormula>
    </tableColumn>
    <tableColumn id="6" name="Máxima" dataDxfId="112">
      <calculatedColumnFormula>L7</calculatedColumnFormula>
    </tableColumn>
    <tableColumn id="7" name="Mínima" dataDxfId="111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10" dataDxfId="109">
  <autoFilter ref="P6:V112"/>
  <sortState ref="P7:V112">
    <sortCondition ref="P6:P112"/>
  </sortState>
  <tableColumns count="7">
    <tableColumn id="1" name="Código" dataDxfId="108"/>
    <tableColumn id="2" name="Ativo" dataDxfId="107">
      <calculatedColumnFormula>IF(A7="","",C7)</calculatedColumnFormula>
    </tableColumn>
    <tableColumn id="3" name="Data" dataDxfId="106">
      <calculatedColumnFormula>IF(A7="","",H7)</calculatedColumnFormula>
    </tableColumn>
    <tableColumn id="4" name="Abertura" dataDxfId="105">
      <calculatedColumnFormula>J7</calculatedColumnFormula>
    </tableColumn>
    <tableColumn id="5" name="Fechamento" dataDxfId="104">
      <calculatedColumnFormula>K7</calculatedColumnFormula>
    </tableColumn>
    <tableColumn id="6" name="Máxima" dataDxfId="103">
      <calculatedColumnFormula>L7</calculatedColumnFormula>
    </tableColumn>
    <tableColumn id="7" name="Mínima" dataDxfId="102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1" dataDxfId="100">
  <autoFilter ref="P6:V112"/>
  <sortState ref="P7:V112">
    <sortCondition ref="P6:P112"/>
  </sortState>
  <tableColumns count="7">
    <tableColumn id="1" name="Código" dataDxfId="99"/>
    <tableColumn id="2" name="Ativo" dataDxfId="98">
      <calculatedColumnFormula>IF(A7="","",C7)</calculatedColumnFormula>
    </tableColumn>
    <tableColumn id="3" name="Data" dataDxfId="97">
      <calculatedColumnFormula>IF(A7="","",H7)</calculatedColumnFormula>
    </tableColumn>
    <tableColumn id="4" name="Abertura" dataDxfId="96">
      <calculatedColumnFormula>J7</calculatedColumnFormula>
    </tableColumn>
    <tableColumn id="5" name="Fechamento" dataDxfId="95">
      <calculatedColumnFormula>K7</calculatedColumnFormula>
    </tableColumn>
    <tableColumn id="6" name="Máxima" dataDxfId="94">
      <calculatedColumnFormula>L7</calculatedColumnFormula>
    </tableColumn>
    <tableColumn id="7" name="Mínima" dataDxfId="93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2" dataDxfId="91">
  <autoFilter ref="P6:V112"/>
  <sortState ref="P7:V112">
    <sortCondition ref="P6:P112"/>
  </sortState>
  <tableColumns count="7">
    <tableColumn id="1" name="Código" dataDxfId="90"/>
    <tableColumn id="2" name="Ativo" dataDxfId="89">
      <calculatedColumnFormula>IF(A7="","",C7)</calculatedColumnFormula>
    </tableColumn>
    <tableColumn id="3" name="Data" dataDxfId="88">
      <calculatedColumnFormula>IF(A7="","",H7)</calculatedColumnFormula>
    </tableColumn>
    <tableColumn id="4" name="Abertura" dataDxfId="87">
      <calculatedColumnFormula>J7</calculatedColumnFormula>
    </tableColumn>
    <tableColumn id="5" name="Fechamento" dataDxfId="86">
      <calculatedColumnFormula>K7</calculatedColumnFormula>
    </tableColumn>
    <tableColumn id="6" name="Máxima" dataDxfId="85">
      <calculatedColumnFormula>L7</calculatedColumnFormula>
    </tableColumn>
    <tableColumn id="7" name="Mínima" dataDxfId="84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3" dataDxfId="82">
  <autoFilter ref="P6:V112"/>
  <sortState ref="P7:V112">
    <sortCondition ref="P6:P112"/>
  </sortState>
  <tableColumns count="7">
    <tableColumn id="1" name="Código" dataDxfId="81"/>
    <tableColumn id="2" name="Ativo" dataDxfId="80">
      <calculatedColumnFormula>IF(A7="","",C7)</calculatedColumnFormula>
    </tableColumn>
    <tableColumn id="3" name="Data" dataDxfId="79">
      <calculatedColumnFormula>IF(A7="","",H7)</calculatedColumnFormula>
    </tableColumn>
    <tableColumn id="4" name="Abertura" dataDxfId="78">
      <calculatedColumnFormula>J7</calculatedColumnFormula>
    </tableColumn>
    <tableColumn id="5" name="Fechamento" dataDxfId="77">
      <calculatedColumnFormula>K7</calculatedColumnFormula>
    </tableColumn>
    <tableColumn id="6" name="Máxima" dataDxfId="76">
      <calculatedColumnFormula>L7</calculatedColumnFormula>
    </tableColumn>
    <tableColumn id="7" name="Mínima" dataDxfId="75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4" dataDxfId="73" totalsRowDxfId="72">
  <autoFilter ref="A1:N3"/>
  <tableColumns count="14">
    <tableColumn id="1" name="Data Liquidação" totalsRowLabel="Total" dataDxfId="71" totalsRowDxfId="70"/>
    <tableColumn id="16" name="Dia" dataDxfId="69" totalsRowDxfId="68">
      <calculatedColumnFormula>DAY([Data Liquidação])</calculatedColumnFormula>
    </tableColumn>
    <tableColumn id="15" name="Mês" dataDxfId="67" totalsRowDxfId="66">
      <calculatedColumnFormula>MONTH([Data Liquidação])</calculatedColumnFormula>
    </tableColumn>
    <tableColumn id="14" name="Ano" dataDxfId="65" totalsRowDxfId="64">
      <calculatedColumnFormula>YEAR([Data Liquidação])</calculatedColumnFormula>
    </tableColumn>
    <tableColumn id="7" name="Nome" dataDxfId="63" totalsRowDxfId="62"/>
    <tableColumn id="2" name="Aplicação" totalsRowFunction="sum" dataDxfId="61" totalsRowDxfId="60"/>
    <tableColumn id="3" name="Taxas" totalsRowFunction="min" dataDxfId="59" totalsRowDxfId="58"/>
    <tableColumn id="4" name="Resgates" totalsRowFunction="sum" dataDxfId="57" totalsRowDxfId="56"/>
    <tableColumn id="5" name="Dividendo" totalsRowFunction="sum" dataDxfId="55" totalsRowDxfId="54"/>
    <tableColumn id="18" name="JPC" totalsRowFunction="sum" dataDxfId="53" totalsRowDxfId="52"/>
    <tableColumn id="8" name="Quantidade" dataDxfId="51" totalsRowDxfId="50"/>
    <tableColumn id="9" name="Preço Médio" dataDxfId="49" totalsRowDxfId="48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7" totalsRowDxfId="46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5" totalsRowDxfId="44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3.xml"/><Relationship Id="rId299" Type="http://schemas.openxmlformats.org/officeDocument/2006/relationships/queryTable" Target="../queryTables/queryTable545.xml"/><Relationship Id="rId303" Type="http://schemas.openxmlformats.org/officeDocument/2006/relationships/queryTable" Target="../queryTables/queryTable549.xml"/><Relationship Id="rId21" Type="http://schemas.openxmlformats.org/officeDocument/2006/relationships/queryTable" Target="../queryTables/queryTable267.xml"/><Relationship Id="rId42" Type="http://schemas.openxmlformats.org/officeDocument/2006/relationships/queryTable" Target="../queryTables/queryTable288.xml"/><Relationship Id="rId63" Type="http://schemas.openxmlformats.org/officeDocument/2006/relationships/queryTable" Target="../queryTables/queryTable309.xml"/><Relationship Id="rId84" Type="http://schemas.openxmlformats.org/officeDocument/2006/relationships/queryTable" Target="../queryTables/queryTable330.xml"/><Relationship Id="rId138" Type="http://schemas.openxmlformats.org/officeDocument/2006/relationships/queryTable" Target="../queryTables/queryTable384.xml"/><Relationship Id="rId159" Type="http://schemas.openxmlformats.org/officeDocument/2006/relationships/queryTable" Target="../queryTables/queryTable405.xml"/><Relationship Id="rId324" Type="http://schemas.openxmlformats.org/officeDocument/2006/relationships/queryTable" Target="../queryTables/queryTable570.xml"/><Relationship Id="rId345" Type="http://schemas.openxmlformats.org/officeDocument/2006/relationships/queryTable" Target="../queryTables/queryTable591.xml"/><Relationship Id="rId170" Type="http://schemas.openxmlformats.org/officeDocument/2006/relationships/queryTable" Target="../queryTables/queryTable416.xml"/><Relationship Id="rId191" Type="http://schemas.openxmlformats.org/officeDocument/2006/relationships/queryTable" Target="../queryTables/queryTable437.xml"/><Relationship Id="rId205" Type="http://schemas.openxmlformats.org/officeDocument/2006/relationships/queryTable" Target="../queryTables/queryTable451.xml"/><Relationship Id="rId226" Type="http://schemas.openxmlformats.org/officeDocument/2006/relationships/queryTable" Target="../queryTables/queryTable472.xml"/><Relationship Id="rId247" Type="http://schemas.openxmlformats.org/officeDocument/2006/relationships/queryTable" Target="../queryTables/queryTable493.xml"/><Relationship Id="rId107" Type="http://schemas.openxmlformats.org/officeDocument/2006/relationships/queryTable" Target="../queryTables/queryTable353.xml"/><Relationship Id="rId268" Type="http://schemas.openxmlformats.org/officeDocument/2006/relationships/queryTable" Target="../queryTables/queryTable514.xml"/><Relationship Id="rId289" Type="http://schemas.openxmlformats.org/officeDocument/2006/relationships/queryTable" Target="../queryTables/queryTable535.xml"/><Relationship Id="rId11" Type="http://schemas.openxmlformats.org/officeDocument/2006/relationships/queryTable" Target="../queryTables/queryTable257.xml"/><Relationship Id="rId32" Type="http://schemas.openxmlformats.org/officeDocument/2006/relationships/queryTable" Target="../queryTables/queryTable278.xml"/><Relationship Id="rId53" Type="http://schemas.openxmlformats.org/officeDocument/2006/relationships/queryTable" Target="../queryTables/queryTable299.xml"/><Relationship Id="rId74" Type="http://schemas.openxmlformats.org/officeDocument/2006/relationships/queryTable" Target="../queryTables/queryTable320.xml"/><Relationship Id="rId128" Type="http://schemas.openxmlformats.org/officeDocument/2006/relationships/queryTable" Target="../queryTables/queryTable374.xml"/><Relationship Id="rId149" Type="http://schemas.openxmlformats.org/officeDocument/2006/relationships/queryTable" Target="../queryTables/queryTable395.xml"/><Relationship Id="rId314" Type="http://schemas.openxmlformats.org/officeDocument/2006/relationships/queryTable" Target="../queryTables/queryTable560.xml"/><Relationship Id="rId335" Type="http://schemas.openxmlformats.org/officeDocument/2006/relationships/queryTable" Target="../queryTables/queryTable581.xml"/><Relationship Id="rId356" Type="http://schemas.openxmlformats.org/officeDocument/2006/relationships/queryTable" Target="../queryTables/queryTable602.xml"/><Relationship Id="rId5" Type="http://schemas.openxmlformats.org/officeDocument/2006/relationships/queryTable" Target="../queryTables/queryTable251.xml"/><Relationship Id="rId95" Type="http://schemas.openxmlformats.org/officeDocument/2006/relationships/queryTable" Target="../queryTables/queryTable341.xml"/><Relationship Id="rId160" Type="http://schemas.openxmlformats.org/officeDocument/2006/relationships/queryTable" Target="../queryTables/queryTable406.xml"/><Relationship Id="rId181" Type="http://schemas.openxmlformats.org/officeDocument/2006/relationships/queryTable" Target="../queryTables/queryTable427.xml"/><Relationship Id="rId216" Type="http://schemas.openxmlformats.org/officeDocument/2006/relationships/queryTable" Target="../queryTables/queryTable462.xml"/><Relationship Id="rId237" Type="http://schemas.openxmlformats.org/officeDocument/2006/relationships/queryTable" Target="../queryTables/queryTable483.xml"/><Relationship Id="rId258" Type="http://schemas.openxmlformats.org/officeDocument/2006/relationships/queryTable" Target="../queryTables/queryTable504.xml"/><Relationship Id="rId279" Type="http://schemas.openxmlformats.org/officeDocument/2006/relationships/queryTable" Target="../queryTables/queryTable525.xml"/><Relationship Id="rId22" Type="http://schemas.openxmlformats.org/officeDocument/2006/relationships/queryTable" Target="../queryTables/queryTable268.xml"/><Relationship Id="rId43" Type="http://schemas.openxmlformats.org/officeDocument/2006/relationships/queryTable" Target="../queryTables/queryTable289.xml"/><Relationship Id="rId64" Type="http://schemas.openxmlformats.org/officeDocument/2006/relationships/queryTable" Target="../queryTables/queryTable310.xml"/><Relationship Id="rId118" Type="http://schemas.openxmlformats.org/officeDocument/2006/relationships/queryTable" Target="../queryTables/queryTable364.xml"/><Relationship Id="rId139" Type="http://schemas.openxmlformats.org/officeDocument/2006/relationships/queryTable" Target="../queryTables/queryTable385.xml"/><Relationship Id="rId290" Type="http://schemas.openxmlformats.org/officeDocument/2006/relationships/queryTable" Target="../queryTables/queryTable536.xml"/><Relationship Id="rId304" Type="http://schemas.openxmlformats.org/officeDocument/2006/relationships/queryTable" Target="../queryTables/queryTable550.xml"/><Relationship Id="rId325" Type="http://schemas.openxmlformats.org/officeDocument/2006/relationships/queryTable" Target="../queryTables/queryTable571.xml"/><Relationship Id="rId346" Type="http://schemas.openxmlformats.org/officeDocument/2006/relationships/queryTable" Target="../queryTables/queryTable592.xml"/><Relationship Id="rId85" Type="http://schemas.openxmlformats.org/officeDocument/2006/relationships/queryTable" Target="../queryTables/queryTable331.xml"/><Relationship Id="rId150" Type="http://schemas.openxmlformats.org/officeDocument/2006/relationships/queryTable" Target="../queryTables/queryTable396.xml"/><Relationship Id="rId171" Type="http://schemas.openxmlformats.org/officeDocument/2006/relationships/queryTable" Target="../queryTables/queryTable417.xml"/><Relationship Id="rId192" Type="http://schemas.openxmlformats.org/officeDocument/2006/relationships/queryTable" Target="../queryTables/queryTable438.xml"/><Relationship Id="rId206" Type="http://schemas.openxmlformats.org/officeDocument/2006/relationships/queryTable" Target="../queryTables/queryTable452.xml"/><Relationship Id="rId227" Type="http://schemas.openxmlformats.org/officeDocument/2006/relationships/queryTable" Target="../queryTables/queryTable473.xml"/><Relationship Id="rId248" Type="http://schemas.openxmlformats.org/officeDocument/2006/relationships/queryTable" Target="../queryTables/queryTable494.xml"/><Relationship Id="rId269" Type="http://schemas.openxmlformats.org/officeDocument/2006/relationships/queryTable" Target="../queryTables/queryTable515.xml"/><Relationship Id="rId12" Type="http://schemas.openxmlformats.org/officeDocument/2006/relationships/queryTable" Target="../queryTables/queryTable258.xml"/><Relationship Id="rId33" Type="http://schemas.openxmlformats.org/officeDocument/2006/relationships/queryTable" Target="../queryTables/queryTable279.xml"/><Relationship Id="rId108" Type="http://schemas.openxmlformats.org/officeDocument/2006/relationships/queryTable" Target="../queryTables/queryTable354.xml"/><Relationship Id="rId129" Type="http://schemas.openxmlformats.org/officeDocument/2006/relationships/queryTable" Target="../queryTables/queryTable375.xml"/><Relationship Id="rId280" Type="http://schemas.openxmlformats.org/officeDocument/2006/relationships/queryTable" Target="../queryTables/queryTable526.xml"/><Relationship Id="rId315" Type="http://schemas.openxmlformats.org/officeDocument/2006/relationships/queryTable" Target="../queryTables/queryTable561.xml"/><Relationship Id="rId336" Type="http://schemas.openxmlformats.org/officeDocument/2006/relationships/queryTable" Target="../queryTables/queryTable582.xml"/><Relationship Id="rId54" Type="http://schemas.openxmlformats.org/officeDocument/2006/relationships/queryTable" Target="../queryTables/queryTable300.xml"/><Relationship Id="rId75" Type="http://schemas.openxmlformats.org/officeDocument/2006/relationships/queryTable" Target="../queryTables/queryTable321.xml"/><Relationship Id="rId96" Type="http://schemas.openxmlformats.org/officeDocument/2006/relationships/queryTable" Target="../queryTables/queryTable342.xml"/><Relationship Id="rId140" Type="http://schemas.openxmlformats.org/officeDocument/2006/relationships/queryTable" Target="../queryTables/queryTable386.xml"/><Relationship Id="rId161" Type="http://schemas.openxmlformats.org/officeDocument/2006/relationships/queryTable" Target="../queryTables/queryTable407.xml"/><Relationship Id="rId182" Type="http://schemas.openxmlformats.org/officeDocument/2006/relationships/queryTable" Target="../queryTables/queryTable428.xml"/><Relationship Id="rId217" Type="http://schemas.openxmlformats.org/officeDocument/2006/relationships/queryTable" Target="../queryTables/queryTable463.xml"/><Relationship Id="rId6" Type="http://schemas.openxmlformats.org/officeDocument/2006/relationships/queryTable" Target="../queryTables/queryTable252.xml"/><Relationship Id="rId238" Type="http://schemas.openxmlformats.org/officeDocument/2006/relationships/queryTable" Target="../queryTables/queryTable484.xml"/><Relationship Id="rId259" Type="http://schemas.openxmlformats.org/officeDocument/2006/relationships/queryTable" Target="../queryTables/queryTable505.xml"/><Relationship Id="rId23" Type="http://schemas.openxmlformats.org/officeDocument/2006/relationships/queryTable" Target="../queryTables/queryTable269.xml"/><Relationship Id="rId119" Type="http://schemas.openxmlformats.org/officeDocument/2006/relationships/queryTable" Target="../queryTables/queryTable365.xml"/><Relationship Id="rId270" Type="http://schemas.openxmlformats.org/officeDocument/2006/relationships/queryTable" Target="../queryTables/queryTable516.xml"/><Relationship Id="rId291" Type="http://schemas.openxmlformats.org/officeDocument/2006/relationships/queryTable" Target="../queryTables/queryTable537.xml"/><Relationship Id="rId305" Type="http://schemas.openxmlformats.org/officeDocument/2006/relationships/queryTable" Target="../queryTables/queryTable551.xml"/><Relationship Id="rId326" Type="http://schemas.openxmlformats.org/officeDocument/2006/relationships/queryTable" Target="../queryTables/queryTable572.xml"/><Relationship Id="rId347" Type="http://schemas.openxmlformats.org/officeDocument/2006/relationships/queryTable" Target="../queryTables/queryTable593.xml"/><Relationship Id="rId44" Type="http://schemas.openxmlformats.org/officeDocument/2006/relationships/queryTable" Target="../queryTables/queryTable290.xml"/><Relationship Id="rId65" Type="http://schemas.openxmlformats.org/officeDocument/2006/relationships/queryTable" Target="../queryTables/queryTable311.xml"/><Relationship Id="rId86" Type="http://schemas.openxmlformats.org/officeDocument/2006/relationships/queryTable" Target="../queryTables/queryTable332.xml"/><Relationship Id="rId130" Type="http://schemas.openxmlformats.org/officeDocument/2006/relationships/queryTable" Target="../queryTables/queryTable376.xml"/><Relationship Id="rId151" Type="http://schemas.openxmlformats.org/officeDocument/2006/relationships/queryTable" Target="../queryTables/queryTable397.xml"/><Relationship Id="rId172" Type="http://schemas.openxmlformats.org/officeDocument/2006/relationships/queryTable" Target="../queryTables/queryTable418.xml"/><Relationship Id="rId193" Type="http://schemas.openxmlformats.org/officeDocument/2006/relationships/queryTable" Target="../queryTables/queryTable439.xml"/><Relationship Id="rId207" Type="http://schemas.openxmlformats.org/officeDocument/2006/relationships/queryTable" Target="../queryTables/queryTable453.xml"/><Relationship Id="rId228" Type="http://schemas.openxmlformats.org/officeDocument/2006/relationships/queryTable" Target="../queryTables/queryTable474.xml"/><Relationship Id="rId249" Type="http://schemas.openxmlformats.org/officeDocument/2006/relationships/queryTable" Target="../queryTables/queryTable495.xml"/><Relationship Id="rId13" Type="http://schemas.openxmlformats.org/officeDocument/2006/relationships/queryTable" Target="../queryTables/queryTable259.xml"/><Relationship Id="rId109" Type="http://schemas.openxmlformats.org/officeDocument/2006/relationships/queryTable" Target="../queryTables/queryTable355.xml"/><Relationship Id="rId260" Type="http://schemas.openxmlformats.org/officeDocument/2006/relationships/queryTable" Target="../queryTables/queryTable506.xml"/><Relationship Id="rId281" Type="http://schemas.openxmlformats.org/officeDocument/2006/relationships/queryTable" Target="../queryTables/queryTable527.xml"/><Relationship Id="rId316" Type="http://schemas.openxmlformats.org/officeDocument/2006/relationships/queryTable" Target="../queryTables/queryTable562.xml"/><Relationship Id="rId337" Type="http://schemas.openxmlformats.org/officeDocument/2006/relationships/queryTable" Target="../queryTables/queryTable583.xml"/><Relationship Id="rId34" Type="http://schemas.openxmlformats.org/officeDocument/2006/relationships/queryTable" Target="../queryTables/queryTable280.xml"/><Relationship Id="rId55" Type="http://schemas.openxmlformats.org/officeDocument/2006/relationships/queryTable" Target="../queryTables/queryTable301.xml"/><Relationship Id="rId76" Type="http://schemas.openxmlformats.org/officeDocument/2006/relationships/queryTable" Target="../queryTables/queryTable322.xml"/><Relationship Id="rId97" Type="http://schemas.openxmlformats.org/officeDocument/2006/relationships/queryTable" Target="../queryTables/queryTable343.xml"/><Relationship Id="rId120" Type="http://schemas.openxmlformats.org/officeDocument/2006/relationships/queryTable" Target="../queryTables/queryTable366.xml"/><Relationship Id="rId141" Type="http://schemas.openxmlformats.org/officeDocument/2006/relationships/queryTable" Target="../queryTables/queryTable387.xml"/><Relationship Id="rId7" Type="http://schemas.openxmlformats.org/officeDocument/2006/relationships/queryTable" Target="../queryTables/queryTable253.xml"/><Relationship Id="rId162" Type="http://schemas.openxmlformats.org/officeDocument/2006/relationships/queryTable" Target="../queryTables/queryTable408.xml"/><Relationship Id="rId183" Type="http://schemas.openxmlformats.org/officeDocument/2006/relationships/queryTable" Target="../queryTables/queryTable429.xml"/><Relationship Id="rId218" Type="http://schemas.openxmlformats.org/officeDocument/2006/relationships/queryTable" Target="../queryTables/queryTable464.xml"/><Relationship Id="rId239" Type="http://schemas.openxmlformats.org/officeDocument/2006/relationships/queryTable" Target="../queryTables/queryTable485.xml"/><Relationship Id="rId250" Type="http://schemas.openxmlformats.org/officeDocument/2006/relationships/queryTable" Target="../queryTables/queryTable496.xml"/><Relationship Id="rId271" Type="http://schemas.openxmlformats.org/officeDocument/2006/relationships/queryTable" Target="../queryTables/queryTable517.xml"/><Relationship Id="rId292" Type="http://schemas.openxmlformats.org/officeDocument/2006/relationships/queryTable" Target="../queryTables/queryTable538.xml"/><Relationship Id="rId306" Type="http://schemas.openxmlformats.org/officeDocument/2006/relationships/queryTable" Target="../queryTables/queryTable552.xml"/><Relationship Id="rId24" Type="http://schemas.openxmlformats.org/officeDocument/2006/relationships/queryTable" Target="../queryTables/queryTable270.xml"/><Relationship Id="rId45" Type="http://schemas.openxmlformats.org/officeDocument/2006/relationships/queryTable" Target="../queryTables/queryTable291.xml"/><Relationship Id="rId66" Type="http://schemas.openxmlformats.org/officeDocument/2006/relationships/queryTable" Target="../queryTables/queryTable312.xml"/><Relationship Id="rId87" Type="http://schemas.openxmlformats.org/officeDocument/2006/relationships/queryTable" Target="../queryTables/queryTable333.xml"/><Relationship Id="rId110" Type="http://schemas.openxmlformats.org/officeDocument/2006/relationships/queryTable" Target="../queryTables/queryTable356.xml"/><Relationship Id="rId131" Type="http://schemas.openxmlformats.org/officeDocument/2006/relationships/queryTable" Target="../queryTables/queryTable377.xml"/><Relationship Id="rId327" Type="http://schemas.openxmlformats.org/officeDocument/2006/relationships/queryTable" Target="../queryTables/queryTable573.xml"/><Relationship Id="rId348" Type="http://schemas.openxmlformats.org/officeDocument/2006/relationships/queryTable" Target="../queryTables/queryTable594.xml"/><Relationship Id="rId152" Type="http://schemas.openxmlformats.org/officeDocument/2006/relationships/queryTable" Target="../queryTables/queryTable398.xml"/><Relationship Id="rId173" Type="http://schemas.openxmlformats.org/officeDocument/2006/relationships/queryTable" Target="../queryTables/queryTable419.xml"/><Relationship Id="rId194" Type="http://schemas.openxmlformats.org/officeDocument/2006/relationships/queryTable" Target="../queryTables/queryTable440.xml"/><Relationship Id="rId208" Type="http://schemas.openxmlformats.org/officeDocument/2006/relationships/queryTable" Target="../queryTables/queryTable454.xml"/><Relationship Id="rId229" Type="http://schemas.openxmlformats.org/officeDocument/2006/relationships/queryTable" Target="../queryTables/queryTable475.xml"/><Relationship Id="rId240" Type="http://schemas.openxmlformats.org/officeDocument/2006/relationships/queryTable" Target="../queryTables/queryTable486.xml"/><Relationship Id="rId261" Type="http://schemas.openxmlformats.org/officeDocument/2006/relationships/queryTable" Target="../queryTables/queryTable507.xml"/><Relationship Id="rId14" Type="http://schemas.openxmlformats.org/officeDocument/2006/relationships/queryTable" Target="../queryTables/queryTable260.xml"/><Relationship Id="rId35" Type="http://schemas.openxmlformats.org/officeDocument/2006/relationships/queryTable" Target="../queryTables/queryTable281.xml"/><Relationship Id="rId56" Type="http://schemas.openxmlformats.org/officeDocument/2006/relationships/queryTable" Target="../queryTables/queryTable302.xml"/><Relationship Id="rId77" Type="http://schemas.openxmlformats.org/officeDocument/2006/relationships/queryTable" Target="../queryTables/queryTable323.xml"/><Relationship Id="rId100" Type="http://schemas.openxmlformats.org/officeDocument/2006/relationships/queryTable" Target="../queryTables/queryTable346.xml"/><Relationship Id="rId282" Type="http://schemas.openxmlformats.org/officeDocument/2006/relationships/queryTable" Target="../queryTables/queryTable528.xml"/><Relationship Id="rId317" Type="http://schemas.openxmlformats.org/officeDocument/2006/relationships/queryTable" Target="../queryTables/queryTable563.xml"/><Relationship Id="rId338" Type="http://schemas.openxmlformats.org/officeDocument/2006/relationships/queryTable" Target="../queryTables/queryTable584.xml"/><Relationship Id="rId8" Type="http://schemas.openxmlformats.org/officeDocument/2006/relationships/queryTable" Target="../queryTables/queryTable254.xml"/><Relationship Id="rId98" Type="http://schemas.openxmlformats.org/officeDocument/2006/relationships/queryTable" Target="../queryTables/queryTable344.xml"/><Relationship Id="rId121" Type="http://schemas.openxmlformats.org/officeDocument/2006/relationships/queryTable" Target="../queryTables/queryTable367.xml"/><Relationship Id="rId142" Type="http://schemas.openxmlformats.org/officeDocument/2006/relationships/queryTable" Target="../queryTables/queryTable388.xml"/><Relationship Id="rId163" Type="http://schemas.openxmlformats.org/officeDocument/2006/relationships/queryTable" Target="../queryTables/queryTable409.xml"/><Relationship Id="rId184" Type="http://schemas.openxmlformats.org/officeDocument/2006/relationships/queryTable" Target="../queryTables/queryTable430.xml"/><Relationship Id="rId219" Type="http://schemas.openxmlformats.org/officeDocument/2006/relationships/queryTable" Target="../queryTables/queryTable465.xml"/><Relationship Id="rId230" Type="http://schemas.openxmlformats.org/officeDocument/2006/relationships/queryTable" Target="../queryTables/queryTable476.xml"/><Relationship Id="rId251" Type="http://schemas.openxmlformats.org/officeDocument/2006/relationships/queryTable" Target="../queryTables/queryTable497.xml"/><Relationship Id="rId25" Type="http://schemas.openxmlformats.org/officeDocument/2006/relationships/queryTable" Target="../queryTables/queryTable271.xml"/><Relationship Id="rId46" Type="http://schemas.openxmlformats.org/officeDocument/2006/relationships/queryTable" Target="../queryTables/queryTable292.xml"/><Relationship Id="rId67" Type="http://schemas.openxmlformats.org/officeDocument/2006/relationships/queryTable" Target="../queryTables/queryTable313.xml"/><Relationship Id="rId272" Type="http://schemas.openxmlformats.org/officeDocument/2006/relationships/queryTable" Target="../queryTables/queryTable518.xml"/><Relationship Id="rId293" Type="http://schemas.openxmlformats.org/officeDocument/2006/relationships/queryTable" Target="../queryTables/queryTable539.xml"/><Relationship Id="rId307" Type="http://schemas.openxmlformats.org/officeDocument/2006/relationships/queryTable" Target="../queryTables/queryTable553.xml"/><Relationship Id="rId328" Type="http://schemas.openxmlformats.org/officeDocument/2006/relationships/queryTable" Target="../queryTables/queryTable574.xml"/><Relationship Id="rId349" Type="http://schemas.openxmlformats.org/officeDocument/2006/relationships/queryTable" Target="../queryTables/queryTable595.xml"/><Relationship Id="rId88" Type="http://schemas.openxmlformats.org/officeDocument/2006/relationships/queryTable" Target="../queryTables/queryTable334.xml"/><Relationship Id="rId111" Type="http://schemas.openxmlformats.org/officeDocument/2006/relationships/queryTable" Target="../queryTables/queryTable357.xml"/><Relationship Id="rId132" Type="http://schemas.openxmlformats.org/officeDocument/2006/relationships/queryTable" Target="../queryTables/queryTable378.xml"/><Relationship Id="rId153" Type="http://schemas.openxmlformats.org/officeDocument/2006/relationships/queryTable" Target="../queryTables/queryTable399.xml"/><Relationship Id="rId174" Type="http://schemas.openxmlformats.org/officeDocument/2006/relationships/queryTable" Target="../queryTables/queryTable420.xml"/><Relationship Id="rId195" Type="http://schemas.openxmlformats.org/officeDocument/2006/relationships/queryTable" Target="../queryTables/queryTable441.xml"/><Relationship Id="rId209" Type="http://schemas.openxmlformats.org/officeDocument/2006/relationships/queryTable" Target="../queryTables/queryTable455.xml"/><Relationship Id="rId190" Type="http://schemas.openxmlformats.org/officeDocument/2006/relationships/queryTable" Target="../queryTables/queryTable436.xml"/><Relationship Id="rId204" Type="http://schemas.openxmlformats.org/officeDocument/2006/relationships/queryTable" Target="../queryTables/queryTable450.xml"/><Relationship Id="rId220" Type="http://schemas.openxmlformats.org/officeDocument/2006/relationships/queryTable" Target="../queryTables/queryTable466.xml"/><Relationship Id="rId225" Type="http://schemas.openxmlformats.org/officeDocument/2006/relationships/queryTable" Target="../queryTables/queryTable471.xml"/><Relationship Id="rId241" Type="http://schemas.openxmlformats.org/officeDocument/2006/relationships/queryTable" Target="../queryTables/queryTable487.xml"/><Relationship Id="rId246" Type="http://schemas.openxmlformats.org/officeDocument/2006/relationships/queryTable" Target="../queryTables/queryTable492.xml"/><Relationship Id="rId267" Type="http://schemas.openxmlformats.org/officeDocument/2006/relationships/queryTable" Target="../queryTables/queryTable513.xml"/><Relationship Id="rId288" Type="http://schemas.openxmlformats.org/officeDocument/2006/relationships/queryTable" Target="../queryTables/queryTable534.xml"/><Relationship Id="rId15" Type="http://schemas.openxmlformats.org/officeDocument/2006/relationships/queryTable" Target="../queryTables/queryTable261.xml"/><Relationship Id="rId36" Type="http://schemas.openxmlformats.org/officeDocument/2006/relationships/queryTable" Target="../queryTables/queryTable282.xml"/><Relationship Id="rId57" Type="http://schemas.openxmlformats.org/officeDocument/2006/relationships/queryTable" Target="../queryTables/queryTable303.xml"/><Relationship Id="rId106" Type="http://schemas.openxmlformats.org/officeDocument/2006/relationships/queryTable" Target="../queryTables/queryTable352.xml"/><Relationship Id="rId127" Type="http://schemas.openxmlformats.org/officeDocument/2006/relationships/queryTable" Target="../queryTables/queryTable373.xml"/><Relationship Id="rId262" Type="http://schemas.openxmlformats.org/officeDocument/2006/relationships/queryTable" Target="../queryTables/queryTable508.xml"/><Relationship Id="rId283" Type="http://schemas.openxmlformats.org/officeDocument/2006/relationships/queryTable" Target="../queryTables/queryTable529.xml"/><Relationship Id="rId313" Type="http://schemas.openxmlformats.org/officeDocument/2006/relationships/queryTable" Target="../queryTables/queryTable559.xml"/><Relationship Id="rId318" Type="http://schemas.openxmlformats.org/officeDocument/2006/relationships/queryTable" Target="../queryTables/queryTable564.xml"/><Relationship Id="rId339" Type="http://schemas.openxmlformats.org/officeDocument/2006/relationships/queryTable" Target="../queryTables/queryTable585.xml"/><Relationship Id="rId10" Type="http://schemas.openxmlformats.org/officeDocument/2006/relationships/queryTable" Target="../queryTables/queryTable256.xml"/><Relationship Id="rId31" Type="http://schemas.openxmlformats.org/officeDocument/2006/relationships/queryTable" Target="../queryTables/queryTable277.xml"/><Relationship Id="rId52" Type="http://schemas.openxmlformats.org/officeDocument/2006/relationships/queryTable" Target="../queryTables/queryTable298.xml"/><Relationship Id="rId73" Type="http://schemas.openxmlformats.org/officeDocument/2006/relationships/queryTable" Target="../queryTables/queryTable319.xml"/><Relationship Id="rId78" Type="http://schemas.openxmlformats.org/officeDocument/2006/relationships/queryTable" Target="../queryTables/queryTable324.xml"/><Relationship Id="rId94" Type="http://schemas.openxmlformats.org/officeDocument/2006/relationships/queryTable" Target="../queryTables/queryTable340.xml"/><Relationship Id="rId99" Type="http://schemas.openxmlformats.org/officeDocument/2006/relationships/queryTable" Target="../queryTables/queryTable345.xml"/><Relationship Id="rId101" Type="http://schemas.openxmlformats.org/officeDocument/2006/relationships/queryTable" Target="../queryTables/queryTable347.xml"/><Relationship Id="rId122" Type="http://schemas.openxmlformats.org/officeDocument/2006/relationships/queryTable" Target="../queryTables/queryTable368.xml"/><Relationship Id="rId143" Type="http://schemas.openxmlformats.org/officeDocument/2006/relationships/queryTable" Target="../queryTables/queryTable389.xml"/><Relationship Id="rId148" Type="http://schemas.openxmlformats.org/officeDocument/2006/relationships/queryTable" Target="../queryTables/queryTable394.xml"/><Relationship Id="rId164" Type="http://schemas.openxmlformats.org/officeDocument/2006/relationships/queryTable" Target="../queryTables/queryTable410.xml"/><Relationship Id="rId169" Type="http://schemas.openxmlformats.org/officeDocument/2006/relationships/queryTable" Target="../queryTables/queryTable415.xml"/><Relationship Id="rId185" Type="http://schemas.openxmlformats.org/officeDocument/2006/relationships/queryTable" Target="../queryTables/queryTable431.xml"/><Relationship Id="rId334" Type="http://schemas.openxmlformats.org/officeDocument/2006/relationships/queryTable" Target="../queryTables/queryTable580.xml"/><Relationship Id="rId350" Type="http://schemas.openxmlformats.org/officeDocument/2006/relationships/queryTable" Target="../queryTables/queryTable596.xml"/><Relationship Id="rId355" Type="http://schemas.openxmlformats.org/officeDocument/2006/relationships/queryTable" Target="../queryTables/queryTable601.xml"/><Relationship Id="rId4" Type="http://schemas.openxmlformats.org/officeDocument/2006/relationships/queryTable" Target="../queryTables/queryTable250.xml"/><Relationship Id="rId9" Type="http://schemas.openxmlformats.org/officeDocument/2006/relationships/queryTable" Target="../queryTables/queryTable255.xml"/><Relationship Id="rId180" Type="http://schemas.openxmlformats.org/officeDocument/2006/relationships/queryTable" Target="../queryTables/queryTable426.xml"/><Relationship Id="rId210" Type="http://schemas.openxmlformats.org/officeDocument/2006/relationships/queryTable" Target="../queryTables/queryTable456.xml"/><Relationship Id="rId215" Type="http://schemas.openxmlformats.org/officeDocument/2006/relationships/queryTable" Target="../queryTables/queryTable461.xml"/><Relationship Id="rId236" Type="http://schemas.openxmlformats.org/officeDocument/2006/relationships/queryTable" Target="../queryTables/queryTable482.xml"/><Relationship Id="rId257" Type="http://schemas.openxmlformats.org/officeDocument/2006/relationships/queryTable" Target="../queryTables/queryTable503.xml"/><Relationship Id="rId278" Type="http://schemas.openxmlformats.org/officeDocument/2006/relationships/queryTable" Target="../queryTables/queryTable524.xml"/><Relationship Id="rId26" Type="http://schemas.openxmlformats.org/officeDocument/2006/relationships/queryTable" Target="../queryTables/queryTable272.xml"/><Relationship Id="rId231" Type="http://schemas.openxmlformats.org/officeDocument/2006/relationships/queryTable" Target="../queryTables/queryTable477.xml"/><Relationship Id="rId252" Type="http://schemas.openxmlformats.org/officeDocument/2006/relationships/queryTable" Target="../queryTables/queryTable498.xml"/><Relationship Id="rId273" Type="http://schemas.openxmlformats.org/officeDocument/2006/relationships/queryTable" Target="../queryTables/queryTable519.xml"/><Relationship Id="rId294" Type="http://schemas.openxmlformats.org/officeDocument/2006/relationships/queryTable" Target="../queryTables/queryTable540.xml"/><Relationship Id="rId308" Type="http://schemas.openxmlformats.org/officeDocument/2006/relationships/queryTable" Target="../queryTables/queryTable554.xml"/><Relationship Id="rId329" Type="http://schemas.openxmlformats.org/officeDocument/2006/relationships/queryTable" Target="../queryTables/queryTable575.xml"/><Relationship Id="rId47" Type="http://schemas.openxmlformats.org/officeDocument/2006/relationships/queryTable" Target="../queryTables/queryTable293.xml"/><Relationship Id="rId68" Type="http://schemas.openxmlformats.org/officeDocument/2006/relationships/queryTable" Target="../queryTables/queryTable314.xml"/><Relationship Id="rId89" Type="http://schemas.openxmlformats.org/officeDocument/2006/relationships/queryTable" Target="../queryTables/queryTable335.xml"/><Relationship Id="rId112" Type="http://schemas.openxmlformats.org/officeDocument/2006/relationships/queryTable" Target="../queryTables/queryTable358.xml"/><Relationship Id="rId133" Type="http://schemas.openxmlformats.org/officeDocument/2006/relationships/queryTable" Target="../queryTables/queryTable379.xml"/><Relationship Id="rId154" Type="http://schemas.openxmlformats.org/officeDocument/2006/relationships/queryTable" Target="../queryTables/queryTable400.xml"/><Relationship Id="rId175" Type="http://schemas.openxmlformats.org/officeDocument/2006/relationships/queryTable" Target="../queryTables/queryTable421.xml"/><Relationship Id="rId340" Type="http://schemas.openxmlformats.org/officeDocument/2006/relationships/queryTable" Target="../queryTables/queryTable586.xml"/><Relationship Id="rId196" Type="http://schemas.openxmlformats.org/officeDocument/2006/relationships/queryTable" Target="../queryTables/queryTable442.xml"/><Relationship Id="rId200" Type="http://schemas.openxmlformats.org/officeDocument/2006/relationships/queryTable" Target="../queryTables/queryTable446.xml"/><Relationship Id="rId16" Type="http://schemas.openxmlformats.org/officeDocument/2006/relationships/queryTable" Target="../queryTables/queryTable262.xml"/><Relationship Id="rId221" Type="http://schemas.openxmlformats.org/officeDocument/2006/relationships/queryTable" Target="../queryTables/queryTable467.xml"/><Relationship Id="rId242" Type="http://schemas.openxmlformats.org/officeDocument/2006/relationships/queryTable" Target="../queryTables/queryTable488.xml"/><Relationship Id="rId263" Type="http://schemas.openxmlformats.org/officeDocument/2006/relationships/queryTable" Target="../queryTables/queryTable509.xml"/><Relationship Id="rId284" Type="http://schemas.openxmlformats.org/officeDocument/2006/relationships/queryTable" Target="../queryTables/queryTable530.xml"/><Relationship Id="rId319" Type="http://schemas.openxmlformats.org/officeDocument/2006/relationships/queryTable" Target="../queryTables/queryTable565.xml"/><Relationship Id="rId37" Type="http://schemas.openxmlformats.org/officeDocument/2006/relationships/queryTable" Target="../queryTables/queryTable283.xml"/><Relationship Id="rId58" Type="http://schemas.openxmlformats.org/officeDocument/2006/relationships/queryTable" Target="../queryTables/queryTable304.xml"/><Relationship Id="rId79" Type="http://schemas.openxmlformats.org/officeDocument/2006/relationships/queryTable" Target="../queryTables/queryTable325.xml"/><Relationship Id="rId102" Type="http://schemas.openxmlformats.org/officeDocument/2006/relationships/queryTable" Target="../queryTables/queryTable348.xml"/><Relationship Id="rId123" Type="http://schemas.openxmlformats.org/officeDocument/2006/relationships/queryTable" Target="../queryTables/queryTable369.xml"/><Relationship Id="rId144" Type="http://schemas.openxmlformats.org/officeDocument/2006/relationships/queryTable" Target="../queryTables/queryTable390.xml"/><Relationship Id="rId330" Type="http://schemas.openxmlformats.org/officeDocument/2006/relationships/queryTable" Target="../queryTables/queryTable576.xml"/><Relationship Id="rId90" Type="http://schemas.openxmlformats.org/officeDocument/2006/relationships/queryTable" Target="../queryTables/queryTable336.xml"/><Relationship Id="rId165" Type="http://schemas.openxmlformats.org/officeDocument/2006/relationships/queryTable" Target="../queryTables/queryTable411.xml"/><Relationship Id="rId186" Type="http://schemas.openxmlformats.org/officeDocument/2006/relationships/queryTable" Target="../queryTables/queryTable432.xml"/><Relationship Id="rId351" Type="http://schemas.openxmlformats.org/officeDocument/2006/relationships/queryTable" Target="../queryTables/queryTable597.xml"/><Relationship Id="rId211" Type="http://schemas.openxmlformats.org/officeDocument/2006/relationships/queryTable" Target="../queryTables/queryTable457.xml"/><Relationship Id="rId232" Type="http://schemas.openxmlformats.org/officeDocument/2006/relationships/queryTable" Target="../queryTables/queryTable478.xml"/><Relationship Id="rId253" Type="http://schemas.openxmlformats.org/officeDocument/2006/relationships/queryTable" Target="../queryTables/queryTable499.xml"/><Relationship Id="rId274" Type="http://schemas.openxmlformats.org/officeDocument/2006/relationships/queryTable" Target="../queryTables/queryTable520.xml"/><Relationship Id="rId295" Type="http://schemas.openxmlformats.org/officeDocument/2006/relationships/queryTable" Target="../queryTables/queryTable541.xml"/><Relationship Id="rId309" Type="http://schemas.openxmlformats.org/officeDocument/2006/relationships/queryTable" Target="../queryTables/queryTable555.xml"/><Relationship Id="rId27" Type="http://schemas.openxmlformats.org/officeDocument/2006/relationships/queryTable" Target="../queryTables/queryTable273.xml"/><Relationship Id="rId48" Type="http://schemas.openxmlformats.org/officeDocument/2006/relationships/queryTable" Target="../queryTables/queryTable294.xml"/><Relationship Id="rId69" Type="http://schemas.openxmlformats.org/officeDocument/2006/relationships/queryTable" Target="../queryTables/queryTable315.xml"/><Relationship Id="rId113" Type="http://schemas.openxmlformats.org/officeDocument/2006/relationships/queryTable" Target="../queryTables/queryTable359.xml"/><Relationship Id="rId134" Type="http://schemas.openxmlformats.org/officeDocument/2006/relationships/queryTable" Target="../queryTables/queryTable380.xml"/><Relationship Id="rId320" Type="http://schemas.openxmlformats.org/officeDocument/2006/relationships/queryTable" Target="../queryTables/queryTable566.xml"/><Relationship Id="rId80" Type="http://schemas.openxmlformats.org/officeDocument/2006/relationships/queryTable" Target="../queryTables/queryTable326.xml"/><Relationship Id="rId155" Type="http://schemas.openxmlformats.org/officeDocument/2006/relationships/queryTable" Target="../queryTables/queryTable401.xml"/><Relationship Id="rId176" Type="http://schemas.openxmlformats.org/officeDocument/2006/relationships/queryTable" Target="../queryTables/queryTable422.xml"/><Relationship Id="rId197" Type="http://schemas.openxmlformats.org/officeDocument/2006/relationships/queryTable" Target="../queryTables/queryTable443.xml"/><Relationship Id="rId341" Type="http://schemas.openxmlformats.org/officeDocument/2006/relationships/queryTable" Target="../queryTables/queryTable587.xml"/><Relationship Id="rId201" Type="http://schemas.openxmlformats.org/officeDocument/2006/relationships/queryTable" Target="../queryTables/queryTable447.xml"/><Relationship Id="rId222" Type="http://schemas.openxmlformats.org/officeDocument/2006/relationships/queryTable" Target="../queryTables/queryTable468.xml"/><Relationship Id="rId243" Type="http://schemas.openxmlformats.org/officeDocument/2006/relationships/queryTable" Target="../queryTables/queryTable489.xml"/><Relationship Id="rId264" Type="http://schemas.openxmlformats.org/officeDocument/2006/relationships/queryTable" Target="../queryTables/queryTable510.xml"/><Relationship Id="rId285" Type="http://schemas.openxmlformats.org/officeDocument/2006/relationships/queryTable" Target="../queryTables/queryTable531.xml"/><Relationship Id="rId17" Type="http://schemas.openxmlformats.org/officeDocument/2006/relationships/queryTable" Target="../queryTables/queryTable263.xml"/><Relationship Id="rId38" Type="http://schemas.openxmlformats.org/officeDocument/2006/relationships/queryTable" Target="../queryTables/queryTable284.xml"/><Relationship Id="rId59" Type="http://schemas.openxmlformats.org/officeDocument/2006/relationships/queryTable" Target="../queryTables/queryTable305.xml"/><Relationship Id="rId103" Type="http://schemas.openxmlformats.org/officeDocument/2006/relationships/queryTable" Target="../queryTables/queryTable349.xml"/><Relationship Id="rId124" Type="http://schemas.openxmlformats.org/officeDocument/2006/relationships/queryTable" Target="../queryTables/queryTable370.xml"/><Relationship Id="rId310" Type="http://schemas.openxmlformats.org/officeDocument/2006/relationships/queryTable" Target="../queryTables/queryTable556.xml"/><Relationship Id="rId70" Type="http://schemas.openxmlformats.org/officeDocument/2006/relationships/queryTable" Target="../queryTables/queryTable316.xml"/><Relationship Id="rId91" Type="http://schemas.openxmlformats.org/officeDocument/2006/relationships/queryTable" Target="../queryTables/queryTable337.xml"/><Relationship Id="rId145" Type="http://schemas.openxmlformats.org/officeDocument/2006/relationships/queryTable" Target="../queryTables/queryTable391.xml"/><Relationship Id="rId166" Type="http://schemas.openxmlformats.org/officeDocument/2006/relationships/queryTable" Target="../queryTables/queryTable412.xml"/><Relationship Id="rId187" Type="http://schemas.openxmlformats.org/officeDocument/2006/relationships/queryTable" Target="../queryTables/queryTable433.xml"/><Relationship Id="rId331" Type="http://schemas.openxmlformats.org/officeDocument/2006/relationships/queryTable" Target="../queryTables/queryTable577.xml"/><Relationship Id="rId352" Type="http://schemas.openxmlformats.org/officeDocument/2006/relationships/queryTable" Target="../queryTables/queryTable598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58.xml"/><Relationship Id="rId233" Type="http://schemas.openxmlformats.org/officeDocument/2006/relationships/queryTable" Target="../queryTables/queryTable479.xml"/><Relationship Id="rId254" Type="http://schemas.openxmlformats.org/officeDocument/2006/relationships/queryTable" Target="../queryTables/queryTable500.xml"/><Relationship Id="rId28" Type="http://schemas.openxmlformats.org/officeDocument/2006/relationships/queryTable" Target="../queryTables/queryTable274.xml"/><Relationship Id="rId49" Type="http://schemas.openxmlformats.org/officeDocument/2006/relationships/queryTable" Target="../queryTables/queryTable295.xml"/><Relationship Id="rId114" Type="http://schemas.openxmlformats.org/officeDocument/2006/relationships/queryTable" Target="../queryTables/queryTable360.xml"/><Relationship Id="rId275" Type="http://schemas.openxmlformats.org/officeDocument/2006/relationships/queryTable" Target="../queryTables/queryTable521.xml"/><Relationship Id="rId296" Type="http://schemas.openxmlformats.org/officeDocument/2006/relationships/queryTable" Target="../queryTables/queryTable542.xml"/><Relationship Id="rId300" Type="http://schemas.openxmlformats.org/officeDocument/2006/relationships/queryTable" Target="../queryTables/queryTable546.xml"/><Relationship Id="rId60" Type="http://schemas.openxmlformats.org/officeDocument/2006/relationships/queryTable" Target="../queryTables/queryTable306.xml"/><Relationship Id="rId81" Type="http://schemas.openxmlformats.org/officeDocument/2006/relationships/queryTable" Target="../queryTables/queryTable327.xml"/><Relationship Id="rId135" Type="http://schemas.openxmlformats.org/officeDocument/2006/relationships/queryTable" Target="../queryTables/queryTable381.xml"/><Relationship Id="rId156" Type="http://schemas.openxmlformats.org/officeDocument/2006/relationships/queryTable" Target="../queryTables/queryTable402.xml"/><Relationship Id="rId177" Type="http://schemas.openxmlformats.org/officeDocument/2006/relationships/queryTable" Target="../queryTables/queryTable423.xml"/><Relationship Id="rId198" Type="http://schemas.openxmlformats.org/officeDocument/2006/relationships/queryTable" Target="../queryTables/queryTable444.xml"/><Relationship Id="rId321" Type="http://schemas.openxmlformats.org/officeDocument/2006/relationships/queryTable" Target="../queryTables/queryTable567.xml"/><Relationship Id="rId342" Type="http://schemas.openxmlformats.org/officeDocument/2006/relationships/queryTable" Target="../queryTables/queryTable588.xml"/><Relationship Id="rId202" Type="http://schemas.openxmlformats.org/officeDocument/2006/relationships/queryTable" Target="../queryTables/queryTable448.xml"/><Relationship Id="rId223" Type="http://schemas.openxmlformats.org/officeDocument/2006/relationships/queryTable" Target="../queryTables/queryTable469.xml"/><Relationship Id="rId244" Type="http://schemas.openxmlformats.org/officeDocument/2006/relationships/queryTable" Target="../queryTables/queryTable490.xml"/><Relationship Id="rId18" Type="http://schemas.openxmlformats.org/officeDocument/2006/relationships/queryTable" Target="../queryTables/queryTable264.xml"/><Relationship Id="rId39" Type="http://schemas.openxmlformats.org/officeDocument/2006/relationships/queryTable" Target="../queryTables/queryTable285.xml"/><Relationship Id="rId265" Type="http://schemas.openxmlformats.org/officeDocument/2006/relationships/queryTable" Target="../queryTables/queryTable511.xml"/><Relationship Id="rId286" Type="http://schemas.openxmlformats.org/officeDocument/2006/relationships/queryTable" Target="../queryTables/queryTable532.xml"/><Relationship Id="rId50" Type="http://schemas.openxmlformats.org/officeDocument/2006/relationships/queryTable" Target="../queryTables/queryTable296.xml"/><Relationship Id="rId104" Type="http://schemas.openxmlformats.org/officeDocument/2006/relationships/queryTable" Target="../queryTables/queryTable350.xml"/><Relationship Id="rId125" Type="http://schemas.openxmlformats.org/officeDocument/2006/relationships/queryTable" Target="../queryTables/queryTable371.xml"/><Relationship Id="rId146" Type="http://schemas.openxmlformats.org/officeDocument/2006/relationships/queryTable" Target="../queryTables/queryTable392.xml"/><Relationship Id="rId167" Type="http://schemas.openxmlformats.org/officeDocument/2006/relationships/queryTable" Target="../queryTables/queryTable413.xml"/><Relationship Id="rId188" Type="http://schemas.openxmlformats.org/officeDocument/2006/relationships/queryTable" Target="../queryTables/queryTable434.xml"/><Relationship Id="rId311" Type="http://schemas.openxmlformats.org/officeDocument/2006/relationships/queryTable" Target="../queryTables/queryTable557.xml"/><Relationship Id="rId332" Type="http://schemas.openxmlformats.org/officeDocument/2006/relationships/queryTable" Target="../queryTables/queryTable578.xml"/><Relationship Id="rId353" Type="http://schemas.openxmlformats.org/officeDocument/2006/relationships/queryTable" Target="../queryTables/queryTable599.xml"/><Relationship Id="rId71" Type="http://schemas.openxmlformats.org/officeDocument/2006/relationships/queryTable" Target="../queryTables/queryTable317.xml"/><Relationship Id="rId92" Type="http://schemas.openxmlformats.org/officeDocument/2006/relationships/queryTable" Target="../queryTables/queryTable338.xml"/><Relationship Id="rId213" Type="http://schemas.openxmlformats.org/officeDocument/2006/relationships/queryTable" Target="../queryTables/queryTable459.xml"/><Relationship Id="rId234" Type="http://schemas.openxmlformats.org/officeDocument/2006/relationships/queryTable" Target="../queryTables/queryTable480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5.xml"/><Relationship Id="rId255" Type="http://schemas.openxmlformats.org/officeDocument/2006/relationships/queryTable" Target="../queryTables/queryTable501.xml"/><Relationship Id="rId276" Type="http://schemas.openxmlformats.org/officeDocument/2006/relationships/queryTable" Target="../queryTables/queryTable522.xml"/><Relationship Id="rId297" Type="http://schemas.openxmlformats.org/officeDocument/2006/relationships/queryTable" Target="../queryTables/queryTable543.xml"/><Relationship Id="rId40" Type="http://schemas.openxmlformats.org/officeDocument/2006/relationships/queryTable" Target="../queryTables/queryTable286.xml"/><Relationship Id="rId115" Type="http://schemas.openxmlformats.org/officeDocument/2006/relationships/queryTable" Target="../queryTables/queryTable361.xml"/><Relationship Id="rId136" Type="http://schemas.openxmlformats.org/officeDocument/2006/relationships/queryTable" Target="../queryTables/queryTable382.xml"/><Relationship Id="rId157" Type="http://schemas.openxmlformats.org/officeDocument/2006/relationships/queryTable" Target="../queryTables/queryTable403.xml"/><Relationship Id="rId178" Type="http://schemas.openxmlformats.org/officeDocument/2006/relationships/queryTable" Target="../queryTables/queryTable424.xml"/><Relationship Id="rId301" Type="http://schemas.openxmlformats.org/officeDocument/2006/relationships/queryTable" Target="../queryTables/queryTable547.xml"/><Relationship Id="rId322" Type="http://schemas.openxmlformats.org/officeDocument/2006/relationships/queryTable" Target="../queryTables/queryTable568.xml"/><Relationship Id="rId343" Type="http://schemas.openxmlformats.org/officeDocument/2006/relationships/queryTable" Target="../queryTables/queryTable589.xml"/><Relationship Id="rId61" Type="http://schemas.openxmlformats.org/officeDocument/2006/relationships/queryTable" Target="../queryTables/queryTable307.xml"/><Relationship Id="rId82" Type="http://schemas.openxmlformats.org/officeDocument/2006/relationships/queryTable" Target="../queryTables/queryTable328.xml"/><Relationship Id="rId199" Type="http://schemas.openxmlformats.org/officeDocument/2006/relationships/queryTable" Target="../queryTables/queryTable445.xml"/><Relationship Id="rId203" Type="http://schemas.openxmlformats.org/officeDocument/2006/relationships/queryTable" Target="../queryTables/queryTable449.xml"/><Relationship Id="rId19" Type="http://schemas.openxmlformats.org/officeDocument/2006/relationships/queryTable" Target="../queryTables/queryTable265.xml"/><Relationship Id="rId224" Type="http://schemas.openxmlformats.org/officeDocument/2006/relationships/queryTable" Target="../queryTables/queryTable470.xml"/><Relationship Id="rId245" Type="http://schemas.openxmlformats.org/officeDocument/2006/relationships/queryTable" Target="../queryTables/queryTable491.xml"/><Relationship Id="rId266" Type="http://schemas.openxmlformats.org/officeDocument/2006/relationships/queryTable" Target="../queryTables/queryTable512.xml"/><Relationship Id="rId287" Type="http://schemas.openxmlformats.org/officeDocument/2006/relationships/queryTable" Target="../queryTables/queryTable533.xml"/><Relationship Id="rId30" Type="http://schemas.openxmlformats.org/officeDocument/2006/relationships/queryTable" Target="../queryTables/queryTable276.xml"/><Relationship Id="rId105" Type="http://schemas.openxmlformats.org/officeDocument/2006/relationships/queryTable" Target="../queryTables/queryTable351.xml"/><Relationship Id="rId126" Type="http://schemas.openxmlformats.org/officeDocument/2006/relationships/queryTable" Target="../queryTables/queryTable372.xml"/><Relationship Id="rId147" Type="http://schemas.openxmlformats.org/officeDocument/2006/relationships/queryTable" Target="../queryTables/queryTable393.xml"/><Relationship Id="rId168" Type="http://schemas.openxmlformats.org/officeDocument/2006/relationships/queryTable" Target="../queryTables/queryTable414.xml"/><Relationship Id="rId312" Type="http://schemas.openxmlformats.org/officeDocument/2006/relationships/queryTable" Target="../queryTables/queryTable558.xml"/><Relationship Id="rId333" Type="http://schemas.openxmlformats.org/officeDocument/2006/relationships/queryTable" Target="../queryTables/queryTable579.xml"/><Relationship Id="rId354" Type="http://schemas.openxmlformats.org/officeDocument/2006/relationships/queryTable" Target="../queryTables/queryTable600.xml"/><Relationship Id="rId51" Type="http://schemas.openxmlformats.org/officeDocument/2006/relationships/queryTable" Target="../queryTables/queryTable297.xml"/><Relationship Id="rId72" Type="http://schemas.openxmlformats.org/officeDocument/2006/relationships/queryTable" Target="../queryTables/queryTable318.xml"/><Relationship Id="rId93" Type="http://schemas.openxmlformats.org/officeDocument/2006/relationships/queryTable" Target="../queryTables/queryTable339.xml"/><Relationship Id="rId189" Type="http://schemas.openxmlformats.org/officeDocument/2006/relationships/queryTable" Target="../queryTables/queryTable435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0.xml"/><Relationship Id="rId235" Type="http://schemas.openxmlformats.org/officeDocument/2006/relationships/queryTable" Target="../queryTables/queryTable481.xml"/><Relationship Id="rId256" Type="http://schemas.openxmlformats.org/officeDocument/2006/relationships/queryTable" Target="../queryTables/queryTable502.xml"/><Relationship Id="rId277" Type="http://schemas.openxmlformats.org/officeDocument/2006/relationships/queryTable" Target="../queryTables/queryTable523.xml"/><Relationship Id="rId298" Type="http://schemas.openxmlformats.org/officeDocument/2006/relationships/queryTable" Target="../queryTables/queryTable544.xml"/><Relationship Id="rId116" Type="http://schemas.openxmlformats.org/officeDocument/2006/relationships/queryTable" Target="../queryTables/queryTable362.xml"/><Relationship Id="rId137" Type="http://schemas.openxmlformats.org/officeDocument/2006/relationships/queryTable" Target="../queryTables/queryTable383.xml"/><Relationship Id="rId158" Type="http://schemas.openxmlformats.org/officeDocument/2006/relationships/queryTable" Target="../queryTables/queryTable404.xml"/><Relationship Id="rId302" Type="http://schemas.openxmlformats.org/officeDocument/2006/relationships/queryTable" Target="../queryTables/queryTable548.xml"/><Relationship Id="rId323" Type="http://schemas.openxmlformats.org/officeDocument/2006/relationships/queryTable" Target="../queryTables/queryTable569.xml"/><Relationship Id="rId344" Type="http://schemas.openxmlformats.org/officeDocument/2006/relationships/queryTable" Target="../queryTables/queryTable590.xml"/><Relationship Id="rId20" Type="http://schemas.openxmlformats.org/officeDocument/2006/relationships/queryTable" Target="../queryTables/queryTable266.xml"/><Relationship Id="rId41" Type="http://schemas.openxmlformats.org/officeDocument/2006/relationships/queryTable" Target="../queryTables/queryTable287.xml"/><Relationship Id="rId62" Type="http://schemas.openxmlformats.org/officeDocument/2006/relationships/queryTable" Target="../queryTables/queryTable308.xml"/><Relationship Id="rId83" Type="http://schemas.openxmlformats.org/officeDocument/2006/relationships/queryTable" Target="../queryTables/queryTable329.xml"/><Relationship Id="rId179" Type="http://schemas.openxmlformats.org/officeDocument/2006/relationships/queryTable" Target="../queryTables/queryTable425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16.xml"/><Relationship Id="rId299" Type="http://schemas.openxmlformats.org/officeDocument/2006/relationships/queryTable" Target="../queryTables/queryTable898.xml"/><Relationship Id="rId21" Type="http://schemas.openxmlformats.org/officeDocument/2006/relationships/queryTable" Target="../queryTables/queryTable620.xml"/><Relationship Id="rId63" Type="http://schemas.openxmlformats.org/officeDocument/2006/relationships/queryTable" Target="../queryTables/queryTable662.xml"/><Relationship Id="rId159" Type="http://schemas.openxmlformats.org/officeDocument/2006/relationships/queryTable" Target="../queryTables/queryTable758.xml"/><Relationship Id="rId324" Type="http://schemas.openxmlformats.org/officeDocument/2006/relationships/queryTable" Target="../queryTables/queryTable923.xml"/><Relationship Id="rId366" Type="http://schemas.openxmlformats.org/officeDocument/2006/relationships/queryTable" Target="../queryTables/queryTable965.xml"/><Relationship Id="rId170" Type="http://schemas.openxmlformats.org/officeDocument/2006/relationships/queryTable" Target="../queryTables/queryTable769.xml"/><Relationship Id="rId226" Type="http://schemas.openxmlformats.org/officeDocument/2006/relationships/queryTable" Target="../queryTables/queryTable825.xml"/><Relationship Id="rId433" Type="http://schemas.openxmlformats.org/officeDocument/2006/relationships/queryTable" Target="../queryTables/queryTable1032.xml"/><Relationship Id="rId268" Type="http://schemas.openxmlformats.org/officeDocument/2006/relationships/queryTable" Target="../queryTables/queryTable867.xml"/><Relationship Id="rId32" Type="http://schemas.openxmlformats.org/officeDocument/2006/relationships/queryTable" Target="../queryTables/queryTable631.xml"/><Relationship Id="rId74" Type="http://schemas.openxmlformats.org/officeDocument/2006/relationships/queryTable" Target="../queryTables/queryTable673.xml"/><Relationship Id="rId128" Type="http://schemas.openxmlformats.org/officeDocument/2006/relationships/queryTable" Target="../queryTables/queryTable727.xml"/><Relationship Id="rId335" Type="http://schemas.openxmlformats.org/officeDocument/2006/relationships/queryTable" Target="../queryTables/queryTable934.xml"/><Relationship Id="rId377" Type="http://schemas.openxmlformats.org/officeDocument/2006/relationships/queryTable" Target="../queryTables/queryTable976.xml"/><Relationship Id="rId5" Type="http://schemas.openxmlformats.org/officeDocument/2006/relationships/queryTable" Target="../queryTables/queryTable604.xml"/><Relationship Id="rId181" Type="http://schemas.openxmlformats.org/officeDocument/2006/relationships/queryTable" Target="../queryTables/queryTable780.xml"/><Relationship Id="rId237" Type="http://schemas.openxmlformats.org/officeDocument/2006/relationships/queryTable" Target="../queryTables/queryTable836.xml"/><Relationship Id="rId402" Type="http://schemas.openxmlformats.org/officeDocument/2006/relationships/queryTable" Target="../queryTables/queryTable1001.xml"/><Relationship Id="rId279" Type="http://schemas.openxmlformats.org/officeDocument/2006/relationships/queryTable" Target="../queryTables/queryTable878.xml"/><Relationship Id="rId444" Type="http://schemas.openxmlformats.org/officeDocument/2006/relationships/queryTable" Target="../queryTables/queryTable1043.xml"/><Relationship Id="rId43" Type="http://schemas.openxmlformats.org/officeDocument/2006/relationships/queryTable" Target="../queryTables/queryTable642.xml"/><Relationship Id="rId139" Type="http://schemas.openxmlformats.org/officeDocument/2006/relationships/queryTable" Target="../queryTables/queryTable738.xml"/><Relationship Id="rId290" Type="http://schemas.openxmlformats.org/officeDocument/2006/relationships/queryTable" Target="../queryTables/queryTable889.xml"/><Relationship Id="rId304" Type="http://schemas.openxmlformats.org/officeDocument/2006/relationships/queryTable" Target="../queryTables/queryTable903.xml"/><Relationship Id="rId346" Type="http://schemas.openxmlformats.org/officeDocument/2006/relationships/queryTable" Target="../queryTables/queryTable945.xml"/><Relationship Id="rId388" Type="http://schemas.openxmlformats.org/officeDocument/2006/relationships/queryTable" Target="../queryTables/queryTable987.xml"/><Relationship Id="rId85" Type="http://schemas.openxmlformats.org/officeDocument/2006/relationships/queryTable" Target="../queryTables/queryTable684.xml"/><Relationship Id="rId150" Type="http://schemas.openxmlformats.org/officeDocument/2006/relationships/queryTable" Target="../queryTables/queryTable749.xml"/><Relationship Id="rId192" Type="http://schemas.openxmlformats.org/officeDocument/2006/relationships/queryTable" Target="../queryTables/queryTable791.xml"/><Relationship Id="rId206" Type="http://schemas.openxmlformats.org/officeDocument/2006/relationships/queryTable" Target="../queryTables/queryTable805.xml"/><Relationship Id="rId413" Type="http://schemas.openxmlformats.org/officeDocument/2006/relationships/queryTable" Target="../queryTables/queryTable1012.xml"/><Relationship Id="rId248" Type="http://schemas.openxmlformats.org/officeDocument/2006/relationships/queryTable" Target="../queryTables/queryTable847.xml"/><Relationship Id="rId12" Type="http://schemas.openxmlformats.org/officeDocument/2006/relationships/queryTable" Target="../queryTables/queryTable611.xml"/><Relationship Id="rId33" Type="http://schemas.openxmlformats.org/officeDocument/2006/relationships/queryTable" Target="../queryTables/queryTable632.xml"/><Relationship Id="rId108" Type="http://schemas.openxmlformats.org/officeDocument/2006/relationships/queryTable" Target="../queryTables/queryTable707.xml"/><Relationship Id="rId129" Type="http://schemas.openxmlformats.org/officeDocument/2006/relationships/queryTable" Target="../queryTables/queryTable728.xml"/><Relationship Id="rId280" Type="http://schemas.openxmlformats.org/officeDocument/2006/relationships/queryTable" Target="../queryTables/queryTable879.xml"/><Relationship Id="rId315" Type="http://schemas.openxmlformats.org/officeDocument/2006/relationships/queryTable" Target="../queryTables/queryTable914.xml"/><Relationship Id="rId336" Type="http://schemas.openxmlformats.org/officeDocument/2006/relationships/queryTable" Target="../queryTables/queryTable935.xml"/><Relationship Id="rId357" Type="http://schemas.openxmlformats.org/officeDocument/2006/relationships/queryTable" Target="../queryTables/queryTable956.xml"/><Relationship Id="rId54" Type="http://schemas.openxmlformats.org/officeDocument/2006/relationships/queryTable" Target="../queryTables/queryTable653.xml"/><Relationship Id="rId75" Type="http://schemas.openxmlformats.org/officeDocument/2006/relationships/queryTable" Target="../queryTables/queryTable674.xml"/><Relationship Id="rId96" Type="http://schemas.openxmlformats.org/officeDocument/2006/relationships/queryTable" Target="../queryTables/queryTable695.xml"/><Relationship Id="rId140" Type="http://schemas.openxmlformats.org/officeDocument/2006/relationships/queryTable" Target="../queryTables/queryTable739.xml"/><Relationship Id="rId161" Type="http://schemas.openxmlformats.org/officeDocument/2006/relationships/queryTable" Target="../queryTables/queryTable760.xml"/><Relationship Id="rId182" Type="http://schemas.openxmlformats.org/officeDocument/2006/relationships/queryTable" Target="../queryTables/queryTable781.xml"/><Relationship Id="rId217" Type="http://schemas.openxmlformats.org/officeDocument/2006/relationships/queryTable" Target="../queryTables/queryTable816.xml"/><Relationship Id="rId378" Type="http://schemas.openxmlformats.org/officeDocument/2006/relationships/queryTable" Target="../queryTables/queryTable977.xml"/><Relationship Id="rId399" Type="http://schemas.openxmlformats.org/officeDocument/2006/relationships/queryTable" Target="../queryTables/queryTable998.xml"/><Relationship Id="rId403" Type="http://schemas.openxmlformats.org/officeDocument/2006/relationships/queryTable" Target="../queryTables/queryTable1002.xml"/><Relationship Id="rId6" Type="http://schemas.openxmlformats.org/officeDocument/2006/relationships/queryTable" Target="../queryTables/queryTable605.xml"/><Relationship Id="rId238" Type="http://schemas.openxmlformats.org/officeDocument/2006/relationships/queryTable" Target="../queryTables/queryTable837.xml"/><Relationship Id="rId259" Type="http://schemas.openxmlformats.org/officeDocument/2006/relationships/queryTable" Target="../queryTables/queryTable858.xml"/><Relationship Id="rId424" Type="http://schemas.openxmlformats.org/officeDocument/2006/relationships/queryTable" Target="../queryTables/queryTable1023.xml"/><Relationship Id="rId23" Type="http://schemas.openxmlformats.org/officeDocument/2006/relationships/queryTable" Target="../queryTables/queryTable622.xml"/><Relationship Id="rId119" Type="http://schemas.openxmlformats.org/officeDocument/2006/relationships/queryTable" Target="../queryTables/queryTable718.xml"/><Relationship Id="rId270" Type="http://schemas.openxmlformats.org/officeDocument/2006/relationships/queryTable" Target="../queryTables/queryTable869.xml"/><Relationship Id="rId291" Type="http://schemas.openxmlformats.org/officeDocument/2006/relationships/queryTable" Target="../queryTables/queryTable890.xml"/><Relationship Id="rId305" Type="http://schemas.openxmlformats.org/officeDocument/2006/relationships/queryTable" Target="../queryTables/queryTable904.xml"/><Relationship Id="rId326" Type="http://schemas.openxmlformats.org/officeDocument/2006/relationships/queryTable" Target="../queryTables/queryTable925.xml"/><Relationship Id="rId347" Type="http://schemas.openxmlformats.org/officeDocument/2006/relationships/queryTable" Target="../queryTables/queryTable946.xml"/><Relationship Id="rId44" Type="http://schemas.openxmlformats.org/officeDocument/2006/relationships/queryTable" Target="../queryTables/queryTable643.xml"/><Relationship Id="rId65" Type="http://schemas.openxmlformats.org/officeDocument/2006/relationships/queryTable" Target="../queryTables/queryTable664.xml"/><Relationship Id="rId86" Type="http://schemas.openxmlformats.org/officeDocument/2006/relationships/queryTable" Target="../queryTables/queryTable685.xml"/><Relationship Id="rId130" Type="http://schemas.openxmlformats.org/officeDocument/2006/relationships/queryTable" Target="../queryTables/queryTable729.xml"/><Relationship Id="rId151" Type="http://schemas.openxmlformats.org/officeDocument/2006/relationships/queryTable" Target="../queryTables/queryTable750.xml"/><Relationship Id="rId368" Type="http://schemas.openxmlformats.org/officeDocument/2006/relationships/queryTable" Target="../queryTables/queryTable967.xml"/><Relationship Id="rId389" Type="http://schemas.openxmlformats.org/officeDocument/2006/relationships/queryTable" Target="../queryTables/queryTable988.xml"/><Relationship Id="rId172" Type="http://schemas.openxmlformats.org/officeDocument/2006/relationships/queryTable" Target="../queryTables/queryTable771.xml"/><Relationship Id="rId193" Type="http://schemas.openxmlformats.org/officeDocument/2006/relationships/queryTable" Target="../queryTables/queryTable792.xml"/><Relationship Id="rId207" Type="http://schemas.openxmlformats.org/officeDocument/2006/relationships/queryTable" Target="../queryTables/queryTable806.xml"/><Relationship Id="rId228" Type="http://schemas.openxmlformats.org/officeDocument/2006/relationships/queryTable" Target="../queryTables/queryTable827.xml"/><Relationship Id="rId249" Type="http://schemas.openxmlformats.org/officeDocument/2006/relationships/queryTable" Target="../queryTables/queryTable848.xml"/><Relationship Id="rId414" Type="http://schemas.openxmlformats.org/officeDocument/2006/relationships/queryTable" Target="../queryTables/queryTable1013.xml"/><Relationship Id="rId435" Type="http://schemas.openxmlformats.org/officeDocument/2006/relationships/queryTable" Target="../queryTables/queryTable1034.xml"/><Relationship Id="rId13" Type="http://schemas.openxmlformats.org/officeDocument/2006/relationships/queryTable" Target="../queryTables/queryTable612.xml"/><Relationship Id="rId109" Type="http://schemas.openxmlformats.org/officeDocument/2006/relationships/queryTable" Target="../queryTables/queryTable708.xml"/><Relationship Id="rId260" Type="http://schemas.openxmlformats.org/officeDocument/2006/relationships/queryTable" Target="../queryTables/queryTable859.xml"/><Relationship Id="rId281" Type="http://schemas.openxmlformats.org/officeDocument/2006/relationships/queryTable" Target="../queryTables/queryTable880.xml"/><Relationship Id="rId316" Type="http://schemas.openxmlformats.org/officeDocument/2006/relationships/queryTable" Target="../queryTables/queryTable915.xml"/><Relationship Id="rId337" Type="http://schemas.openxmlformats.org/officeDocument/2006/relationships/queryTable" Target="../queryTables/queryTable936.xml"/><Relationship Id="rId34" Type="http://schemas.openxmlformats.org/officeDocument/2006/relationships/queryTable" Target="../queryTables/queryTable633.xml"/><Relationship Id="rId55" Type="http://schemas.openxmlformats.org/officeDocument/2006/relationships/queryTable" Target="../queryTables/queryTable654.xml"/><Relationship Id="rId76" Type="http://schemas.openxmlformats.org/officeDocument/2006/relationships/queryTable" Target="../queryTables/queryTable675.xml"/><Relationship Id="rId97" Type="http://schemas.openxmlformats.org/officeDocument/2006/relationships/queryTable" Target="../queryTables/queryTable696.xml"/><Relationship Id="rId120" Type="http://schemas.openxmlformats.org/officeDocument/2006/relationships/queryTable" Target="../queryTables/queryTable719.xml"/><Relationship Id="rId141" Type="http://schemas.openxmlformats.org/officeDocument/2006/relationships/queryTable" Target="../queryTables/queryTable740.xml"/><Relationship Id="rId358" Type="http://schemas.openxmlformats.org/officeDocument/2006/relationships/queryTable" Target="../queryTables/queryTable957.xml"/><Relationship Id="rId379" Type="http://schemas.openxmlformats.org/officeDocument/2006/relationships/queryTable" Target="../queryTables/queryTable978.xml"/><Relationship Id="rId7" Type="http://schemas.openxmlformats.org/officeDocument/2006/relationships/queryTable" Target="../queryTables/queryTable606.xml"/><Relationship Id="rId162" Type="http://schemas.openxmlformats.org/officeDocument/2006/relationships/queryTable" Target="../queryTables/queryTable761.xml"/><Relationship Id="rId183" Type="http://schemas.openxmlformats.org/officeDocument/2006/relationships/queryTable" Target="../queryTables/queryTable782.xml"/><Relationship Id="rId218" Type="http://schemas.openxmlformats.org/officeDocument/2006/relationships/queryTable" Target="../queryTables/queryTable817.xml"/><Relationship Id="rId239" Type="http://schemas.openxmlformats.org/officeDocument/2006/relationships/queryTable" Target="../queryTables/queryTable838.xml"/><Relationship Id="rId390" Type="http://schemas.openxmlformats.org/officeDocument/2006/relationships/queryTable" Target="../queryTables/queryTable989.xml"/><Relationship Id="rId404" Type="http://schemas.openxmlformats.org/officeDocument/2006/relationships/queryTable" Target="../queryTables/queryTable1003.xml"/><Relationship Id="rId425" Type="http://schemas.openxmlformats.org/officeDocument/2006/relationships/queryTable" Target="../queryTables/queryTable1024.xml"/><Relationship Id="rId250" Type="http://schemas.openxmlformats.org/officeDocument/2006/relationships/queryTable" Target="../queryTables/queryTable849.xml"/><Relationship Id="rId271" Type="http://schemas.openxmlformats.org/officeDocument/2006/relationships/queryTable" Target="../queryTables/queryTable870.xml"/><Relationship Id="rId292" Type="http://schemas.openxmlformats.org/officeDocument/2006/relationships/queryTable" Target="../queryTables/queryTable891.xml"/><Relationship Id="rId306" Type="http://schemas.openxmlformats.org/officeDocument/2006/relationships/queryTable" Target="../queryTables/queryTable905.xml"/><Relationship Id="rId24" Type="http://schemas.openxmlformats.org/officeDocument/2006/relationships/queryTable" Target="../queryTables/queryTable623.xml"/><Relationship Id="rId45" Type="http://schemas.openxmlformats.org/officeDocument/2006/relationships/queryTable" Target="../queryTables/queryTable644.xml"/><Relationship Id="rId66" Type="http://schemas.openxmlformats.org/officeDocument/2006/relationships/queryTable" Target="../queryTables/queryTable665.xml"/><Relationship Id="rId87" Type="http://schemas.openxmlformats.org/officeDocument/2006/relationships/queryTable" Target="../queryTables/queryTable686.xml"/><Relationship Id="rId110" Type="http://schemas.openxmlformats.org/officeDocument/2006/relationships/queryTable" Target="../queryTables/queryTable709.xml"/><Relationship Id="rId131" Type="http://schemas.openxmlformats.org/officeDocument/2006/relationships/queryTable" Target="../queryTables/queryTable730.xml"/><Relationship Id="rId327" Type="http://schemas.openxmlformats.org/officeDocument/2006/relationships/queryTable" Target="../queryTables/queryTable926.xml"/><Relationship Id="rId348" Type="http://schemas.openxmlformats.org/officeDocument/2006/relationships/queryTable" Target="../queryTables/queryTable947.xml"/><Relationship Id="rId369" Type="http://schemas.openxmlformats.org/officeDocument/2006/relationships/queryTable" Target="../queryTables/queryTable968.xml"/><Relationship Id="rId152" Type="http://schemas.openxmlformats.org/officeDocument/2006/relationships/queryTable" Target="../queryTables/queryTable751.xml"/><Relationship Id="rId173" Type="http://schemas.openxmlformats.org/officeDocument/2006/relationships/queryTable" Target="../queryTables/queryTable772.xml"/><Relationship Id="rId194" Type="http://schemas.openxmlformats.org/officeDocument/2006/relationships/queryTable" Target="../queryTables/queryTable793.xml"/><Relationship Id="rId208" Type="http://schemas.openxmlformats.org/officeDocument/2006/relationships/queryTable" Target="../queryTables/queryTable807.xml"/><Relationship Id="rId229" Type="http://schemas.openxmlformats.org/officeDocument/2006/relationships/queryTable" Target="../queryTables/queryTable828.xml"/><Relationship Id="rId380" Type="http://schemas.openxmlformats.org/officeDocument/2006/relationships/queryTable" Target="../queryTables/queryTable979.xml"/><Relationship Id="rId415" Type="http://schemas.openxmlformats.org/officeDocument/2006/relationships/queryTable" Target="../queryTables/queryTable1014.xml"/><Relationship Id="rId436" Type="http://schemas.openxmlformats.org/officeDocument/2006/relationships/queryTable" Target="../queryTables/queryTable1035.xml"/><Relationship Id="rId240" Type="http://schemas.openxmlformats.org/officeDocument/2006/relationships/queryTable" Target="../queryTables/queryTable839.xml"/><Relationship Id="rId261" Type="http://schemas.openxmlformats.org/officeDocument/2006/relationships/queryTable" Target="../queryTables/queryTable860.xml"/><Relationship Id="rId14" Type="http://schemas.openxmlformats.org/officeDocument/2006/relationships/queryTable" Target="../queryTables/queryTable613.xml"/><Relationship Id="rId35" Type="http://schemas.openxmlformats.org/officeDocument/2006/relationships/queryTable" Target="../queryTables/queryTable634.xml"/><Relationship Id="rId56" Type="http://schemas.openxmlformats.org/officeDocument/2006/relationships/queryTable" Target="../queryTables/queryTable655.xml"/><Relationship Id="rId77" Type="http://schemas.openxmlformats.org/officeDocument/2006/relationships/queryTable" Target="../queryTables/queryTable676.xml"/><Relationship Id="rId100" Type="http://schemas.openxmlformats.org/officeDocument/2006/relationships/queryTable" Target="../queryTables/queryTable699.xml"/><Relationship Id="rId282" Type="http://schemas.openxmlformats.org/officeDocument/2006/relationships/queryTable" Target="../queryTables/queryTable881.xml"/><Relationship Id="rId317" Type="http://schemas.openxmlformats.org/officeDocument/2006/relationships/queryTable" Target="../queryTables/queryTable916.xml"/><Relationship Id="rId338" Type="http://schemas.openxmlformats.org/officeDocument/2006/relationships/queryTable" Target="../queryTables/queryTable937.xml"/><Relationship Id="rId359" Type="http://schemas.openxmlformats.org/officeDocument/2006/relationships/queryTable" Target="../queryTables/queryTable958.xml"/><Relationship Id="rId8" Type="http://schemas.openxmlformats.org/officeDocument/2006/relationships/queryTable" Target="../queryTables/queryTable607.xml"/><Relationship Id="rId98" Type="http://schemas.openxmlformats.org/officeDocument/2006/relationships/queryTable" Target="../queryTables/queryTable697.xml"/><Relationship Id="rId121" Type="http://schemas.openxmlformats.org/officeDocument/2006/relationships/queryTable" Target="../queryTables/queryTable720.xml"/><Relationship Id="rId142" Type="http://schemas.openxmlformats.org/officeDocument/2006/relationships/queryTable" Target="../queryTables/queryTable741.xml"/><Relationship Id="rId163" Type="http://schemas.openxmlformats.org/officeDocument/2006/relationships/queryTable" Target="../queryTables/queryTable762.xml"/><Relationship Id="rId184" Type="http://schemas.openxmlformats.org/officeDocument/2006/relationships/queryTable" Target="../queryTables/queryTable783.xml"/><Relationship Id="rId219" Type="http://schemas.openxmlformats.org/officeDocument/2006/relationships/queryTable" Target="../queryTables/queryTable818.xml"/><Relationship Id="rId370" Type="http://schemas.openxmlformats.org/officeDocument/2006/relationships/queryTable" Target="../queryTables/queryTable969.xml"/><Relationship Id="rId391" Type="http://schemas.openxmlformats.org/officeDocument/2006/relationships/queryTable" Target="../queryTables/queryTable990.xml"/><Relationship Id="rId405" Type="http://schemas.openxmlformats.org/officeDocument/2006/relationships/queryTable" Target="../queryTables/queryTable1004.xml"/><Relationship Id="rId426" Type="http://schemas.openxmlformats.org/officeDocument/2006/relationships/queryTable" Target="../queryTables/queryTable1025.xml"/><Relationship Id="rId230" Type="http://schemas.openxmlformats.org/officeDocument/2006/relationships/queryTable" Target="../queryTables/queryTable829.xml"/><Relationship Id="rId251" Type="http://schemas.openxmlformats.org/officeDocument/2006/relationships/queryTable" Target="../queryTables/queryTable850.xml"/><Relationship Id="rId25" Type="http://schemas.openxmlformats.org/officeDocument/2006/relationships/queryTable" Target="../queryTables/queryTable624.xml"/><Relationship Id="rId46" Type="http://schemas.openxmlformats.org/officeDocument/2006/relationships/queryTable" Target="../queryTables/queryTable645.xml"/><Relationship Id="rId67" Type="http://schemas.openxmlformats.org/officeDocument/2006/relationships/queryTable" Target="../queryTables/queryTable666.xml"/><Relationship Id="rId272" Type="http://schemas.openxmlformats.org/officeDocument/2006/relationships/queryTable" Target="../queryTables/queryTable871.xml"/><Relationship Id="rId293" Type="http://schemas.openxmlformats.org/officeDocument/2006/relationships/queryTable" Target="../queryTables/queryTable892.xml"/><Relationship Id="rId307" Type="http://schemas.openxmlformats.org/officeDocument/2006/relationships/queryTable" Target="../queryTables/queryTable906.xml"/><Relationship Id="rId328" Type="http://schemas.openxmlformats.org/officeDocument/2006/relationships/queryTable" Target="../queryTables/queryTable927.xml"/><Relationship Id="rId349" Type="http://schemas.openxmlformats.org/officeDocument/2006/relationships/queryTable" Target="../queryTables/queryTable948.xml"/><Relationship Id="rId88" Type="http://schemas.openxmlformats.org/officeDocument/2006/relationships/queryTable" Target="../queryTables/queryTable687.xml"/><Relationship Id="rId111" Type="http://schemas.openxmlformats.org/officeDocument/2006/relationships/queryTable" Target="../queryTables/queryTable710.xml"/><Relationship Id="rId132" Type="http://schemas.openxmlformats.org/officeDocument/2006/relationships/queryTable" Target="../queryTables/queryTable731.xml"/><Relationship Id="rId153" Type="http://schemas.openxmlformats.org/officeDocument/2006/relationships/queryTable" Target="../queryTables/queryTable752.xml"/><Relationship Id="rId174" Type="http://schemas.openxmlformats.org/officeDocument/2006/relationships/queryTable" Target="../queryTables/queryTable773.xml"/><Relationship Id="rId195" Type="http://schemas.openxmlformats.org/officeDocument/2006/relationships/queryTable" Target="../queryTables/queryTable794.xml"/><Relationship Id="rId209" Type="http://schemas.openxmlformats.org/officeDocument/2006/relationships/queryTable" Target="../queryTables/queryTable808.xml"/><Relationship Id="rId360" Type="http://schemas.openxmlformats.org/officeDocument/2006/relationships/queryTable" Target="../queryTables/queryTable959.xml"/><Relationship Id="rId381" Type="http://schemas.openxmlformats.org/officeDocument/2006/relationships/queryTable" Target="../queryTables/queryTable980.xml"/><Relationship Id="rId416" Type="http://schemas.openxmlformats.org/officeDocument/2006/relationships/queryTable" Target="../queryTables/queryTable1015.xml"/><Relationship Id="rId220" Type="http://schemas.openxmlformats.org/officeDocument/2006/relationships/queryTable" Target="../queryTables/queryTable819.xml"/><Relationship Id="rId241" Type="http://schemas.openxmlformats.org/officeDocument/2006/relationships/queryTable" Target="../queryTables/queryTable840.xml"/><Relationship Id="rId437" Type="http://schemas.openxmlformats.org/officeDocument/2006/relationships/queryTable" Target="../queryTables/queryTable1036.xml"/><Relationship Id="rId15" Type="http://schemas.openxmlformats.org/officeDocument/2006/relationships/queryTable" Target="../queryTables/queryTable614.xml"/><Relationship Id="rId36" Type="http://schemas.openxmlformats.org/officeDocument/2006/relationships/queryTable" Target="../queryTables/queryTable635.xml"/><Relationship Id="rId57" Type="http://schemas.openxmlformats.org/officeDocument/2006/relationships/queryTable" Target="../queryTables/queryTable656.xml"/><Relationship Id="rId262" Type="http://schemas.openxmlformats.org/officeDocument/2006/relationships/queryTable" Target="../queryTables/queryTable861.xml"/><Relationship Id="rId283" Type="http://schemas.openxmlformats.org/officeDocument/2006/relationships/queryTable" Target="../queryTables/queryTable882.xml"/><Relationship Id="rId318" Type="http://schemas.openxmlformats.org/officeDocument/2006/relationships/queryTable" Target="../queryTables/queryTable917.xml"/><Relationship Id="rId339" Type="http://schemas.openxmlformats.org/officeDocument/2006/relationships/queryTable" Target="../queryTables/queryTable938.xml"/><Relationship Id="rId78" Type="http://schemas.openxmlformats.org/officeDocument/2006/relationships/queryTable" Target="../queryTables/queryTable677.xml"/><Relationship Id="rId99" Type="http://schemas.openxmlformats.org/officeDocument/2006/relationships/queryTable" Target="../queryTables/queryTable698.xml"/><Relationship Id="rId101" Type="http://schemas.openxmlformats.org/officeDocument/2006/relationships/queryTable" Target="../queryTables/queryTable700.xml"/><Relationship Id="rId122" Type="http://schemas.openxmlformats.org/officeDocument/2006/relationships/queryTable" Target="../queryTables/queryTable721.xml"/><Relationship Id="rId143" Type="http://schemas.openxmlformats.org/officeDocument/2006/relationships/queryTable" Target="../queryTables/queryTable742.xml"/><Relationship Id="rId164" Type="http://schemas.openxmlformats.org/officeDocument/2006/relationships/queryTable" Target="../queryTables/queryTable763.xml"/><Relationship Id="rId185" Type="http://schemas.openxmlformats.org/officeDocument/2006/relationships/queryTable" Target="../queryTables/queryTable784.xml"/><Relationship Id="rId350" Type="http://schemas.openxmlformats.org/officeDocument/2006/relationships/queryTable" Target="../queryTables/queryTable949.xml"/><Relationship Id="rId371" Type="http://schemas.openxmlformats.org/officeDocument/2006/relationships/queryTable" Target="../queryTables/queryTable970.xml"/><Relationship Id="rId406" Type="http://schemas.openxmlformats.org/officeDocument/2006/relationships/queryTable" Target="../queryTables/queryTable1005.xml"/><Relationship Id="rId9" Type="http://schemas.openxmlformats.org/officeDocument/2006/relationships/queryTable" Target="../queryTables/queryTable608.xml"/><Relationship Id="rId210" Type="http://schemas.openxmlformats.org/officeDocument/2006/relationships/queryTable" Target="../queryTables/queryTable809.xml"/><Relationship Id="rId392" Type="http://schemas.openxmlformats.org/officeDocument/2006/relationships/queryTable" Target="../queryTables/queryTable991.xml"/><Relationship Id="rId427" Type="http://schemas.openxmlformats.org/officeDocument/2006/relationships/queryTable" Target="../queryTables/queryTable1026.xml"/><Relationship Id="rId26" Type="http://schemas.openxmlformats.org/officeDocument/2006/relationships/queryTable" Target="../queryTables/queryTable625.xml"/><Relationship Id="rId231" Type="http://schemas.openxmlformats.org/officeDocument/2006/relationships/queryTable" Target="../queryTables/queryTable830.xml"/><Relationship Id="rId252" Type="http://schemas.openxmlformats.org/officeDocument/2006/relationships/queryTable" Target="../queryTables/queryTable851.xml"/><Relationship Id="rId273" Type="http://schemas.openxmlformats.org/officeDocument/2006/relationships/queryTable" Target="../queryTables/queryTable872.xml"/><Relationship Id="rId294" Type="http://schemas.openxmlformats.org/officeDocument/2006/relationships/queryTable" Target="../queryTables/queryTable893.xml"/><Relationship Id="rId308" Type="http://schemas.openxmlformats.org/officeDocument/2006/relationships/queryTable" Target="../queryTables/queryTable907.xml"/><Relationship Id="rId329" Type="http://schemas.openxmlformats.org/officeDocument/2006/relationships/queryTable" Target="../queryTables/queryTable928.xml"/><Relationship Id="rId47" Type="http://schemas.openxmlformats.org/officeDocument/2006/relationships/queryTable" Target="../queryTables/queryTable646.xml"/><Relationship Id="rId68" Type="http://schemas.openxmlformats.org/officeDocument/2006/relationships/queryTable" Target="../queryTables/queryTable667.xml"/><Relationship Id="rId89" Type="http://schemas.openxmlformats.org/officeDocument/2006/relationships/queryTable" Target="../queryTables/queryTable688.xml"/><Relationship Id="rId112" Type="http://schemas.openxmlformats.org/officeDocument/2006/relationships/queryTable" Target="../queryTables/queryTable711.xml"/><Relationship Id="rId133" Type="http://schemas.openxmlformats.org/officeDocument/2006/relationships/queryTable" Target="../queryTables/queryTable732.xml"/><Relationship Id="rId154" Type="http://schemas.openxmlformats.org/officeDocument/2006/relationships/queryTable" Target="../queryTables/queryTable753.xml"/><Relationship Id="rId175" Type="http://schemas.openxmlformats.org/officeDocument/2006/relationships/queryTable" Target="../queryTables/queryTable774.xml"/><Relationship Id="rId340" Type="http://schemas.openxmlformats.org/officeDocument/2006/relationships/queryTable" Target="../queryTables/queryTable939.xml"/><Relationship Id="rId361" Type="http://schemas.openxmlformats.org/officeDocument/2006/relationships/queryTable" Target="../queryTables/queryTable960.xml"/><Relationship Id="rId196" Type="http://schemas.openxmlformats.org/officeDocument/2006/relationships/queryTable" Target="../queryTables/queryTable795.xml"/><Relationship Id="rId200" Type="http://schemas.openxmlformats.org/officeDocument/2006/relationships/queryTable" Target="../queryTables/queryTable799.xml"/><Relationship Id="rId382" Type="http://schemas.openxmlformats.org/officeDocument/2006/relationships/queryTable" Target="../queryTables/queryTable981.xml"/><Relationship Id="rId417" Type="http://schemas.openxmlformats.org/officeDocument/2006/relationships/queryTable" Target="../queryTables/queryTable1016.xml"/><Relationship Id="rId438" Type="http://schemas.openxmlformats.org/officeDocument/2006/relationships/queryTable" Target="../queryTables/queryTable1037.xml"/><Relationship Id="rId16" Type="http://schemas.openxmlformats.org/officeDocument/2006/relationships/queryTable" Target="../queryTables/queryTable615.xml"/><Relationship Id="rId221" Type="http://schemas.openxmlformats.org/officeDocument/2006/relationships/queryTable" Target="../queryTables/queryTable820.xml"/><Relationship Id="rId242" Type="http://schemas.openxmlformats.org/officeDocument/2006/relationships/queryTable" Target="../queryTables/queryTable841.xml"/><Relationship Id="rId263" Type="http://schemas.openxmlformats.org/officeDocument/2006/relationships/queryTable" Target="../queryTables/queryTable862.xml"/><Relationship Id="rId284" Type="http://schemas.openxmlformats.org/officeDocument/2006/relationships/queryTable" Target="../queryTables/queryTable883.xml"/><Relationship Id="rId319" Type="http://schemas.openxmlformats.org/officeDocument/2006/relationships/queryTable" Target="../queryTables/queryTable918.xml"/><Relationship Id="rId37" Type="http://schemas.openxmlformats.org/officeDocument/2006/relationships/queryTable" Target="../queryTables/queryTable636.xml"/><Relationship Id="rId58" Type="http://schemas.openxmlformats.org/officeDocument/2006/relationships/queryTable" Target="../queryTables/queryTable657.xml"/><Relationship Id="rId79" Type="http://schemas.openxmlformats.org/officeDocument/2006/relationships/queryTable" Target="../queryTables/queryTable678.xml"/><Relationship Id="rId102" Type="http://schemas.openxmlformats.org/officeDocument/2006/relationships/queryTable" Target="../queryTables/queryTable701.xml"/><Relationship Id="rId123" Type="http://schemas.openxmlformats.org/officeDocument/2006/relationships/queryTable" Target="../queryTables/queryTable722.xml"/><Relationship Id="rId144" Type="http://schemas.openxmlformats.org/officeDocument/2006/relationships/queryTable" Target="../queryTables/queryTable743.xml"/><Relationship Id="rId330" Type="http://schemas.openxmlformats.org/officeDocument/2006/relationships/queryTable" Target="../queryTables/queryTable929.xml"/><Relationship Id="rId90" Type="http://schemas.openxmlformats.org/officeDocument/2006/relationships/queryTable" Target="../queryTables/queryTable689.xml"/><Relationship Id="rId165" Type="http://schemas.openxmlformats.org/officeDocument/2006/relationships/queryTable" Target="../queryTables/queryTable764.xml"/><Relationship Id="rId186" Type="http://schemas.openxmlformats.org/officeDocument/2006/relationships/queryTable" Target="../queryTables/queryTable785.xml"/><Relationship Id="rId351" Type="http://schemas.openxmlformats.org/officeDocument/2006/relationships/queryTable" Target="../queryTables/queryTable950.xml"/><Relationship Id="rId372" Type="http://schemas.openxmlformats.org/officeDocument/2006/relationships/queryTable" Target="../queryTables/queryTable971.xml"/><Relationship Id="rId393" Type="http://schemas.openxmlformats.org/officeDocument/2006/relationships/queryTable" Target="../queryTables/queryTable992.xml"/><Relationship Id="rId407" Type="http://schemas.openxmlformats.org/officeDocument/2006/relationships/queryTable" Target="../queryTables/queryTable1006.xml"/><Relationship Id="rId428" Type="http://schemas.openxmlformats.org/officeDocument/2006/relationships/queryTable" Target="../queryTables/queryTable1027.xml"/><Relationship Id="rId211" Type="http://schemas.openxmlformats.org/officeDocument/2006/relationships/queryTable" Target="../queryTables/queryTable810.xml"/><Relationship Id="rId232" Type="http://schemas.openxmlformats.org/officeDocument/2006/relationships/queryTable" Target="../queryTables/queryTable831.xml"/><Relationship Id="rId253" Type="http://schemas.openxmlformats.org/officeDocument/2006/relationships/queryTable" Target="../queryTables/queryTable852.xml"/><Relationship Id="rId274" Type="http://schemas.openxmlformats.org/officeDocument/2006/relationships/queryTable" Target="../queryTables/queryTable873.xml"/><Relationship Id="rId295" Type="http://schemas.openxmlformats.org/officeDocument/2006/relationships/queryTable" Target="../queryTables/queryTable894.xml"/><Relationship Id="rId309" Type="http://schemas.openxmlformats.org/officeDocument/2006/relationships/queryTable" Target="../queryTables/queryTable908.xml"/><Relationship Id="rId27" Type="http://schemas.openxmlformats.org/officeDocument/2006/relationships/queryTable" Target="../queryTables/queryTable626.xml"/><Relationship Id="rId48" Type="http://schemas.openxmlformats.org/officeDocument/2006/relationships/queryTable" Target="../queryTables/queryTable647.xml"/><Relationship Id="rId69" Type="http://schemas.openxmlformats.org/officeDocument/2006/relationships/queryTable" Target="../queryTables/queryTable668.xml"/><Relationship Id="rId113" Type="http://schemas.openxmlformats.org/officeDocument/2006/relationships/queryTable" Target="../queryTables/queryTable712.xml"/><Relationship Id="rId134" Type="http://schemas.openxmlformats.org/officeDocument/2006/relationships/queryTable" Target="../queryTables/queryTable733.xml"/><Relationship Id="rId320" Type="http://schemas.openxmlformats.org/officeDocument/2006/relationships/queryTable" Target="../queryTables/queryTable919.xml"/><Relationship Id="rId80" Type="http://schemas.openxmlformats.org/officeDocument/2006/relationships/queryTable" Target="../queryTables/queryTable679.xml"/><Relationship Id="rId155" Type="http://schemas.openxmlformats.org/officeDocument/2006/relationships/queryTable" Target="../queryTables/queryTable754.xml"/><Relationship Id="rId176" Type="http://schemas.openxmlformats.org/officeDocument/2006/relationships/queryTable" Target="../queryTables/queryTable775.xml"/><Relationship Id="rId197" Type="http://schemas.openxmlformats.org/officeDocument/2006/relationships/queryTable" Target="../queryTables/queryTable796.xml"/><Relationship Id="rId341" Type="http://schemas.openxmlformats.org/officeDocument/2006/relationships/queryTable" Target="../queryTables/queryTable940.xml"/><Relationship Id="rId362" Type="http://schemas.openxmlformats.org/officeDocument/2006/relationships/queryTable" Target="../queryTables/queryTable961.xml"/><Relationship Id="rId383" Type="http://schemas.openxmlformats.org/officeDocument/2006/relationships/queryTable" Target="../queryTables/queryTable982.xml"/><Relationship Id="rId418" Type="http://schemas.openxmlformats.org/officeDocument/2006/relationships/queryTable" Target="../queryTables/queryTable1017.xml"/><Relationship Id="rId439" Type="http://schemas.openxmlformats.org/officeDocument/2006/relationships/queryTable" Target="../queryTables/queryTable1038.xml"/><Relationship Id="rId201" Type="http://schemas.openxmlformats.org/officeDocument/2006/relationships/queryTable" Target="../queryTables/queryTable800.xml"/><Relationship Id="rId222" Type="http://schemas.openxmlformats.org/officeDocument/2006/relationships/queryTable" Target="../queryTables/queryTable821.xml"/><Relationship Id="rId243" Type="http://schemas.openxmlformats.org/officeDocument/2006/relationships/queryTable" Target="../queryTables/queryTable842.xml"/><Relationship Id="rId264" Type="http://schemas.openxmlformats.org/officeDocument/2006/relationships/queryTable" Target="../queryTables/queryTable863.xml"/><Relationship Id="rId285" Type="http://schemas.openxmlformats.org/officeDocument/2006/relationships/queryTable" Target="../queryTables/queryTable884.xml"/><Relationship Id="rId17" Type="http://schemas.openxmlformats.org/officeDocument/2006/relationships/queryTable" Target="../queryTables/queryTable616.xml"/><Relationship Id="rId38" Type="http://schemas.openxmlformats.org/officeDocument/2006/relationships/queryTable" Target="../queryTables/queryTable637.xml"/><Relationship Id="rId59" Type="http://schemas.openxmlformats.org/officeDocument/2006/relationships/queryTable" Target="../queryTables/queryTable658.xml"/><Relationship Id="rId103" Type="http://schemas.openxmlformats.org/officeDocument/2006/relationships/queryTable" Target="../queryTables/queryTable702.xml"/><Relationship Id="rId124" Type="http://schemas.openxmlformats.org/officeDocument/2006/relationships/queryTable" Target="../queryTables/queryTable723.xml"/><Relationship Id="rId310" Type="http://schemas.openxmlformats.org/officeDocument/2006/relationships/queryTable" Target="../queryTables/queryTable909.xml"/><Relationship Id="rId70" Type="http://schemas.openxmlformats.org/officeDocument/2006/relationships/queryTable" Target="../queryTables/queryTable669.xml"/><Relationship Id="rId91" Type="http://schemas.openxmlformats.org/officeDocument/2006/relationships/queryTable" Target="../queryTables/queryTable690.xml"/><Relationship Id="rId145" Type="http://schemas.openxmlformats.org/officeDocument/2006/relationships/queryTable" Target="../queryTables/queryTable744.xml"/><Relationship Id="rId166" Type="http://schemas.openxmlformats.org/officeDocument/2006/relationships/queryTable" Target="../queryTables/queryTable765.xml"/><Relationship Id="rId187" Type="http://schemas.openxmlformats.org/officeDocument/2006/relationships/queryTable" Target="../queryTables/queryTable786.xml"/><Relationship Id="rId331" Type="http://schemas.openxmlformats.org/officeDocument/2006/relationships/queryTable" Target="../queryTables/queryTable930.xml"/><Relationship Id="rId352" Type="http://schemas.openxmlformats.org/officeDocument/2006/relationships/queryTable" Target="../queryTables/queryTable951.xml"/><Relationship Id="rId373" Type="http://schemas.openxmlformats.org/officeDocument/2006/relationships/queryTable" Target="../queryTables/queryTable972.xml"/><Relationship Id="rId394" Type="http://schemas.openxmlformats.org/officeDocument/2006/relationships/queryTable" Target="../queryTables/queryTable993.xml"/><Relationship Id="rId408" Type="http://schemas.openxmlformats.org/officeDocument/2006/relationships/queryTable" Target="../queryTables/queryTable1007.xml"/><Relationship Id="rId429" Type="http://schemas.openxmlformats.org/officeDocument/2006/relationships/queryTable" Target="../queryTables/queryTable1028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11.xml"/><Relationship Id="rId233" Type="http://schemas.openxmlformats.org/officeDocument/2006/relationships/queryTable" Target="../queryTables/queryTable832.xml"/><Relationship Id="rId254" Type="http://schemas.openxmlformats.org/officeDocument/2006/relationships/queryTable" Target="../queryTables/queryTable853.xml"/><Relationship Id="rId440" Type="http://schemas.openxmlformats.org/officeDocument/2006/relationships/queryTable" Target="../queryTables/queryTable1039.xml"/><Relationship Id="rId28" Type="http://schemas.openxmlformats.org/officeDocument/2006/relationships/queryTable" Target="../queryTables/queryTable627.xml"/><Relationship Id="rId49" Type="http://schemas.openxmlformats.org/officeDocument/2006/relationships/queryTable" Target="../queryTables/queryTable648.xml"/><Relationship Id="rId114" Type="http://schemas.openxmlformats.org/officeDocument/2006/relationships/queryTable" Target="../queryTables/queryTable713.xml"/><Relationship Id="rId275" Type="http://schemas.openxmlformats.org/officeDocument/2006/relationships/queryTable" Target="../queryTables/queryTable874.xml"/><Relationship Id="rId296" Type="http://schemas.openxmlformats.org/officeDocument/2006/relationships/queryTable" Target="../queryTables/queryTable895.xml"/><Relationship Id="rId300" Type="http://schemas.openxmlformats.org/officeDocument/2006/relationships/queryTable" Target="../queryTables/queryTable899.xml"/><Relationship Id="rId60" Type="http://schemas.openxmlformats.org/officeDocument/2006/relationships/queryTable" Target="../queryTables/queryTable659.xml"/><Relationship Id="rId81" Type="http://schemas.openxmlformats.org/officeDocument/2006/relationships/queryTable" Target="../queryTables/queryTable680.xml"/><Relationship Id="rId135" Type="http://schemas.openxmlformats.org/officeDocument/2006/relationships/queryTable" Target="../queryTables/queryTable734.xml"/><Relationship Id="rId156" Type="http://schemas.openxmlformats.org/officeDocument/2006/relationships/queryTable" Target="../queryTables/queryTable755.xml"/><Relationship Id="rId177" Type="http://schemas.openxmlformats.org/officeDocument/2006/relationships/queryTable" Target="../queryTables/queryTable776.xml"/><Relationship Id="rId198" Type="http://schemas.openxmlformats.org/officeDocument/2006/relationships/queryTable" Target="../queryTables/queryTable797.xml"/><Relationship Id="rId321" Type="http://schemas.openxmlformats.org/officeDocument/2006/relationships/queryTable" Target="../queryTables/queryTable920.xml"/><Relationship Id="rId342" Type="http://schemas.openxmlformats.org/officeDocument/2006/relationships/queryTable" Target="../queryTables/queryTable941.xml"/><Relationship Id="rId363" Type="http://schemas.openxmlformats.org/officeDocument/2006/relationships/queryTable" Target="../queryTables/queryTable962.xml"/><Relationship Id="rId384" Type="http://schemas.openxmlformats.org/officeDocument/2006/relationships/queryTable" Target="../queryTables/queryTable983.xml"/><Relationship Id="rId419" Type="http://schemas.openxmlformats.org/officeDocument/2006/relationships/queryTable" Target="../queryTables/queryTable1018.xml"/><Relationship Id="rId202" Type="http://schemas.openxmlformats.org/officeDocument/2006/relationships/queryTable" Target="../queryTables/queryTable801.xml"/><Relationship Id="rId223" Type="http://schemas.openxmlformats.org/officeDocument/2006/relationships/queryTable" Target="../queryTables/queryTable822.xml"/><Relationship Id="rId244" Type="http://schemas.openxmlformats.org/officeDocument/2006/relationships/queryTable" Target="../queryTables/queryTable843.xml"/><Relationship Id="rId430" Type="http://schemas.openxmlformats.org/officeDocument/2006/relationships/queryTable" Target="../queryTables/queryTable1029.xml"/><Relationship Id="rId18" Type="http://schemas.openxmlformats.org/officeDocument/2006/relationships/queryTable" Target="../queryTables/queryTable617.xml"/><Relationship Id="rId39" Type="http://schemas.openxmlformats.org/officeDocument/2006/relationships/queryTable" Target="../queryTables/queryTable638.xml"/><Relationship Id="rId265" Type="http://schemas.openxmlformats.org/officeDocument/2006/relationships/queryTable" Target="../queryTables/queryTable864.xml"/><Relationship Id="rId286" Type="http://schemas.openxmlformats.org/officeDocument/2006/relationships/queryTable" Target="../queryTables/queryTable885.xml"/><Relationship Id="rId50" Type="http://schemas.openxmlformats.org/officeDocument/2006/relationships/queryTable" Target="../queryTables/queryTable649.xml"/><Relationship Id="rId104" Type="http://schemas.openxmlformats.org/officeDocument/2006/relationships/queryTable" Target="../queryTables/queryTable703.xml"/><Relationship Id="rId125" Type="http://schemas.openxmlformats.org/officeDocument/2006/relationships/queryTable" Target="../queryTables/queryTable724.xml"/><Relationship Id="rId146" Type="http://schemas.openxmlformats.org/officeDocument/2006/relationships/queryTable" Target="../queryTables/queryTable745.xml"/><Relationship Id="rId167" Type="http://schemas.openxmlformats.org/officeDocument/2006/relationships/queryTable" Target="../queryTables/queryTable766.xml"/><Relationship Id="rId188" Type="http://schemas.openxmlformats.org/officeDocument/2006/relationships/queryTable" Target="../queryTables/queryTable787.xml"/><Relationship Id="rId311" Type="http://schemas.openxmlformats.org/officeDocument/2006/relationships/queryTable" Target="../queryTables/queryTable910.xml"/><Relationship Id="rId332" Type="http://schemas.openxmlformats.org/officeDocument/2006/relationships/queryTable" Target="../queryTables/queryTable931.xml"/><Relationship Id="rId353" Type="http://schemas.openxmlformats.org/officeDocument/2006/relationships/queryTable" Target="../queryTables/queryTable952.xml"/><Relationship Id="rId374" Type="http://schemas.openxmlformats.org/officeDocument/2006/relationships/queryTable" Target="../queryTables/queryTable973.xml"/><Relationship Id="rId395" Type="http://schemas.openxmlformats.org/officeDocument/2006/relationships/queryTable" Target="../queryTables/queryTable994.xml"/><Relationship Id="rId409" Type="http://schemas.openxmlformats.org/officeDocument/2006/relationships/queryTable" Target="../queryTables/queryTable1008.xml"/><Relationship Id="rId71" Type="http://schemas.openxmlformats.org/officeDocument/2006/relationships/queryTable" Target="../queryTables/queryTable670.xml"/><Relationship Id="rId92" Type="http://schemas.openxmlformats.org/officeDocument/2006/relationships/queryTable" Target="../queryTables/queryTable691.xml"/><Relationship Id="rId213" Type="http://schemas.openxmlformats.org/officeDocument/2006/relationships/queryTable" Target="../queryTables/queryTable812.xml"/><Relationship Id="rId234" Type="http://schemas.openxmlformats.org/officeDocument/2006/relationships/queryTable" Target="../queryTables/queryTable833.xml"/><Relationship Id="rId420" Type="http://schemas.openxmlformats.org/officeDocument/2006/relationships/queryTable" Target="../queryTables/queryTable1019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28.xml"/><Relationship Id="rId255" Type="http://schemas.openxmlformats.org/officeDocument/2006/relationships/queryTable" Target="../queryTables/queryTable854.xml"/><Relationship Id="rId276" Type="http://schemas.openxmlformats.org/officeDocument/2006/relationships/queryTable" Target="../queryTables/queryTable875.xml"/><Relationship Id="rId297" Type="http://schemas.openxmlformats.org/officeDocument/2006/relationships/queryTable" Target="../queryTables/queryTable896.xml"/><Relationship Id="rId441" Type="http://schemas.openxmlformats.org/officeDocument/2006/relationships/queryTable" Target="../queryTables/queryTable1040.xml"/><Relationship Id="rId40" Type="http://schemas.openxmlformats.org/officeDocument/2006/relationships/queryTable" Target="../queryTables/queryTable639.xml"/><Relationship Id="rId115" Type="http://schemas.openxmlformats.org/officeDocument/2006/relationships/queryTable" Target="../queryTables/queryTable714.xml"/><Relationship Id="rId136" Type="http://schemas.openxmlformats.org/officeDocument/2006/relationships/queryTable" Target="../queryTables/queryTable735.xml"/><Relationship Id="rId157" Type="http://schemas.openxmlformats.org/officeDocument/2006/relationships/queryTable" Target="../queryTables/queryTable756.xml"/><Relationship Id="rId178" Type="http://schemas.openxmlformats.org/officeDocument/2006/relationships/queryTable" Target="../queryTables/queryTable777.xml"/><Relationship Id="rId301" Type="http://schemas.openxmlformats.org/officeDocument/2006/relationships/queryTable" Target="../queryTables/queryTable900.xml"/><Relationship Id="rId322" Type="http://schemas.openxmlformats.org/officeDocument/2006/relationships/queryTable" Target="../queryTables/queryTable921.xml"/><Relationship Id="rId343" Type="http://schemas.openxmlformats.org/officeDocument/2006/relationships/queryTable" Target="../queryTables/queryTable942.xml"/><Relationship Id="rId364" Type="http://schemas.openxmlformats.org/officeDocument/2006/relationships/queryTable" Target="../queryTables/queryTable963.xml"/><Relationship Id="rId61" Type="http://schemas.openxmlformats.org/officeDocument/2006/relationships/queryTable" Target="../queryTables/queryTable660.xml"/><Relationship Id="rId82" Type="http://schemas.openxmlformats.org/officeDocument/2006/relationships/queryTable" Target="../queryTables/queryTable681.xml"/><Relationship Id="rId199" Type="http://schemas.openxmlformats.org/officeDocument/2006/relationships/queryTable" Target="../queryTables/queryTable798.xml"/><Relationship Id="rId203" Type="http://schemas.openxmlformats.org/officeDocument/2006/relationships/queryTable" Target="../queryTables/queryTable802.xml"/><Relationship Id="rId385" Type="http://schemas.openxmlformats.org/officeDocument/2006/relationships/queryTable" Target="../queryTables/queryTable984.xml"/><Relationship Id="rId19" Type="http://schemas.openxmlformats.org/officeDocument/2006/relationships/queryTable" Target="../queryTables/queryTable618.xml"/><Relationship Id="rId224" Type="http://schemas.openxmlformats.org/officeDocument/2006/relationships/queryTable" Target="../queryTables/queryTable823.xml"/><Relationship Id="rId245" Type="http://schemas.openxmlformats.org/officeDocument/2006/relationships/queryTable" Target="../queryTables/queryTable844.xml"/><Relationship Id="rId266" Type="http://schemas.openxmlformats.org/officeDocument/2006/relationships/queryTable" Target="../queryTables/queryTable865.xml"/><Relationship Id="rId287" Type="http://schemas.openxmlformats.org/officeDocument/2006/relationships/queryTable" Target="../queryTables/queryTable886.xml"/><Relationship Id="rId410" Type="http://schemas.openxmlformats.org/officeDocument/2006/relationships/queryTable" Target="../queryTables/queryTable1009.xml"/><Relationship Id="rId431" Type="http://schemas.openxmlformats.org/officeDocument/2006/relationships/queryTable" Target="../queryTables/queryTable1030.xml"/><Relationship Id="rId30" Type="http://schemas.openxmlformats.org/officeDocument/2006/relationships/queryTable" Target="../queryTables/queryTable629.xml"/><Relationship Id="rId105" Type="http://schemas.openxmlformats.org/officeDocument/2006/relationships/queryTable" Target="../queryTables/queryTable704.xml"/><Relationship Id="rId126" Type="http://schemas.openxmlformats.org/officeDocument/2006/relationships/queryTable" Target="../queryTables/queryTable725.xml"/><Relationship Id="rId147" Type="http://schemas.openxmlformats.org/officeDocument/2006/relationships/queryTable" Target="../queryTables/queryTable746.xml"/><Relationship Id="rId168" Type="http://schemas.openxmlformats.org/officeDocument/2006/relationships/queryTable" Target="../queryTables/queryTable767.xml"/><Relationship Id="rId312" Type="http://schemas.openxmlformats.org/officeDocument/2006/relationships/queryTable" Target="../queryTables/queryTable911.xml"/><Relationship Id="rId333" Type="http://schemas.openxmlformats.org/officeDocument/2006/relationships/queryTable" Target="../queryTables/queryTable932.xml"/><Relationship Id="rId354" Type="http://schemas.openxmlformats.org/officeDocument/2006/relationships/queryTable" Target="../queryTables/queryTable953.xml"/><Relationship Id="rId51" Type="http://schemas.openxmlformats.org/officeDocument/2006/relationships/queryTable" Target="../queryTables/queryTable650.xml"/><Relationship Id="rId72" Type="http://schemas.openxmlformats.org/officeDocument/2006/relationships/queryTable" Target="../queryTables/queryTable671.xml"/><Relationship Id="rId93" Type="http://schemas.openxmlformats.org/officeDocument/2006/relationships/queryTable" Target="../queryTables/queryTable692.xml"/><Relationship Id="rId189" Type="http://schemas.openxmlformats.org/officeDocument/2006/relationships/queryTable" Target="../queryTables/queryTable788.xml"/><Relationship Id="rId375" Type="http://schemas.openxmlformats.org/officeDocument/2006/relationships/queryTable" Target="../queryTables/queryTable974.xml"/><Relationship Id="rId396" Type="http://schemas.openxmlformats.org/officeDocument/2006/relationships/queryTable" Target="../queryTables/queryTable995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13.xml"/><Relationship Id="rId235" Type="http://schemas.openxmlformats.org/officeDocument/2006/relationships/queryTable" Target="../queryTables/queryTable834.xml"/><Relationship Id="rId256" Type="http://schemas.openxmlformats.org/officeDocument/2006/relationships/queryTable" Target="../queryTables/queryTable855.xml"/><Relationship Id="rId277" Type="http://schemas.openxmlformats.org/officeDocument/2006/relationships/queryTable" Target="../queryTables/queryTable876.xml"/><Relationship Id="rId298" Type="http://schemas.openxmlformats.org/officeDocument/2006/relationships/queryTable" Target="../queryTables/queryTable897.xml"/><Relationship Id="rId400" Type="http://schemas.openxmlformats.org/officeDocument/2006/relationships/queryTable" Target="../queryTables/queryTable999.xml"/><Relationship Id="rId421" Type="http://schemas.openxmlformats.org/officeDocument/2006/relationships/queryTable" Target="../queryTables/queryTable1020.xml"/><Relationship Id="rId442" Type="http://schemas.openxmlformats.org/officeDocument/2006/relationships/queryTable" Target="../queryTables/queryTable1041.xml"/><Relationship Id="rId116" Type="http://schemas.openxmlformats.org/officeDocument/2006/relationships/queryTable" Target="../queryTables/queryTable715.xml"/><Relationship Id="rId137" Type="http://schemas.openxmlformats.org/officeDocument/2006/relationships/queryTable" Target="../queryTables/queryTable736.xml"/><Relationship Id="rId158" Type="http://schemas.openxmlformats.org/officeDocument/2006/relationships/queryTable" Target="../queryTables/queryTable757.xml"/><Relationship Id="rId302" Type="http://schemas.openxmlformats.org/officeDocument/2006/relationships/queryTable" Target="../queryTables/queryTable901.xml"/><Relationship Id="rId323" Type="http://schemas.openxmlformats.org/officeDocument/2006/relationships/queryTable" Target="../queryTables/queryTable922.xml"/><Relationship Id="rId344" Type="http://schemas.openxmlformats.org/officeDocument/2006/relationships/queryTable" Target="../queryTables/queryTable943.xml"/><Relationship Id="rId20" Type="http://schemas.openxmlformats.org/officeDocument/2006/relationships/queryTable" Target="../queryTables/queryTable619.xml"/><Relationship Id="rId41" Type="http://schemas.openxmlformats.org/officeDocument/2006/relationships/queryTable" Target="../queryTables/queryTable640.xml"/><Relationship Id="rId62" Type="http://schemas.openxmlformats.org/officeDocument/2006/relationships/queryTable" Target="../queryTables/queryTable661.xml"/><Relationship Id="rId83" Type="http://schemas.openxmlformats.org/officeDocument/2006/relationships/queryTable" Target="../queryTables/queryTable682.xml"/><Relationship Id="rId179" Type="http://schemas.openxmlformats.org/officeDocument/2006/relationships/queryTable" Target="../queryTables/queryTable778.xml"/><Relationship Id="rId365" Type="http://schemas.openxmlformats.org/officeDocument/2006/relationships/queryTable" Target="../queryTables/queryTable964.xml"/><Relationship Id="rId386" Type="http://schemas.openxmlformats.org/officeDocument/2006/relationships/queryTable" Target="../queryTables/queryTable985.xml"/><Relationship Id="rId190" Type="http://schemas.openxmlformats.org/officeDocument/2006/relationships/queryTable" Target="../queryTables/queryTable789.xml"/><Relationship Id="rId204" Type="http://schemas.openxmlformats.org/officeDocument/2006/relationships/queryTable" Target="../queryTables/queryTable803.xml"/><Relationship Id="rId225" Type="http://schemas.openxmlformats.org/officeDocument/2006/relationships/queryTable" Target="../queryTables/queryTable824.xml"/><Relationship Id="rId246" Type="http://schemas.openxmlformats.org/officeDocument/2006/relationships/queryTable" Target="../queryTables/queryTable845.xml"/><Relationship Id="rId267" Type="http://schemas.openxmlformats.org/officeDocument/2006/relationships/queryTable" Target="../queryTables/queryTable866.xml"/><Relationship Id="rId288" Type="http://schemas.openxmlformats.org/officeDocument/2006/relationships/queryTable" Target="../queryTables/queryTable887.xml"/><Relationship Id="rId411" Type="http://schemas.openxmlformats.org/officeDocument/2006/relationships/queryTable" Target="../queryTables/queryTable1010.xml"/><Relationship Id="rId432" Type="http://schemas.openxmlformats.org/officeDocument/2006/relationships/queryTable" Target="../queryTables/queryTable1031.xml"/><Relationship Id="rId106" Type="http://schemas.openxmlformats.org/officeDocument/2006/relationships/queryTable" Target="../queryTables/queryTable705.xml"/><Relationship Id="rId127" Type="http://schemas.openxmlformats.org/officeDocument/2006/relationships/queryTable" Target="../queryTables/queryTable726.xml"/><Relationship Id="rId313" Type="http://schemas.openxmlformats.org/officeDocument/2006/relationships/queryTable" Target="../queryTables/queryTable912.xml"/><Relationship Id="rId10" Type="http://schemas.openxmlformats.org/officeDocument/2006/relationships/queryTable" Target="../queryTables/queryTable609.xml"/><Relationship Id="rId31" Type="http://schemas.openxmlformats.org/officeDocument/2006/relationships/queryTable" Target="../queryTables/queryTable630.xml"/><Relationship Id="rId52" Type="http://schemas.openxmlformats.org/officeDocument/2006/relationships/queryTable" Target="../queryTables/queryTable651.xml"/><Relationship Id="rId73" Type="http://schemas.openxmlformats.org/officeDocument/2006/relationships/queryTable" Target="../queryTables/queryTable672.xml"/><Relationship Id="rId94" Type="http://schemas.openxmlformats.org/officeDocument/2006/relationships/queryTable" Target="../queryTables/queryTable693.xml"/><Relationship Id="rId148" Type="http://schemas.openxmlformats.org/officeDocument/2006/relationships/queryTable" Target="../queryTables/queryTable747.xml"/><Relationship Id="rId169" Type="http://schemas.openxmlformats.org/officeDocument/2006/relationships/queryTable" Target="../queryTables/queryTable768.xml"/><Relationship Id="rId334" Type="http://schemas.openxmlformats.org/officeDocument/2006/relationships/queryTable" Target="../queryTables/queryTable933.xml"/><Relationship Id="rId355" Type="http://schemas.openxmlformats.org/officeDocument/2006/relationships/queryTable" Target="../queryTables/queryTable954.xml"/><Relationship Id="rId376" Type="http://schemas.openxmlformats.org/officeDocument/2006/relationships/queryTable" Target="../queryTables/queryTable975.xml"/><Relationship Id="rId397" Type="http://schemas.openxmlformats.org/officeDocument/2006/relationships/queryTable" Target="../queryTables/queryTable996.xml"/><Relationship Id="rId4" Type="http://schemas.openxmlformats.org/officeDocument/2006/relationships/queryTable" Target="../queryTables/queryTable603.xml"/><Relationship Id="rId180" Type="http://schemas.openxmlformats.org/officeDocument/2006/relationships/queryTable" Target="../queryTables/queryTable779.xml"/><Relationship Id="rId215" Type="http://schemas.openxmlformats.org/officeDocument/2006/relationships/queryTable" Target="../queryTables/queryTable814.xml"/><Relationship Id="rId236" Type="http://schemas.openxmlformats.org/officeDocument/2006/relationships/queryTable" Target="../queryTables/queryTable835.xml"/><Relationship Id="rId257" Type="http://schemas.openxmlformats.org/officeDocument/2006/relationships/queryTable" Target="../queryTables/queryTable856.xml"/><Relationship Id="rId278" Type="http://schemas.openxmlformats.org/officeDocument/2006/relationships/queryTable" Target="../queryTables/queryTable877.xml"/><Relationship Id="rId401" Type="http://schemas.openxmlformats.org/officeDocument/2006/relationships/queryTable" Target="../queryTables/queryTable1000.xml"/><Relationship Id="rId422" Type="http://schemas.openxmlformats.org/officeDocument/2006/relationships/queryTable" Target="../queryTables/queryTable1021.xml"/><Relationship Id="rId443" Type="http://schemas.openxmlformats.org/officeDocument/2006/relationships/queryTable" Target="../queryTables/queryTable1042.xml"/><Relationship Id="rId303" Type="http://schemas.openxmlformats.org/officeDocument/2006/relationships/queryTable" Target="../queryTables/queryTable902.xml"/><Relationship Id="rId42" Type="http://schemas.openxmlformats.org/officeDocument/2006/relationships/queryTable" Target="../queryTables/queryTable641.xml"/><Relationship Id="rId84" Type="http://schemas.openxmlformats.org/officeDocument/2006/relationships/queryTable" Target="../queryTables/queryTable683.xml"/><Relationship Id="rId138" Type="http://schemas.openxmlformats.org/officeDocument/2006/relationships/queryTable" Target="../queryTables/queryTable737.xml"/><Relationship Id="rId345" Type="http://schemas.openxmlformats.org/officeDocument/2006/relationships/queryTable" Target="../queryTables/queryTable944.xml"/><Relationship Id="rId387" Type="http://schemas.openxmlformats.org/officeDocument/2006/relationships/queryTable" Target="../queryTables/queryTable986.xml"/><Relationship Id="rId191" Type="http://schemas.openxmlformats.org/officeDocument/2006/relationships/queryTable" Target="../queryTables/queryTable790.xml"/><Relationship Id="rId205" Type="http://schemas.openxmlformats.org/officeDocument/2006/relationships/queryTable" Target="../queryTables/queryTable804.xml"/><Relationship Id="rId247" Type="http://schemas.openxmlformats.org/officeDocument/2006/relationships/queryTable" Target="../queryTables/queryTable846.xml"/><Relationship Id="rId412" Type="http://schemas.openxmlformats.org/officeDocument/2006/relationships/queryTable" Target="../queryTables/queryTable1011.xml"/><Relationship Id="rId107" Type="http://schemas.openxmlformats.org/officeDocument/2006/relationships/queryTable" Target="../queryTables/queryTable706.xml"/><Relationship Id="rId289" Type="http://schemas.openxmlformats.org/officeDocument/2006/relationships/queryTable" Target="../queryTables/queryTable888.xml"/><Relationship Id="rId11" Type="http://schemas.openxmlformats.org/officeDocument/2006/relationships/queryTable" Target="../queryTables/queryTable610.xml"/><Relationship Id="rId53" Type="http://schemas.openxmlformats.org/officeDocument/2006/relationships/queryTable" Target="../queryTables/queryTable652.xml"/><Relationship Id="rId149" Type="http://schemas.openxmlformats.org/officeDocument/2006/relationships/queryTable" Target="../queryTables/queryTable748.xml"/><Relationship Id="rId314" Type="http://schemas.openxmlformats.org/officeDocument/2006/relationships/queryTable" Target="../queryTables/queryTable913.xml"/><Relationship Id="rId356" Type="http://schemas.openxmlformats.org/officeDocument/2006/relationships/queryTable" Target="../queryTables/queryTable955.xml"/><Relationship Id="rId398" Type="http://schemas.openxmlformats.org/officeDocument/2006/relationships/queryTable" Target="../queryTables/queryTable997.xml"/><Relationship Id="rId95" Type="http://schemas.openxmlformats.org/officeDocument/2006/relationships/queryTable" Target="../queryTables/queryTable694.xml"/><Relationship Id="rId160" Type="http://schemas.openxmlformats.org/officeDocument/2006/relationships/queryTable" Target="../queryTables/queryTable759.xml"/><Relationship Id="rId216" Type="http://schemas.openxmlformats.org/officeDocument/2006/relationships/queryTable" Target="../queryTables/queryTable815.xml"/><Relationship Id="rId423" Type="http://schemas.openxmlformats.org/officeDocument/2006/relationships/queryTable" Target="../queryTables/queryTable1022.xml"/><Relationship Id="rId258" Type="http://schemas.openxmlformats.org/officeDocument/2006/relationships/queryTable" Target="../queryTables/queryTable857.xml"/><Relationship Id="rId22" Type="http://schemas.openxmlformats.org/officeDocument/2006/relationships/queryTable" Target="../queryTables/queryTable621.xml"/><Relationship Id="rId64" Type="http://schemas.openxmlformats.org/officeDocument/2006/relationships/queryTable" Target="../queryTables/queryTable663.xml"/><Relationship Id="rId118" Type="http://schemas.openxmlformats.org/officeDocument/2006/relationships/queryTable" Target="../queryTables/queryTable717.xml"/><Relationship Id="rId325" Type="http://schemas.openxmlformats.org/officeDocument/2006/relationships/queryTable" Target="../queryTables/queryTable924.xml"/><Relationship Id="rId367" Type="http://schemas.openxmlformats.org/officeDocument/2006/relationships/queryTable" Target="../queryTables/queryTable966.xml"/><Relationship Id="rId171" Type="http://schemas.openxmlformats.org/officeDocument/2006/relationships/queryTable" Target="../queryTables/queryTable770.xml"/><Relationship Id="rId227" Type="http://schemas.openxmlformats.org/officeDocument/2006/relationships/queryTable" Target="../queryTables/queryTable826.xml"/><Relationship Id="rId269" Type="http://schemas.openxmlformats.org/officeDocument/2006/relationships/queryTable" Target="../queryTables/queryTable868.xml"/><Relationship Id="rId434" Type="http://schemas.openxmlformats.org/officeDocument/2006/relationships/queryTable" Target="../queryTables/queryTable103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57.xml"/><Relationship Id="rId299" Type="http://schemas.openxmlformats.org/officeDocument/2006/relationships/queryTable" Target="../queryTables/queryTable1339.xml"/><Relationship Id="rId21" Type="http://schemas.openxmlformats.org/officeDocument/2006/relationships/queryTable" Target="../queryTables/queryTable1061.xml"/><Relationship Id="rId63" Type="http://schemas.openxmlformats.org/officeDocument/2006/relationships/queryTable" Target="../queryTables/queryTable1103.xml"/><Relationship Id="rId159" Type="http://schemas.openxmlformats.org/officeDocument/2006/relationships/queryTable" Target="../queryTables/queryTable1199.xml"/><Relationship Id="rId324" Type="http://schemas.openxmlformats.org/officeDocument/2006/relationships/queryTable" Target="../queryTables/queryTable1364.xml"/><Relationship Id="rId366" Type="http://schemas.openxmlformats.org/officeDocument/2006/relationships/queryTable" Target="../queryTables/queryTable1406.xml"/><Relationship Id="rId170" Type="http://schemas.openxmlformats.org/officeDocument/2006/relationships/queryTable" Target="../queryTables/queryTable1210.xml"/><Relationship Id="rId226" Type="http://schemas.openxmlformats.org/officeDocument/2006/relationships/queryTable" Target="../queryTables/queryTable1266.xml"/><Relationship Id="rId433" Type="http://schemas.openxmlformats.org/officeDocument/2006/relationships/queryTable" Target="../queryTables/queryTable1473.xml"/><Relationship Id="rId268" Type="http://schemas.openxmlformats.org/officeDocument/2006/relationships/queryTable" Target="../queryTables/queryTable1308.xml"/><Relationship Id="rId475" Type="http://schemas.openxmlformats.org/officeDocument/2006/relationships/queryTable" Target="../queryTables/queryTable1515.xml"/><Relationship Id="rId32" Type="http://schemas.openxmlformats.org/officeDocument/2006/relationships/queryTable" Target="../queryTables/queryTable1072.xml"/><Relationship Id="rId74" Type="http://schemas.openxmlformats.org/officeDocument/2006/relationships/queryTable" Target="../queryTables/queryTable1114.xml"/><Relationship Id="rId128" Type="http://schemas.openxmlformats.org/officeDocument/2006/relationships/queryTable" Target="../queryTables/queryTable1168.xml"/><Relationship Id="rId335" Type="http://schemas.openxmlformats.org/officeDocument/2006/relationships/queryTable" Target="../queryTables/queryTable1375.xml"/><Relationship Id="rId377" Type="http://schemas.openxmlformats.org/officeDocument/2006/relationships/queryTable" Target="../queryTables/queryTable1417.xml"/><Relationship Id="rId500" Type="http://schemas.openxmlformats.org/officeDocument/2006/relationships/queryTable" Target="../queryTables/queryTable1540.xml"/><Relationship Id="rId5" Type="http://schemas.openxmlformats.org/officeDocument/2006/relationships/queryTable" Target="../queryTables/queryTable1045.xml"/><Relationship Id="rId181" Type="http://schemas.openxmlformats.org/officeDocument/2006/relationships/queryTable" Target="../queryTables/queryTable1221.xml"/><Relationship Id="rId237" Type="http://schemas.openxmlformats.org/officeDocument/2006/relationships/queryTable" Target="../queryTables/queryTable1277.xml"/><Relationship Id="rId402" Type="http://schemas.openxmlformats.org/officeDocument/2006/relationships/queryTable" Target="../queryTables/queryTable1442.xml"/><Relationship Id="rId279" Type="http://schemas.openxmlformats.org/officeDocument/2006/relationships/queryTable" Target="../queryTables/queryTable1319.xml"/><Relationship Id="rId444" Type="http://schemas.openxmlformats.org/officeDocument/2006/relationships/queryTable" Target="../queryTables/queryTable1484.xml"/><Relationship Id="rId486" Type="http://schemas.openxmlformats.org/officeDocument/2006/relationships/queryTable" Target="../queryTables/queryTable1526.xml"/><Relationship Id="rId43" Type="http://schemas.openxmlformats.org/officeDocument/2006/relationships/queryTable" Target="../queryTables/queryTable1083.xml"/><Relationship Id="rId139" Type="http://schemas.openxmlformats.org/officeDocument/2006/relationships/queryTable" Target="../queryTables/queryTable1179.xml"/><Relationship Id="rId290" Type="http://schemas.openxmlformats.org/officeDocument/2006/relationships/queryTable" Target="../queryTables/queryTable1330.xml"/><Relationship Id="rId304" Type="http://schemas.openxmlformats.org/officeDocument/2006/relationships/queryTable" Target="../queryTables/queryTable1344.xml"/><Relationship Id="rId346" Type="http://schemas.openxmlformats.org/officeDocument/2006/relationships/queryTable" Target="../queryTables/queryTable1386.xml"/><Relationship Id="rId388" Type="http://schemas.openxmlformats.org/officeDocument/2006/relationships/queryTable" Target="../queryTables/queryTable1428.xml"/><Relationship Id="rId511" Type="http://schemas.openxmlformats.org/officeDocument/2006/relationships/queryTable" Target="../queryTables/queryTable1551.xml"/><Relationship Id="rId85" Type="http://schemas.openxmlformats.org/officeDocument/2006/relationships/queryTable" Target="../queryTables/queryTable1125.xml"/><Relationship Id="rId150" Type="http://schemas.openxmlformats.org/officeDocument/2006/relationships/queryTable" Target="../queryTables/queryTable1190.xml"/><Relationship Id="rId192" Type="http://schemas.openxmlformats.org/officeDocument/2006/relationships/queryTable" Target="../queryTables/queryTable1232.xml"/><Relationship Id="rId206" Type="http://schemas.openxmlformats.org/officeDocument/2006/relationships/queryTable" Target="../queryTables/queryTable1246.xml"/><Relationship Id="rId413" Type="http://schemas.openxmlformats.org/officeDocument/2006/relationships/queryTable" Target="../queryTables/queryTable1453.xml"/><Relationship Id="rId248" Type="http://schemas.openxmlformats.org/officeDocument/2006/relationships/queryTable" Target="../queryTables/queryTable1288.xml"/><Relationship Id="rId455" Type="http://schemas.openxmlformats.org/officeDocument/2006/relationships/queryTable" Target="../queryTables/queryTable1495.xml"/><Relationship Id="rId497" Type="http://schemas.openxmlformats.org/officeDocument/2006/relationships/queryTable" Target="../queryTables/queryTable1537.xml"/><Relationship Id="rId12" Type="http://schemas.openxmlformats.org/officeDocument/2006/relationships/queryTable" Target="../queryTables/queryTable1052.xml"/><Relationship Id="rId108" Type="http://schemas.openxmlformats.org/officeDocument/2006/relationships/queryTable" Target="../queryTables/queryTable1148.xml"/><Relationship Id="rId315" Type="http://schemas.openxmlformats.org/officeDocument/2006/relationships/queryTable" Target="../queryTables/queryTable1355.xml"/><Relationship Id="rId357" Type="http://schemas.openxmlformats.org/officeDocument/2006/relationships/queryTable" Target="../queryTables/queryTable1397.xml"/><Relationship Id="rId54" Type="http://schemas.openxmlformats.org/officeDocument/2006/relationships/queryTable" Target="../queryTables/queryTable1094.xml"/><Relationship Id="rId96" Type="http://schemas.openxmlformats.org/officeDocument/2006/relationships/queryTable" Target="../queryTables/queryTable1136.xml"/><Relationship Id="rId161" Type="http://schemas.openxmlformats.org/officeDocument/2006/relationships/queryTable" Target="../queryTables/queryTable1201.xml"/><Relationship Id="rId217" Type="http://schemas.openxmlformats.org/officeDocument/2006/relationships/queryTable" Target="../queryTables/queryTable1257.xml"/><Relationship Id="rId399" Type="http://schemas.openxmlformats.org/officeDocument/2006/relationships/queryTable" Target="../queryTables/queryTable1439.xml"/><Relationship Id="rId259" Type="http://schemas.openxmlformats.org/officeDocument/2006/relationships/queryTable" Target="../queryTables/queryTable1299.xml"/><Relationship Id="rId424" Type="http://schemas.openxmlformats.org/officeDocument/2006/relationships/queryTable" Target="../queryTables/queryTable1464.xml"/><Relationship Id="rId466" Type="http://schemas.openxmlformats.org/officeDocument/2006/relationships/queryTable" Target="../queryTables/queryTable1506.xml"/><Relationship Id="rId23" Type="http://schemas.openxmlformats.org/officeDocument/2006/relationships/queryTable" Target="../queryTables/queryTable1063.xml"/><Relationship Id="rId119" Type="http://schemas.openxmlformats.org/officeDocument/2006/relationships/queryTable" Target="../queryTables/queryTable1159.xml"/><Relationship Id="rId270" Type="http://schemas.openxmlformats.org/officeDocument/2006/relationships/queryTable" Target="../queryTables/queryTable1310.xml"/><Relationship Id="rId326" Type="http://schemas.openxmlformats.org/officeDocument/2006/relationships/queryTable" Target="../queryTables/queryTable1366.xml"/><Relationship Id="rId65" Type="http://schemas.openxmlformats.org/officeDocument/2006/relationships/queryTable" Target="../queryTables/queryTable1105.xml"/><Relationship Id="rId130" Type="http://schemas.openxmlformats.org/officeDocument/2006/relationships/queryTable" Target="../queryTables/queryTable1170.xml"/><Relationship Id="rId368" Type="http://schemas.openxmlformats.org/officeDocument/2006/relationships/queryTable" Target="../queryTables/queryTable1408.xml"/><Relationship Id="rId172" Type="http://schemas.openxmlformats.org/officeDocument/2006/relationships/queryTable" Target="../queryTables/queryTable1212.xml"/><Relationship Id="rId228" Type="http://schemas.openxmlformats.org/officeDocument/2006/relationships/queryTable" Target="../queryTables/queryTable1268.xml"/><Relationship Id="rId435" Type="http://schemas.openxmlformats.org/officeDocument/2006/relationships/queryTable" Target="../queryTables/queryTable1475.xml"/><Relationship Id="rId477" Type="http://schemas.openxmlformats.org/officeDocument/2006/relationships/queryTable" Target="../queryTables/queryTable1517.xml"/><Relationship Id="rId281" Type="http://schemas.openxmlformats.org/officeDocument/2006/relationships/queryTable" Target="../queryTables/queryTable1321.xml"/><Relationship Id="rId337" Type="http://schemas.openxmlformats.org/officeDocument/2006/relationships/queryTable" Target="../queryTables/queryTable1377.xml"/><Relationship Id="rId502" Type="http://schemas.openxmlformats.org/officeDocument/2006/relationships/queryTable" Target="../queryTables/queryTable1542.xml"/><Relationship Id="rId34" Type="http://schemas.openxmlformats.org/officeDocument/2006/relationships/queryTable" Target="../queryTables/queryTable1074.xml"/><Relationship Id="rId76" Type="http://schemas.openxmlformats.org/officeDocument/2006/relationships/queryTable" Target="../queryTables/queryTable1116.xml"/><Relationship Id="rId141" Type="http://schemas.openxmlformats.org/officeDocument/2006/relationships/queryTable" Target="../queryTables/queryTable1181.xml"/><Relationship Id="rId379" Type="http://schemas.openxmlformats.org/officeDocument/2006/relationships/queryTable" Target="../queryTables/queryTable1419.xml"/><Relationship Id="rId7" Type="http://schemas.openxmlformats.org/officeDocument/2006/relationships/queryTable" Target="../queryTables/queryTable1047.xml"/><Relationship Id="rId183" Type="http://schemas.openxmlformats.org/officeDocument/2006/relationships/queryTable" Target="../queryTables/queryTable1223.xml"/><Relationship Id="rId239" Type="http://schemas.openxmlformats.org/officeDocument/2006/relationships/queryTable" Target="../queryTables/queryTable1279.xml"/><Relationship Id="rId390" Type="http://schemas.openxmlformats.org/officeDocument/2006/relationships/queryTable" Target="../queryTables/queryTable1430.xml"/><Relationship Id="rId404" Type="http://schemas.openxmlformats.org/officeDocument/2006/relationships/queryTable" Target="../queryTables/queryTable1444.xml"/><Relationship Id="rId446" Type="http://schemas.openxmlformats.org/officeDocument/2006/relationships/queryTable" Target="../queryTables/queryTable1486.xml"/><Relationship Id="rId250" Type="http://schemas.openxmlformats.org/officeDocument/2006/relationships/queryTable" Target="../queryTables/queryTable1290.xml"/><Relationship Id="rId292" Type="http://schemas.openxmlformats.org/officeDocument/2006/relationships/queryTable" Target="../queryTables/queryTable1332.xml"/><Relationship Id="rId306" Type="http://schemas.openxmlformats.org/officeDocument/2006/relationships/queryTable" Target="../queryTables/queryTable1346.xml"/><Relationship Id="rId488" Type="http://schemas.openxmlformats.org/officeDocument/2006/relationships/queryTable" Target="../queryTables/queryTable1528.xml"/><Relationship Id="rId45" Type="http://schemas.openxmlformats.org/officeDocument/2006/relationships/queryTable" Target="../queryTables/queryTable1085.xml"/><Relationship Id="rId87" Type="http://schemas.openxmlformats.org/officeDocument/2006/relationships/queryTable" Target="../queryTables/queryTable1127.xml"/><Relationship Id="rId110" Type="http://schemas.openxmlformats.org/officeDocument/2006/relationships/queryTable" Target="../queryTables/queryTable1150.xml"/><Relationship Id="rId348" Type="http://schemas.openxmlformats.org/officeDocument/2006/relationships/queryTable" Target="../queryTables/queryTable1388.xml"/><Relationship Id="rId513" Type="http://schemas.openxmlformats.org/officeDocument/2006/relationships/queryTable" Target="../queryTables/queryTable1553.xml"/><Relationship Id="rId152" Type="http://schemas.openxmlformats.org/officeDocument/2006/relationships/queryTable" Target="../queryTables/queryTable1192.xml"/><Relationship Id="rId194" Type="http://schemas.openxmlformats.org/officeDocument/2006/relationships/queryTable" Target="../queryTables/queryTable1234.xml"/><Relationship Id="rId208" Type="http://schemas.openxmlformats.org/officeDocument/2006/relationships/queryTable" Target="../queryTables/queryTable1248.xml"/><Relationship Id="rId415" Type="http://schemas.openxmlformats.org/officeDocument/2006/relationships/queryTable" Target="../queryTables/queryTable1455.xml"/><Relationship Id="rId457" Type="http://schemas.openxmlformats.org/officeDocument/2006/relationships/queryTable" Target="../queryTables/queryTable1497.xml"/><Relationship Id="rId240" Type="http://schemas.openxmlformats.org/officeDocument/2006/relationships/queryTable" Target="../queryTables/queryTable1280.xml"/><Relationship Id="rId261" Type="http://schemas.openxmlformats.org/officeDocument/2006/relationships/queryTable" Target="../queryTables/queryTable1301.xml"/><Relationship Id="rId478" Type="http://schemas.openxmlformats.org/officeDocument/2006/relationships/queryTable" Target="../queryTables/queryTable1518.xml"/><Relationship Id="rId499" Type="http://schemas.openxmlformats.org/officeDocument/2006/relationships/queryTable" Target="../queryTables/queryTable1539.xml"/><Relationship Id="rId14" Type="http://schemas.openxmlformats.org/officeDocument/2006/relationships/queryTable" Target="../queryTables/queryTable1054.xml"/><Relationship Id="rId35" Type="http://schemas.openxmlformats.org/officeDocument/2006/relationships/queryTable" Target="../queryTables/queryTable1075.xml"/><Relationship Id="rId56" Type="http://schemas.openxmlformats.org/officeDocument/2006/relationships/queryTable" Target="../queryTables/queryTable1096.xml"/><Relationship Id="rId77" Type="http://schemas.openxmlformats.org/officeDocument/2006/relationships/queryTable" Target="../queryTables/queryTable1117.xml"/><Relationship Id="rId100" Type="http://schemas.openxmlformats.org/officeDocument/2006/relationships/queryTable" Target="../queryTables/queryTable1140.xml"/><Relationship Id="rId282" Type="http://schemas.openxmlformats.org/officeDocument/2006/relationships/queryTable" Target="../queryTables/queryTable1322.xml"/><Relationship Id="rId317" Type="http://schemas.openxmlformats.org/officeDocument/2006/relationships/queryTable" Target="../queryTables/queryTable1357.xml"/><Relationship Id="rId338" Type="http://schemas.openxmlformats.org/officeDocument/2006/relationships/queryTable" Target="../queryTables/queryTable1378.xml"/><Relationship Id="rId359" Type="http://schemas.openxmlformats.org/officeDocument/2006/relationships/queryTable" Target="../queryTables/queryTable1399.xml"/><Relationship Id="rId503" Type="http://schemas.openxmlformats.org/officeDocument/2006/relationships/queryTable" Target="../queryTables/queryTable1543.xml"/><Relationship Id="rId8" Type="http://schemas.openxmlformats.org/officeDocument/2006/relationships/queryTable" Target="../queryTables/queryTable1048.xml"/><Relationship Id="rId98" Type="http://schemas.openxmlformats.org/officeDocument/2006/relationships/queryTable" Target="../queryTables/queryTable1138.xml"/><Relationship Id="rId121" Type="http://schemas.openxmlformats.org/officeDocument/2006/relationships/queryTable" Target="../queryTables/queryTable1161.xml"/><Relationship Id="rId142" Type="http://schemas.openxmlformats.org/officeDocument/2006/relationships/queryTable" Target="../queryTables/queryTable1182.xml"/><Relationship Id="rId163" Type="http://schemas.openxmlformats.org/officeDocument/2006/relationships/queryTable" Target="../queryTables/queryTable1203.xml"/><Relationship Id="rId184" Type="http://schemas.openxmlformats.org/officeDocument/2006/relationships/queryTable" Target="../queryTables/queryTable1224.xml"/><Relationship Id="rId219" Type="http://schemas.openxmlformats.org/officeDocument/2006/relationships/queryTable" Target="../queryTables/queryTable1259.xml"/><Relationship Id="rId370" Type="http://schemas.openxmlformats.org/officeDocument/2006/relationships/queryTable" Target="../queryTables/queryTable1410.xml"/><Relationship Id="rId391" Type="http://schemas.openxmlformats.org/officeDocument/2006/relationships/queryTable" Target="../queryTables/queryTable1431.xml"/><Relationship Id="rId405" Type="http://schemas.openxmlformats.org/officeDocument/2006/relationships/queryTable" Target="../queryTables/queryTable1445.xml"/><Relationship Id="rId426" Type="http://schemas.openxmlformats.org/officeDocument/2006/relationships/queryTable" Target="../queryTables/queryTable1466.xml"/><Relationship Id="rId447" Type="http://schemas.openxmlformats.org/officeDocument/2006/relationships/queryTable" Target="../queryTables/queryTable1487.xml"/><Relationship Id="rId230" Type="http://schemas.openxmlformats.org/officeDocument/2006/relationships/queryTable" Target="../queryTables/queryTable1270.xml"/><Relationship Id="rId251" Type="http://schemas.openxmlformats.org/officeDocument/2006/relationships/queryTable" Target="../queryTables/queryTable1291.xml"/><Relationship Id="rId468" Type="http://schemas.openxmlformats.org/officeDocument/2006/relationships/queryTable" Target="../queryTables/queryTable1508.xml"/><Relationship Id="rId489" Type="http://schemas.openxmlformats.org/officeDocument/2006/relationships/queryTable" Target="../queryTables/queryTable1529.xml"/><Relationship Id="rId25" Type="http://schemas.openxmlformats.org/officeDocument/2006/relationships/queryTable" Target="../queryTables/queryTable1065.xml"/><Relationship Id="rId46" Type="http://schemas.openxmlformats.org/officeDocument/2006/relationships/queryTable" Target="../queryTables/queryTable1086.xml"/><Relationship Id="rId67" Type="http://schemas.openxmlformats.org/officeDocument/2006/relationships/queryTable" Target="../queryTables/queryTable1107.xml"/><Relationship Id="rId272" Type="http://schemas.openxmlformats.org/officeDocument/2006/relationships/queryTable" Target="../queryTables/queryTable1312.xml"/><Relationship Id="rId293" Type="http://schemas.openxmlformats.org/officeDocument/2006/relationships/queryTable" Target="../queryTables/queryTable1333.xml"/><Relationship Id="rId307" Type="http://schemas.openxmlformats.org/officeDocument/2006/relationships/queryTable" Target="../queryTables/queryTable1347.xml"/><Relationship Id="rId328" Type="http://schemas.openxmlformats.org/officeDocument/2006/relationships/queryTable" Target="../queryTables/queryTable1368.xml"/><Relationship Id="rId349" Type="http://schemas.openxmlformats.org/officeDocument/2006/relationships/queryTable" Target="../queryTables/queryTable1389.xml"/><Relationship Id="rId88" Type="http://schemas.openxmlformats.org/officeDocument/2006/relationships/queryTable" Target="../queryTables/queryTable1128.xml"/><Relationship Id="rId111" Type="http://schemas.openxmlformats.org/officeDocument/2006/relationships/queryTable" Target="../queryTables/queryTable1151.xml"/><Relationship Id="rId132" Type="http://schemas.openxmlformats.org/officeDocument/2006/relationships/queryTable" Target="../queryTables/queryTable1172.xml"/><Relationship Id="rId153" Type="http://schemas.openxmlformats.org/officeDocument/2006/relationships/queryTable" Target="../queryTables/queryTable1193.xml"/><Relationship Id="rId174" Type="http://schemas.openxmlformats.org/officeDocument/2006/relationships/queryTable" Target="../queryTables/queryTable1214.xml"/><Relationship Id="rId195" Type="http://schemas.openxmlformats.org/officeDocument/2006/relationships/queryTable" Target="../queryTables/queryTable1235.xml"/><Relationship Id="rId209" Type="http://schemas.openxmlformats.org/officeDocument/2006/relationships/queryTable" Target="../queryTables/queryTable1249.xml"/><Relationship Id="rId360" Type="http://schemas.openxmlformats.org/officeDocument/2006/relationships/queryTable" Target="../queryTables/queryTable1400.xml"/><Relationship Id="rId381" Type="http://schemas.openxmlformats.org/officeDocument/2006/relationships/queryTable" Target="../queryTables/queryTable1421.xml"/><Relationship Id="rId416" Type="http://schemas.openxmlformats.org/officeDocument/2006/relationships/queryTable" Target="../queryTables/queryTable1456.xml"/><Relationship Id="rId220" Type="http://schemas.openxmlformats.org/officeDocument/2006/relationships/queryTable" Target="../queryTables/queryTable1260.xml"/><Relationship Id="rId241" Type="http://schemas.openxmlformats.org/officeDocument/2006/relationships/queryTable" Target="../queryTables/queryTable1281.xml"/><Relationship Id="rId437" Type="http://schemas.openxmlformats.org/officeDocument/2006/relationships/queryTable" Target="../queryTables/queryTable1477.xml"/><Relationship Id="rId458" Type="http://schemas.openxmlformats.org/officeDocument/2006/relationships/queryTable" Target="../queryTables/queryTable1498.xml"/><Relationship Id="rId479" Type="http://schemas.openxmlformats.org/officeDocument/2006/relationships/queryTable" Target="../queryTables/queryTable1519.xml"/><Relationship Id="rId15" Type="http://schemas.openxmlformats.org/officeDocument/2006/relationships/queryTable" Target="../queryTables/queryTable1055.xml"/><Relationship Id="rId36" Type="http://schemas.openxmlformats.org/officeDocument/2006/relationships/queryTable" Target="../queryTables/queryTable1076.xml"/><Relationship Id="rId57" Type="http://schemas.openxmlformats.org/officeDocument/2006/relationships/queryTable" Target="../queryTables/queryTable1097.xml"/><Relationship Id="rId262" Type="http://schemas.openxmlformats.org/officeDocument/2006/relationships/queryTable" Target="../queryTables/queryTable1302.xml"/><Relationship Id="rId283" Type="http://schemas.openxmlformats.org/officeDocument/2006/relationships/queryTable" Target="../queryTables/queryTable1323.xml"/><Relationship Id="rId318" Type="http://schemas.openxmlformats.org/officeDocument/2006/relationships/queryTable" Target="../queryTables/queryTable1358.xml"/><Relationship Id="rId339" Type="http://schemas.openxmlformats.org/officeDocument/2006/relationships/queryTable" Target="../queryTables/queryTable1379.xml"/><Relationship Id="rId490" Type="http://schemas.openxmlformats.org/officeDocument/2006/relationships/queryTable" Target="../queryTables/queryTable1530.xml"/><Relationship Id="rId504" Type="http://schemas.openxmlformats.org/officeDocument/2006/relationships/queryTable" Target="../queryTables/queryTable1544.xml"/><Relationship Id="rId78" Type="http://schemas.openxmlformats.org/officeDocument/2006/relationships/queryTable" Target="../queryTables/queryTable1118.xml"/><Relationship Id="rId99" Type="http://schemas.openxmlformats.org/officeDocument/2006/relationships/queryTable" Target="../queryTables/queryTable1139.xml"/><Relationship Id="rId101" Type="http://schemas.openxmlformats.org/officeDocument/2006/relationships/queryTable" Target="../queryTables/queryTable1141.xml"/><Relationship Id="rId122" Type="http://schemas.openxmlformats.org/officeDocument/2006/relationships/queryTable" Target="../queryTables/queryTable1162.xml"/><Relationship Id="rId143" Type="http://schemas.openxmlformats.org/officeDocument/2006/relationships/queryTable" Target="../queryTables/queryTable1183.xml"/><Relationship Id="rId164" Type="http://schemas.openxmlformats.org/officeDocument/2006/relationships/queryTable" Target="../queryTables/queryTable1204.xml"/><Relationship Id="rId185" Type="http://schemas.openxmlformats.org/officeDocument/2006/relationships/queryTable" Target="../queryTables/queryTable1225.xml"/><Relationship Id="rId350" Type="http://schemas.openxmlformats.org/officeDocument/2006/relationships/queryTable" Target="../queryTables/queryTable1390.xml"/><Relationship Id="rId371" Type="http://schemas.openxmlformats.org/officeDocument/2006/relationships/queryTable" Target="../queryTables/queryTable1411.xml"/><Relationship Id="rId406" Type="http://schemas.openxmlformats.org/officeDocument/2006/relationships/queryTable" Target="../queryTables/queryTable1446.xml"/><Relationship Id="rId9" Type="http://schemas.openxmlformats.org/officeDocument/2006/relationships/queryTable" Target="../queryTables/queryTable1049.xml"/><Relationship Id="rId210" Type="http://schemas.openxmlformats.org/officeDocument/2006/relationships/queryTable" Target="../queryTables/queryTable1250.xml"/><Relationship Id="rId392" Type="http://schemas.openxmlformats.org/officeDocument/2006/relationships/queryTable" Target="../queryTables/queryTable1432.xml"/><Relationship Id="rId427" Type="http://schemas.openxmlformats.org/officeDocument/2006/relationships/queryTable" Target="../queryTables/queryTable1467.xml"/><Relationship Id="rId448" Type="http://schemas.openxmlformats.org/officeDocument/2006/relationships/queryTable" Target="../queryTables/queryTable1488.xml"/><Relationship Id="rId469" Type="http://schemas.openxmlformats.org/officeDocument/2006/relationships/queryTable" Target="../queryTables/queryTable1509.xml"/><Relationship Id="rId26" Type="http://schemas.openxmlformats.org/officeDocument/2006/relationships/queryTable" Target="../queryTables/queryTable1066.xml"/><Relationship Id="rId231" Type="http://schemas.openxmlformats.org/officeDocument/2006/relationships/queryTable" Target="../queryTables/queryTable1271.xml"/><Relationship Id="rId252" Type="http://schemas.openxmlformats.org/officeDocument/2006/relationships/queryTable" Target="../queryTables/queryTable1292.xml"/><Relationship Id="rId273" Type="http://schemas.openxmlformats.org/officeDocument/2006/relationships/queryTable" Target="../queryTables/queryTable1313.xml"/><Relationship Id="rId294" Type="http://schemas.openxmlformats.org/officeDocument/2006/relationships/queryTable" Target="../queryTables/queryTable1334.xml"/><Relationship Id="rId308" Type="http://schemas.openxmlformats.org/officeDocument/2006/relationships/queryTable" Target="../queryTables/queryTable1348.xml"/><Relationship Id="rId329" Type="http://schemas.openxmlformats.org/officeDocument/2006/relationships/queryTable" Target="../queryTables/queryTable1369.xml"/><Relationship Id="rId480" Type="http://schemas.openxmlformats.org/officeDocument/2006/relationships/queryTable" Target="../queryTables/queryTable1520.xml"/><Relationship Id="rId47" Type="http://schemas.openxmlformats.org/officeDocument/2006/relationships/queryTable" Target="../queryTables/queryTable1087.xml"/><Relationship Id="rId68" Type="http://schemas.openxmlformats.org/officeDocument/2006/relationships/queryTable" Target="../queryTables/queryTable1108.xml"/><Relationship Id="rId89" Type="http://schemas.openxmlformats.org/officeDocument/2006/relationships/queryTable" Target="../queryTables/queryTable1129.xml"/><Relationship Id="rId112" Type="http://schemas.openxmlformats.org/officeDocument/2006/relationships/queryTable" Target="../queryTables/queryTable1152.xml"/><Relationship Id="rId133" Type="http://schemas.openxmlformats.org/officeDocument/2006/relationships/queryTable" Target="../queryTables/queryTable1173.xml"/><Relationship Id="rId154" Type="http://schemas.openxmlformats.org/officeDocument/2006/relationships/queryTable" Target="../queryTables/queryTable1194.xml"/><Relationship Id="rId175" Type="http://schemas.openxmlformats.org/officeDocument/2006/relationships/queryTable" Target="../queryTables/queryTable1215.xml"/><Relationship Id="rId340" Type="http://schemas.openxmlformats.org/officeDocument/2006/relationships/queryTable" Target="../queryTables/queryTable1380.xml"/><Relationship Id="rId361" Type="http://schemas.openxmlformats.org/officeDocument/2006/relationships/queryTable" Target="../queryTables/queryTable1401.xml"/><Relationship Id="rId196" Type="http://schemas.openxmlformats.org/officeDocument/2006/relationships/queryTable" Target="../queryTables/queryTable1236.xml"/><Relationship Id="rId200" Type="http://schemas.openxmlformats.org/officeDocument/2006/relationships/queryTable" Target="../queryTables/queryTable1240.xml"/><Relationship Id="rId382" Type="http://schemas.openxmlformats.org/officeDocument/2006/relationships/queryTable" Target="../queryTables/queryTable1422.xml"/><Relationship Id="rId417" Type="http://schemas.openxmlformats.org/officeDocument/2006/relationships/queryTable" Target="../queryTables/queryTable1457.xml"/><Relationship Id="rId438" Type="http://schemas.openxmlformats.org/officeDocument/2006/relationships/queryTable" Target="../queryTables/queryTable1478.xml"/><Relationship Id="rId459" Type="http://schemas.openxmlformats.org/officeDocument/2006/relationships/queryTable" Target="../queryTables/queryTable1499.xml"/><Relationship Id="rId16" Type="http://schemas.openxmlformats.org/officeDocument/2006/relationships/queryTable" Target="../queryTables/queryTable1056.xml"/><Relationship Id="rId221" Type="http://schemas.openxmlformats.org/officeDocument/2006/relationships/queryTable" Target="../queryTables/queryTable1261.xml"/><Relationship Id="rId242" Type="http://schemas.openxmlformats.org/officeDocument/2006/relationships/queryTable" Target="../queryTables/queryTable1282.xml"/><Relationship Id="rId263" Type="http://schemas.openxmlformats.org/officeDocument/2006/relationships/queryTable" Target="../queryTables/queryTable1303.xml"/><Relationship Id="rId284" Type="http://schemas.openxmlformats.org/officeDocument/2006/relationships/queryTable" Target="../queryTables/queryTable1324.xml"/><Relationship Id="rId319" Type="http://schemas.openxmlformats.org/officeDocument/2006/relationships/queryTable" Target="../queryTables/queryTable1359.xml"/><Relationship Id="rId470" Type="http://schemas.openxmlformats.org/officeDocument/2006/relationships/queryTable" Target="../queryTables/queryTable1510.xml"/><Relationship Id="rId491" Type="http://schemas.openxmlformats.org/officeDocument/2006/relationships/queryTable" Target="../queryTables/queryTable1531.xml"/><Relationship Id="rId505" Type="http://schemas.openxmlformats.org/officeDocument/2006/relationships/queryTable" Target="../queryTables/queryTable1545.xml"/><Relationship Id="rId37" Type="http://schemas.openxmlformats.org/officeDocument/2006/relationships/queryTable" Target="../queryTables/queryTable1077.xml"/><Relationship Id="rId58" Type="http://schemas.openxmlformats.org/officeDocument/2006/relationships/queryTable" Target="../queryTables/queryTable1098.xml"/><Relationship Id="rId79" Type="http://schemas.openxmlformats.org/officeDocument/2006/relationships/queryTable" Target="../queryTables/queryTable1119.xml"/><Relationship Id="rId102" Type="http://schemas.openxmlformats.org/officeDocument/2006/relationships/queryTable" Target="../queryTables/queryTable1142.xml"/><Relationship Id="rId123" Type="http://schemas.openxmlformats.org/officeDocument/2006/relationships/queryTable" Target="../queryTables/queryTable1163.xml"/><Relationship Id="rId144" Type="http://schemas.openxmlformats.org/officeDocument/2006/relationships/queryTable" Target="../queryTables/queryTable1184.xml"/><Relationship Id="rId330" Type="http://schemas.openxmlformats.org/officeDocument/2006/relationships/queryTable" Target="../queryTables/queryTable1370.xml"/><Relationship Id="rId90" Type="http://schemas.openxmlformats.org/officeDocument/2006/relationships/queryTable" Target="../queryTables/queryTable1130.xml"/><Relationship Id="rId165" Type="http://schemas.openxmlformats.org/officeDocument/2006/relationships/queryTable" Target="../queryTables/queryTable1205.xml"/><Relationship Id="rId186" Type="http://schemas.openxmlformats.org/officeDocument/2006/relationships/queryTable" Target="../queryTables/queryTable1226.xml"/><Relationship Id="rId351" Type="http://schemas.openxmlformats.org/officeDocument/2006/relationships/queryTable" Target="../queryTables/queryTable1391.xml"/><Relationship Id="rId372" Type="http://schemas.openxmlformats.org/officeDocument/2006/relationships/queryTable" Target="../queryTables/queryTable1412.xml"/><Relationship Id="rId393" Type="http://schemas.openxmlformats.org/officeDocument/2006/relationships/queryTable" Target="../queryTables/queryTable1433.xml"/><Relationship Id="rId407" Type="http://schemas.openxmlformats.org/officeDocument/2006/relationships/queryTable" Target="../queryTables/queryTable1447.xml"/><Relationship Id="rId428" Type="http://schemas.openxmlformats.org/officeDocument/2006/relationships/queryTable" Target="../queryTables/queryTable1468.xml"/><Relationship Id="rId449" Type="http://schemas.openxmlformats.org/officeDocument/2006/relationships/queryTable" Target="../queryTables/queryTable1489.xml"/><Relationship Id="rId211" Type="http://schemas.openxmlformats.org/officeDocument/2006/relationships/queryTable" Target="../queryTables/queryTable1251.xml"/><Relationship Id="rId232" Type="http://schemas.openxmlformats.org/officeDocument/2006/relationships/queryTable" Target="../queryTables/queryTable1272.xml"/><Relationship Id="rId253" Type="http://schemas.openxmlformats.org/officeDocument/2006/relationships/queryTable" Target="../queryTables/queryTable1293.xml"/><Relationship Id="rId274" Type="http://schemas.openxmlformats.org/officeDocument/2006/relationships/queryTable" Target="../queryTables/queryTable1314.xml"/><Relationship Id="rId295" Type="http://schemas.openxmlformats.org/officeDocument/2006/relationships/queryTable" Target="../queryTables/queryTable1335.xml"/><Relationship Id="rId309" Type="http://schemas.openxmlformats.org/officeDocument/2006/relationships/queryTable" Target="../queryTables/queryTable1349.xml"/><Relationship Id="rId460" Type="http://schemas.openxmlformats.org/officeDocument/2006/relationships/queryTable" Target="../queryTables/queryTable1500.xml"/><Relationship Id="rId481" Type="http://schemas.openxmlformats.org/officeDocument/2006/relationships/queryTable" Target="../queryTables/queryTable1521.xml"/><Relationship Id="rId27" Type="http://schemas.openxmlformats.org/officeDocument/2006/relationships/queryTable" Target="../queryTables/queryTable1067.xml"/><Relationship Id="rId48" Type="http://schemas.openxmlformats.org/officeDocument/2006/relationships/queryTable" Target="../queryTables/queryTable1088.xml"/><Relationship Id="rId69" Type="http://schemas.openxmlformats.org/officeDocument/2006/relationships/queryTable" Target="../queryTables/queryTable1109.xml"/><Relationship Id="rId113" Type="http://schemas.openxmlformats.org/officeDocument/2006/relationships/queryTable" Target="../queryTables/queryTable1153.xml"/><Relationship Id="rId134" Type="http://schemas.openxmlformats.org/officeDocument/2006/relationships/queryTable" Target="../queryTables/queryTable1174.xml"/><Relationship Id="rId320" Type="http://schemas.openxmlformats.org/officeDocument/2006/relationships/queryTable" Target="../queryTables/queryTable1360.xml"/><Relationship Id="rId80" Type="http://schemas.openxmlformats.org/officeDocument/2006/relationships/queryTable" Target="../queryTables/queryTable1120.xml"/><Relationship Id="rId155" Type="http://schemas.openxmlformats.org/officeDocument/2006/relationships/queryTable" Target="../queryTables/queryTable1195.xml"/><Relationship Id="rId176" Type="http://schemas.openxmlformats.org/officeDocument/2006/relationships/queryTable" Target="../queryTables/queryTable1216.xml"/><Relationship Id="rId197" Type="http://schemas.openxmlformats.org/officeDocument/2006/relationships/queryTable" Target="../queryTables/queryTable1237.xml"/><Relationship Id="rId341" Type="http://schemas.openxmlformats.org/officeDocument/2006/relationships/queryTable" Target="../queryTables/queryTable1381.xml"/><Relationship Id="rId362" Type="http://schemas.openxmlformats.org/officeDocument/2006/relationships/queryTable" Target="../queryTables/queryTable1402.xml"/><Relationship Id="rId383" Type="http://schemas.openxmlformats.org/officeDocument/2006/relationships/queryTable" Target="../queryTables/queryTable1423.xml"/><Relationship Id="rId418" Type="http://schemas.openxmlformats.org/officeDocument/2006/relationships/queryTable" Target="../queryTables/queryTable1458.xml"/><Relationship Id="rId439" Type="http://schemas.openxmlformats.org/officeDocument/2006/relationships/queryTable" Target="../queryTables/queryTable1479.xml"/><Relationship Id="rId201" Type="http://schemas.openxmlformats.org/officeDocument/2006/relationships/queryTable" Target="../queryTables/queryTable1241.xml"/><Relationship Id="rId222" Type="http://schemas.openxmlformats.org/officeDocument/2006/relationships/queryTable" Target="../queryTables/queryTable1262.xml"/><Relationship Id="rId243" Type="http://schemas.openxmlformats.org/officeDocument/2006/relationships/queryTable" Target="../queryTables/queryTable1283.xml"/><Relationship Id="rId264" Type="http://schemas.openxmlformats.org/officeDocument/2006/relationships/queryTable" Target="../queryTables/queryTable1304.xml"/><Relationship Id="rId285" Type="http://schemas.openxmlformats.org/officeDocument/2006/relationships/queryTable" Target="../queryTables/queryTable1325.xml"/><Relationship Id="rId450" Type="http://schemas.openxmlformats.org/officeDocument/2006/relationships/queryTable" Target="../queryTables/queryTable1490.xml"/><Relationship Id="rId471" Type="http://schemas.openxmlformats.org/officeDocument/2006/relationships/queryTable" Target="../queryTables/queryTable1511.xml"/><Relationship Id="rId506" Type="http://schemas.openxmlformats.org/officeDocument/2006/relationships/queryTable" Target="../queryTables/queryTable1546.xml"/><Relationship Id="rId17" Type="http://schemas.openxmlformats.org/officeDocument/2006/relationships/queryTable" Target="../queryTables/queryTable1057.xml"/><Relationship Id="rId38" Type="http://schemas.openxmlformats.org/officeDocument/2006/relationships/queryTable" Target="../queryTables/queryTable1078.xml"/><Relationship Id="rId59" Type="http://schemas.openxmlformats.org/officeDocument/2006/relationships/queryTable" Target="../queryTables/queryTable1099.xml"/><Relationship Id="rId103" Type="http://schemas.openxmlformats.org/officeDocument/2006/relationships/queryTable" Target="../queryTables/queryTable1143.xml"/><Relationship Id="rId124" Type="http://schemas.openxmlformats.org/officeDocument/2006/relationships/queryTable" Target="../queryTables/queryTable1164.xml"/><Relationship Id="rId310" Type="http://schemas.openxmlformats.org/officeDocument/2006/relationships/queryTable" Target="../queryTables/queryTable1350.xml"/><Relationship Id="rId492" Type="http://schemas.openxmlformats.org/officeDocument/2006/relationships/queryTable" Target="../queryTables/queryTable1532.xml"/><Relationship Id="rId70" Type="http://schemas.openxmlformats.org/officeDocument/2006/relationships/queryTable" Target="../queryTables/queryTable1110.xml"/><Relationship Id="rId91" Type="http://schemas.openxmlformats.org/officeDocument/2006/relationships/queryTable" Target="../queryTables/queryTable1131.xml"/><Relationship Id="rId145" Type="http://schemas.openxmlformats.org/officeDocument/2006/relationships/queryTable" Target="../queryTables/queryTable1185.xml"/><Relationship Id="rId166" Type="http://schemas.openxmlformats.org/officeDocument/2006/relationships/queryTable" Target="../queryTables/queryTable1206.xml"/><Relationship Id="rId187" Type="http://schemas.openxmlformats.org/officeDocument/2006/relationships/queryTable" Target="../queryTables/queryTable1227.xml"/><Relationship Id="rId331" Type="http://schemas.openxmlformats.org/officeDocument/2006/relationships/queryTable" Target="../queryTables/queryTable1371.xml"/><Relationship Id="rId352" Type="http://schemas.openxmlformats.org/officeDocument/2006/relationships/queryTable" Target="../queryTables/queryTable1392.xml"/><Relationship Id="rId373" Type="http://schemas.openxmlformats.org/officeDocument/2006/relationships/queryTable" Target="../queryTables/queryTable1413.xml"/><Relationship Id="rId394" Type="http://schemas.openxmlformats.org/officeDocument/2006/relationships/queryTable" Target="../queryTables/queryTable1434.xml"/><Relationship Id="rId408" Type="http://schemas.openxmlformats.org/officeDocument/2006/relationships/queryTable" Target="../queryTables/queryTable1448.xml"/><Relationship Id="rId429" Type="http://schemas.openxmlformats.org/officeDocument/2006/relationships/queryTable" Target="../queryTables/queryTable1469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52.xml"/><Relationship Id="rId233" Type="http://schemas.openxmlformats.org/officeDocument/2006/relationships/queryTable" Target="../queryTables/queryTable1273.xml"/><Relationship Id="rId254" Type="http://schemas.openxmlformats.org/officeDocument/2006/relationships/queryTable" Target="../queryTables/queryTable1294.xml"/><Relationship Id="rId440" Type="http://schemas.openxmlformats.org/officeDocument/2006/relationships/queryTable" Target="../queryTables/queryTable1480.xml"/><Relationship Id="rId28" Type="http://schemas.openxmlformats.org/officeDocument/2006/relationships/queryTable" Target="../queryTables/queryTable1068.xml"/><Relationship Id="rId49" Type="http://schemas.openxmlformats.org/officeDocument/2006/relationships/queryTable" Target="../queryTables/queryTable1089.xml"/><Relationship Id="rId114" Type="http://schemas.openxmlformats.org/officeDocument/2006/relationships/queryTable" Target="../queryTables/queryTable1154.xml"/><Relationship Id="rId275" Type="http://schemas.openxmlformats.org/officeDocument/2006/relationships/queryTable" Target="../queryTables/queryTable1315.xml"/><Relationship Id="rId296" Type="http://schemas.openxmlformats.org/officeDocument/2006/relationships/queryTable" Target="../queryTables/queryTable1336.xml"/><Relationship Id="rId300" Type="http://schemas.openxmlformats.org/officeDocument/2006/relationships/queryTable" Target="../queryTables/queryTable1340.xml"/><Relationship Id="rId461" Type="http://schemas.openxmlformats.org/officeDocument/2006/relationships/queryTable" Target="../queryTables/queryTable1501.xml"/><Relationship Id="rId482" Type="http://schemas.openxmlformats.org/officeDocument/2006/relationships/queryTable" Target="../queryTables/queryTable1522.xml"/><Relationship Id="rId60" Type="http://schemas.openxmlformats.org/officeDocument/2006/relationships/queryTable" Target="../queryTables/queryTable1100.xml"/><Relationship Id="rId81" Type="http://schemas.openxmlformats.org/officeDocument/2006/relationships/queryTable" Target="../queryTables/queryTable1121.xml"/><Relationship Id="rId135" Type="http://schemas.openxmlformats.org/officeDocument/2006/relationships/queryTable" Target="../queryTables/queryTable1175.xml"/><Relationship Id="rId156" Type="http://schemas.openxmlformats.org/officeDocument/2006/relationships/queryTable" Target="../queryTables/queryTable1196.xml"/><Relationship Id="rId177" Type="http://schemas.openxmlformats.org/officeDocument/2006/relationships/queryTable" Target="../queryTables/queryTable1217.xml"/><Relationship Id="rId198" Type="http://schemas.openxmlformats.org/officeDocument/2006/relationships/queryTable" Target="../queryTables/queryTable1238.xml"/><Relationship Id="rId321" Type="http://schemas.openxmlformats.org/officeDocument/2006/relationships/queryTable" Target="../queryTables/queryTable1361.xml"/><Relationship Id="rId342" Type="http://schemas.openxmlformats.org/officeDocument/2006/relationships/queryTable" Target="../queryTables/queryTable1382.xml"/><Relationship Id="rId363" Type="http://schemas.openxmlformats.org/officeDocument/2006/relationships/queryTable" Target="../queryTables/queryTable1403.xml"/><Relationship Id="rId384" Type="http://schemas.openxmlformats.org/officeDocument/2006/relationships/queryTable" Target="../queryTables/queryTable1424.xml"/><Relationship Id="rId419" Type="http://schemas.openxmlformats.org/officeDocument/2006/relationships/queryTable" Target="../queryTables/queryTable1459.xml"/><Relationship Id="rId202" Type="http://schemas.openxmlformats.org/officeDocument/2006/relationships/queryTable" Target="../queryTables/queryTable1242.xml"/><Relationship Id="rId223" Type="http://schemas.openxmlformats.org/officeDocument/2006/relationships/queryTable" Target="../queryTables/queryTable1263.xml"/><Relationship Id="rId244" Type="http://schemas.openxmlformats.org/officeDocument/2006/relationships/queryTable" Target="../queryTables/queryTable1284.xml"/><Relationship Id="rId430" Type="http://schemas.openxmlformats.org/officeDocument/2006/relationships/queryTable" Target="../queryTables/queryTable1470.xml"/><Relationship Id="rId18" Type="http://schemas.openxmlformats.org/officeDocument/2006/relationships/queryTable" Target="../queryTables/queryTable1058.xml"/><Relationship Id="rId39" Type="http://schemas.openxmlformats.org/officeDocument/2006/relationships/queryTable" Target="../queryTables/queryTable1079.xml"/><Relationship Id="rId265" Type="http://schemas.openxmlformats.org/officeDocument/2006/relationships/queryTable" Target="../queryTables/queryTable1305.xml"/><Relationship Id="rId286" Type="http://schemas.openxmlformats.org/officeDocument/2006/relationships/queryTable" Target="../queryTables/queryTable1326.xml"/><Relationship Id="rId451" Type="http://schemas.openxmlformats.org/officeDocument/2006/relationships/queryTable" Target="../queryTables/queryTable1491.xml"/><Relationship Id="rId472" Type="http://schemas.openxmlformats.org/officeDocument/2006/relationships/queryTable" Target="../queryTables/queryTable1512.xml"/><Relationship Id="rId493" Type="http://schemas.openxmlformats.org/officeDocument/2006/relationships/queryTable" Target="../queryTables/queryTable1533.xml"/><Relationship Id="rId507" Type="http://schemas.openxmlformats.org/officeDocument/2006/relationships/queryTable" Target="../queryTables/queryTable1547.xml"/><Relationship Id="rId50" Type="http://schemas.openxmlformats.org/officeDocument/2006/relationships/queryTable" Target="../queryTables/queryTable1090.xml"/><Relationship Id="rId104" Type="http://schemas.openxmlformats.org/officeDocument/2006/relationships/queryTable" Target="../queryTables/queryTable1144.xml"/><Relationship Id="rId125" Type="http://schemas.openxmlformats.org/officeDocument/2006/relationships/queryTable" Target="../queryTables/queryTable1165.xml"/><Relationship Id="rId146" Type="http://schemas.openxmlformats.org/officeDocument/2006/relationships/queryTable" Target="../queryTables/queryTable1186.xml"/><Relationship Id="rId167" Type="http://schemas.openxmlformats.org/officeDocument/2006/relationships/queryTable" Target="../queryTables/queryTable1207.xml"/><Relationship Id="rId188" Type="http://schemas.openxmlformats.org/officeDocument/2006/relationships/queryTable" Target="../queryTables/queryTable1228.xml"/><Relationship Id="rId311" Type="http://schemas.openxmlformats.org/officeDocument/2006/relationships/queryTable" Target="../queryTables/queryTable1351.xml"/><Relationship Id="rId332" Type="http://schemas.openxmlformats.org/officeDocument/2006/relationships/queryTable" Target="../queryTables/queryTable1372.xml"/><Relationship Id="rId353" Type="http://schemas.openxmlformats.org/officeDocument/2006/relationships/queryTable" Target="../queryTables/queryTable1393.xml"/><Relationship Id="rId374" Type="http://schemas.openxmlformats.org/officeDocument/2006/relationships/queryTable" Target="../queryTables/queryTable1414.xml"/><Relationship Id="rId395" Type="http://schemas.openxmlformats.org/officeDocument/2006/relationships/queryTable" Target="../queryTables/queryTable1435.xml"/><Relationship Id="rId409" Type="http://schemas.openxmlformats.org/officeDocument/2006/relationships/queryTable" Target="../queryTables/queryTable1449.xml"/><Relationship Id="rId71" Type="http://schemas.openxmlformats.org/officeDocument/2006/relationships/queryTable" Target="../queryTables/queryTable1111.xml"/><Relationship Id="rId92" Type="http://schemas.openxmlformats.org/officeDocument/2006/relationships/queryTable" Target="../queryTables/queryTable1132.xml"/><Relationship Id="rId213" Type="http://schemas.openxmlformats.org/officeDocument/2006/relationships/queryTable" Target="../queryTables/queryTable1253.xml"/><Relationship Id="rId234" Type="http://schemas.openxmlformats.org/officeDocument/2006/relationships/queryTable" Target="../queryTables/queryTable1274.xml"/><Relationship Id="rId420" Type="http://schemas.openxmlformats.org/officeDocument/2006/relationships/queryTable" Target="../queryTables/queryTable1460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69.xml"/><Relationship Id="rId255" Type="http://schemas.openxmlformats.org/officeDocument/2006/relationships/queryTable" Target="../queryTables/queryTable1295.xml"/><Relationship Id="rId276" Type="http://schemas.openxmlformats.org/officeDocument/2006/relationships/queryTable" Target="../queryTables/queryTable1316.xml"/><Relationship Id="rId297" Type="http://schemas.openxmlformats.org/officeDocument/2006/relationships/queryTable" Target="../queryTables/queryTable1337.xml"/><Relationship Id="rId441" Type="http://schemas.openxmlformats.org/officeDocument/2006/relationships/queryTable" Target="../queryTables/queryTable1481.xml"/><Relationship Id="rId462" Type="http://schemas.openxmlformats.org/officeDocument/2006/relationships/queryTable" Target="../queryTables/queryTable1502.xml"/><Relationship Id="rId483" Type="http://schemas.openxmlformats.org/officeDocument/2006/relationships/queryTable" Target="../queryTables/queryTable1523.xml"/><Relationship Id="rId40" Type="http://schemas.openxmlformats.org/officeDocument/2006/relationships/queryTable" Target="../queryTables/queryTable1080.xml"/><Relationship Id="rId115" Type="http://schemas.openxmlformats.org/officeDocument/2006/relationships/queryTable" Target="../queryTables/queryTable1155.xml"/><Relationship Id="rId136" Type="http://schemas.openxmlformats.org/officeDocument/2006/relationships/queryTable" Target="../queryTables/queryTable1176.xml"/><Relationship Id="rId157" Type="http://schemas.openxmlformats.org/officeDocument/2006/relationships/queryTable" Target="../queryTables/queryTable1197.xml"/><Relationship Id="rId178" Type="http://schemas.openxmlformats.org/officeDocument/2006/relationships/queryTable" Target="../queryTables/queryTable1218.xml"/><Relationship Id="rId301" Type="http://schemas.openxmlformats.org/officeDocument/2006/relationships/queryTable" Target="../queryTables/queryTable1341.xml"/><Relationship Id="rId322" Type="http://schemas.openxmlformats.org/officeDocument/2006/relationships/queryTable" Target="../queryTables/queryTable1362.xml"/><Relationship Id="rId343" Type="http://schemas.openxmlformats.org/officeDocument/2006/relationships/queryTable" Target="../queryTables/queryTable1383.xml"/><Relationship Id="rId364" Type="http://schemas.openxmlformats.org/officeDocument/2006/relationships/queryTable" Target="../queryTables/queryTable1404.xml"/><Relationship Id="rId61" Type="http://schemas.openxmlformats.org/officeDocument/2006/relationships/queryTable" Target="../queryTables/queryTable1101.xml"/><Relationship Id="rId82" Type="http://schemas.openxmlformats.org/officeDocument/2006/relationships/queryTable" Target="../queryTables/queryTable1122.xml"/><Relationship Id="rId199" Type="http://schemas.openxmlformats.org/officeDocument/2006/relationships/queryTable" Target="../queryTables/queryTable1239.xml"/><Relationship Id="rId203" Type="http://schemas.openxmlformats.org/officeDocument/2006/relationships/queryTable" Target="../queryTables/queryTable1243.xml"/><Relationship Id="rId385" Type="http://schemas.openxmlformats.org/officeDocument/2006/relationships/queryTable" Target="../queryTables/queryTable1425.xml"/><Relationship Id="rId19" Type="http://schemas.openxmlformats.org/officeDocument/2006/relationships/queryTable" Target="../queryTables/queryTable1059.xml"/><Relationship Id="rId224" Type="http://schemas.openxmlformats.org/officeDocument/2006/relationships/queryTable" Target="../queryTables/queryTable1264.xml"/><Relationship Id="rId245" Type="http://schemas.openxmlformats.org/officeDocument/2006/relationships/queryTable" Target="../queryTables/queryTable1285.xml"/><Relationship Id="rId266" Type="http://schemas.openxmlformats.org/officeDocument/2006/relationships/queryTable" Target="../queryTables/queryTable1306.xml"/><Relationship Id="rId287" Type="http://schemas.openxmlformats.org/officeDocument/2006/relationships/queryTable" Target="../queryTables/queryTable1327.xml"/><Relationship Id="rId410" Type="http://schemas.openxmlformats.org/officeDocument/2006/relationships/queryTable" Target="../queryTables/queryTable1450.xml"/><Relationship Id="rId431" Type="http://schemas.openxmlformats.org/officeDocument/2006/relationships/queryTable" Target="../queryTables/queryTable1471.xml"/><Relationship Id="rId452" Type="http://schemas.openxmlformats.org/officeDocument/2006/relationships/queryTable" Target="../queryTables/queryTable1492.xml"/><Relationship Id="rId473" Type="http://schemas.openxmlformats.org/officeDocument/2006/relationships/queryTable" Target="../queryTables/queryTable1513.xml"/><Relationship Id="rId494" Type="http://schemas.openxmlformats.org/officeDocument/2006/relationships/queryTable" Target="../queryTables/queryTable1534.xml"/><Relationship Id="rId508" Type="http://schemas.openxmlformats.org/officeDocument/2006/relationships/queryTable" Target="../queryTables/queryTable1548.xml"/><Relationship Id="rId30" Type="http://schemas.openxmlformats.org/officeDocument/2006/relationships/queryTable" Target="../queryTables/queryTable1070.xml"/><Relationship Id="rId105" Type="http://schemas.openxmlformats.org/officeDocument/2006/relationships/queryTable" Target="../queryTables/queryTable1145.xml"/><Relationship Id="rId126" Type="http://schemas.openxmlformats.org/officeDocument/2006/relationships/queryTable" Target="../queryTables/queryTable1166.xml"/><Relationship Id="rId147" Type="http://schemas.openxmlformats.org/officeDocument/2006/relationships/queryTable" Target="../queryTables/queryTable1187.xml"/><Relationship Id="rId168" Type="http://schemas.openxmlformats.org/officeDocument/2006/relationships/queryTable" Target="../queryTables/queryTable1208.xml"/><Relationship Id="rId312" Type="http://schemas.openxmlformats.org/officeDocument/2006/relationships/queryTable" Target="../queryTables/queryTable1352.xml"/><Relationship Id="rId333" Type="http://schemas.openxmlformats.org/officeDocument/2006/relationships/queryTable" Target="../queryTables/queryTable1373.xml"/><Relationship Id="rId354" Type="http://schemas.openxmlformats.org/officeDocument/2006/relationships/queryTable" Target="../queryTables/queryTable1394.xml"/><Relationship Id="rId51" Type="http://schemas.openxmlformats.org/officeDocument/2006/relationships/queryTable" Target="../queryTables/queryTable1091.xml"/><Relationship Id="rId72" Type="http://schemas.openxmlformats.org/officeDocument/2006/relationships/queryTable" Target="../queryTables/queryTable1112.xml"/><Relationship Id="rId93" Type="http://schemas.openxmlformats.org/officeDocument/2006/relationships/queryTable" Target="../queryTables/queryTable1133.xml"/><Relationship Id="rId189" Type="http://schemas.openxmlformats.org/officeDocument/2006/relationships/queryTable" Target="../queryTables/queryTable1229.xml"/><Relationship Id="rId375" Type="http://schemas.openxmlformats.org/officeDocument/2006/relationships/queryTable" Target="../queryTables/queryTable1415.xml"/><Relationship Id="rId396" Type="http://schemas.openxmlformats.org/officeDocument/2006/relationships/queryTable" Target="../queryTables/queryTable1436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54.xml"/><Relationship Id="rId235" Type="http://schemas.openxmlformats.org/officeDocument/2006/relationships/queryTable" Target="../queryTables/queryTable1275.xml"/><Relationship Id="rId256" Type="http://schemas.openxmlformats.org/officeDocument/2006/relationships/queryTable" Target="../queryTables/queryTable1296.xml"/><Relationship Id="rId277" Type="http://schemas.openxmlformats.org/officeDocument/2006/relationships/queryTable" Target="../queryTables/queryTable1317.xml"/><Relationship Id="rId298" Type="http://schemas.openxmlformats.org/officeDocument/2006/relationships/queryTable" Target="../queryTables/queryTable1338.xml"/><Relationship Id="rId400" Type="http://schemas.openxmlformats.org/officeDocument/2006/relationships/queryTable" Target="../queryTables/queryTable1440.xml"/><Relationship Id="rId421" Type="http://schemas.openxmlformats.org/officeDocument/2006/relationships/queryTable" Target="../queryTables/queryTable1461.xml"/><Relationship Id="rId442" Type="http://schemas.openxmlformats.org/officeDocument/2006/relationships/queryTable" Target="../queryTables/queryTable1482.xml"/><Relationship Id="rId463" Type="http://schemas.openxmlformats.org/officeDocument/2006/relationships/queryTable" Target="../queryTables/queryTable1503.xml"/><Relationship Id="rId484" Type="http://schemas.openxmlformats.org/officeDocument/2006/relationships/queryTable" Target="../queryTables/queryTable1524.xml"/><Relationship Id="rId116" Type="http://schemas.openxmlformats.org/officeDocument/2006/relationships/queryTable" Target="../queryTables/queryTable1156.xml"/><Relationship Id="rId137" Type="http://schemas.openxmlformats.org/officeDocument/2006/relationships/queryTable" Target="../queryTables/queryTable1177.xml"/><Relationship Id="rId158" Type="http://schemas.openxmlformats.org/officeDocument/2006/relationships/queryTable" Target="../queryTables/queryTable1198.xml"/><Relationship Id="rId302" Type="http://schemas.openxmlformats.org/officeDocument/2006/relationships/queryTable" Target="../queryTables/queryTable1342.xml"/><Relationship Id="rId323" Type="http://schemas.openxmlformats.org/officeDocument/2006/relationships/queryTable" Target="../queryTables/queryTable1363.xml"/><Relationship Id="rId344" Type="http://schemas.openxmlformats.org/officeDocument/2006/relationships/queryTable" Target="../queryTables/queryTable1384.xml"/><Relationship Id="rId20" Type="http://schemas.openxmlformats.org/officeDocument/2006/relationships/queryTable" Target="../queryTables/queryTable1060.xml"/><Relationship Id="rId41" Type="http://schemas.openxmlformats.org/officeDocument/2006/relationships/queryTable" Target="../queryTables/queryTable1081.xml"/><Relationship Id="rId62" Type="http://schemas.openxmlformats.org/officeDocument/2006/relationships/queryTable" Target="../queryTables/queryTable1102.xml"/><Relationship Id="rId83" Type="http://schemas.openxmlformats.org/officeDocument/2006/relationships/queryTable" Target="../queryTables/queryTable1123.xml"/><Relationship Id="rId179" Type="http://schemas.openxmlformats.org/officeDocument/2006/relationships/queryTable" Target="../queryTables/queryTable1219.xml"/><Relationship Id="rId365" Type="http://schemas.openxmlformats.org/officeDocument/2006/relationships/queryTable" Target="../queryTables/queryTable1405.xml"/><Relationship Id="rId386" Type="http://schemas.openxmlformats.org/officeDocument/2006/relationships/queryTable" Target="../queryTables/queryTable1426.xml"/><Relationship Id="rId190" Type="http://schemas.openxmlformats.org/officeDocument/2006/relationships/queryTable" Target="../queryTables/queryTable1230.xml"/><Relationship Id="rId204" Type="http://schemas.openxmlformats.org/officeDocument/2006/relationships/queryTable" Target="../queryTables/queryTable1244.xml"/><Relationship Id="rId225" Type="http://schemas.openxmlformats.org/officeDocument/2006/relationships/queryTable" Target="../queryTables/queryTable1265.xml"/><Relationship Id="rId246" Type="http://schemas.openxmlformats.org/officeDocument/2006/relationships/queryTable" Target="../queryTables/queryTable1286.xml"/><Relationship Id="rId267" Type="http://schemas.openxmlformats.org/officeDocument/2006/relationships/queryTable" Target="../queryTables/queryTable1307.xml"/><Relationship Id="rId288" Type="http://schemas.openxmlformats.org/officeDocument/2006/relationships/queryTable" Target="../queryTables/queryTable1328.xml"/><Relationship Id="rId411" Type="http://schemas.openxmlformats.org/officeDocument/2006/relationships/queryTable" Target="../queryTables/queryTable1451.xml"/><Relationship Id="rId432" Type="http://schemas.openxmlformats.org/officeDocument/2006/relationships/queryTable" Target="../queryTables/queryTable1472.xml"/><Relationship Id="rId453" Type="http://schemas.openxmlformats.org/officeDocument/2006/relationships/queryTable" Target="../queryTables/queryTable1493.xml"/><Relationship Id="rId474" Type="http://schemas.openxmlformats.org/officeDocument/2006/relationships/queryTable" Target="../queryTables/queryTable1514.xml"/><Relationship Id="rId509" Type="http://schemas.openxmlformats.org/officeDocument/2006/relationships/queryTable" Target="../queryTables/queryTable1549.xml"/><Relationship Id="rId106" Type="http://schemas.openxmlformats.org/officeDocument/2006/relationships/queryTable" Target="../queryTables/queryTable1146.xml"/><Relationship Id="rId127" Type="http://schemas.openxmlformats.org/officeDocument/2006/relationships/queryTable" Target="../queryTables/queryTable1167.xml"/><Relationship Id="rId313" Type="http://schemas.openxmlformats.org/officeDocument/2006/relationships/queryTable" Target="../queryTables/queryTable1353.xml"/><Relationship Id="rId495" Type="http://schemas.openxmlformats.org/officeDocument/2006/relationships/queryTable" Target="../queryTables/queryTable1535.xml"/><Relationship Id="rId10" Type="http://schemas.openxmlformats.org/officeDocument/2006/relationships/queryTable" Target="../queryTables/queryTable1050.xml"/><Relationship Id="rId31" Type="http://schemas.openxmlformats.org/officeDocument/2006/relationships/queryTable" Target="../queryTables/queryTable1071.xml"/><Relationship Id="rId52" Type="http://schemas.openxmlformats.org/officeDocument/2006/relationships/queryTable" Target="../queryTables/queryTable1092.xml"/><Relationship Id="rId73" Type="http://schemas.openxmlformats.org/officeDocument/2006/relationships/queryTable" Target="../queryTables/queryTable1113.xml"/><Relationship Id="rId94" Type="http://schemas.openxmlformats.org/officeDocument/2006/relationships/queryTable" Target="../queryTables/queryTable1134.xml"/><Relationship Id="rId148" Type="http://schemas.openxmlformats.org/officeDocument/2006/relationships/queryTable" Target="../queryTables/queryTable1188.xml"/><Relationship Id="rId169" Type="http://schemas.openxmlformats.org/officeDocument/2006/relationships/queryTable" Target="../queryTables/queryTable1209.xml"/><Relationship Id="rId334" Type="http://schemas.openxmlformats.org/officeDocument/2006/relationships/queryTable" Target="../queryTables/queryTable1374.xml"/><Relationship Id="rId355" Type="http://schemas.openxmlformats.org/officeDocument/2006/relationships/queryTable" Target="../queryTables/queryTable1395.xml"/><Relationship Id="rId376" Type="http://schemas.openxmlformats.org/officeDocument/2006/relationships/queryTable" Target="../queryTables/queryTable1416.xml"/><Relationship Id="rId397" Type="http://schemas.openxmlformats.org/officeDocument/2006/relationships/queryTable" Target="../queryTables/queryTable1437.xml"/><Relationship Id="rId4" Type="http://schemas.openxmlformats.org/officeDocument/2006/relationships/queryTable" Target="../queryTables/queryTable1044.xml"/><Relationship Id="rId180" Type="http://schemas.openxmlformats.org/officeDocument/2006/relationships/queryTable" Target="../queryTables/queryTable1220.xml"/><Relationship Id="rId215" Type="http://schemas.openxmlformats.org/officeDocument/2006/relationships/queryTable" Target="../queryTables/queryTable1255.xml"/><Relationship Id="rId236" Type="http://schemas.openxmlformats.org/officeDocument/2006/relationships/queryTable" Target="../queryTables/queryTable1276.xml"/><Relationship Id="rId257" Type="http://schemas.openxmlformats.org/officeDocument/2006/relationships/queryTable" Target="../queryTables/queryTable1297.xml"/><Relationship Id="rId278" Type="http://schemas.openxmlformats.org/officeDocument/2006/relationships/queryTable" Target="../queryTables/queryTable1318.xml"/><Relationship Id="rId401" Type="http://schemas.openxmlformats.org/officeDocument/2006/relationships/queryTable" Target="../queryTables/queryTable1441.xml"/><Relationship Id="rId422" Type="http://schemas.openxmlformats.org/officeDocument/2006/relationships/queryTable" Target="../queryTables/queryTable1462.xml"/><Relationship Id="rId443" Type="http://schemas.openxmlformats.org/officeDocument/2006/relationships/queryTable" Target="../queryTables/queryTable1483.xml"/><Relationship Id="rId464" Type="http://schemas.openxmlformats.org/officeDocument/2006/relationships/queryTable" Target="../queryTables/queryTable1504.xml"/><Relationship Id="rId303" Type="http://schemas.openxmlformats.org/officeDocument/2006/relationships/queryTable" Target="../queryTables/queryTable1343.xml"/><Relationship Id="rId485" Type="http://schemas.openxmlformats.org/officeDocument/2006/relationships/queryTable" Target="../queryTables/queryTable1525.xml"/><Relationship Id="rId42" Type="http://schemas.openxmlformats.org/officeDocument/2006/relationships/queryTable" Target="../queryTables/queryTable1082.xml"/><Relationship Id="rId84" Type="http://schemas.openxmlformats.org/officeDocument/2006/relationships/queryTable" Target="../queryTables/queryTable1124.xml"/><Relationship Id="rId138" Type="http://schemas.openxmlformats.org/officeDocument/2006/relationships/queryTable" Target="../queryTables/queryTable1178.xml"/><Relationship Id="rId345" Type="http://schemas.openxmlformats.org/officeDocument/2006/relationships/queryTable" Target="../queryTables/queryTable1385.xml"/><Relationship Id="rId387" Type="http://schemas.openxmlformats.org/officeDocument/2006/relationships/queryTable" Target="../queryTables/queryTable1427.xml"/><Relationship Id="rId510" Type="http://schemas.openxmlformats.org/officeDocument/2006/relationships/queryTable" Target="../queryTables/queryTable1550.xml"/><Relationship Id="rId191" Type="http://schemas.openxmlformats.org/officeDocument/2006/relationships/queryTable" Target="../queryTables/queryTable1231.xml"/><Relationship Id="rId205" Type="http://schemas.openxmlformats.org/officeDocument/2006/relationships/queryTable" Target="../queryTables/queryTable1245.xml"/><Relationship Id="rId247" Type="http://schemas.openxmlformats.org/officeDocument/2006/relationships/queryTable" Target="../queryTables/queryTable1287.xml"/><Relationship Id="rId412" Type="http://schemas.openxmlformats.org/officeDocument/2006/relationships/queryTable" Target="../queryTables/queryTable1452.xml"/><Relationship Id="rId107" Type="http://schemas.openxmlformats.org/officeDocument/2006/relationships/queryTable" Target="../queryTables/queryTable1147.xml"/><Relationship Id="rId289" Type="http://schemas.openxmlformats.org/officeDocument/2006/relationships/queryTable" Target="../queryTables/queryTable1329.xml"/><Relationship Id="rId454" Type="http://schemas.openxmlformats.org/officeDocument/2006/relationships/queryTable" Target="../queryTables/queryTable1494.xml"/><Relationship Id="rId496" Type="http://schemas.openxmlformats.org/officeDocument/2006/relationships/queryTable" Target="../queryTables/queryTable1536.xml"/><Relationship Id="rId11" Type="http://schemas.openxmlformats.org/officeDocument/2006/relationships/queryTable" Target="../queryTables/queryTable1051.xml"/><Relationship Id="rId53" Type="http://schemas.openxmlformats.org/officeDocument/2006/relationships/queryTable" Target="../queryTables/queryTable1093.xml"/><Relationship Id="rId149" Type="http://schemas.openxmlformats.org/officeDocument/2006/relationships/queryTable" Target="../queryTables/queryTable1189.xml"/><Relationship Id="rId314" Type="http://schemas.openxmlformats.org/officeDocument/2006/relationships/queryTable" Target="../queryTables/queryTable1354.xml"/><Relationship Id="rId356" Type="http://schemas.openxmlformats.org/officeDocument/2006/relationships/queryTable" Target="../queryTables/queryTable1396.xml"/><Relationship Id="rId398" Type="http://schemas.openxmlformats.org/officeDocument/2006/relationships/queryTable" Target="../queryTables/queryTable1438.xml"/><Relationship Id="rId95" Type="http://schemas.openxmlformats.org/officeDocument/2006/relationships/queryTable" Target="../queryTables/queryTable1135.xml"/><Relationship Id="rId160" Type="http://schemas.openxmlformats.org/officeDocument/2006/relationships/queryTable" Target="../queryTables/queryTable1200.xml"/><Relationship Id="rId216" Type="http://schemas.openxmlformats.org/officeDocument/2006/relationships/queryTable" Target="../queryTables/queryTable1256.xml"/><Relationship Id="rId423" Type="http://schemas.openxmlformats.org/officeDocument/2006/relationships/queryTable" Target="../queryTables/queryTable1463.xml"/><Relationship Id="rId258" Type="http://schemas.openxmlformats.org/officeDocument/2006/relationships/queryTable" Target="../queryTables/queryTable1298.xml"/><Relationship Id="rId465" Type="http://schemas.openxmlformats.org/officeDocument/2006/relationships/queryTable" Target="../queryTables/queryTable1505.xml"/><Relationship Id="rId22" Type="http://schemas.openxmlformats.org/officeDocument/2006/relationships/queryTable" Target="../queryTables/queryTable1062.xml"/><Relationship Id="rId64" Type="http://schemas.openxmlformats.org/officeDocument/2006/relationships/queryTable" Target="../queryTables/queryTable1104.xml"/><Relationship Id="rId118" Type="http://schemas.openxmlformats.org/officeDocument/2006/relationships/queryTable" Target="../queryTables/queryTable1158.xml"/><Relationship Id="rId325" Type="http://schemas.openxmlformats.org/officeDocument/2006/relationships/queryTable" Target="../queryTables/queryTable1365.xml"/><Relationship Id="rId367" Type="http://schemas.openxmlformats.org/officeDocument/2006/relationships/queryTable" Target="../queryTables/queryTable1407.xml"/><Relationship Id="rId171" Type="http://schemas.openxmlformats.org/officeDocument/2006/relationships/queryTable" Target="../queryTables/queryTable1211.xml"/><Relationship Id="rId227" Type="http://schemas.openxmlformats.org/officeDocument/2006/relationships/queryTable" Target="../queryTables/queryTable1267.xml"/><Relationship Id="rId269" Type="http://schemas.openxmlformats.org/officeDocument/2006/relationships/queryTable" Target="../queryTables/queryTable1309.xml"/><Relationship Id="rId434" Type="http://schemas.openxmlformats.org/officeDocument/2006/relationships/queryTable" Target="../queryTables/queryTable1474.xml"/><Relationship Id="rId476" Type="http://schemas.openxmlformats.org/officeDocument/2006/relationships/queryTable" Target="../queryTables/queryTable1516.xml"/><Relationship Id="rId33" Type="http://schemas.openxmlformats.org/officeDocument/2006/relationships/queryTable" Target="../queryTables/queryTable1073.xml"/><Relationship Id="rId129" Type="http://schemas.openxmlformats.org/officeDocument/2006/relationships/queryTable" Target="../queryTables/queryTable1169.xml"/><Relationship Id="rId280" Type="http://schemas.openxmlformats.org/officeDocument/2006/relationships/queryTable" Target="../queryTables/queryTable1320.xml"/><Relationship Id="rId336" Type="http://schemas.openxmlformats.org/officeDocument/2006/relationships/queryTable" Target="../queryTables/queryTable1376.xml"/><Relationship Id="rId501" Type="http://schemas.openxmlformats.org/officeDocument/2006/relationships/queryTable" Target="../queryTables/queryTable1541.xml"/><Relationship Id="rId75" Type="http://schemas.openxmlformats.org/officeDocument/2006/relationships/queryTable" Target="../queryTables/queryTable1115.xml"/><Relationship Id="rId140" Type="http://schemas.openxmlformats.org/officeDocument/2006/relationships/queryTable" Target="../queryTables/queryTable1180.xml"/><Relationship Id="rId182" Type="http://schemas.openxmlformats.org/officeDocument/2006/relationships/queryTable" Target="../queryTables/queryTable1222.xml"/><Relationship Id="rId378" Type="http://schemas.openxmlformats.org/officeDocument/2006/relationships/queryTable" Target="../queryTables/queryTable1418.xml"/><Relationship Id="rId403" Type="http://schemas.openxmlformats.org/officeDocument/2006/relationships/queryTable" Target="../queryTables/queryTable1443.xml"/><Relationship Id="rId6" Type="http://schemas.openxmlformats.org/officeDocument/2006/relationships/queryTable" Target="../queryTables/queryTable1046.xml"/><Relationship Id="rId238" Type="http://schemas.openxmlformats.org/officeDocument/2006/relationships/queryTable" Target="../queryTables/queryTable1278.xml"/><Relationship Id="rId445" Type="http://schemas.openxmlformats.org/officeDocument/2006/relationships/queryTable" Target="../queryTables/queryTable1485.xml"/><Relationship Id="rId487" Type="http://schemas.openxmlformats.org/officeDocument/2006/relationships/queryTable" Target="../queryTables/queryTable1527.xml"/><Relationship Id="rId291" Type="http://schemas.openxmlformats.org/officeDocument/2006/relationships/queryTable" Target="../queryTables/queryTable1331.xml"/><Relationship Id="rId305" Type="http://schemas.openxmlformats.org/officeDocument/2006/relationships/queryTable" Target="../queryTables/queryTable1345.xml"/><Relationship Id="rId347" Type="http://schemas.openxmlformats.org/officeDocument/2006/relationships/queryTable" Target="../queryTables/queryTable1387.xml"/><Relationship Id="rId512" Type="http://schemas.openxmlformats.org/officeDocument/2006/relationships/queryTable" Target="../queryTables/queryTable1552.xml"/><Relationship Id="rId44" Type="http://schemas.openxmlformats.org/officeDocument/2006/relationships/queryTable" Target="../queryTables/queryTable1084.xml"/><Relationship Id="rId86" Type="http://schemas.openxmlformats.org/officeDocument/2006/relationships/queryTable" Target="../queryTables/queryTable1126.xml"/><Relationship Id="rId151" Type="http://schemas.openxmlformats.org/officeDocument/2006/relationships/queryTable" Target="../queryTables/queryTable1191.xml"/><Relationship Id="rId389" Type="http://schemas.openxmlformats.org/officeDocument/2006/relationships/queryTable" Target="../queryTables/queryTable1429.xml"/><Relationship Id="rId193" Type="http://schemas.openxmlformats.org/officeDocument/2006/relationships/queryTable" Target="../queryTables/queryTable1233.xml"/><Relationship Id="rId207" Type="http://schemas.openxmlformats.org/officeDocument/2006/relationships/queryTable" Target="../queryTables/queryTable1247.xml"/><Relationship Id="rId249" Type="http://schemas.openxmlformats.org/officeDocument/2006/relationships/queryTable" Target="../queryTables/queryTable1289.xml"/><Relationship Id="rId414" Type="http://schemas.openxmlformats.org/officeDocument/2006/relationships/queryTable" Target="../queryTables/queryTable1454.xml"/><Relationship Id="rId456" Type="http://schemas.openxmlformats.org/officeDocument/2006/relationships/queryTable" Target="../queryTables/queryTable1496.xml"/><Relationship Id="rId498" Type="http://schemas.openxmlformats.org/officeDocument/2006/relationships/queryTable" Target="../queryTables/queryTable1538.xml"/><Relationship Id="rId13" Type="http://schemas.openxmlformats.org/officeDocument/2006/relationships/queryTable" Target="../queryTables/queryTable1053.xml"/><Relationship Id="rId109" Type="http://schemas.openxmlformats.org/officeDocument/2006/relationships/queryTable" Target="../queryTables/queryTable1149.xml"/><Relationship Id="rId260" Type="http://schemas.openxmlformats.org/officeDocument/2006/relationships/queryTable" Target="../queryTables/queryTable1300.xml"/><Relationship Id="rId316" Type="http://schemas.openxmlformats.org/officeDocument/2006/relationships/queryTable" Target="../queryTables/queryTable1356.xml"/><Relationship Id="rId55" Type="http://schemas.openxmlformats.org/officeDocument/2006/relationships/queryTable" Target="../queryTables/queryTable1095.xml"/><Relationship Id="rId97" Type="http://schemas.openxmlformats.org/officeDocument/2006/relationships/queryTable" Target="../queryTables/queryTable1137.xml"/><Relationship Id="rId120" Type="http://schemas.openxmlformats.org/officeDocument/2006/relationships/queryTable" Target="../queryTables/queryTable1160.xml"/><Relationship Id="rId358" Type="http://schemas.openxmlformats.org/officeDocument/2006/relationships/queryTable" Target="../queryTables/queryTable1398.xml"/><Relationship Id="rId162" Type="http://schemas.openxmlformats.org/officeDocument/2006/relationships/queryTable" Target="../queryTables/queryTable1202.xml"/><Relationship Id="rId218" Type="http://schemas.openxmlformats.org/officeDocument/2006/relationships/queryTable" Target="../queryTables/queryTable1258.xml"/><Relationship Id="rId425" Type="http://schemas.openxmlformats.org/officeDocument/2006/relationships/queryTable" Target="../queryTables/queryTable1465.xml"/><Relationship Id="rId467" Type="http://schemas.openxmlformats.org/officeDocument/2006/relationships/queryTable" Target="../queryTables/queryTable1507.xml"/><Relationship Id="rId271" Type="http://schemas.openxmlformats.org/officeDocument/2006/relationships/queryTable" Target="../queryTables/queryTable1311.xml"/><Relationship Id="rId24" Type="http://schemas.openxmlformats.org/officeDocument/2006/relationships/queryTable" Target="../queryTables/queryTable1064.xml"/><Relationship Id="rId66" Type="http://schemas.openxmlformats.org/officeDocument/2006/relationships/queryTable" Target="../queryTables/queryTable1106.xml"/><Relationship Id="rId131" Type="http://schemas.openxmlformats.org/officeDocument/2006/relationships/queryTable" Target="../queryTables/queryTable1171.xml"/><Relationship Id="rId327" Type="http://schemas.openxmlformats.org/officeDocument/2006/relationships/queryTable" Target="../queryTables/queryTable1367.xml"/><Relationship Id="rId369" Type="http://schemas.openxmlformats.org/officeDocument/2006/relationships/queryTable" Target="../queryTables/queryTable1409.xml"/><Relationship Id="rId173" Type="http://schemas.openxmlformats.org/officeDocument/2006/relationships/queryTable" Target="../queryTables/queryTable1213.xml"/><Relationship Id="rId229" Type="http://schemas.openxmlformats.org/officeDocument/2006/relationships/queryTable" Target="../queryTables/queryTable1269.xml"/><Relationship Id="rId380" Type="http://schemas.openxmlformats.org/officeDocument/2006/relationships/queryTable" Target="../queryTables/queryTable1420.xml"/><Relationship Id="rId436" Type="http://schemas.openxmlformats.org/officeDocument/2006/relationships/queryTable" Target="../queryTables/queryTable147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67.xml"/><Relationship Id="rId299" Type="http://schemas.openxmlformats.org/officeDocument/2006/relationships/queryTable" Target="../queryTables/queryTable1849.xml"/><Relationship Id="rId21" Type="http://schemas.openxmlformats.org/officeDocument/2006/relationships/queryTable" Target="../queryTables/queryTable1571.xml"/><Relationship Id="rId63" Type="http://schemas.openxmlformats.org/officeDocument/2006/relationships/queryTable" Target="../queryTables/queryTable1613.xml"/><Relationship Id="rId159" Type="http://schemas.openxmlformats.org/officeDocument/2006/relationships/queryTable" Target="../queryTables/queryTable1709.xml"/><Relationship Id="rId324" Type="http://schemas.openxmlformats.org/officeDocument/2006/relationships/queryTable" Target="../queryTables/queryTable1874.xml"/><Relationship Id="rId366" Type="http://schemas.openxmlformats.org/officeDocument/2006/relationships/queryTable" Target="../queryTables/queryTable1916.xml"/><Relationship Id="rId531" Type="http://schemas.openxmlformats.org/officeDocument/2006/relationships/queryTable" Target="../queryTables/queryTable2081.xml"/><Relationship Id="rId170" Type="http://schemas.openxmlformats.org/officeDocument/2006/relationships/queryTable" Target="../queryTables/queryTable1720.xml"/><Relationship Id="rId226" Type="http://schemas.openxmlformats.org/officeDocument/2006/relationships/queryTable" Target="../queryTables/queryTable1776.xml"/><Relationship Id="rId433" Type="http://schemas.openxmlformats.org/officeDocument/2006/relationships/queryTable" Target="../queryTables/queryTable1983.xml"/><Relationship Id="rId268" Type="http://schemas.openxmlformats.org/officeDocument/2006/relationships/queryTable" Target="../queryTables/queryTable1818.xml"/><Relationship Id="rId475" Type="http://schemas.openxmlformats.org/officeDocument/2006/relationships/queryTable" Target="../queryTables/queryTable2025.xml"/><Relationship Id="rId32" Type="http://schemas.openxmlformats.org/officeDocument/2006/relationships/queryTable" Target="../queryTables/queryTable1582.xml"/><Relationship Id="rId74" Type="http://schemas.openxmlformats.org/officeDocument/2006/relationships/queryTable" Target="../queryTables/queryTable1624.xml"/><Relationship Id="rId128" Type="http://schemas.openxmlformats.org/officeDocument/2006/relationships/queryTable" Target="../queryTables/queryTable1678.xml"/><Relationship Id="rId335" Type="http://schemas.openxmlformats.org/officeDocument/2006/relationships/queryTable" Target="../queryTables/queryTable1885.xml"/><Relationship Id="rId377" Type="http://schemas.openxmlformats.org/officeDocument/2006/relationships/queryTable" Target="../queryTables/queryTable1927.xml"/><Relationship Id="rId500" Type="http://schemas.openxmlformats.org/officeDocument/2006/relationships/queryTable" Target="../queryTables/queryTable2050.xml"/><Relationship Id="rId5" Type="http://schemas.openxmlformats.org/officeDocument/2006/relationships/queryTable" Target="../queryTables/queryTable1555.xml"/><Relationship Id="rId181" Type="http://schemas.openxmlformats.org/officeDocument/2006/relationships/queryTable" Target="../queryTables/queryTable1731.xml"/><Relationship Id="rId237" Type="http://schemas.openxmlformats.org/officeDocument/2006/relationships/queryTable" Target="../queryTables/queryTable1787.xml"/><Relationship Id="rId402" Type="http://schemas.openxmlformats.org/officeDocument/2006/relationships/queryTable" Target="../queryTables/queryTable1952.xml"/><Relationship Id="rId279" Type="http://schemas.openxmlformats.org/officeDocument/2006/relationships/queryTable" Target="../queryTables/queryTable1829.xml"/><Relationship Id="rId444" Type="http://schemas.openxmlformats.org/officeDocument/2006/relationships/queryTable" Target="../queryTables/queryTable1994.xml"/><Relationship Id="rId486" Type="http://schemas.openxmlformats.org/officeDocument/2006/relationships/queryTable" Target="../queryTables/queryTable2036.xml"/><Relationship Id="rId43" Type="http://schemas.openxmlformats.org/officeDocument/2006/relationships/queryTable" Target="../queryTables/queryTable1593.xml"/><Relationship Id="rId139" Type="http://schemas.openxmlformats.org/officeDocument/2006/relationships/queryTable" Target="../queryTables/queryTable1689.xml"/><Relationship Id="rId290" Type="http://schemas.openxmlformats.org/officeDocument/2006/relationships/queryTable" Target="../queryTables/queryTable1840.xml"/><Relationship Id="rId304" Type="http://schemas.openxmlformats.org/officeDocument/2006/relationships/queryTable" Target="../queryTables/queryTable1854.xml"/><Relationship Id="rId346" Type="http://schemas.openxmlformats.org/officeDocument/2006/relationships/queryTable" Target="../queryTables/queryTable1896.xml"/><Relationship Id="rId388" Type="http://schemas.openxmlformats.org/officeDocument/2006/relationships/queryTable" Target="../queryTables/queryTable1938.xml"/><Relationship Id="rId511" Type="http://schemas.openxmlformats.org/officeDocument/2006/relationships/queryTable" Target="../queryTables/queryTable2061.xml"/><Relationship Id="rId85" Type="http://schemas.openxmlformats.org/officeDocument/2006/relationships/queryTable" Target="../queryTables/queryTable1635.xml"/><Relationship Id="rId150" Type="http://schemas.openxmlformats.org/officeDocument/2006/relationships/queryTable" Target="../queryTables/queryTable1700.xml"/><Relationship Id="rId192" Type="http://schemas.openxmlformats.org/officeDocument/2006/relationships/queryTable" Target="../queryTables/queryTable1742.xml"/><Relationship Id="rId206" Type="http://schemas.openxmlformats.org/officeDocument/2006/relationships/queryTable" Target="../queryTables/queryTable1756.xml"/><Relationship Id="rId413" Type="http://schemas.openxmlformats.org/officeDocument/2006/relationships/queryTable" Target="../queryTables/queryTable1963.xml"/><Relationship Id="rId248" Type="http://schemas.openxmlformats.org/officeDocument/2006/relationships/queryTable" Target="../queryTables/queryTable1798.xml"/><Relationship Id="rId455" Type="http://schemas.openxmlformats.org/officeDocument/2006/relationships/queryTable" Target="../queryTables/queryTable2005.xml"/><Relationship Id="rId497" Type="http://schemas.openxmlformats.org/officeDocument/2006/relationships/queryTable" Target="../queryTables/queryTable2047.xml"/><Relationship Id="rId12" Type="http://schemas.openxmlformats.org/officeDocument/2006/relationships/queryTable" Target="../queryTables/queryTable1562.xml"/><Relationship Id="rId108" Type="http://schemas.openxmlformats.org/officeDocument/2006/relationships/queryTable" Target="../queryTables/queryTable1658.xml"/><Relationship Id="rId315" Type="http://schemas.openxmlformats.org/officeDocument/2006/relationships/queryTable" Target="../queryTables/queryTable1865.xml"/><Relationship Id="rId357" Type="http://schemas.openxmlformats.org/officeDocument/2006/relationships/queryTable" Target="../queryTables/queryTable1907.xml"/><Relationship Id="rId522" Type="http://schemas.openxmlformats.org/officeDocument/2006/relationships/queryTable" Target="../queryTables/queryTable2072.xml"/><Relationship Id="rId54" Type="http://schemas.openxmlformats.org/officeDocument/2006/relationships/queryTable" Target="../queryTables/queryTable1604.xml"/><Relationship Id="rId96" Type="http://schemas.openxmlformats.org/officeDocument/2006/relationships/queryTable" Target="../queryTables/queryTable1646.xml"/><Relationship Id="rId161" Type="http://schemas.openxmlformats.org/officeDocument/2006/relationships/queryTable" Target="../queryTables/queryTable1711.xml"/><Relationship Id="rId217" Type="http://schemas.openxmlformats.org/officeDocument/2006/relationships/queryTable" Target="../queryTables/queryTable1767.xml"/><Relationship Id="rId399" Type="http://schemas.openxmlformats.org/officeDocument/2006/relationships/queryTable" Target="../queryTables/queryTable1949.xml"/><Relationship Id="rId259" Type="http://schemas.openxmlformats.org/officeDocument/2006/relationships/queryTable" Target="../queryTables/queryTable1809.xml"/><Relationship Id="rId424" Type="http://schemas.openxmlformats.org/officeDocument/2006/relationships/queryTable" Target="../queryTables/queryTable1974.xml"/><Relationship Id="rId466" Type="http://schemas.openxmlformats.org/officeDocument/2006/relationships/queryTable" Target="../queryTables/queryTable2016.xml"/><Relationship Id="rId23" Type="http://schemas.openxmlformats.org/officeDocument/2006/relationships/queryTable" Target="../queryTables/queryTable1573.xml"/><Relationship Id="rId119" Type="http://schemas.openxmlformats.org/officeDocument/2006/relationships/queryTable" Target="../queryTables/queryTable1669.xml"/><Relationship Id="rId270" Type="http://schemas.openxmlformats.org/officeDocument/2006/relationships/queryTable" Target="../queryTables/queryTable1820.xml"/><Relationship Id="rId326" Type="http://schemas.openxmlformats.org/officeDocument/2006/relationships/queryTable" Target="../queryTables/queryTable1876.xml"/><Relationship Id="rId533" Type="http://schemas.openxmlformats.org/officeDocument/2006/relationships/queryTable" Target="../queryTables/queryTable2083.xml"/><Relationship Id="rId65" Type="http://schemas.openxmlformats.org/officeDocument/2006/relationships/queryTable" Target="../queryTables/queryTable1615.xml"/><Relationship Id="rId130" Type="http://schemas.openxmlformats.org/officeDocument/2006/relationships/queryTable" Target="../queryTables/queryTable1680.xml"/><Relationship Id="rId368" Type="http://schemas.openxmlformats.org/officeDocument/2006/relationships/queryTable" Target="../queryTables/queryTable1918.xml"/><Relationship Id="rId172" Type="http://schemas.openxmlformats.org/officeDocument/2006/relationships/queryTable" Target="../queryTables/queryTable1722.xml"/><Relationship Id="rId228" Type="http://schemas.openxmlformats.org/officeDocument/2006/relationships/queryTable" Target="../queryTables/queryTable1778.xml"/><Relationship Id="rId435" Type="http://schemas.openxmlformats.org/officeDocument/2006/relationships/queryTable" Target="../queryTables/queryTable1985.xml"/><Relationship Id="rId477" Type="http://schemas.openxmlformats.org/officeDocument/2006/relationships/queryTable" Target="../queryTables/queryTable2027.xml"/><Relationship Id="rId281" Type="http://schemas.openxmlformats.org/officeDocument/2006/relationships/queryTable" Target="../queryTables/queryTable1831.xml"/><Relationship Id="rId337" Type="http://schemas.openxmlformats.org/officeDocument/2006/relationships/queryTable" Target="../queryTables/queryTable1887.xml"/><Relationship Id="rId502" Type="http://schemas.openxmlformats.org/officeDocument/2006/relationships/queryTable" Target="../queryTables/queryTable2052.xml"/><Relationship Id="rId34" Type="http://schemas.openxmlformats.org/officeDocument/2006/relationships/queryTable" Target="../queryTables/queryTable1584.xml"/><Relationship Id="rId76" Type="http://schemas.openxmlformats.org/officeDocument/2006/relationships/queryTable" Target="../queryTables/queryTable1626.xml"/><Relationship Id="rId141" Type="http://schemas.openxmlformats.org/officeDocument/2006/relationships/queryTable" Target="../queryTables/queryTable1691.xml"/><Relationship Id="rId379" Type="http://schemas.openxmlformats.org/officeDocument/2006/relationships/queryTable" Target="../queryTables/queryTable1929.xml"/><Relationship Id="rId7" Type="http://schemas.openxmlformats.org/officeDocument/2006/relationships/queryTable" Target="../queryTables/queryTable1557.xml"/><Relationship Id="rId183" Type="http://schemas.openxmlformats.org/officeDocument/2006/relationships/queryTable" Target="../queryTables/queryTable1733.xml"/><Relationship Id="rId239" Type="http://schemas.openxmlformats.org/officeDocument/2006/relationships/queryTable" Target="../queryTables/queryTable1789.xml"/><Relationship Id="rId390" Type="http://schemas.openxmlformats.org/officeDocument/2006/relationships/queryTable" Target="../queryTables/queryTable1940.xml"/><Relationship Id="rId404" Type="http://schemas.openxmlformats.org/officeDocument/2006/relationships/queryTable" Target="../queryTables/queryTable1954.xml"/><Relationship Id="rId446" Type="http://schemas.openxmlformats.org/officeDocument/2006/relationships/queryTable" Target="../queryTables/queryTable1996.xml"/><Relationship Id="rId250" Type="http://schemas.openxmlformats.org/officeDocument/2006/relationships/queryTable" Target="../queryTables/queryTable1800.xml"/><Relationship Id="rId292" Type="http://schemas.openxmlformats.org/officeDocument/2006/relationships/queryTable" Target="../queryTables/queryTable1842.xml"/><Relationship Id="rId306" Type="http://schemas.openxmlformats.org/officeDocument/2006/relationships/queryTable" Target="../queryTables/queryTable1856.xml"/><Relationship Id="rId488" Type="http://schemas.openxmlformats.org/officeDocument/2006/relationships/queryTable" Target="../queryTables/queryTable2038.xml"/><Relationship Id="rId45" Type="http://schemas.openxmlformats.org/officeDocument/2006/relationships/queryTable" Target="../queryTables/queryTable1595.xml"/><Relationship Id="rId87" Type="http://schemas.openxmlformats.org/officeDocument/2006/relationships/queryTable" Target="../queryTables/queryTable1637.xml"/><Relationship Id="rId110" Type="http://schemas.openxmlformats.org/officeDocument/2006/relationships/queryTable" Target="../queryTables/queryTable1660.xml"/><Relationship Id="rId348" Type="http://schemas.openxmlformats.org/officeDocument/2006/relationships/queryTable" Target="../queryTables/queryTable1898.xml"/><Relationship Id="rId513" Type="http://schemas.openxmlformats.org/officeDocument/2006/relationships/queryTable" Target="../queryTables/queryTable2063.xml"/><Relationship Id="rId152" Type="http://schemas.openxmlformats.org/officeDocument/2006/relationships/queryTable" Target="../queryTables/queryTable1702.xml"/><Relationship Id="rId194" Type="http://schemas.openxmlformats.org/officeDocument/2006/relationships/queryTable" Target="../queryTables/queryTable1744.xml"/><Relationship Id="rId208" Type="http://schemas.openxmlformats.org/officeDocument/2006/relationships/queryTable" Target="../queryTables/queryTable1758.xml"/><Relationship Id="rId415" Type="http://schemas.openxmlformats.org/officeDocument/2006/relationships/queryTable" Target="../queryTables/queryTable1965.xml"/><Relationship Id="rId457" Type="http://schemas.openxmlformats.org/officeDocument/2006/relationships/queryTable" Target="../queryTables/queryTable2007.xml"/><Relationship Id="rId261" Type="http://schemas.openxmlformats.org/officeDocument/2006/relationships/queryTable" Target="../queryTables/queryTable1811.xml"/><Relationship Id="rId499" Type="http://schemas.openxmlformats.org/officeDocument/2006/relationships/queryTable" Target="../queryTables/queryTable2049.xml"/><Relationship Id="rId14" Type="http://schemas.openxmlformats.org/officeDocument/2006/relationships/queryTable" Target="../queryTables/queryTable1564.xml"/><Relationship Id="rId56" Type="http://schemas.openxmlformats.org/officeDocument/2006/relationships/queryTable" Target="../queryTables/queryTable1606.xml"/><Relationship Id="rId317" Type="http://schemas.openxmlformats.org/officeDocument/2006/relationships/queryTable" Target="../queryTables/queryTable1867.xml"/><Relationship Id="rId359" Type="http://schemas.openxmlformats.org/officeDocument/2006/relationships/queryTable" Target="../queryTables/queryTable1909.xml"/><Relationship Id="rId524" Type="http://schemas.openxmlformats.org/officeDocument/2006/relationships/queryTable" Target="../queryTables/queryTable2074.xml"/><Relationship Id="rId98" Type="http://schemas.openxmlformats.org/officeDocument/2006/relationships/queryTable" Target="../queryTables/queryTable1648.xml"/><Relationship Id="rId121" Type="http://schemas.openxmlformats.org/officeDocument/2006/relationships/queryTable" Target="../queryTables/queryTable1671.xml"/><Relationship Id="rId163" Type="http://schemas.openxmlformats.org/officeDocument/2006/relationships/queryTable" Target="../queryTables/queryTable1713.xml"/><Relationship Id="rId219" Type="http://schemas.openxmlformats.org/officeDocument/2006/relationships/queryTable" Target="../queryTables/queryTable1769.xml"/><Relationship Id="rId370" Type="http://schemas.openxmlformats.org/officeDocument/2006/relationships/queryTable" Target="../queryTables/queryTable1920.xml"/><Relationship Id="rId426" Type="http://schemas.openxmlformats.org/officeDocument/2006/relationships/queryTable" Target="../queryTables/queryTable1976.xml"/><Relationship Id="rId230" Type="http://schemas.openxmlformats.org/officeDocument/2006/relationships/queryTable" Target="../queryTables/queryTable1780.xml"/><Relationship Id="rId468" Type="http://schemas.openxmlformats.org/officeDocument/2006/relationships/queryTable" Target="../queryTables/queryTable2018.xml"/><Relationship Id="rId25" Type="http://schemas.openxmlformats.org/officeDocument/2006/relationships/queryTable" Target="../queryTables/queryTable1575.xml"/><Relationship Id="rId46" Type="http://schemas.openxmlformats.org/officeDocument/2006/relationships/queryTable" Target="../queryTables/queryTable1596.xml"/><Relationship Id="rId67" Type="http://schemas.openxmlformats.org/officeDocument/2006/relationships/queryTable" Target="../queryTables/queryTable1617.xml"/><Relationship Id="rId272" Type="http://schemas.openxmlformats.org/officeDocument/2006/relationships/queryTable" Target="../queryTables/queryTable1822.xml"/><Relationship Id="rId293" Type="http://schemas.openxmlformats.org/officeDocument/2006/relationships/queryTable" Target="../queryTables/queryTable1843.xml"/><Relationship Id="rId307" Type="http://schemas.openxmlformats.org/officeDocument/2006/relationships/queryTable" Target="../queryTables/queryTable1857.xml"/><Relationship Id="rId328" Type="http://schemas.openxmlformats.org/officeDocument/2006/relationships/queryTable" Target="../queryTables/queryTable1878.xml"/><Relationship Id="rId349" Type="http://schemas.openxmlformats.org/officeDocument/2006/relationships/queryTable" Target="../queryTables/queryTable1899.xml"/><Relationship Id="rId514" Type="http://schemas.openxmlformats.org/officeDocument/2006/relationships/queryTable" Target="../queryTables/queryTable2064.xml"/><Relationship Id="rId535" Type="http://schemas.openxmlformats.org/officeDocument/2006/relationships/queryTable" Target="../queryTables/queryTable2085.xml"/><Relationship Id="rId88" Type="http://schemas.openxmlformats.org/officeDocument/2006/relationships/queryTable" Target="../queryTables/queryTable1638.xml"/><Relationship Id="rId111" Type="http://schemas.openxmlformats.org/officeDocument/2006/relationships/queryTable" Target="../queryTables/queryTable1661.xml"/><Relationship Id="rId132" Type="http://schemas.openxmlformats.org/officeDocument/2006/relationships/queryTable" Target="../queryTables/queryTable1682.xml"/><Relationship Id="rId153" Type="http://schemas.openxmlformats.org/officeDocument/2006/relationships/queryTable" Target="../queryTables/queryTable1703.xml"/><Relationship Id="rId174" Type="http://schemas.openxmlformats.org/officeDocument/2006/relationships/queryTable" Target="../queryTables/queryTable1724.xml"/><Relationship Id="rId195" Type="http://schemas.openxmlformats.org/officeDocument/2006/relationships/queryTable" Target="../queryTables/queryTable1745.xml"/><Relationship Id="rId209" Type="http://schemas.openxmlformats.org/officeDocument/2006/relationships/queryTable" Target="../queryTables/queryTable1759.xml"/><Relationship Id="rId360" Type="http://schemas.openxmlformats.org/officeDocument/2006/relationships/queryTable" Target="../queryTables/queryTable1910.xml"/><Relationship Id="rId381" Type="http://schemas.openxmlformats.org/officeDocument/2006/relationships/queryTable" Target="../queryTables/queryTable1931.xml"/><Relationship Id="rId416" Type="http://schemas.openxmlformats.org/officeDocument/2006/relationships/queryTable" Target="../queryTables/queryTable1966.xml"/><Relationship Id="rId220" Type="http://schemas.openxmlformats.org/officeDocument/2006/relationships/queryTable" Target="../queryTables/queryTable1770.xml"/><Relationship Id="rId241" Type="http://schemas.openxmlformats.org/officeDocument/2006/relationships/queryTable" Target="../queryTables/queryTable1791.xml"/><Relationship Id="rId437" Type="http://schemas.openxmlformats.org/officeDocument/2006/relationships/queryTable" Target="../queryTables/queryTable1987.xml"/><Relationship Id="rId458" Type="http://schemas.openxmlformats.org/officeDocument/2006/relationships/queryTable" Target="../queryTables/queryTable2008.xml"/><Relationship Id="rId479" Type="http://schemas.openxmlformats.org/officeDocument/2006/relationships/queryTable" Target="../queryTables/queryTable2029.xml"/><Relationship Id="rId15" Type="http://schemas.openxmlformats.org/officeDocument/2006/relationships/queryTable" Target="../queryTables/queryTable1565.xml"/><Relationship Id="rId36" Type="http://schemas.openxmlformats.org/officeDocument/2006/relationships/queryTable" Target="../queryTables/queryTable1586.xml"/><Relationship Id="rId57" Type="http://schemas.openxmlformats.org/officeDocument/2006/relationships/queryTable" Target="../queryTables/queryTable1607.xml"/><Relationship Id="rId262" Type="http://schemas.openxmlformats.org/officeDocument/2006/relationships/queryTable" Target="../queryTables/queryTable1812.xml"/><Relationship Id="rId283" Type="http://schemas.openxmlformats.org/officeDocument/2006/relationships/queryTable" Target="../queryTables/queryTable1833.xml"/><Relationship Id="rId318" Type="http://schemas.openxmlformats.org/officeDocument/2006/relationships/queryTable" Target="../queryTables/queryTable1868.xml"/><Relationship Id="rId339" Type="http://schemas.openxmlformats.org/officeDocument/2006/relationships/queryTable" Target="../queryTables/queryTable1889.xml"/><Relationship Id="rId490" Type="http://schemas.openxmlformats.org/officeDocument/2006/relationships/queryTable" Target="../queryTables/queryTable2040.xml"/><Relationship Id="rId504" Type="http://schemas.openxmlformats.org/officeDocument/2006/relationships/queryTable" Target="../queryTables/queryTable2054.xml"/><Relationship Id="rId525" Type="http://schemas.openxmlformats.org/officeDocument/2006/relationships/queryTable" Target="../queryTables/queryTable2075.xml"/><Relationship Id="rId78" Type="http://schemas.openxmlformats.org/officeDocument/2006/relationships/queryTable" Target="../queryTables/queryTable1628.xml"/><Relationship Id="rId99" Type="http://schemas.openxmlformats.org/officeDocument/2006/relationships/queryTable" Target="../queryTables/queryTable1649.xml"/><Relationship Id="rId101" Type="http://schemas.openxmlformats.org/officeDocument/2006/relationships/queryTable" Target="../queryTables/queryTable1651.xml"/><Relationship Id="rId122" Type="http://schemas.openxmlformats.org/officeDocument/2006/relationships/queryTable" Target="../queryTables/queryTable1672.xml"/><Relationship Id="rId143" Type="http://schemas.openxmlformats.org/officeDocument/2006/relationships/queryTable" Target="../queryTables/queryTable1693.xml"/><Relationship Id="rId164" Type="http://schemas.openxmlformats.org/officeDocument/2006/relationships/queryTable" Target="../queryTables/queryTable1714.xml"/><Relationship Id="rId185" Type="http://schemas.openxmlformats.org/officeDocument/2006/relationships/queryTable" Target="../queryTables/queryTable1735.xml"/><Relationship Id="rId350" Type="http://schemas.openxmlformats.org/officeDocument/2006/relationships/queryTable" Target="../queryTables/queryTable1900.xml"/><Relationship Id="rId371" Type="http://schemas.openxmlformats.org/officeDocument/2006/relationships/queryTable" Target="../queryTables/queryTable1921.xml"/><Relationship Id="rId406" Type="http://schemas.openxmlformats.org/officeDocument/2006/relationships/queryTable" Target="../queryTables/queryTable1956.xml"/><Relationship Id="rId9" Type="http://schemas.openxmlformats.org/officeDocument/2006/relationships/queryTable" Target="../queryTables/queryTable1559.xml"/><Relationship Id="rId210" Type="http://schemas.openxmlformats.org/officeDocument/2006/relationships/queryTable" Target="../queryTables/queryTable1760.xml"/><Relationship Id="rId392" Type="http://schemas.openxmlformats.org/officeDocument/2006/relationships/queryTable" Target="../queryTables/queryTable1942.xml"/><Relationship Id="rId427" Type="http://schemas.openxmlformats.org/officeDocument/2006/relationships/queryTable" Target="../queryTables/queryTable1977.xml"/><Relationship Id="rId448" Type="http://schemas.openxmlformats.org/officeDocument/2006/relationships/queryTable" Target="../queryTables/queryTable1998.xml"/><Relationship Id="rId469" Type="http://schemas.openxmlformats.org/officeDocument/2006/relationships/queryTable" Target="../queryTables/queryTable2019.xml"/><Relationship Id="rId26" Type="http://schemas.openxmlformats.org/officeDocument/2006/relationships/queryTable" Target="../queryTables/queryTable1576.xml"/><Relationship Id="rId231" Type="http://schemas.openxmlformats.org/officeDocument/2006/relationships/queryTable" Target="../queryTables/queryTable1781.xml"/><Relationship Id="rId252" Type="http://schemas.openxmlformats.org/officeDocument/2006/relationships/queryTable" Target="../queryTables/queryTable1802.xml"/><Relationship Id="rId273" Type="http://schemas.openxmlformats.org/officeDocument/2006/relationships/queryTable" Target="../queryTables/queryTable1823.xml"/><Relationship Id="rId294" Type="http://schemas.openxmlformats.org/officeDocument/2006/relationships/queryTable" Target="../queryTables/queryTable1844.xml"/><Relationship Id="rId308" Type="http://schemas.openxmlformats.org/officeDocument/2006/relationships/queryTable" Target="../queryTables/queryTable1858.xml"/><Relationship Id="rId329" Type="http://schemas.openxmlformats.org/officeDocument/2006/relationships/queryTable" Target="../queryTables/queryTable1879.xml"/><Relationship Id="rId480" Type="http://schemas.openxmlformats.org/officeDocument/2006/relationships/queryTable" Target="../queryTables/queryTable2030.xml"/><Relationship Id="rId515" Type="http://schemas.openxmlformats.org/officeDocument/2006/relationships/queryTable" Target="../queryTables/queryTable2065.xml"/><Relationship Id="rId536" Type="http://schemas.openxmlformats.org/officeDocument/2006/relationships/queryTable" Target="../queryTables/queryTable2086.xml"/><Relationship Id="rId47" Type="http://schemas.openxmlformats.org/officeDocument/2006/relationships/queryTable" Target="../queryTables/queryTable1597.xml"/><Relationship Id="rId68" Type="http://schemas.openxmlformats.org/officeDocument/2006/relationships/queryTable" Target="../queryTables/queryTable1618.xml"/><Relationship Id="rId89" Type="http://schemas.openxmlformats.org/officeDocument/2006/relationships/queryTable" Target="../queryTables/queryTable1639.xml"/><Relationship Id="rId112" Type="http://schemas.openxmlformats.org/officeDocument/2006/relationships/queryTable" Target="../queryTables/queryTable1662.xml"/><Relationship Id="rId133" Type="http://schemas.openxmlformats.org/officeDocument/2006/relationships/queryTable" Target="../queryTables/queryTable1683.xml"/><Relationship Id="rId154" Type="http://schemas.openxmlformats.org/officeDocument/2006/relationships/queryTable" Target="../queryTables/queryTable1704.xml"/><Relationship Id="rId175" Type="http://schemas.openxmlformats.org/officeDocument/2006/relationships/queryTable" Target="../queryTables/queryTable1725.xml"/><Relationship Id="rId340" Type="http://schemas.openxmlformats.org/officeDocument/2006/relationships/queryTable" Target="../queryTables/queryTable1890.xml"/><Relationship Id="rId361" Type="http://schemas.openxmlformats.org/officeDocument/2006/relationships/queryTable" Target="../queryTables/queryTable1911.xml"/><Relationship Id="rId196" Type="http://schemas.openxmlformats.org/officeDocument/2006/relationships/queryTable" Target="../queryTables/queryTable1746.xml"/><Relationship Id="rId200" Type="http://schemas.openxmlformats.org/officeDocument/2006/relationships/queryTable" Target="../queryTables/queryTable1750.xml"/><Relationship Id="rId382" Type="http://schemas.openxmlformats.org/officeDocument/2006/relationships/queryTable" Target="../queryTables/queryTable1932.xml"/><Relationship Id="rId417" Type="http://schemas.openxmlformats.org/officeDocument/2006/relationships/queryTable" Target="../queryTables/queryTable1967.xml"/><Relationship Id="rId438" Type="http://schemas.openxmlformats.org/officeDocument/2006/relationships/queryTable" Target="../queryTables/queryTable1988.xml"/><Relationship Id="rId459" Type="http://schemas.openxmlformats.org/officeDocument/2006/relationships/queryTable" Target="../queryTables/queryTable2009.xml"/><Relationship Id="rId16" Type="http://schemas.openxmlformats.org/officeDocument/2006/relationships/queryTable" Target="../queryTables/queryTable1566.xml"/><Relationship Id="rId221" Type="http://schemas.openxmlformats.org/officeDocument/2006/relationships/queryTable" Target="../queryTables/queryTable1771.xml"/><Relationship Id="rId242" Type="http://schemas.openxmlformats.org/officeDocument/2006/relationships/queryTable" Target="../queryTables/queryTable1792.xml"/><Relationship Id="rId263" Type="http://schemas.openxmlformats.org/officeDocument/2006/relationships/queryTable" Target="../queryTables/queryTable1813.xml"/><Relationship Id="rId284" Type="http://schemas.openxmlformats.org/officeDocument/2006/relationships/queryTable" Target="../queryTables/queryTable1834.xml"/><Relationship Id="rId319" Type="http://schemas.openxmlformats.org/officeDocument/2006/relationships/queryTable" Target="../queryTables/queryTable1869.xml"/><Relationship Id="rId470" Type="http://schemas.openxmlformats.org/officeDocument/2006/relationships/queryTable" Target="../queryTables/queryTable2020.xml"/><Relationship Id="rId491" Type="http://schemas.openxmlformats.org/officeDocument/2006/relationships/queryTable" Target="../queryTables/queryTable2041.xml"/><Relationship Id="rId505" Type="http://schemas.openxmlformats.org/officeDocument/2006/relationships/queryTable" Target="../queryTables/queryTable2055.xml"/><Relationship Id="rId526" Type="http://schemas.openxmlformats.org/officeDocument/2006/relationships/queryTable" Target="../queryTables/queryTable2076.xml"/><Relationship Id="rId37" Type="http://schemas.openxmlformats.org/officeDocument/2006/relationships/queryTable" Target="../queryTables/queryTable1587.xml"/><Relationship Id="rId58" Type="http://schemas.openxmlformats.org/officeDocument/2006/relationships/queryTable" Target="../queryTables/queryTable1608.xml"/><Relationship Id="rId79" Type="http://schemas.openxmlformats.org/officeDocument/2006/relationships/queryTable" Target="../queryTables/queryTable1629.xml"/><Relationship Id="rId102" Type="http://schemas.openxmlformats.org/officeDocument/2006/relationships/queryTable" Target="../queryTables/queryTable1652.xml"/><Relationship Id="rId123" Type="http://schemas.openxmlformats.org/officeDocument/2006/relationships/queryTable" Target="../queryTables/queryTable1673.xml"/><Relationship Id="rId144" Type="http://schemas.openxmlformats.org/officeDocument/2006/relationships/queryTable" Target="../queryTables/queryTable1694.xml"/><Relationship Id="rId330" Type="http://schemas.openxmlformats.org/officeDocument/2006/relationships/queryTable" Target="../queryTables/queryTable1880.xml"/><Relationship Id="rId90" Type="http://schemas.openxmlformats.org/officeDocument/2006/relationships/queryTable" Target="../queryTables/queryTable1640.xml"/><Relationship Id="rId165" Type="http://schemas.openxmlformats.org/officeDocument/2006/relationships/queryTable" Target="../queryTables/queryTable1715.xml"/><Relationship Id="rId186" Type="http://schemas.openxmlformats.org/officeDocument/2006/relationships/queryTable" Target="../queryTables/queryTable1736.xml"/><Relationship Id="rId351" Type="http://schemas.openxmlformats.org/officeDocument/2006/relationships/queryTable" Target="../queryTables/queryTable1901.xml"/><Relationship Id="rId372" Type="http://schemas.openxmlformats.org/officeDocument/2006/relationships/queryTable" Target="../queryTables/queryTable1922.xml"/><Relationship Id="rId393" Type="http://schemas.openxmlformats.org/officeDocument/2006/relationships/queryTable" Target="../queryTables/queryTable1943.xml"/><Relationship Id="rId407" Type="http://schemas.openxmlformats.org/officeDocument/2006/relationships/queryTable" Target="../queryTables/queryTable1957.xml"/><Relationship Id="rId428" Type="http://schemas.openxmlformats.org/officeDocument/2006/relationships/queryTable" Target="../queryTables/queryTable1978.xml"/><Relationship Id="rId449" Type="http://schemas.openxmlformats.org/officeDocument/2006/relationships/queryTable" Target="../queryTables/queryTable1999.xml"/><Relationship Id="rId211" Type="http://schemas.openxmlformats.org/officeDocument/2006/relationships/queryTable" Target="../queryTables/queryTable1761.xml"/><Relationship Id="rId232" Type="http://schemas.openxmlformats.org/officeDocument/2006/relationships/queryTable" Target="../queryTables/queryTable1782.xml"/><Relationship Id="rId253" Type="http://schemas.openxmlformats.org/officeDocument/2006/relationships/queryTable" Target="../queryTables/queryTable1803.xml"/><Relationship Id="rId274" Type="http://schemas.openxmlformats.org/officeDocument/2006/relationships/queryTable" Target="../queryTables/queryTable1824.xml"/><Relationship Id="rId295" Type="http://schemas.openxmlformats.org/officeDocument/2006/relationships/queryTable" Target="../queryTables/queryTable1845.xml"/><Relationship Id="rId309" Type="http://schemas.openxmlformats.org/officeDocument/2006/relationships/queryTable" Target="../queryTables/queryTable1859.xml"/><Relationship Id="rId460" Type="http://schemas.openxmlformats.org/officeDocument/2006/relationships/queryTable" Target="../queryTables/queryTable2010.xml"/><Relationship Id="rId481" Type="http://schemas.openxmlformats.org/officeDocument/2006/relationships/queryTable" Target="../queryTables/queryTable2031.xml"/><Relationship Id="rId516" Type="http://schemas.openxmlformats.org/officeDocument/2006/relationships/queryTable" Target="../queryTables/queryTable2066.xml"/><Relationship Id="rId27" Type="http://schemas.openxmlformats.org/officeDocument/2006/relationships/queryTable" Target="../queryTables/queryTable1577.xml"/><Relationship Id="rId48" Type="http://schemas.openxmlformats.org/officeDocument/2006/relationships/queryTable" Target="../queryTables/queryTable1598.xml"/><Relationship Id="rId69" Type="http://schemas.openxmlformats.org/officeDocument/2006/relationships/queryTable" Target="../queryTables/queryTable1619.xml"/><Relationship Id="rId113" Type="http://schemas.openxmlformats.org/officeDocument/2006/relationships/queryTable" Target="../queryTables/queryTable1663.xml"/><Relationship Id="rId134" Type="http://schemas.openxmlformats.org/officeDocument/2006/relationships/queryTable" Target="../queryTables/queryTable1684.xml"/><Relationship Id="rId320" Type="http://schemas.openxmlformats.org/officeDocument/2006/relationships/queryTable" Target="../queryTables/queryTable1870.xml"/><Relationship Id="rId537" Type="http://schemas.openxmlformats.org/officeDocument/2006/relationships/queryTable" Target="../queryTables/queryTable2087.xml"/><Relationship Id="rId80" Type="http://schemas.openxmlformats.org/officeDocument/2006/relationships/queryTable" Target="../queryTables/queryTable1630.xml"/><Relationship Id="rId155" Type="http://schemas.openxmlformats.org/officeDocument/2006/relationships/queryTable" Target="../queryTables/queryTable1705.xml"/><Relationship Id="rId176" Type="http://schemas.openxmlformats.org/officeDocument/2006/relationships/queryTable" Target="../queryTables/queryTable1726.xml"/><Relationship Id="rId197" Type="http://schemas.openxmlformats.org/officeDocument/2006/relationships/queryTable" Target="../queryTables/queryTable1747.xml"/><Relationship Id="rId341" Type="http://schemas.openxmlformats.org/officeDocument/2006/relationships/queryTable" Target="../queryTables/queryTable1891.xml"/><Relationship Id="rId362" Type="http://schemas.openxmlformats.org/officeDocument/2006/relationships/queryTable" Target="../queryTables/queryTable1912.xml"/><Relationship Id="rId383" Type="http://schemas.openxmlformats.org/officeDocument/2006/relationships/queryTable" Target="../queryTables/queryTable1933.xml"/><Relationship Id="rId418" Type="http://schemas.openxmlformats.org/officeDocument/2006/relationships/queryTable" Target="../queryTables/queryTable1968.xml"/><Relationship Id="rId439" Type="http://schemas.openxmlformats.org/officeDocument/2006/relationships/queryTable" Target="../queryTables/queryTable1989.xml"/><Relationship Id="rId201" Type="http://schemas.openxmlformats.org/officeDocument/2006/relationships/queryTable" Target="../queryTables/queryTable1751.xml"/><Relationship Id="rId222" Type="http://schemas.openxmlformats.org/officeDocument/2006/relationships/queryTable" Target="../queryTables/queryTable1772.xml"/><Relationship Id="rId243" Type="http://schemas.openxmlformats.org/officeDocument/2006/relationships/queryTable" Target="../queryTables/queryTable1793.xml"/><Relationship Id="rId264" Type="http://schemas.openxmlformats.org/officeDocument/2006/relationships/queryTable" Target="../queryTables/queryTable1814.xml"/><Relationship Id="rId285" Type="http://schemas.openxmlformats.org/officeDocument/2006/relationships/queryTable" Target="../queryTables/queryTable1835.xml"/><Relationship Id="rId450" Type="http://schemas.openxmlformats.org/officeDocument/2006/relationships/queryTable" Target="../queryTables/queryTable2000.xml"/><Relationship Id="rId471" Type="http://schemas.openxmlformats.org/officeDocument/2006/relationships/queryTable" Target="../queryTables/queryTable2021.xml"/><Relationship Id="rId506" Type="http://schemas.openxmlformats.org/officeDocument/2006/relationships/queryTable" Target="../queryTables/queryTable2056.xml"/><Relationship Id="rId17" Type="http://schemas.openxmlformats.org/officeDocument/2006/relationships/queryTable" Target="../queryTables/queryTable1567.xml"/><Relationship Id="rId38" Type="http://schemas.openxmlformats.org/officeDocument/2006/relationships/queryTable" Target="../queryTables/queryTable1588.xml"/><Relationship Id="rId59" Type="http://schemas.openxmlformats.org/officeDocument/2006/relationships/queryTable" Target="../queryTables/queryTable1609.xml"/><Relationship Id="rId103" Type="http://schemas.openxmlformats.org/officeDocument/2006/relationships/queryTable" Target="../queryTables/queryTable1653.xml"/><Relationship Id="rId124" Type="http://schemas.openxmlformats.org/officeDocument/2006/relationships/queryTable" Target="../queryTables/queryTable1674.xml"/><Relationship Id="rId310" Type="http://schemas.openxmlformats.org/officeDocument/2006/relationships/queryTable" Target="../queryTables/queryTable1860.xml"/><Relationship Id="rId492" Type="http://schemas.openxmlformats.org/officeDocument/2006/relationships/queryTable" Target="../queryTables/queryTable2042.xml"/><Relationship Id="rId527" Type="http://schemas.openxmlformats.org/officeDocument/2006/relationships/queryTable" Target="../queryTables/queryTable2077.xml"/><Relationship Id="rId70" Type="http://schemas.openxmlformats.org/officeDocument/2006/relationships/queryTable" Target="../queryTables/queryTable1620.xml"/><Relationship Id="rId91" Type="http://schemas.openxmlformats.org/officeDocument/2006/relationships/queryTable" Target="../queryTables/queryTable1641.xml"/><Relationship Id="rId145" Type="http://schemas.openxmlformats.org/officeDocument/2006/relationships/queryTable" Target="../queryTables/queryTable1695.xml"/><Relationship Id="rId166" Type="http://schemas.openxmlformats.org/officeDocument/2006/relationships/queryTable" Target="../queryTables/queryTable1716.xml"/><Relationship Id="rId187" Type="http://schemas.openxmlformats.org/officeDocument/2006/relationships/queryTable" Target="../queryTables/queryTable1737.xml"/><Relationship Id="rId331" Type="http://schemas.openxmlformats.org/officeDocument/2006/relationships/queryTable" Target="../queryTables/queryTable1881.xml"/><Relationship Id="rId352" Type="http://schemas.openxmlformats.org/officeDocument/2006/relationships/queryTable" Target="../queryTables/queryTable1902.xml"/><Relationship Id="rId373" Type="http://schemas.openxmlformats.org/officeDocument/2006/relationships/queryTable" Target="../queryTables/queryTable1923.xml"/><Relationship Id="rId394" Type="http://schemas.openxmlformats.org/officeDocument/2006/relationships/queryTable" Target="../queryTables/queryTable1944.xml"/><Relationship Id="rId408" Type="http://schemas.openxmlformats.org/officeDocument/2006/relationships/queryTable" Target="../queryTables/queryTable1958.xml"/><Relationship Id="rId429" Type="http://schemas.openxmlformats.org/officeDocument/2006/relationships/queryTable" Target="../queryTables/queryTable197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62.xml"/><Relationship Id="rId233" Type="http://schemas.openxmlformats.org/officeDocument/2006/relationships/queryTable" Target="../queryTables/queryTable1783.xml"/><Relationship Id="rId254" Type="http://schemas.openxmlformats.org/officeDocument/2006/relationships/queryTable" Target="../queryTables/queryTable1804.xml"/><Relationship Id="rId440" Type="http://schemas.openxmlformats.org/officeDocument/2006/relationships/queryTable" Target="../queryTables/queryTable1990.xml"/><Relationship Id="rId28" Type="http://schemas.openxmlformats.org/officeDocument/2006/relationships/queryTable" Target="../queryTables/queryTable1578.xml"/><Relationship Id="rId49" Type="http://schemas.openxmlformats.org/officeDocument/2006/relationships/queryTable" Target="../queryTables/queryTable1599.xml"/><Relationship Id="rId114" Type="http://schemas.openxmlformats.org/officeDocument/2006/relationships/queryTable" Target="../queryTables/queryTable1664.xml"/><Relationship Id="rId275" Type="http://schemas.openxmlformats.org/officeDocument/2006/relationships/queryTable" Target="../queryTables/queryTable1825.xml"/><Relationship Id="rId296" Type="http://schemas.openxmlformats.org/officeDocument/2006/relationships/queryTable" Target="../queryTables/queryTable1846.xml"/><Relationship Id="rId300" Type="http://schemas.openxmlformats.org/officeDocument/2006/relationships/queryTable" Target="../queryTables/queryTable1850.xml"/><Relationship Id="rId461" Type="http://schemas.openxmlformats.org/officeDocument/2006/relationships/queryTable" Target="../queryTables/queryTable2011.xml"/><Relationship Id="rId482" Type="http://schemas.openxmlformats.org/officeDocument/2006/relationships/queryTable" Target="../queryTables/queryTable2032.xml"/><Relationship Id="rId517" Type="http://schemas.openxmlformats.org/officeDocument/2006/relationships/queryTable" Target="../queryTables/queryTable2067.xml"/><Relationship Id="rId538" Type="http://schemas.openxmlformats.org/officeDocument/2006/relationships/queryTable" Target="../queryTables/queryTable2088.xml"/><Relationship Id="rId60" Type="http://schemas.openxmlformats.org/officeDocument/2006/relationships/queryTable" Target="../queryTables/queryTable1610.xml"/><Relationship Id="rId81" Type="http://schemas.openxmlformats.org/officeDocument/2006/relationships/queryTable" Target="../queryTables/queryTable1631.xml"/><Relationship Id="rId135" Type="http://schemas.openxmlformats.org/officeDocument/2006/relationships/queryTable" Target="../queryTables/queryTable1685.xml"/><Relationship Id="rId156" Type="http://schemas.openxmlformats.org/officeDocument/2006/relationships/queryTable" Target="../queryTables/queryTable1706.xml"/><Relationship Id="rId177" Type="http://schemas.openxmlformats.org/officeDocument/2006/relationships/queryTable" Target="../queryTables/queryTable1727.xml"/><Relationship Id="rId198" Type="http://schemas.openxmlformats.org/officeDocument/2006/relationships/queryTable" Target="../queryTables/queryTable1748.xml"/><Relationship Id="rId321" Type="http://schemas.openxmlformats.org/officeDocument/2006/relationships/queryTable" Target="../queryTables/queryTable1871.xml"/><Relationship Id="rId342" Type="http://schemas.openxmlformats.org/officeDocument/2006/relationships/queryTable" Target="../queryTables/queryTable1892.xml"/><Relationship Id="rId363" Type="http://schemas.openxmlformats.org/officeDocument/2006/relationships/queryTable" Target="../queryTables/queryTable1913.xml"/><Relationship Id="rId384" Type="http://schemas.openxmlformats.org/officeDocument/2006/relationships/queryTable" Target="../queryTables/queryTable1934.xml"/><Relationship Id="rId419" Type="http://schemas.openxmlformats.org/officeDocument/2006/relationships/queryTable" Target="../queryTables/queryTable1969.xml"/><Relationship Id="rId202" Type="http://schemas.openxmlformats.org/officeDocument/2006/relationships/queryTable" Target="../queryTables/queryTable1752.xml"/><Relationship Id="rId223" Type="http://schemas.openxmlformats.org/officeDocument/2006/relationships/queryTable" Target="../queryTables/queryTable1773.xml"/><Relationship Id="rId244" Type="http://schemas.openxmlformats.org/officeDocument/2006/relationships/queryTable" Target="../queryTables/queryTable1794.xml"/><Relationship Id="rId430" Type="http://schemas.openxmlformats.org/officeDocument/2006/relationships/queryTable" Target="../queryTables/queryTable1980.xml"/><Relationship Id="rId18" Type="http://schemas.openxmlformats.org/officeDocument/2006/relationships/queryTable" Target="../queryTables/queryTable1568.xml"/><Relationship Id="rId39" Type="http://schemas.openxmlformats.org/officeDocument/2006/relationships/queryTable" Target="../queryTables/queryTable1589.xml"/><Relationship Id="rId265" Type="http://schemas.openxmlformats.org/officeDocument/2006/relationships/queryTable" Target="../queryTables/queryTable1815.xml"/><Relationship Id="rId286" Type="http://schemas.openxmlformats.org/officeDocument/2006/relationships/queryTable" Target="../queryTables/queryTable1836.xml"/><Relationship Id="rId451" Type="http://schemas.openxmlformats.org/officeDocument/2006/relationships/queryTable" Target="../queryTables/queryTable2001.xml"/><Relationship Id="rId472" Type="http://schemas.openxmlformats.org/officeDocument/2006/relationships/queryTable" Target="../queryTables/queryTable2022.xml"/><Relationship Id="rId493" Type="http://schemas.openxmlformats.org/officeDocument/2006/relationships/queryTable" Target="../queryTables/queryTable2043.xml"/><Relationship Id="rId507" Type="http://schemas.openxmlformats.org/officeDocument/2006/relationships/queryTable" Target="../queryTables/queryTable2057.xml"/><Relationship Id="rId528" Type="http://schemas.openxmlformats.org/officeDocument/2006/relationships/queryTable" Target="../queryTables/queryTable2078.xml"/><Relationship Id="rId50" Type="http://schemas.openxmlformats.org/officeDocument/2006/relationships/queryTable" Target="../queryTables/queryTable1600.xml"/><Relationship Id="rId104" Type="http://schemas.openxmlformats.org/officeDocument/2006/relationships/queryTable" Target="../queryTables/queryTable1654.xml"/><Relationship Id="rId125" Type="http://schemas.openxmlformats.org/officeDocument/2006/relationships/queryTable" Target="../queryTables/queryTable1675.xml"/><Relationship Id="rId146" Type="http://schemas.openxmlformats.org/officeDocument/2006/relationships/queryTable" Target="../queryTables/queryTable1696.xml"/><Relationship Id="rId167" Type="http://schemas.openxmlformats.org/officeDocument/2006/relationships/queryTable" Target="../queryTables/queryTable1717.xml"/><Relationship Id="rId188" Type="http://schemas.openxmlformats.org/officeDocument/2006/relationships/queryTable" Target="../queryTables/queryTable1738.xml"/><Relationship Id="rId311" Type="http://schemas.openxmlformats.org/officeDocument/2006/relationships/queryTable" Target="../queryTables/queryTable1861.xml"/><Relationship Id="rId332" Type="http://schemas.openxmlformats.org/officeDocument/2006/relationships/queryTable" Target="../queryTables/queryTable1882.xml"/><Relationship Id="rId353" Type="http://schemas.openxmlformats.org/officeDocument/2006/relationships/queryTable" Target="../queryTables/queryTable1903.xml"/><Relationship Id="rId374" Type="http://schemas.openxmlformats.org/officeDocument/2006/relationships/queryTable" Target="../queryTables/queryTable1924.xml"/><Relationship Id="rId395" Type="http://schemas.openxmlformats.org/officeDocument/2006/relationships/queryTable" Target="../queryTables/queryTable1945.xml"/><Relationship Id="rId409" Type="http://schemas.openxmlformats.org/officeDocument/2006/relationships/queryTable" Target="../queryTables/queryTable1959.xml"/><Relationship Id="rId71" Type="http://schemas.openxmlformats.org/officeDocument/2006/relationships/queryTable" Target="../queryTables/queryTable1621.xml"/><Relationship Id="rId92" Type="http://schemas.openxmlformats.org/officeDocument/2006/relationships/queryTable" Target="../queryTables/queryTable1642.xml"/><Relationship Id="rId213" Type="http://schemas.openxmlformats.org/officeDocument/2006/relationships/queryTable" Target="../queryTables/queryTable1763.xml"/><Relationship Id="rId234" Type="http://schemas.openxmlformats.org/officeDocument/2006/relationships/queryTable" Target="../queryTables/queryTable1784.xml"/><Relationship Id="rId420" Type="http://schemas.openxmlformats.org/officeDocument/2006/relationships/queryTable" Target="../queryTables/queryTable1970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79.xml"/><Relationship Id="rId255" Type="http://schemas.openxmlformats.org/officeDocument/2006/relationships/queryTable" Target="../queryTables/queryTable1805.xml"/><Relationship Id="rId276" Type="http://schemas.openxmlformats.org/officeDocument/2006/relationships/queryTable" Target="../queryTables/queryTable1826.xml"/><Relationship Id="rId297" Type="http://schemas.openxmlformats.org/officeDocument/2006/relationships/queryTable" Target="../queryTables/queryTable1847.xml"/><Relationship Id="rId441" Type="http://schemas.openxmlformats.org/officeDocument/2006/relationships/queryTable" Target="../queryTables/queryTable1991.xml"/><Relationship Id="rId462" Type="http://schemas.openxmlformats.org/officeDocument/2006/relationships/queryTable" Target="../queryTables/queryTable2012.xml"/><Relationship Id="rId483" Type="http://schemas.openxmlformats.org/officeDocument/2006/relationships/queryTable" Target="../queryTables/queryTable2033.xml"/><Relationship Id="rId518" Type="http://schemas.openxmlformats.org/officeDocument/2006/relationships/queryTable" Target="../queryTables/queryTable2068.xml"/><Relationship Id="rId539" Type="http://schemas.openxmlformats.org/officeDocument/2006/relationships/queryTable" Target="../queryTables/queryTable2089.xml"/><Relationship Id="rId40" Type="http://schemas.openxmlformats.org/officeDocument/2006/relationships/queryTable" Target="../queryTables/queryTable1590.xml"/><Relationship Id="rId115" Type="http://schemas.openxmlformats.org/officeDocument/2006/relationships/queryTable" Target="../queryTables/queryTable1665.xml"/><Relationship Id="rId136" Type="http://schemas.openxmlformats.org/officeDocument/2006/relationships/queryTable" Target="../queryTables/queryTable1686.xml"/><Relationship Id="rId157" Type="http://schemas.openxmlformats.org/officeDocument/2006/relationships/queryTable" Target="../queryTables/queryTable1707.xml"/><Relationship Id="rId178" Type="http://schemas.openxmlformats.org/officeDocument/2006/relationships/queryTable" Target="../queryTables/queryTable1728.xml"/><Relationship Id="rId301" Type="http://schemas.openxmlformats.org/officeDocument/2006/relationships/queryTable" Target="../queryTables/queryTable1851.xml"/><Relationship Id="rId322" Type="http://schemas.openxmlformats.org/officeDocument/2006/relationships/queryTable" Target="../queryTables/queryTable1872.xml"/><Relationship Id="rId343" Type="http://schemas.openxmlformats.org/officeDocument/2006/relationships/queryTable" Target="../queryTables/queryTable1893.xml"/><Relationship Id="rId364" Type="http://schemas.openxmlformats.org/officeDocument/2006/relationships/queryTable" Target="../queryTables/queryTable1914.xml"/><Relationship Id="rId61" Type="http://schemas.openxmlformats.org/officeDocument/2006/relationships/queryTable" Target="../queryTables/queryTable1611.xml"/><Relationship Id="rId82" Type="http://schemas.openxmlformats.org/officeDocument/2006/relationships/queryTable" Target="../queryTables/queryTable1632.xml"/><Relationship Id="rId199" Type="http://schemas.openxmlformats.org/officeDocument/2006/relationships/queryTable" Target="../queryTables/queryTable1749.xml"/><Relationship Id="rId203" Type="http://schemas.openxmlformats.org/officeDocument/2006/relationships/queryTable" Target="../queryTables/queryTable1753.xml"/><Relationship Id="rId385" Type="http://schemas.openxmlformats.org/officeDocument/2006/relationships/queryTable" Target="../queryTables/queryTable1935.xml"/><Relationship Id="rId19" Type="http://schemas.openxmlformats.org/officeDocument/2006/relationships/queryTable" Target="../queryTables/queryTable1569.xml"/><Relationship Id="rId224" Type="http://schemas.openxmlformats.org/officeDocument/2006/relationships/queryTable" Target="../queryTables/queryTable1774.xml"/><Relationship Id="rId245" Type="http://schemas.openxmlformats.org/officeDocument/2006/relationships/queryTable" Target="../queryTables/queryTable1795.xml"/><Relationship Id="rId266" Type="http://schemas.openxmlformats.org/officeDocument/2006/relationships/queryTable" Target="../queryTables/queryTable1816.xml"/><Relationship Id="rId287" Type="http://schemas.openxmlformats.org/officeDocument/2006/relationships/queryTable" Target="../queryTables/queryTable1837.xml"/><Relationship Id="rId410" Type="http://schemas.openxmlformats.org/officeDocument/2006/relationships/queryTable" Target="../queryTables/queryTable1960.xml"/><Relationship Id="rId431" Type="http://schemas.openxmlformats.org/officeDocument/2006/relationships/queryTable" Target="../queryTables/queryTable1981.xml"/><Relationship Id="rId452" Type="http://schemas.openxmlformats.org/officeDocument/2006/relationships/queryTable" Target="../queryTables/queryTable2002.xml"/><Relationship Id="rId473" Type="http://schemas.openxmlformats.org/officeDocument/2006/relationships/queryTable" Target="../queryTables/queryTable2023.xml"/><Relationship Id="rId494" Type="http://schemas.openxmlformats.org/officeDocument/2006/relationships/queryTable" Target="../queryTables/queryTable2044.xml"/><Relationship Id="rId508" Type="http://schemas.openxmlformats.org/officeDocument/2006/relationships/queryTable" Target="../queryTables/queryTable2058.xml"/><Relationship Id="rId529" Type="http://schemas.openxmlformats.org/officeDocument/2006/relationships/queryTable" Target="../queryTables/queryTable2079.xml"/><Relationship Id="rId30" Type="http://schemas.openxmlformats.org/officeDocument/2006/relationships/queryTable" Target="../queryTables/queryTable1580.xml"/><Relationship Id="rId105" Type="http://schemas.openxmlformats.org/officeDocument/2006/relationships/queryTable" Target="../queryTables/queryTable1655.xml"/><Relationship Id="rId126" Type="http://schemas.openxmlformats.org/officeDocument/2006/relationships/queryTable" Target="../queryTables/queryTable1676.xml"/><Relationship Id="rId147" Type="http://schemas.openxmlformats.org/officeDocument/2006/relationships/queryTable" Target="../queryTables/queryTable1697.xml"/><Relationship Id="rId168" Type="http://schemas.openxmlformats.org/officeDocument/2006/relationships/queryTable" Target="../queryTables/queryTable1718.xml"/><Relationship Id="rId312" Type="http://schemas.openxmlformats.org/officeDocument/2006/relationships/queryTable" Target="../queryTables/queryTable1862.xml"/><Relationship Id="rId333" Type="http://schemas.openxmlformats.org/officeDocument/2006/relationships/queryTable" Target="../queryTables/queryTable1883.xml"/><Relationship Id="rId354" Type="http://schemas.openxmlformats.org/officeDocument/2006/relationships/queryTable" Target="../queryTables/queryTable1904.xml"/><Relationship Id="rId51" Type="http://schemas.openxmlformats.org/officeDocument/2006/relationships/queryTable" Target="../queryTables/queryTable1601.xml"/><Relationship Id="rId72" Type="http://schemas.openxmlformats.org/officeDocument/2006/relationships/queryTable" Target="../queryTables/queryTable1622.xml"/><Relationship Id="rId93" Type="http://schemas.openxmlformats.org/officeDocument/2006/relationships/queryTable" Target="../queryTables/queryTable1643.xml"/><Relationship Id="rId189" Type="http://schemas.openxmlformats.org/officeDocument/2006/relationships/queryTable" Target="../queryTables/queryTable1739.xml"/><Relationship Id="rId375" Type="http://schemas.openxmlformats.org/officeDocument/2006/relationships/queryTable" Target="../queryTables/queryTable1925.xml"/><Relationship Id="rId396" Type="http://schemas.openxmlformats.org/officeDocument/2006/relationships/queryTable" Target="../queryTables/queryTable1946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64.xml"/><Relationship Id="rId235" Type="http://schemas.openxmlformats.org/officeDocument/2006/relationships/queryTable" Target="../queryTables/queryTable1785.xml"/><Relationship Id="rId256" Type="http://schemas.openxmlformats.org/officeDocument/2006/relationships/queryTable" Target="../queryTables/queryTable1806.xml"/><Relationship Id="rId277" Type="http://schemas.openxmlformats.org/officeDocument/2006/relationships/queryTable" Target="../queryTables/queryTable1827.xml"/><Relationship Id="rId298" Type="http://schemas.openxmlformats.org/officeDocument/2006/relationships/queryTable" Target="../queryTables/queryTable1848.xml"/><Relationship Id="rId400" Type="http://schemas.openxmlformats.org/officeDocument/2006/relationships/queryTable" Target="../queryTables/queryTable1950.xml"/><Relationship Id="rId421" Type="http://schemas.openxmlformats.org/officeDocument/2006/relationships/queryTable" Target="../queryTables/queryTable1971.xml"/><Relationship Id="rId442" Type="http://schemas.openxmlformats.org/officeDocument/2006/relationships/queryTable" Target="../queryTables/queryTable1992.xml"/><Relationship Id="rId463" Type="http://schemas.openxmlformats.org/officeDocument/2006/relationships/queryTable" Target="../queryTables/queryTable2013.xml"/><Relationship Id="rId484" Type="http://schemas.openxmlformats.org/officeDocument/2006/relationships/queryTable" Target="../queryTables/queryTable2034.xml"/><Relationship Id="rId519" Type="http://schemas.openxmlformats.org/officeDocument/2006/relationships/queryTable" Target="../queryTables/queryTable2069.xml"/><Relationship Id="rId116" Type="http://schemas.openxmlformats.org/officeDocument/2006/relationships/queryTable" Target="../queryTables/queryTable1666.xml"/><Relationship Id="rId137" Type="http://schemas.openxmlformats.org/officeDocument/2006/relationships/queryTable" Target="../queryTables/queryTable1687.xml"/><Relationship Id="rId158" Type="http://schemas.openxmlformats.org/officeDocument/2006/relationships/queryTable" Target="../queryTables/queryTable1708.xml"/><Relationship Id="rId302" Type="http://schemas.openxmlformats.org/officeDocument/2006/relationships/queryTable" Target="../queryTables/queryTable1852.xml"/><Relationship Id="rId323" Type="http://schemas.openxmlformats.org/officeDocument/2006/relationships/queryTable" Target="../queryTables/queryTable1873.xml"/><Relationship Id="rId344" Type="http://schemas.openxmlformats.org/officeDocument/2006/relationships/queryTable" Target="../queryTables/queryTable1894.xml"/><Relationship Id="rId530" Type="http://schemas.openxmlformats.org/officeDocument/2006/relationships/queryTable" Target="../queryTables/queryTable2080.xml"/><Relationship Id="rId20" Type="http://schemas.openxmlformats.org/officeDocument/2006/relationships/queryTable" Target="../queryTables/queryTable1570.xml"/><Relationship Id="rId41" Type="http://schemas.openxmlformats.org/officeDocument/2006/relationships/queryTable" Target="../queryTables/queryTable1591.xml"/><Relationship Id="rId62" Type="http://schemas.openxmlformats.org/officeDocument/2006/relationships/queryTable" Target="../queryTables/queryTable1612.xml"/><Relationship Id="rId83" Type="http://schemas.openxmlformats.org/officeDocument/2006/relationships/queryTable" Target="../queryTables/queryTable1633.xml"/><Relationship Id="rId179" Type="http://schemas.openxmlformats.org/officeDocument/2006/relationships/queryTable" Target="../queryTables/queryTable1729.xml"/><Relationship Id="rId365" Type="http://schemas.openxmlformats.org/officeDocument/2006/relationships/queryTable" Target="../queryTables/queryTable1915.xml"/><Relationship Id="rId386" Type="http://schemas.openxmlformats.org/officeDocument/2006/relationships/queryTable" Target="../queryTables/queryTable1936.xml"/><Relationship Id="rId190" Type="http://schemas.openxmlformats.org/officeDocument/2006/relationships/queryTable" Target="../queryTables/queryTable1740.xml"/><Relationship Id="rId204" Type="http://schemas.openxmlformats.org/officeDocument/2006/relationships/queryTable" Target="../queryTables/queryTable1754.xml"/><Relationship Id="rId225" Type="http://schemas.openxmlformats.org/officeDocument/2006/relationships/queryTable" Target="../queryTables/queryTable1775.xml"/><Relationship Id="rId246" Type="http://schemas.openxmlformats.org/officeDocument/2006/relationships/queryTable" Target="../queryTables/queryTable1796.xml"/><Relationship Id="rId267" Type="http://schemas.openxmlformats.org/officeDocument/2006/relationships/queryTable" Target="../queryTables/queryTable1817.xml"/><Relationship Id="rId288" Type="http://schemas.openxmlformats.org/officeDocument/2006/relationships/queryTable" Target="../queryTables/queryTable1838.xml"/><Relationship Id="rId411" Type="http://schemas.openxmlformats.org/officeDocument/2006/relationships/queryTable" Target="../queryTables/queryTable1961.xml"/><Relationship Id="rId432" Type="http://schemas.openxmlformats.org/officeDocument/2006/relationships/queryTable" Target="../queryTables/queryTable1982.xml"/><Relationship Id="rId453" Type="http://schemas.openxmlformats.org/officeDocument/2006/relationships/queryTable" Target="../queryTables/queryTable2003.xml"/><Relationship Id="rId474" Type="http://schemas.openxmlformats.org/officeDocument/2006/relationships/queryTable" Target="../queryTables/queryTable2024.xml"/><Relationship Id="rId509" Type="http://schemas.openxmlformats.org/officeDocument/2006/relationships/queryTable" Target="../queryTables/queryTable2059.xml"/><Relationship Id="rId106" Type="http://schemas.openxmlformats.org/officeDocument/2006/relationships/queryTable" Target="../queryTables/queryTable1656.xml"/><Relationship Id="rId127" Type="http://schemas.openxmlformats.org/officeDocument/2006/relationships/queryTable" Target="../queryTables/queryTable1677.xml"/><Relationship Id="rId313" Type="http://schemas.openxmlformats.org/officeDocument/2006/relationships/queryTable" Target="../queryTables/queryTable1863.xml"/><Relationship Id="rId495" Type="http://schemas.openxmlformats.org/officeDocument/2006/relationships/queryTable" Target="../queryTables/queryTable2045.xml"/><Relationship Id="rId10" Type="http://schemas.openxmlformats.org/officeDocument/2006/relationships/queryTable" Target="../queryTables/queryTable1560.xml"/><Relationship Id="rId31" Type="http://schemas.openxmlformats.org/officeDocument/2006/relationships/queryTable" Target="../queryTables/queryTable1581.xml"/><Relationship Id="rId52" Type="http://schemas.openxmlformats.org/officeDocument/2006/relationships/queryTable" Target="../queryTables/queryTable1602.xml"/><Relationship Id="rId73" Type="http://schemas.openxmlformats.org/officeDocument/2006/relationships/queryTable" Target="../queryTables/queryTable1623.xml"/><Relationship Id="rId94" Type="http://schemas.openxmlformats.org/officeDocument/2006/relationships/queryTable" Target="../queryTables/queryTable1644.xml"/><Relationship Id="rId148" Type="http://schemas.openxmlformats.org/officeDocument/2006/relationships/queryTable" Target="../queryTables/queryTable1698.xml"/><Relationship Id="rId169" Type="http://schemas.openxmlformats.org/officeDocument/2006/relationships/queryTable" Target="../queryTables/queryTable1719.xml"/><Relationship Id="rId334" Type="http://schemas.openxmlformats.org/officeDocument/2006/relationships/queryTable" Target="../queryTables/queryTable1884.xml"/><Relationship Id="rId355" Type="http://schemas.openxmlformats.org/officeDocument/2006/relationships/queryTable" Target="../queryTables/queryTable1905.xml"/><Relationship Id="rId376" Type="http://schemas.openxmlformats.org/officeDocument/2006/relationships/queryTable" Target="../queryTables/queryTable1926.xml"/><Relationship Id="rId397" Type="http://schemas.openxmlformats.org/officeDocument/2006/relationships/queryTable" Target="../queryTables/queryTable1947.xml"/><Relationship Id="rId520" Type="http://schemas.openxmlformats.org/officeDocument/2006/relationships/queryTable" Target="../queryTables/queryTable2070.xml"/><Relationship Id="rId4" Type="http://schemas.openxmlformats.org/officeDocument/2006/relationships/queryTable" Target="../queryTables/queryTable1554.xml"/><Relationship Id="rId180" Type="http://schemas.openxmlformats.org/officeDocument/2006/relationships/queryTable" Target="../queryTables/queryTable1730.xml"/><Relationship Id="rId215" Type="http://schemas.openxmlformats.org/officeDocument/2006/relationships/queryTable" Target="../queryTables/queryTable1765.xml"/><Relationship Id="rId236" Type="http://schemas.openxmlformats.org/officeDocument/2006/relationships/queryTable" Target="../queryTables/queryTable1786.xml"/><Relationship Id="rId257" Type="http://schemas.openxmlformats.org/officeDocument/2006/relationships/queryTable" Target="../queryTables/queryTable1807.xml"/><Relationship Id="rId278" Type="http://schemas.openxmlformats.org/officeDocument/2006/relationships/queryTable" Target="../queryTables/queryTable1828.xml"/><Relationship Id="rId401" Type="http://schemas.openxmlformats.org/officeDocument/2006/relationships/queryTable" Target="../queryTables/queryTable1951.xml"/><Relationship Id="rId422" Type="http://schemas.openxmlformats.org/officeDocument/2006/relationships/queryTable" Target="../queryTables/queryTable1972.xml"/><Relationship Id="rId443" Type="http://schemas.openxmlformats.org/officeDocument/2006/relationships/queryTable" Target="../queryTables/queryTable1993.xml"/><Relationship Id="rId464" Type="http://schemas.openxmlformats.org/officeDocument/2006/relationships/queryTable" Target="../queryTables/queryTable2014.xml"/><Relationship Id="rId303" Type="http://schemas.openxmlformats.org/officeDocument/2006/relationships/queryTable" Target="../queryTables/queryTable1853.xml"/><Relationship Id="rId485" Type="http://schemas.openxmlformats.org/officeDocument/2006/relationships/queryTable" Target="../queryTables/queryTable2035.xml"/><Relationship Id="rId42" Type="http://schemas.openxmlformats.org/officeDocument/2006/relationships/queryTable" Target="../queryTables/queryTable1592.xml"/><Relationship Id="rId84" Type="http://schemas.openxmlformats.org/officeDocument/2006/relationships/queryTable" Target="../queryTables/queryTable1634.xml"/><Relationship Id="rId138" Type="http://schemas.openxmlformats.org/officeDocument/2006/relationships/queryTable" Target="../queryTables/queryTable1688.xml"/><Relationship Id="rId345" Type="http://schemas.openxmlformats.org/officeDocument/2006/relationships/queryTable" Target="../queryTables/queryTable1895.xml"/><Relationship Id="rId387" Type="http://schemas.openxmlformats.org/officeDocument/2006/relationships/queryTable" Target="../queryTables/queryTable1937.xml"/><Relationship Id="rId510" Type="http://schemas.openxmlformats.org/officeDocument/2006/relationships/queryTable" Target="../queryTables/queryTable2060.xml"/><Relationship Id="rId191" Type="http://schemas.openxmlformats.org/officeDocument/2006/relationships/queryTable" Target="../queryTables/queryTable1741.xml"/><Relationship Id="rId205" Type="http://schemas.openxmlformats.org/officeDocument/2006/relationships/queryTable" Target="../queryTables/queryTable1755.xml"/><Relationship Id="rId247" Type="http://schemas.openxmlformats.org/officeDocument/2006/relationships/queryTable" Target="../queryTables/queryTable1797.xml"/><Relationship Id="rId412" Type="http://schemas.openxmlformats.org/officeDocument/2006/relationships/queryTable" Target="../queryTables/queryTable1962.xml"/><Relationship Id="rId107" Type="http://schemas.openxmlformats.org/officeDocument/2006/relationships/queryTable" Target="../queryTables/queryTable1657.xml"/><Relationship Id="rId289" Type="http://schemas.openxmlformats.org/officeDocument/2006/relationships/queryTable" Target="../queryTables/queryTable1839.xml"/><Relationship Id="rId454" Type="http://schemas.openxmlformats.org/officeDocument/2006/relationships/queryTable" Target="../queryTables/queryTable2004.xml"/><Relationship Id="rId496" Type="http://schemas.openxmlformats.org/officeDocument/2006/relationships/queryTable" Target="../queryTables/queryTable2046.xml"/><Relationship Id="rId11" Type="http://schemas.openxmlformats.org/officeDocument/2006/relationships/queryTable" Target="../queryTables/queryTable1561.xml"/><Relationship Id="rId53" Type="http://schemas.openxmlformats.org/officeDocument/2006/relationships/queryTable" Target="../queryTables/queryTable1603.xml"/><Relationship Id="rId149" Type="http://schemas.openxmlformats.org/officeDocument/2006/relationships/queryTable" Target="../queryTables/queryTable1699.xml"/><Relationship Id="rId314" Type="http://schemas.openxmlformats.org/officeDocument/2006/relationships/queryTable" Target="../queryTables/queryTable1864.xml"/><Relationship Id="rId356" Type="http://schemas.openxmlformats.org/officeDocument/2006/relationships/queryTable" Target="../queryTables/queryTable1906.xml"/><Relationship Id="rId398" Type="http://schemas.openxmlformats.org/officeDocument/2006/relationships/queryTable" Target="../queryTables/queryTable1948.xml"/><Relationship Id="rId521" Type="http://schemas.openxmlformats.org/officeDocument/2006/relationships/queryTable" Target="../queryTables/queryTable2071.xml"/><Relationship Id="rId95" Type="http://schemas.openxmlformats.org/officeDocument/2006/relationships/queryTable" Target="../queryTables/queryTable1645.xml"/><Relationship Id="rId160" Type="http://schemas.openxmlformats.org/officeDocument/2006/relationships/queryTable" Target="../queryTables/queryTable1710.xml"/><Relationship Id="rId216" Type="http://schemas.openxmlformats.org/officeDocument/2006/relationships/queryTable" Target="../queryTables/queryTable1766.xml"/><Relationship Id="rId423" Type="http://schemas.openxmlformats.org/officeDocument/2006/relationships/queryTable" Target="../queryTables/queryTable1973.xml"/><Relationship Id="rId258" Type="http://schemas.openxmlformats.org/officeDocument/2006/relationships/queryTable" Target="../queryTables/queryTable1808.xml"/><Relationship Id="rId465" Type="http://schemas.openxmlformats.org/officeDocument/2006/relationships/queryTable" Target="../queryTables/queryTable2015.xml"/><Relationship Id="rId22" Type="http://schemas.openxmlformats.org/officeDocument/2006/relationships/queryTable" Target="../queryTables/queryTable1572.xml"/><Relationship Id="rId64" Type="http://schemas.openxmlformats.org/officeDocument/2006/relationships/queryTable" Target="../queryTables/queryTable1614.xml"/><Relationship Id="rId118" Type="http://schemas.openxmlformats.org/officeDocument/2006/relationships/queryTable" Target="../queryTables/queryTable1668.xml"/><Relationship Id="rId325" Type="http://schemas.openxmlformats.org/officeDocument/2006/relationships/queryTable" Target="../queryTables/queryTable1875.xml"/><Relationship Id="rId367" Type="http://schemas.openxmlformats.org/officeDocument/2006/relationships/queryTable" Target="../queryTables/queryTable1917.xml"/><Relationship Id="rId532" Type="http://schemas.openxmlformats.org/officeDocument/2006/relationships/queryTable" Target="../queryTables/queryTable2082.xml"/><Relationship Id="rId171" Type="http://schemas.openxmlformats.org/officeDocument/2006/relationships/queryTable" Target="../queryTables/queryTable1721.xml"/><Relationship Id="rId227" Type="http://schemas.openxmlformats.org/officeDocument/2006/relationships/queryTable" Target="../queryTables/queryTable1777.xml"/><Relationship Id="rId269" Type="http://schemas.openxmlformats.org/officeDocument/2006/relationships/queryTable" Target="../queryTables/queryTable1819.xml"/><Relationship Id="rId434" Type="http://schemas.openxmlformats.org/officeDocument/2006/relationships/queryTable" Target="../queryTables/queryTable1984.xml"/><Relationship Id="rId476" Type="http://schemas.openxmlformats.org/officeDocument/2006/relationships/queryTable" Target="../queryTables/queryTable2026.xml"/><Relationship Id="rId33" Type="http://schemas.openxmlformats.org/officeDocument/2006/relationships/queryTable" Target="../queryTables/queryTable1583.xml"/><Relationship Id="rId129" Type="http://schemas.openxmlformats.org/officeDocument/2006/relationships/queryTable" Target="../queryTables/queryTable1679.xml"/><Relationship Id="rId280" Type="http://schemas.openxmlformats.org/officeDocument/2006/relationships/queryTable" Target="../queryTables/queryTable1830.xml"/><Relationship Id="rId336" Type="http://schemas.openxmlformats.org/officeDocument/2006/relationships/queryTable" Target="../queryTables/queryTable1886.xml"/><Relationship Id="rId501" Type="http://schemas.openxmlformats.org/officeDocument/2006/relationships/queryTable" Target="../queryTables/queryTable2051.xml"/><Relationship Id="rId75" Type="http://schemas.openxmlformats.org/officeDocument/2006/relationships/queryTable" Target="../queryTables/queryTable1625.xml"/><Relationship Id="rId140" Type="http://schemas.openxmlformats.org/officeDocument/2006/relationships/queryTable" Target="../queryTables/queryTable1690.xml"/><Relationship Id="rId182" Type="http://schemas.openxmlformats.org/officeDocument/2006/relationships/queryTable" Target="../queryTables/queryTable1732.xml"/><Relationship Id="rId378" Type="http://schemas.openxmlformats.org/officeDocument/2006/relationships/queryTable" Target="../queryTables/queryTable1928.xml"/><Relationship Id="rId403" Type="http://schemas.openxmlformats.org/officeDocument/2006/relationships/queryTable" Target="../queryTables/queryTable1953.xml"/><Relationship Id="rId6" Type="http://schemas.openxmlformats.org/officeDocument/2006/relationships/queryTable" Target="../queryTables/queryTable1556.xml"/><Relationship Id="rId238" Type="http://schemas.openxmlformats.org/officeDocument/2006/relationships/queryTable" Target="../queryTables/queryTable1788.xml"/><Relationship Id="rId445" Type="http://schemas.openxmlformats.org/officeDocument/2006/relationships/queryTable" Target="../queryTables/queryTable1995.xml"/><Relationship Id="rId487" Type="http://schemas.openxmlformats.org/officeDocument/2006/relationships/queryTable" Target="../queryTables/queryTable2037.xml"/><Relationship Id="rId291" Type="http://schemas.openxmlformats.org/officeDocument/2006/relationships/queryTable" Target="../queryTables/queryTable1841.xml"/><Relationship Id="rId305" Type="http://schemas.openxmlformats.org/officeDocument/2006/relationships/queryTable" Target="../queryTables/queryTable1855.xml"/><Relationship Id="rId347" Type="http://schemas.openxmlformats.org/officeDocument/2006/relationships/queryTable" Target="../queryTables/queryTable1897.xml"/><Relationship Id="rId512" Type="http://schemas.openxmlformats.org/officeDocument/2006/relationships/queryTable" Target="../queryTables/queryTable2062.xml"/><Relationship Id="rId44" Type="http://schemas.openxmlformats.org/officeDocument/2006/relationships/queryTable" Target="../queryTables/queryTable1594.xml"/><Relationship Id="rId86" Type="http://schemas.openxmlformats.org/officeDocument/2006/relationships/queryTable" Target="../queryTables/queryTable1636.xml"/><Relationship Id="rId151" Type="http://schemas.openxmlformats.org/officeDocument/2006/relationships/queryTable" Target="../queryTables/queryTable1701.xml"/><Relationship Id="rId389" Type="http://schemas.openxmlformats.org/officeDocument/2006/relationships/queryTable" Target="../queryTables/queryTable1939.xml"/><Relationship Id="rId193" Type="http://schemas.openxmlformats.org/officeDocument/2006/relationships/queryTable" Target="../queryTables/queryTable1743.xml"/><Relationship Id="rId207" Type="http://schemas.openxmlformats.org/officeDocument/2006/relationships/queryTable" Target="../queryTables/queryTable1757.xml"/><Relationship Id="rId249" Type="http://schemas.openxmlformats.org/officeDocument/2006/relationships/queryTable" Target="../queryTables/queryTable1799.xml"/><Relationship Id="rId414" Type="http://schemas.openxmlformats.org/officeDocument/2006/relationships/queryTable" Target="../queryTables/queryTable1964.xml"/><Relationship Id="rId456" Type="http://schemas.openxmlformats.org/officeDocument/2006/relationships/queryTable" Target="../queryTables/queryTable2006.xml"/><Relationship Id="rId498" Type="http://schemas.openxmlformats.org/officeDocument/2006/relationships/queryTable" Target="../queryTables/queryTable2048.xml"/><Relationship Id="rId13" Type="http://schemas.openxmlformats.org/officeDocument/2006/relationships/queryTable" Target="../queryTables/queryTable1563.xml"/><Relationship Id="rId109" Type="http://schemas.openxmlformats.org/officeDocument/2006/relationships/queryTable" Target="../queryTables/queryTable1659.xml"/><Relationship Id="rId260" Type="http://schemas.openxmlformats.org/officeDocument/2006/relationships/queryTable" Target="../queryTables/queryTable1810.xml"/><Relationship Id="rId316" Type="http://schemas.openxmlformats.org/officeDocument/2006/relationships/queryTable" Target="../queryTables/queryTable1866.xml"/><Relationship Id="rId523" Type="http://schemas.openxmlformats.org/officeDocument/2006/relationships/queryTable" Target="../queryTables/queryTable2073.xml"/><Relationship Id="rId55" Type="http://schemas.openxmlformats.org/officeDocument/2006/relationships/queryTable" Target="../queryTables/queryTable1605.xml"/><Relationship Id="rId97" Type="http://schemas.openxmlformats.org/officeDocument/2006/relationships/queryTable" Target="../queryTables/queryTable1647.xml"/><Relationship Id="rId120" Type="http://schemas.openxmlformats.org/officeDocument/2006/relationships/queryTable" Target="../queryTables/queryTable1670.xml"/><Relationship Id="rId358" Type="http://schemas.openxmlformats.org/officeDocument/2006/relationships/queryTable" Target="../queryTables/queryTable1908.xml"/><Relationship Id="rId162" Type="http://schemas.openxmlformats.org/officeDocument/2006/relationships/queryTable" Target="../queryTables/queryTable1712.xml"/><Relationship Id="rId218" Type="http://schemas.openxmlformats.org/officeDocument/2006/relationships/queryTable" Target="../queryTables/queryTable1768.xml"/><Relationship Id="rId425" Type="http://schemas.openxmlformats.org/officeDocument/2006/relationships/queryTable" Target="../queryTables/queryTable1975.xml"/><Relationship Id="rId467" Type="http://schemas.openxmlformats.org/officeDocument/2006/relationships/queryTable" Target="../queryTables/queryTable2017.xml"/><Relationship Id="rId271" Type="http://schemas.openxmlformats.org/officeDocument/2006/relationships/queryTable" Target="../queryTables/queryTable1821.xml"/><Relationship Id="rId24" Type="http://schemas.openxmlformats.org/officeDocument/2006/relationships/queryTable" Target="../queryTables/queryTable1574.xml"/><Relationship Id="rId66" Type="http://schemas.openxmlformats.org/officeDocument/2006/relationships/queryTable" Target="../queryTables/queryTable1616.xml"/><Relationship Id="rId131" Type="http://schemas.openxmlformats.org/officeDocument/2006/relationships/queryTable" Target="../queryTables/queryTable1681.xml"/><Relationship Id="rId327" Type="http://schemas.openxmlformats.org/officeDocument/2006/relationships/queryTable" Target="../queryTables/queryTable1877.xml"/><Relationship Id="rId369" Type="http://schemas.openxmlformats.org/officeDocument/2006/relationships/queryTable" Target="../queryTables/queryTable1919.xml"/><Relationship Id="rId534" Type="http://schemas.openxmlformats.org/officeDocument/2006/relationships/queryTable" Target="../queryTables/queryTable2084.xml"/><Relationship Id="rId173" Type="http://schemas.openxmlformats.org/officeDocument/2006/relationships/queryTable" Target="../queryTables/queryTable1723.xml"/><Relationship Id="rId229" Type="http://schemas.openxmlformats.org/officeDocument/2006/relationships/queryTable" Target="../queryTables/queryTable1779.xml"/><Relationship Id="rId380" Type="http://schemas.openxmlformats.org/officeDocument/2006/relationships/queryTable" Target="../queryTables/queryTable1930.xml"/><Relationship Id="rId436" Type="http://schemas.openxmlformats.org/officeDocument/2006/relationships/queryTable" Target="../queryTables/queryTable1986.xml"/><Relationship Id="rId240" Type="http://schemas.openxmlformats.org/officeDocument/2006/relationships/queryTable" Target="../queryTables/queryTable1790.xml"/><Relationship Id="rId478" Type="http://schemas.openxmlformats.org/officeDocument/2006/relationships/queryTable" Target="../queryTables/queryTable2028.xml"/><Relationship Id="rId35" Type="http://schemas.openxmlformats.org/officeDocument/2006/relationships/queryTable" Target="../queryTables/queryTable1585.xml"/><Relationship Id="rId77" Type="http://schemas.openxmlformats.org/officeDocument/2006/relationships/queryTable" Target="../queryTables/queryTable1627.xml"/><Relationship Id="rId100" Type="http://schemas.openxmlformats.org/officeDocument/2006/relationships/queryTable" Target="../queryTables/queryTable1650.xml"/><Relationship Id="rId282" Type="http://schemas.openxmlformats.org/officeDocument/2006/relationships/queryTable" Target="../queryTables/queryTable1832.xml"/><Relationship Id="rId338" Type="http://schemas.openxmlformats.org/officeDocument/2006/relationships/queryTable" Target="../queryTables/queryTable1888.xml"/><Relationship Id="rId503" Type="http://schemas.openxmlformats.org/officeDocument/2006/relationships/queryTable" Target="../queryTables/queryTable2053.xml"/><Relationship Id="rId8" Type="http://schemas.openxmlformats.org/officeDocument/2006/relationships/queryTable" Target="../queryTables/queryTable1558.xml"/><Relationship Id="rId142" Type="http://schemas.openxmlformats.org/officeDocument/2006/relationships/queryTable" Target="../queryTables/queryTable1692.xml"/><Relationship Id="rId184" Type="http://schemas.openxmlformats.org/officeDocument/2006/relationships/queryTable" Target="../queryTables/queryTable1734.xml"/><Relationship Id="rId391" Type="http://schemas.openxmlformats.org/officeDocument/2006/relationships/queryTable" Target="../queryTables/queryTable1941.xml"/><Relationship Id="rId405" Type="http://schemas.openxmlformats.org/officeDocument/2006/relationships/queryTable" Target="../queryTables/queryTable1955.xml"/><Relationship Id="rId447" Type="http://schemas.openxmlformats.org/officeDocument/2006/relationships/queryTable" Target="../queryTables/queryTable1997.xml"/><Relationship Id="rId251" Type="http://schemas.openxmlformats.org/officeDocument/2006/relationships/queryTable" Target="../queryTables/queryTable1801.xml"/><Relationship Id="rId489" Type="http://schemas.openxmlformats.org/officeDocument/2006/relationships/queryTable" Target="../queryTables/queryTable203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workbookViewId="0">
      <pane xSplit="5" topLeftCell="AK1" activePane="topRight" state="frozen"/>
      <selection pane="topRight" activeCell="AL246" sqref="AL246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381</v>
      </c>
      <c r="D1" s="16" t="s">
        <v>63</v>
      </c>
      <c r="E1" s="5" t="s">
        <v>409</v>
      </c>
      <c r="F1" s="56" t="s">
        <v>415</v>
      </c>
      <c r="G1" s="81" t="s">
        <v>437</v>
      </c>
      <c r="H1" s="18" t="s">
        <v>410</v>
      </c>
      <c r="I1" s="23" t="s">
        <v>411</v>
      </c>
      <c r="J1" s="18" t="s">
        <v>425</v>
      </c>
      <c r="K1" s="18" t="s">
        <v>438</v>
      </c>
      <c r="L1" s="18" t="s">
        <v>439</v>
      </c>
      <c r="M1" s="47" t="s">
        <v>1386</v>
      </c>
      <c r="N1" s="47" t="s">
        <v>1378</v>
      </c>
      <c r="O1" s="47" t="s">
        <v>1379</v>
      </c>
      <c r="P1" s="72" t="s">
        <v>3</v>
      </c>
      <c r="Q1" s="72" t="s">
        <v>53</v>
      </c>
      <c r="R1" s="72" t="s">
        <v>1376</v>
      </c>
      <c r="S1" s="47" t="s">
        <v>1377</v>
      </c>
      <c r="T1" s="130" t="s">
        <v>1380</v>
      </c>
      <c r="U1" s="130" t="s">
        <v>1383</v>
      </c>
      <c r="V1" s="18" t="s">
        <v>1381</v>
      </c>
      <c r="W1" s="18" t="s">
        <v>1384</v>
      </c>
      <c r="X1" s="18" t="s">
        <v>1382</v>
      </c>
      <c r="Y1" s="18" t="s">
        <v>1385</v>
      </c>
      <c r="Z1" s="5" t="s">
        <v>420</v>
      </c>
      <c r="AA1" s="5" t="s">
        <v>418</v>
      </c>
      <c r="AB1" s="72" t="s">
        <v>419</v>
      </c>
      <c r="AC1" s="72" t="s">
        <v>429</v>
      </c>
      <c r="AD1" s="56" t="s">
        <v>4</v>
      </c>
      <c r="AE1" s="5" t="s">
        <v>431</v>
      </c>
      <c r="AF1" s="77" t="s">
        <v>84</v>
      </c>
      <c r="AG1" s="77" t="s">
        <v>421</v>
      </c>
      <c r="AH1" s="77" t="s">
        <v>412</v>
      </c>
      <c r="AI1" s="77" t="s">
        <v>413</v>
      </c>
      <c r="AJ1" s="77" t="s">
        <v>430</v>
      </c>
      <c r="AK1" s="5" t="s">
        <v>422</v>
      </c>
      <c r="AL1" s="5" t="s">
        <v>309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427</v>
      </c>
      <c r="AR1" s="77" t="s">
        <v>426</v>
      </c>
      <c r="AS1" s="3" t="s">
        <v>8</v>
      </c>
      <c r="AT1" s="3" t="s">
        <v>297</v>
      </c>
      <c r="AU1" s="18" t="s">
        <v>408</v>
      </c>
      <c r="AV1" s="3" t="s">
        <v>41</v>
      </c>
      <c r="AW1" s="5" t="s">
        <v>60</v>
      </c>
      <c r="AX1" s="5" t="s">
        <v>239</v>
      </c>
      <c r="AY1" s="5" t="s">
        <v>240</v>
      </c>
      <c r="AZ1" s="3" t="s">
        <v>541</v>
      </c>
      <c r="BA1" s="3" t="s">
        <v>858</v>
      </c>
      <c r="BB1" s="3" t="s">
        <v>1162</v>
      </c>
      <c r="BH1" s="5">
        <v>500</v>
      </c>
    </row>
    <row r="2" spans="1:60" hidden="1">
      <c r="A2" s="4" t="s">
        <v>14</v>
      </c>
      <c r="B2" s="57" t="s">
        <v>432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" s="19">
        <f>IF(Tabela3[[#This Row],[Lucro Líquido]]&gt;0,Tabela3[[#This Row],[Lucro Líquido]]/Tabela3[[#This Row],[Patrimônio Líquido]],0)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2.2979292427324034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idden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1634282403.8999999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" s="19">
        <f>IF(Tabela3[[#This Row],[Lucro Líquido]]&gt;0,Tabela3[[#This Row],[Lucro Líquido]]/Tabela3[[#This Row],[Patrimônio Líquido]],0)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2.2979292427324034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11.1</v>
      </c>
      <c r="AO3" s="44">
        <f>[Cotação]/[VPA]</f>
        <v>0.85228873718267628</v>
      </c>
      <c r="AP3" s="40">
        <f>IF(Tabela3[[#This Row],[Lucro/Ação]]&gt;0,Tabela3[[#This Row],[Cotação]]/(Tabela3[[#This Row],[Lucro/Ação]]/[Ref]*4),0)</f>
        <v>6.0920902394292167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3.898497735027838E-2</v>
      </c>
      <c r="AU3" s="19">
        <f>((1+Tabela3[[#This Row],[% Yield]])^(1/(3*Tabela3[[#This Row],[Ref]])))^(12)-1</f>
        <v>3.8984977350277061E-2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11.1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idden="1">
      <c r="A4" s="3" t="s">
        <v>828</v>
      </c>
      <c r="B4" s="58" t="s">
        <v>829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262847662216.68002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" s="18">
        <f>IF(Tabela3[[#This Row],[Lucro Líquido]]&gt;0,Tabela3[[#This Row],[Lucro Líquido]]/Tabela3[[#This Row],[Patrimônio Líquido]],0)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2.2979292427324034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16.78</v>
      </c>
      <c r="AO4" s="53">
        <f>[Cotação]/[VPA]</f>
        <v>6.1357413653741482</v>
      </c>
      <c r="AP4" s="37">
        <f>IF(Tabela3[[#This Row],[Lucro/Ação]]&gt;0,Tabela3[[#This Row],[Cotação]]/(Tabela3[[#This Row],[Lucro/Ação]]/[Ref]*4),0)</f>
        <v>27.566703385892499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1.3784745846486247E-2</v>
      </c>
      <c r="AU4" s="22">
        <f>((1+Tabela3[[#This Row],[% Yield]])^(1/(3*Tabela3[[#This Row],[Ref]])))^(12)-1</f>
        <v>1.3784745846486368E-2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16.78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idden="1">
      <c r="A5" s="3" t="s">
        <v>1041</v>
      </c>
      <c r="B5" s="58" t="s">
        <v>1042</v>
      </c>
      <c r="C5" s="16" t="str">
        <f>LEFT([PAPEL],LEN([PAPEL])-(LEN([PAPEL])-4))</f>
        <v>ABRE</v>
      </c>
      <c r="D5" s="16">
        <v>3</v>
      </c>
      <c r="E5" s="5"/>
      <c r="F5" s="56"/>
      <c r="G5" s="81">
        <v>0.25</v>
      </c>
      <c r="H5" s="87"/>
      <c r="J5" s="18"/>
      <c r="K5" s="16">
        <v>1</v>
      </c>
      <c r="L5" s="87">
        <v>2</v>
      </c>
      <c r="M5" s="54"/>
      <c r="N5" s="54"/>
      <c r="O5" s="54"/>
      <c r="P5" s="91">
        <v>1533011000</v>
      </c>
      <c r="Q5" s="73">
        <v>12290000</v>
      </c>
      <c r="R5" s="73">
        <f>IF(Tabela3[[#This Row],[Ativo || Passivo]]&gt;0,Tabela3[[#This Row],[Ativo || Passivo]]-Tabela3[[#This Row],[Patrimônio Líquido]],0)</f>
        <v>0</v>
      </c>
      <c r="S5" s="73">
        <f>Tabela3[[#This Row],[Cotação]]*Tabela3[[#This Row],[Total Ações]]</f>
        <v>7563408996.4499998</v>
      </c>
      <c r="T5" s="37">
        <f>IF(Tabela3[[#This Row],[Passivo Circulante]]&gt;0,Tabela3[[#This Row],[Ativo Circulante]]/Tabela3[[#This Row],[Passivo Circulante]],0)</f>
        <v>0</v>
      </c>
      <c r="U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" s="18">
        <f>IF(Tabela3[[#This Row],[Lucro Líquido]]&gt;0,Tabela3[[#This Row],[Lucro Líquido]]/Tabela3[[#This Row],[Patrimônio Líquido]],0)</f>
        <v>8.0169026836728503E-3</v>
      </c>
      <c r="W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" s="18">
        <f>IF(Tabela3[[#This Row],[Dívida]]&gt;0,Tabela3[[#This Row],[Dívida]]/Tabela3[[#This Row],[Patrimônio Líquido]],0)</f>
        <v>0</v>
      </c>
      <c r="Y5" s="18">
        <f>SUMPRODUCT(N([Dívida / PL]&gt;0),N(RIGHT([PAPEL],LEN([PAPEL])-(LEN([PAPEL])-1))="3"),[Dívida / PL])/SUMPRODUCT(N([Dívida / PL]&gt;0),N(RIGHT([PAPEL],LEN([PAPEL])-(LEN([PAPEL])-1))="3"))</f>
        <v>2.2979292427324034</v>
      </c>
      <c r="Z5" s="7">
        <f>Tabela3[[#This Row],[Capital Social]]*20%</f>
        <v>0</v>
      </c>
      <c r="AA5" s="47">
        <f>IF(([Lucro Líquido]*5%)&gt;[Teto R. Legal],[Teto R. Legal],[Lucro Líquido]*5%)</f>
        <v>0</v>
      </c>
      <c r="AB5" s="47">
        <f>IF([Lucro Líquido]&lt;0,0,[Lucro Líquido]-[Reserva Legal])</f>
        <v>12290000</v>
      </c>
      <c r="AC5" s="47">
        <f>Tabela3[[#This Row],[Lucro Distribuir]]*[%Div]</f>
        <v>3072500</v>
      </c>
      <c r="AD5" s="56">
        <f>SUMPRODUCT(N([Nome]=Tabela3[[#This Row],[Nome]]),[Ações])</f>
        <v>261257651</v>
      </c>
      <c r="AE5" s="85">
        <f>[Capital Social]/[Total Ações]</f>
        <v>0</v>
      </c>
      <c r="AF5" s="85">
        <f>Tabela3[[#This Row],[Lucro Líquido]]/Tabela3[[#This Row],[Total Ações]]</f>
        <v>4.7041684532331651E-2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2918875</v>
      </c>
      <c r="AM5" s="5">
        <f>[Patrimônio Líquido]/[Total Ações]</f>
        <v>5.8678128434983137</v>
      </c>
      <c r="AN5" s="52">
        <f>MAX(Tabela3[[#This Row],[Cotação 1]:[Cotação 5]])</f>
        <v>28.95</v>
      </c>
      <c r="AO5" s="53">
        <f>[Cotação]/[VPA]</f>
        <v>4.9336951896953121</v>
      </c>
      <c r="AP5" s="37">
        <f>IF(Tabela3[[#This Row],[Lucro/Ação]]&gt;0,Tabela3[[#This Row],[Cotação]]/(Tabela3[[#This Row],[Lucro/Ação]]/[Ref]*4),0)</f>
        <v>461.55872639035795</v>
      </c>
      <c r="AQ5" s="85">
        <f>[Lucro Distribuir]/[Total Ações]</f>
        <v>4.7041684532331651E-2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3.3517200229286302E-2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1.1577616659511677E-3</v>
      </c>
      <c r="AU5" s="22">
        <f>((1+Tabela3[[#This Row],[% Yield]])^(1/(3*Tabela3[[#This Row],[Ref]])))^(12)-1</f>
        <v>1.5439800140191196E-3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28.95</v>
      </c>
      <c r="BB5" s="7">
        <f>SUMPRODUCT(N(Tabela17683[Código]=Tabela3[[#This Row],[PAPEL]]),Tabela17683[Fechamento])</f>
        <v>0</v>
      </c>
    </row>
    <row r="6" spans="1:60" hidden="1">
      <c r="A6" s="3" t="s">
        <v>1041</v>
      </c>
      <c r="B6" s="58" t="s">
        <v>1043</v>
      </c>
      <c r="C6" s="16" t="str">
        <f>LEFT([PAPEL],LEN([PAPEL])-(LEN([PAPEL])-4))</f>
        <v>ABRE</v>
      </c>
      <c r="D6" s="16">
        <v>3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/>
      <c r="N6" s="54"/>
      <c r="O6" s="54"/>
      <c r="P6" s="91">
        <v>1533011000</v>
      </c>
      <c r="Q6" s="73">
        <v>12290000</v>
      </c>
      <c r="R6" s="73">
        <f>IF(Tabela3[[#This Row],[Ativo || Passivo]]&gt;0,Tabela3[[#This Row],[Ativo || Passivo]]-Tabela3[[#This Row],[Patrimônio Líquido]],0)</f>
        <v>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0</v>
      </c>
      <c r="U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" s="18">
        <f>IF(Tabela3[[#This Row],[Lucro Líquido]]&gt;0,Tabela3[[#This Row],[Lucro Líquido]]/Tabela3[[#This Row],[Patrimônio Líquido]],0)</f>
        <v>8.0169026836728503E-3</v>
      </c>
      <c r="W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" s="18">
        <f>IF(Tabela3[[#This Row],[Dívida]]&gt;0,Tabela3[[#This Row],[Dívida]]/Tabela3[[#This Row],[Patrimônio Líquido]],0)</f>
        <v>0</v>
      </c>
      <c r="Y6" s="18">
        <f>SUMPRODUCT(N([Dívida / PL]&gt;0),N(RIGHT([PAPEL],LEN([PAPEL])-(LEN([PAPEL])-1))="3"),[Dívida / PL])/SUMPRODUCT(N([Dívida / PL]&gt;0),N(RIGHT([PAPEL],LEN([PAPEL])-(LEN([PAPEL])-1))="3"))</f>
        <v>2.2979292427324034</v>
      </c>
      <c r="Z6" s="7">
        <f>Tabela3[[#This Row],[Capital Social]]*20%</f>
        <v>170489813.71000001</v>
      </c>
      <c r="AA6" s="47">
        <f>IF(([Lucro Líquido]*5%)&gt;[Teto R. Legal],[Teto R. Legal],[Lucro Líquido]*5%)</f>
        <v>614500</v>
      </c>
      <c r="AB6" s="47">
        <f>IF([Lucro Líquido]&lt;0,0,[Lucro Líquido]-[Reserva Legal])</f>
        <v>11675500</v>
      </c>
      <c r="AC6" s="47">
        <f>Tabela3[[#This Row],[Lucro Distribuir]]*[%Div]</f>
        <v>2918875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4.7041684532331651E-2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6" s="7">
        <f>[Div Base]*[Ações]</f>
        <v>1517209.7741058117</v>
      </c>
      <c r="AL6" s="120">
        <f>SUMPRODUCT(N([Nome]=Tabela3[[#This Row],[Nome]]),[Div Base]*[Ações])</f>
        <v>2918875</v>
      </c>
      <c r="AM6" s="5">
        <f>[Patrimônio Líquido]/[Total Ações]</f>
        <v>5.8678128434983137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4.4689600305715067E-2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idden="1">
      <c r="A7" s="3" t="s">
        <v>1041</v>
      </c>
      <c r="B7" s="58" t="s">
        <v>1044</v>
      </c>
      <c r="C7" s="16" t="str">
        <f>LEFT([PAPEL],LEN([PAPEL])-(LEN([PAPEL])-4))</f>
        <v>ABRE</v>
      </c>
      <c r="D7" s="16">
        <v>3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/>
      <c r="N7" s="54"/>
      <c r="O7" s="54"/>
      <c r="P7" s="91">
        <v>1533011000</v>
      </c>
      <c r="Q7" s="73">
        <v>12290000</v>
      </c>
      <c r="R7" s="73">
        <f>IF(Tabela3[[#This Row],[Ativo || Passivo]]&gt;0,Tabela3[[#This Row],[Ativo || Passivo]]-Tabela3[[#This Row],[Patrimônio Líquido]],0)</f>
        <v>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0</v>
      </c>
      <c r="U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" s="18">
        <f>IF(Tabela3[[#This Row],[Lucro Líquido]]&gt;0,Tabela3[[#This Row],[Lucro Líquido]]/Tabela3[[#This Row],[Patrimônio Líquido]],0)</f>
        <v>8.0169026836728503E-3</v>
      </c>
      <c r="W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" s="18">
        <f>IF(Tabela3[[#This Row],[Dívida]]&gt;0,Tabela3[[#This Row],[Dívida]]/Tabela3[[#This Row],[Patrimônio Líquido]],0)</f>
        <v>0</v>
      </c>
      <c r="Y7" s="18">
        <f>SUMPRODUCT(N([Dívida / PL]&gt;0),N(RIGHT([PAPEL],LEN([PAPEL])-(LEN([PAPEL])-1))="3"),[Dívida / PL])/SUMPRODUCT(N([Dívida / PL]&gt;0),N(RIGHT([PAPEL],LEN([PAPEL])-(LEN([PAPEL])-1))="3"))</f>
        <v>2.2979292427324034</v>
      </c>
      <c r="Z7" s="7">
        <f>Tabela3[[#This Row],[Capital Social]]*20%</f>
        <v>170489813.71000001</v>
      </c>
      <c r="AA7" s="47">
        <f>IF(([Lucro Líquido]*5%)&gt;[Teto R. Legal],[Teto R. Legal],[Lucro Líquido]*5%)</f>
        <v>614500</v>
      </c>
      <c r="AB7" s="47">
        <f>IF([Lucro Líquido]&lt;0,0,[Lucro Líquido]-[Reserva Legal])</f>
        <v>11675500</v>
      </c>
      <c r="AC7" s="47">
        <f>Tabela3[[#This Row],[Lucro Distribuir]]*[%Div]</f>
        <v>2918875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4.7041684532331651E-2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7" s="7">
        <f>[Div Base]*[Ações]</f>
        <v>1401665.2258941883</v>
      </c>
      <c r="AL7" s="120">
        <f>SUMPRODUCT(N([Nome]=Tabela3[[#This Row],[Nome]]),[Div Base]*[Ações])</f>
        <v>2918875</v>
      </c>
      <c r="AM7" s="5">
        <f>[Patrimônio Líquido]/[Total Ações]</f>
        <v>5.8678128434983137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4.4689600305715067E-2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idden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958781908.12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707254234.32000005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" s="19">
        <f>IF(Tabela3[[#This Row],[Lucro Líquido]]&gt;0,Tabela3[[#This Row],[Lucro Líquido]]/Tabela3[[#This Row],[Patrimônio Líquido]],0)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2.2979292427324034</v>
      </c>
      <c r="Z8" s="6">
        <f>Tabela3[[#This Row],[Capital Social]]*20%</f>
        <v>191756381.62400001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10.085959263674473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7.44</v>
      </c>
      <c r="AO8" s="44">
        <f>[Cotação]/[VPA]</f>
        <v>0.45420517576944697</v>
      </c>
      <c r="AP8" s="40">
        <f>IF(Tabela3[[#This Row],[Lucro/Ação]]&gt;0,Tabela3[[#This Row],[Cotação]]/(Tabela3[[#This Row],[Lucro/Ação]]/[Ref]*4),0)</f>
        <v>51.376887572279536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4.6227012032574628E-3</v>
      </c>
      <c r="AU8" s="19">
        <f>((1+Tabela3[[#This Row],[% Yield]])^(1/(3*Tabela3[[#This Row],[Ref]])))^(12)-1</f>
        <v>4.6227012032582504E-3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5">
        <f>SUMPRODUCT(N(Tabela1[Código]=Tabela3[[#This Row],[PAPEL]]),Tabela1[Fechamento])</f>
        <v>7.44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idden="1">
      <c r="A9" s="4" t="s">
        <v>12</v>
      </c>
      <c r="B9" s="57" t="s">
        <v>447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220796450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" s="19">
        <f>IF(Tabela3[[#This Row],[Lucro Líquido]]&gt;0,Tabela3[[#This Row],[Lucro Líquido]]/Tabela3[[#This Row],[Patrimônio Líquido]],0)</f>
        <v>0.20230538839886791</v>
      </c>
      <c r="W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2.2979292427324034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3.5</v>
      </c>
      <c r="AO9" s="44">
        <f>[Cotação]/[VPA]</f>
        <v>3.0335016349297943</v>
      </c>
      <c r="AP9" s="40">
        <f>IF(Tabela3[[#This Row],[Lucro/Ação]]&gt;0,Tabela3[[#This Row],[Cotação]]/(Tabela3[[#This Row],[Lucro/Ação]]/[Ref]*4),0)</f>
        <v>11.245999151103566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1.5838966160914271E-2</v>
      </c>
      <c r="AU9" s="42">
        <f>((1+Tabela3[[#This Row],[% Yield]])^(1/(3*Tabela3[[#This Row],[Ref]])))^(12)-1</f>
        <v>2.11741761285551E-2</v>
      </c>
      <c r="AV9" s="14">
        <f>IF([Cotação]&gt;0,($BH$1/Tabela3[[#This Row],[Cotação]]-MOD($BH$1/Tabela3[[#This Row],[Cotação]],100)),)</f>
        <v>100</v>
      </c>
      <c r="AW9" s="17">
        <f>Tabela3[[#This Row],[Ativos]]*[Lucro]</f>
        <v>5.5436381563199948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3.5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idden="1">
      <c r="A10" s="4" t="s">
        <v>12</v>
      </c>
      <c r="B10" s="57" t="s">
        <v>440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" s="19">
        <f>IF(Tabela3[[#This Row],[Lucro Líquido]]&gt;0,Tabela3[[#This Row],[Lucro Líquido]]/Tabela3[[#This Row],[Patrimônio Líquido]],0)</f>
        <v>0.15262842773320559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2.2979292427324034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0</v>
      </c>
      <c r="AW10" s="17">
        <f>Tabela3[[#This Row],[Ativos]]*[Lucro]</f>
        <v>0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idden="1">
      <c r="A11" s="4" t="s">
        <v>12</v>
      </c>
      <c r="B11" s="57" t="s">
        <v>441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" s="19">
        <f>IF(Tabela3[[#This Row],[Lucro Líquido]]&gt;0,Tabela3[[#This Row],[Lucro Líquido]]/Tabela3[[#This Row],[Patrimônio Líquido]],0)</f>
        <v>0.15262842773320559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2.2979292427324034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idden="1">
      <c r="A12" s="4" t="s">
        <v>12</v>
      </c>
      <c r="B12" s="57" t="s">
        <v>442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" s="19">
        <f>IF(Tabela3[[#This Row],[Lucro Líquido]]&gt;0,Tabela3[[#This Row],[Lucro Líquido]]/Tabela3[[#This Row],[Patrimônio Líquido]],0)</f>
        <v>0.15262842773320559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2.2979292427324034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idden="1">
      <c r="A13" s="3" t="s">
        <v>341</v>
      </c>
      <c r="B13" s="57" t="s">
        <v>724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465626528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" s="19">
        <f>IF(Tabela3[[#This Row],[Lucro Líquido]]&gt;0,Tabela3[[#This Row],[Lucro Líquido]]/Tabela3[[#This Row],[Patrimônio Líquido]],0)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2.2979292427324034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7.97</v>
      </c>
      <c r="AO13" s="44">
        <f>[Cotação]/[VPA]</f>
        <v>0.79687451310592206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7.97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idden="1">
      <c r="A14" s="3" t="s">
        <v>880</v>
      </c>
      <c r="B14" s="58" t="s">
        <v>872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" s="18">
        <f>IF(Tabela3[[#This Row],[Lucro Líquido]]&gt;0,Tabela3[[#This Row],[Lucro Líquido]]/Tabela3[[#This Row],[Patrimônio Líquido]],0)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2.2979292427324034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idden="1">
      <c r="A15" s="3" t="s">
        <v>880</v>
      </c>
      <c r="B15" s="58" t="s">
        <v>873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" s="18">
        <f>IF(Tabela3[[#This Row],[Lucro Líquido]]&gt;0,Tabela3[[#This Row],[Lucro Líquido]]/Tabela3[[#This Row],[Patrimônio Líquido]],0)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2.2979292427324034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idden="1">
      <c r="A16" s="3" t="s">
        <v>880</v>
      </c>
      <c r="B16" s="58" t="s">
        <v>874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" s="18">
        <f>IF(Tabela3[[#This Row],[Lucro Líquido]]&gt;0,Tabela3[[#This Row],[Lucro Líquido]]/Tabela3[[#This Row],[Patrimônio Líquido]],0)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2.2979292427324034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idden="1">
      <c r="A17" s="3" t="s">
        <v>1238</v>
      </c>
      <c r="B17" s="57" t="s">
        <v>1239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4676117321.5999994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" s="18">
        <f>IF(Tabela3[[#This Row],[Lucro Líquido]]&gt;0,Tabela3[[#This Row],[Lucro Líquido]]/Tabela3[[#This Row],[Patrimônio Líquido]],0)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2.2979292427324034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6.8</v>
      </c>
      <c r="AO17" s="53">
        <f>[Cotação]/[VPA]</f>
        <v>1.0745389425800189</v>
      </c>
      <c r="AP17" s="37">
        <f>IF(Tabela3[[#This Row],[Lucro/Ação]]&gt;0,Tabela3[[#This Row],[Cotação]]/(Tabela3[[#This Row],[Lucro/Ação]]/[Ref]*4),0)</f>
        <v>358.90070777496351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6.6174291344367107E-4</v>
      </c>
      <c r="AU17" s="22">
        <f>((1+Tabela3[[#This Row],[% Yield]])^(1/(3*Tabela3[[#This Row],[Ref]])))^(12)-1</f>
        <v>6.617429134438968E-4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6.8</v>
      </c>
    </row>
    <row r="18" spans="1:54" hidden="1">
      <c r="A18" s="3" t="s">
        <v>1024</v>
      </c>
      <c r="B18" s="58" t="s">
        <v>1020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4704497765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" s="18">
        <f>IF(Tabela3[[#This Row],[Lucro Líquido]]&gt;0,Tabela3[[#This Row],[Lucro Líquido]]/Tabela3[[#This Row],[Patrimônio Líquido]],0)</f>
        <v>0.13371347257876706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2.2979292427324034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</v>
      </c>
      <c r="AO18" s="53">
        <f>[Cotação]/[VPA]</f>
        <v>2.6502137381917699</v>
      </c>
      <c r="AP18" s="37">
        <f>IF(Tabela3[[#This Row],[Lucro/Ação]]&gt;0,Tabela3[[#This Row],[Cotação]]/(Tabela3[[#This Row],[Lucro/Ação]]/[Ref]*4),0)</f>
        <v>14.865071299924164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1.1609958030457307E-2</v>
      </c>
      <c r="AU18" s="22">
        <f>((1+Tabela3[[#This Row],[% Yield]])^(1/(3*Tabela3[[#This Row],[Ref]])))^(12)-1</f>
        <v>1.5509820715624345E-2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</v>
      </c>
      <c r="BB18" s="7">
        <f>SUMPRODUCT(N(Tabela17683[Código]=Tabela3[[#This Row],[PAPEL]]),Tabela17683[Fechamento])</f>
        <v>0</v>
      </c>
    </row>
    <row r="19" spans="1:54" hidden="1">
      <c r="A19" s="3" t="s">
        <v>1024</v>
      </c>
      <c r="B19" s="58" t="s">
        <v>1021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5264760680.6500006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" s="18">
        <f>IF(Tabela3[[#This Row],[Lucro Líquido]]&gt;0,Tabela3[[#This Row],[Lucro Líquido]]/Tabela3[[#This Row],[Patrimônio Líquido]],0)</f>
        <v>0.13371347257876706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2.2979292427324034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12.31</v>
      </c>
      <c r="AO19" s="53">
        <f>[Cotação]/[VPA]</f>
        <v>2.965830101558244</v>
      </c>
      <c r="AP19" s="37">
        <f>IF(Tabela3[[#This Row],[Lucro/Ação]]&gt;0,Tabela3[[#This Row],[Cotação]]/(Tabela3[[#This Row],[Lucro/Ação]]/[Ref]*4),0)</f>
        <v>16.635366154733315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1.1411900273028186E-2</v>
      </c>
      <c r="AU19" s="22">
        <f>((1+Tabela3[[#This Row],[% Yield]])^(1/(3*Tabela3[[#This Row],[Ref]])))^(12)-1</f>
        <v>1.5244734311731234E-2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12.31</v>
      </c>
      <c r="BB19" s="7">
        <f>SUMPRODUCT(N(Tabela17683[Código]=Tabela3[[#This Row],[PAPEL]]),Tabela17683[Fechamento])</f>
        <v>0</v>
      </c>
    </row>
    <row r="20" spans="1:54" hidden="1">
      <c r="A20" s="3" t="s">
        <v>341</v>
      </c>
      <c r="B20" s="58" t="s">
        <v>342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2794085414.4000001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" s="18">
        <f>IF(Tabela3[[#This Row],[Lucro Líquido]]&gt;0,Tabela3[[#This Row],[Lucro Líquido]]/Tabela3[[#This Row],[Patrimônio Líquido]],0)</f>
        <v>2.4410567722109849E-2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2.2979292427324034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17.57</v>
      </c>
      <c r="AO20" s="53">
        <f>[Cotação]/[VPA]</f>
        <v>1.6982100746849231</v>
      </c>
      <c r="AP20" s="37">
        <f>IF(Tabela3[[#This Row],[Lucro/Ação]]&gt;0,Tabela3[[#This Row],[Cotação]]/(Tabela3[[#This Row],[Lucro/Ação]]/[Ref]*4),0)</f>
        <v>52.176482354405799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3.4138943823406116E-3</v>
      </c>
      <c r="AU20" s="18">
        <f>((1+Tabela3[[#This Row],[% Yield]])^(1/(3*Tabela3[[#This Row],[Ref]])))^(12)-1</f>
        <v>4.5544471421585797E-3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17.57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idden="1">
      <c r="A21" s="4" t="s">
        <v>12</v>
      </c>
      <c r="B21" s="57" t="s">
        <v>450</v>
      </c>
      <c r="C21" s="15" t="str">
        <f>LEFT([PAPEL],LEN([PAPEL])-(LEN([PAPEL])-4))</f>
        <v>ALUP</v>
      </c>
      <c r="D21" s="15">
        <v>3</v>
      </c>
      <c r="E21" s="6"/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/>
      <c r="N21" s="55"/>
      <c r="O21" s="55"/>
      <c r="P21" s="92">
        <v>2637769000</v>
      </c>
      <c r="Q21" s="93">
        <v>221854000</v>
      </c>
      <c r="R21" s="93">
        <f>IF(Tabela3[[#This Row],[Ativo || Passivo]]&gt;0,Tabela3[[#This Row],[Ativo || Passivo]]-Tabela3[[#This Row],[Patrimônio Líquido]],0)</f>
        <v>0</v>
      </c>
      <c r="S21" s="93">
        <f>Tabela3[[#This Row],[Cotação]]*Tabela3[[#This Row],[Total Ações]]</f>
        <v>10629579618.000002</v>
      </c>
      <c r="T21" s="40">
        <f>IF(Tabela3[[#This Row],[Passivo Circulante]]&gt;0,Tabela3[[#This Row],[Ativo Circulante]]/Tabela3[[#This Row],[Passivo Circulante]],0)</f>
        <v>0</v>
      </c>
      <c r="U2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" s="19">
        <f>IF(Tabela3[[#This Row],[Lucro Líquido]]&gt;0,Tabela3[[#This Row],[Lucro Líquido]]/Tabela3[[#This Row],[Patrimônio Líquido]],0)</f>
        <v>8.4106682579103781E-2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" s="19">
        <f>IF(Tabela3[[#This Row],[Dívida]]&gt;0,Tabela3[[#This Row],[Dívida]]/Tabela3[[#This Row],[Patrimônio Líquido]],0)</f>
        <v>0</v>
      </c>
      <c r="Y21" s="19">
        <f>SUMPRODUCT(N([Dívida / PL]&gt;0),N(RIGHT([PAPEL],LEN([PAPEL])-(LEN([PAPEL])-1))="3"),[Dívida / PL])/SUMPRODUCT(N([Dívida / PL]&gt;0),N(RIGHT([PAPEL],LEN([PAPEL])-(LEN([PAPEL])-1))="3"))</f>
        <v>2.2979292427324034</v>
      </c>
      <c r="Z21" s="13">
        <f>Tabela3[[#This Row],[Capital Social]]*20%</f>
        <v>0</v>
      </c>
      <c r="AA21" s="13">
        <f>IF(([Lucro Líquido]*5%)&gt;[Teto R. Legal],[Teto R. Legal],[Lucro Líquido]*5%)</f>
        <v>0</v>
      </c>
      <c r="AB21" s="13">
        <f>IF([Lucro Líquido]&lt;0,0,[Lucro Líquido]-[Reserva Legal])</f>
        <v>221854000</v>
      </c>
      <c r="AC21" s="13">
        <f>Tabela3[[#This Row],[Lucro Distribuir]]*[%Div]</f>
        <v>110927000</v>
      </c>
      <c r="AD21" s="56">
        <f>SUMPRODUCT(N([Nome]=Tabela3[[#This Row],[Nome]]),[Ações])</f>
        <v>624901800</v>
      </c>
      <c r="AE21" s="6">
        <f>[Capital Social]/[Total Ações]</f>
        <v>0</v>
      </c>
      <c r="AF21" s="78">
        <f>Tabela3[[#This Row],[Lucro Líquido]]/Tabela3[[#This Row],[Total Ações]]</f>
        <v>0.35502218108509209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105380650</v>
      </c>
      <c r="AM21" s="6">
        <f>[Patrimônio Líquido]/[Total Ações]</f>
        <v>4.221093618229296</v>
      </c>
      <c r="AN21" s="48">
        <f>MAX(Tabela3[[#This Row],[Cotação 1]:[Cotação 5]])</f>
        <v>17.010000000000002</v>
      </c>
      <c r="AO21" s="44">
        <f>[Cotação]/[VPA]</f>
        <v>4.0297613695513146</v>
      </c>
      <c r="AP21" s="40">
        <f>IF(Tabela3[[#This Row],[Lucro/Ação]]&gt;0,Tabela3[[#This Row],[Cotação]]/(Tabela3[[#This Row],[Lucro/Ação]]/[Ref]*4),0)</f>
        <v>35.934374469245547</v>
      </c>
      <c r="AQ21" s="78">
        <f>[Lucro Distribuir]/[Total Ações]</f>
        <v>0.35502218108509209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2.9741717110303125E-2</v>
      </c>
      <c r="AU21" s="42">
        <f>((1+Tabela3[[#This Row],[% Yield]])^(1/(3*Tabela3[[#This Row],[Ref]])))^(12)-1</f>
        <v>3.9850910524318772E-2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17.010000000000002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idden="1">
      <c r="A22" s="4" t="s">
        <v>12</v>
      </c>
      <c r="B22" s="57" t="s">
        <v>451</v>
      </c>
      <c r="C22" s="15" t="str">
        <f>LEFT([PAPEL],LEN([PAPEL])-(LEN([PAPEL])-4))</f>
        <v>ALUP</v>
      </c>
      <c r="D22" s="15">
        <v>3</v>
      </c>
      <c r="E22" s="6">
        <v>1625227100</v>
      </c>
      <c r="F22" s="8">
        <v>461243600</v>
      </c>
      <c r="G22" s="81">
        <v>0.5</v>
      </c>
      <c r="H22" s="15"/>
      <c r="I22" s="19"/>
      <c r="J22" s="19"/>
      <c r="K22" s="88"/>
      <c r="L22" s="88"/>
      <c r="M22" s="55"/>
      <c r="N22" s="55"/>
      <c r="O22" s="55"/>
      <c r="P22" s="92">
        <v>2637769000</v>
      </c>
      <c r="Q22" s="93">
        <v>221854000</v>
      </c>
      <c r="R22" s="93">
        <f>IF(Tabela3[[#This Row],[Ativo || Passivo]]&gt;0,Tabela3[[#This Row],[Ativo || Passivo]]-Tabela3[[#This Row],[Patrimônio Líquido]],0)</f>
        <v>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0</v>
      </c>
      <c r="U2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" s="19">
        <f>IF(Tabela3[[#This Row],[Lucro Líquido]]&gt;0,Tabela3[[#This Row],[Lucro Líquido]]/Tabela3[[#This Row],[Patrimônio Líquido]],0)</f>
        <v>8.4106682579103781E-2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" s="19">
        <f>IF(Tabela3[[#This Row],[Dívida]]&gt;0,Tabela3[[#This Row],[Dívida]]/Tabela3[[#This Row],[Patrimônio Líquido]],0)</f>
        <v>0</v>
      </c>
      <c r="Y22" s="19">
        <f>SUMPRODUCT(N([Dívida / PL]&gt;0),N(RIGHT([PAPEL],LEN([PAPEL])-(LEN([PAPEL])-1))="3"),[Dívida / PL])/SUMPRODUCT(N([Dívida / PL]&gt;0),N(RIGHT([PAPEL],LEN([PAPEL])-(LEN([PAPEL])-1))="3"))</f>
        <v>2.2979292427324034</v>
      </c>
      <c r="Z22" s="13">
        <f>Tabela3[[#This Row],[Capital Social]]*20%</f>
        <v>325045420</v>
      </c>
      <c r="AA22" s="13">
        <f>IF(([Lucro Líquido]*5%)&gt;[Teto R. Legal],[Teto R. Legal],[Lucro Líquido]*5%)</f>
        <v>11092700</v>
      </c>
      <c r="AB22" s="13">
        <f>IF([Lucro Líquido]&lt;0,0,[Lucro Líquido]-[Reserva Legal])</f>
        <v>210761300</v>
      </c>
      <c r="AC22" s="13">
        <f>Tabela3[[#This Row],[Lucro Distribuir]]*[%Div]</f>
        <v>105380650</v>
      </c>
      <c r="AD22" s="56">
        <f>SUMPRODUCT(N([Nome]=Tabela3[[#This Row],[Nome]]),[Ações])</f>
        <v>624901800</v>
      </c>
      <c r="AE22" s="6">
        <f>[Capital Social]/[Total Ações]</f>
        <v>2.6007719932955866</v>
      </c>
      <c r="AF22" s="78">
        <f>Tabela3[[#This Row],[Lucro Líquido]]/Tabela3[[#This Row],[Total Ações]]</f>
        <v>0.35502218108509209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22" s="13">
        <f>[Div Base]*[Ações]</f>
        <v>77782061.719681397</v>
      </c>
      <c r="AL22" s="13">
        <f>SUMPRODUCT(N([Nome]=Tabela3[[#This Row],[Nome]]),[Div Base]*[Ações])</f>
        <v>105380650</v>
      </c>
      <c r="AM22" s="6">
        <f>[Patrimônio Líquido]/[Total Ações]</f>
        <v>4.221093618229296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0.3372710720308375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idden="1">
      <c r="A23" s="4" t="s">
        <v>12</v>
      </c>
      <c r="B23" s="57" t="s">
        <v>452</v>
      </c>
      <c r="C23" s="15" t="str">
        <f>LEFT([PAPEL],LEN([PAPEL])-(LEN([PAPEL])-4))</f>
        <v>ALUP</v>
      </c>
      <c r="D23" s="15">
        <v>3</v>
      </c>
      <c r="E23" s="6">
        <v>1625227100</v>
      </c>
      <c r="F23" s="8">
        <v>163658200</v>
      </c>
      <c r="G23" s="81">
        <v>0.5</v>
      </c>
      <c r="H23" s="15"/>
      <c r="I23" s="19"/>
      <c r="J23" s="19"/>
      <c r="K23" s="88"/>
      <c r="L23" s="88"/>
      <c r="M23" s="55"/>
      <c r="N23" s="55"/>
      <c r="O23" s="55"/>
      <c r="P23" s="92">
        <v>2637769000</v>
      </c>
      <c r="Q23" s="93">
        <v>221854000</v>
      </c>
      <c r="R23" s="93">
        <f>IF(Tabela3[[#This Row],[Ativo || Passivo]]&gt;0,Tabela3[[#This Row],[Ativo || Passivo]]-Tabela3[[#This Row],[Patrimônio Líquido]],0)</f>
        <v>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0</v>
      </c>
      <c r="U2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" s="19">
        <f>IF(Tabela3[[#This Row],[Lucro Líquido]]&gt;0,Tabela3[[#This Row],[Lucro Líquido]]/Tabela3[[#This Row],[Patrimônio Líquido]],0)</f>
        <v>8.4106682579103781E-2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" s="19">
        <f>IF(Tabela3[[#This Row],[Dívida]]&gt;0,Tabela3[[#This Row],[Dívida]]/Tabela3[[#This Row],[Patrimônio Líquido]],0)</f>
        <v>0</v>
      </c>
      <c r="Y23" s="19">
        <f>SUMPRODUCT(N([Dívida / PL]&gt;0),N(RIGHT([PAPEL],LEN([PAPEL])-(LEN([PAPEL])-1))="3"),[Dívida / PL])/SUMPRODUCT(N([Dívida / PL]&gt;0),N(RIGHT([PAPEL],LEN([PAPEL])-(LEN([PAPEL])-1))="3"))</f>
        <v>2.2979292427324034</v>
      </c>
      <c r="Z23" s="13">
        <f>Tabela3[[#This Row],[Capital Social]]*20%</f>
        <v>325045420</v>
      </c>
      <c r="AA23" s="13">
        <f>IF(([Lucro Líquido]*5%)&gt;[Teto R. Legal],[Teto R. Legal],[Lucro Líquido]*5%)</f>
        <v>11092700</v>
      </c>
      <c r="AB23" s="13">
        <f>IF([Lucro Líquido]&lt;0,0,[Lucro Líquido]-[Reserva Legal])</f>
        <v>210761300</v>
      </c>
      <c r="AC23" s="13">
        <f>Tabela3[[#This Row],[Lucro Distribuir]]*[%Div]</f>
        <v>105380650</v>
      </c>
      <c r="AD23" s="56">
        <f>SUMPRODUCT(N([Nome]=Tabela3[[#This Row],[Nome]]),[Ações])</f>
        <v>624901800</v>
      </c>
      <c r="AE23" s="6">
        <f>[Capital Social]/[Total Ações]</f>
        <v>2.6007719932955866</v>
      </c>
      <c r="AF23" s="78">
        <f>Tabela3[[#This Row],[Lucro Líquido]]/Tabela3[[#This Row],[Total Ações]]</f>
        <v>0.35502218108509209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23" s="13">
        <f>[Div Base]*[Ações]</f>
        <v>27598588.280318607</v>
      </c>
      <c r="AL23" s="13">
        <f>SUMPRODUCT(N([Nome]=Tabela3[[#This Row],[Nome]]),[Div Base]*[Ações])</f>
        <v>105380650</v>
      </c>
      <c r="AM23" s="6">
        <f>[Patrimônio Líquido]/[Total Ações]</f>
        <v>4.221093618229296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0.3372710720308375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idden="1">
      <c r="A24" s="3" t="s">
        <v>1067</v>
      </c>
      <c r="B24" s="58" t="s">
        <v>1084</v>
      </c>
      <c r="C24" s="16" t="str">
        <f>LEFT([PAPEL],LEN([PAPEL])-(LEN([PAPEL])-4))</f>
        <v>AMAR</v>
      </c>
      <c r="D24" s="16">
        <v>3</v>
      </c>
      <c r="E24" s="5">
        <v>660158639.36000001</v>
      </c>
      <c r="F24" s="56">
        <v>185532726</v>
      </c>
      <c r="G24" s="81">
        <v>0.25</v>
      </c>
      <c r="H24" s="87"/>
      <c r="J24" s="18"/>
      <c r="K24" s="16"/>
      <c r="L24" s="87"/>
      <c r="M24" s="54"/>
      <c r="N24" s="54"/>
      <c r="O24" s="54"/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0</v>
      </c>
      <c r="S24" s="73">
        <f>Tabela3[[#This Row],[Cotação]]*Tabela3[[#This Row],[Total Ações]]</f>
        <v>2545509000.7200003</v>
      </c>
      <c r="T24" s="37">
        <f>IF(Tabela3[[#This Row],[Passivo Circulante]]&gt;0,Tabela3[[#This Row],[Ativo Circulante]]/Tabela3[[#This Row],[Passivo Circulante]],0)</f>
        <v>0</v>
      </c>
      <c r="U2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" s="18">
        <f>IF(Tabela3[[#This Row],[Lucro Líquido]]&gt;0,Tabela3[[#This Row],[Lucro Líquido]]/Tabela3[[#This Row],[Patrimônio Líquido]],0)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" s="18">
        <f>IF(Tabela3[[#This Row],[Dívida]]&gt;0,Tabela3[[#This Row],[Dívida]]/Tabela3[[#This Row],[Patrimônio Líquido]],0)</f>
        <v>0</v>
      </c>
      <c r="Y24" s="18">
        <f>SUMPRODUCT(N([Dívida / PL]&gt;0),N(RIGHT([PAPEL],LEN([PAPEL])-(LEN([PAPEL])-1))="3"),[Dívida / PL])/SUMPRODUCT(N([Dívida / PL]&gt;0),N(RIGHT([PAPEL],LEN([PAPEL])-(LEN([PAPEL])-1))="3"))</f>
        <v>2.2979292427324034</v>
      </c>
      <c r="Z24" s="7">
        <f>Tabela3[[#This Row],[Capital Social]]*20%</f>
        <v>132031727.87200001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3.5581789455300732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13.72</v>
      </c>
      <c r="AO24" s="53">
        <f>[Cotação]/[VPA]</f>
        <v>2.2979341691988542</v>
      </c>
      <c r="AP24" s="37">
        <f>IF(Tabela3[[#This Row],[Lucro/Ação]]&gt;0,Tabela3[[#This Row],[Cotação]]/(Tabela3[[#This Row],[Lucro/Ação]]/[Ref]*4),0)</f>
        <v>22.329548650728675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7.977098094823663E-3</v>
      </c>
      <c r="AU24" s="22">
        <f>((1+Tabela3[[#This Row],[% Yield]])^(1/(3*Tabela3[[#This Row],[Ref]])))^(12)-1</f>
        <v>1.0650246718417744E-2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13.72</v>
      </c>
      <c r="BB24" s="7">
        <f>SUMPRODUCT(N(Tabela17683[Código]=Tabela3[[#This Row],[PAPEL]]),Tabela17683[Fechamento])</f>
        <v>0</v>
      </c>
    </row>
    <row r="25" spans="1:54" hidden="1">
      <c r="A25" s="3" t="s">
        <v>1218</v>
      </c>
      <c r="B25" s="57" t="s">
        <v>1210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5714333259.6000004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" s="18">
        <f>IF(Tabela3[[#This Row],[Lucro Líquido]]&gt;0,Tabela3[[#This Row],[Lucro Líquido]]/Tabela3[[#This Row],[Patrimônio Líquido]],0)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2.2979292427324034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16.59</v>
      </c>
      <c r="AO25" s="53">
        <f>[Cotação]/[VPA]</f>
        <v>2.9635537646191819</v>
      </c>
      <c r="AP25" s="37">
        <f>IF(Tabela3[[#This Row],[Lucro/Ação]]&gt;0,Tabela3[[#This Row],[Cotação]]/(Tabela3[[#This Row],[Lucro/Ação]]/[Ref]*4),0)</f>
        <v>13.38345377801719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1.774579297237178E-2</v>
      </c>
      <c r="AU25" s="22">
        <f>((1+Tabela3[[#This Row],[% Yield]])^(1/(3*Tabela3[[#This Row],[Ref]])))^(12)-1</f>
        <v>1.7745792972370777E-2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16.59</v>
      </c>
    </row>
    <row r="26" spans="1:54" hidden="1">
      <c r="A26" s="3" t="s">
        <v>1067</v>
      </c>
      <c r="B26" s="58" t="s">
        <v>1068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2271767181.4200001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" s="18">
        <f>IF(Tabela3[[#This Row],[Lucro Líquido]]&gt;0,Tabela3[[#This Row],[Lucro Líquido]]/Tabela3[[#This Row],[Patrimônio Líquido]],0)</f>
        <v>0.15856325106629252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2.2979292427324034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25.63</v>
      </c>
      <c r="AO26" s="53">
        <f>[Cotação]/[VPA]</f>
        <v>4.6294665203915066</v>
      </c>
      <c r="AP26" s="37">
        <f>IF(Tabela3[[#This Row],[Lucro/Ação]]&gt;0,Tabela3[[#This Row],[Cotação]]/(Tabela3[[#This Row],[Lucro/Ação]]/[Ref]*4),0)</f>
        <v>21.897254672471401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8.134581373980803E-3</v>
      </c>
      <c r="AU26" s="22">
        <f>((1+Tabela3[[#This Row],[% Yield]])^(1/(3*Tabela3[[#This Row],[Ref]])))^(12)-1</f>
        <v>1.0860786765475305E-2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25.63</v>
      </c>
      <c r="BB26" s="7">
        <f>SUMPRODUCT(N(Tabela17683[Código]=Tabela3[[#This Row],[PAPEL]]),Tabela17683[Fechamento])</f>
        <v>0</v>
      </c>
    </row>
    <row r="27" spans="1:54" hidden="1">
      <c r="A27" s="3" t="s">
        <v>1363</v>
      </c>
      <c r="B27" s="57" t="s">
        <v>1328</v>
      </c>
      <c r="C27" s="16" t="str">
        <f>LEFT([PAPEL],LEN([PAPEL])-(LEN([PAPEL])-4))</f>
        <v>AUTM</v>
      </c>
      <c r="D27" s="16">
        <v>3</v>
      </c>
      <c r="E27" s="5">
        <v>921993251.75</v>
      </c>
      <c r="F27" s="56">
        <v>125907641</v>
      </c>
      <c r="G27" s="81">
        <v>0.25</v>
      </c>
      <c r="H27" s="87"/>
      <c r="J27" s="18"/>
      <c r="K27" s="16"/>
      <c r="L27" s="87"/>
      <c r="M27" s="54"/>
      <c r="N27" s="54"/>
      <c r="O27" s="54"/>
      <c r="P27" s="91">
        <v>1247789000</v>
      </c>
      <c r="Q27" s="73">
        <v>119687000</v>
      </c>
      <c r="R27" s="73">
        <f>IF(Tabela3[[#This Row],[Ativo || Passivo]]&gt;0,Tabela3[[#This Row],[Ativo || Passivo]]-Tabela3[[#This Row],[Patrimônio Líquido]],0)</f>
        <v>0</v>
      </c>
      <c r="S27" s="73">
        <f>Tabela3[[#This Row],[Cotação]]*Tabela3[[#This Row],[Total Ações]]</f>
        <v>1972972734.47</v>
      </c>
      <c r="T27" s="37">
        <f>IF(Tabela3[[#This Row],[Passivo Circulante]]&gt;0,Tabela3[[#This Row],[Ativo Circulante]]/Tabela3[[#This Row],[Passivo Circulante]],0)</f>
        <v>0</v>
      </c>
      <c r="U2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" s="18">
        <f>IF(Tabela3[[#This Row],[Lucro Líquido]]&gt;0,Tabela3[[#This Row],[Lucro Líquido]]/Tabela3[[#This Row],[Patrimônio Líquido]],0)</f>
        <v>9.5919261990608989E-2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" s="18">
        <f>IF(Tabela3[[#This Row],[Dívida]]&gt;0,Tabela3[[#This Row],[Dívida]]/Tabela3[[#This Row],[Patrimônio Líquido]],0)</f>
        <v>0</v>
      </c>
      <c r="Y27" s="18">
        <f>SUMPRODUCT(N([Dívida / PL]&gt;0),N(RIGHT([PAPEL],LEN([PAPEL])-(LEN([PAPEL])-1))="3"),[Dívida / PL])/SUMPRODUCT(N([Dívida / PL]&gt;0),N(RIGHT([PAPEL],LEN([PAPEL])-(LEN([PAPEL])-1))="3"))</f>
        <v>2.2979292427324034</v>
      </c>
      <c r="Z27" s="7">
        <f>Tabela3[[#This Row],[Capital Social]]*20%</f>
        <v>184398650.35000002</v>
      </c>
      <c r="AA27" s="47">
        <f>IF(([Lucro Líquido]*5%)&gt;[Teto R. Legal],[Teto R. Legal],[Lucro Líquido]*5%)</f>
        <v>5984350</v>
      </c>
      <c r="AB27" s="47">
        <f>IF([Lucro Líquido]&lt;0,0,[Lucro Líquido]-[Reserva Legal])</f>
        <v>113702650</v>
      </c>
      <c r="AC27" s="47">
        <f>Tabela3[[#This Row],[Lucro Distribuir]]*[%Div]</f>
        <v>28425662.5</v>
      </c>
      <c r="AD27" s="56">
        <f>SUMPRODUCT(N([Nome]=Tabela3[[#This Row],[Nome]]),[Ações])</f>
        <v>125907641</v>
      </c>
      <c r="AE27" s="85">
        <f>[Capital Social]/[Total Ações]</f>
        <v>7.3227744116816549</v>
      </c>
      <c r="AF27" s="85">
        <f>Tabela3[[#This Row],[Lucro Líquido]]/Tabela3[[#This Row],[Total Ações]]</f>
        <v>0.95059361806325959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0.22576598429002415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0.22576598429002415</v>
      </c>
      <c r="AK27" s="7">
        <f>[Div Base]*[Ações]</f>
        <v>28425662.5</v>
      </c>
      <c r="AL27" s="120">
        <f>SUMPRODUCT(N([Nome]=Tabela3[[#This Row],[Nome]]),[Div Base]*[Ações])</f>
        <v>28425662.5</v>
      </c>
      <c r="AM27" s="5">
        <f>[Patrimônio Líquido]/[Total Ações]</f>
        <v>9.9103516680135399</v>
      </c>
      <c r="AN27" s="52">
        <f>MAX(Tabela3[[#This Row],[Cotação 1]:[Cotação 5]])</f>
        <v>15.67</v>
      </c>
      <c r="AO27" s="53">
        <f>[Cotação]/[VPA]</f>
        <v>1.5811749698626931</v>
      </c>
      <c r="AP27" s="37">
        <f>IF(Tabela3[[#This Row],[Lucro/Ação]]&gt;0,Tabela3[[#This Row],[Cotação]]/(Tabela3[[#This Row],[Lucro/Ação]]/[Ref]*4),0)</f>
        <v>12.363327269064309</v>
      </c>
      <c r="AQ27" s="85">
        <f>[Lucro Distribuir]/[Total Ações]</f>
        <v>0.90306393716009659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0.22576598429002415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1.4407529310148319E-2</v>
      </c>
      <c r="AU27" s="22">
        <f>((1+Tabela3[[#This Row],[% Yield]])^(1/(3*Tabela3[[#This Row],[Ref]])))^(12)-1</f>
        <v>1.9256020472792512E-2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15.67</v>
      </c>
    </row>
    <row r="28" spans="1:54" hidden="1">
      <c r="A28" s="3" t="s">
        <v>1161</v>
      </c>
      <c r="B28" s="57" t="s">
        <v>1138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" s="18">
        <f>IF(Tabela3[[#This Row],[Lucro Líquido]]&gt;0,Tabela3[[#This Row],[Lucro Líquido]]/Tabela3[[#This Row],[Patrimônio Líquido]],0)</f>
        <v>8.0824178951562409E-2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2.2979292427324034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200</v>
      </c>
      <c r="AW28" s="7">
        <f>Tabela3[[#This Row],[Ativos]]*[Lucro]</f>
        <v>4.9962962962962969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idden="1">
      <c r="A29" s="3" t="s">
        <v>1161</v>
      </c>
      <c r="B29" s="57" t="s">
        <v>1139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39960000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" s="18">
        <f>IF(Tabela3[[#This Row],[Lucro Líquido]]&gt;0,Tabela3[[#This Row],[Lucro Líquido]]/Tabela3[[#This Row],[Patrimônio Líquido]],0)</f>
        <v>8.0824178951562409E-2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2.2979292427324034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1.48</v>
      </c>
      <c r="AO29" s="53">
        <f>[Cotação]/[VPA]</f>
        <v>1.137230348910012</v>
      </c>
      <c r="AP29" s="37">
        <f>IF(Tabela3[[#This Row],[Lucro/Ação]]&gt;0,Tabela3[[#This Row],[Cotação]]/(Tabela3[[#This Row],[Lucro/Ação]]/[Ref]*4),0)</f>
        <v>10.552816901408452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1.6879379379379382E-2</v>
      </c>
      <c r="AU29" s="22">
        <f>((1+Tabela3[[#This Row],[% Yield]])^(1/(3*Tabela3[[#This Row],[Ref]])))^(12)-1</f>
        <v>2.256891743801992E-2</v>
      </c>
      <c r="AV29" s="10">
        <f>IF([Cotação]&gt;0,($BH$1/Tabela3[[#This Row],[Cotação]]-MOD($BH$1/Tabela3[[#This Row],[Cotação]],100)),)</f>
        <v>300</v>
      </c>
      <c r="AW29" s="7">
        <f>Tabela3[[#This Row],[Ativos]]*[Lucro]</f>
        <v>7.4944444444444445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1.48</v>
      </c>
    </row>
    <row r="30" spans="1:54" hidden="1">
      <c r="A30" s="3" t="s">
        <v>294</v>
      </c>
      <c r="B30" s="58" t="s">
        <v>303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31540716.84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" s="18">
        <f>IF(Tabela3[[#This Row],[Lucro Líquido]]&gt;0,Tabela3[[#This Row],[Lucro Líquido]]/Tabela3[[#This Row],[Patrimônio Líquido]],0)</f>
        <v>5.9052147870419056E-2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2.2979292427324034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5.26</v>
      </c>
      <c r="AO30" s="53">
        <f>[Cotação]/[VPA]</f>
        <v>0.72107900688141557</v>
      </c>
      <c r="AP30" s="37">
        <f>IF(Tabela3[[#This Row],[Lucro/Ação]]&gt;0,Tabela3[[#This Row],[Cotação]]/(Tabela3[[#This Row],[Lucro/Ação]]/[Ref]*4),0)</f>
        <v>9.1581640069686419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1.9449859149111209E-2</v>
      </c>
      <c r="AU30" s="18">
        <f>((1+Tabela3[[#This Row],[% Yield]])^(1/(3*Tabela3[[#This Row],[Ref]])))^(12)-1</f>
        <v>2.6016851101910987E-2</v>
      </c>
      <c r="AV30" s="10">
        <f>IF([Cotação]&gt;0,($BH$1/Tabela3[[#This Row],[Cotação]]-MOD($BH$1/Tabela3[[#This Row],[Cotação]],100)),)</f>
        <v>0</v>
      </c>
      <c r="AW30" s="7">
        <f>Tabela3[[#This Row],[Ativos]]*[Lucro]</f>
        <v>0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5.26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24" t="s">
        <v>40</v>
      </c>
      <c r="B31" s="57" t="s">
        <v>39</v>
      </c>
      <c r="C31" s="82" t="str">
        <f>LEFT([PAPEL],LEN([PAPEL])-(LEN([PAPEL])-4))</f>
        <v>UNIP</v>
      </c>
      <c r="D31" s="15">
        <v>3</v>
      </c>
      <c r="E31" s="6">
        <v>384330953.12</v>
      </c>
      <c r="F31" s="8">
        <v>531094273</v>
      </c>
      <c r="G31" s="86">
        <v>0.25</v>
      </c>
      <c r="H31" s="19"/>
      <c r="I31" s="19">
        <v>0.1</v>
      </c>
      <c r="J31" s="19"/>
      <c r="K31" s="88"/>
      <c r="L31" s="88"/>
      <c r="M31" s="13">
        <v>1728469000</v>
      </c>
      <c r="N31" s="13">
        <v>380787000</v>
      </c>
      <c r="O31" s="13">
        <v>247703000</v>
      </c>
      <c r="P31" s="28">
        <v>740932000</v>
      </c>
      <c r="Q31" s="28">
        <v>342727000</v>
      </c>
      <c r="R31" s="28">
        <f>IF(Tabela3[[#This Row],[Ativo || Passivo]]&gt;0,Tabela3[[#This Row],[Ativo || Passivo]]-Tabela3[[#This Row],[Patrimônio Líquido]],0)</f>
        <v>987537000</v>
      </c>
      <c r="S31" s="128">
        <f>Tabela3[[#This Row],[Cotação]]*Tabela3[[#This Row],[Total Ações]]</f>
        <v>375975932.40000004</v>
      </c>
      <c r="T31" s="131">
        <f>IF(Tabela3[[#This Row],[Passivo Circulante]]&gt;0,Tabela3[[#This Row],[Ativo Circulante]]/Tabela3[[#This Row],[Passivo Circulante]],0)</f>
        <v>1.5372724593565681</v>
      </c>
      <c r="U31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" s="49">
        <f>IF(Tabela3[[#This Row],[Lucro Líquido]]&gt;0,Tabela3[[#This Row],[Lucro Líquido]]/Tabela3[[#This Row],[Patrimônio Líquido]],0)</f>
        <v>0.46256201648734296</v>
      </c>
      <c r="W31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" s="49">
        <f>IF(Tabela3[[#This Row],[Dívida]]&gt;0,Tabela3[[#This Row],[Dívida]]/Tabela3[[#This Row],[Patrimônio Líquido]],0)</f>
        <v>1.3328308130840616</v>
      </c>
      <c r="Y31" s="49">
        <f>SUMPRODUCT(N([Dívida / PL]&gt;0),N(RIGHT([PAPEL],LEN([PAPEL])-(LEN([PAPEL])-1))="3"),[Dívida / PL])/SUMPRODUCT(N([Dívida / PL]&gt;0),N(RIGHT([PAPEL],LEN([PAPEL])-(LEN([PAPEL])-1))="3"))</f>
        <v>2.2979292427324034</v>
      </c>
      <c r="Z31" s="28">
        <f>Tabela3[[#This Row],[Capital Social]]*20%</f>
        <v>76866190.623999998</v>
      </c>
      <c r="AA31" s="28">
        <f>IF(([Lucro Líquido]*5%)&gt;[Teto R. Legal],[Teto R. Legal],[Lucro Líquido]*5%)</f>
        <v>17136350</v>
      </c>
      <c r="AB31" s="28">
        <f>IF([Lucro Líquido]&lt;0,0,[Lucro Líquido]-[Reserva Legal])</f>
        <v>325590650</v>
      </c>
      <c r="AC31" s="28">
        <f>Tabela3[[#This Row],[Lucro Distribuir]]*[%Div]</f>
        <v>81397662.5</v>
      </c>
      <c r="AD31" s="21">
        <f>SUMPRODUCT(N([Nome]=Tabela3[[#This Row],[Nome]]),[Ações])</f>
        <v>835502072</v>
      </c>
      <c r="AE31" s="5">
        <f>[Capital Social]/[Total Ações]</f>
        <v>0.46</v>
      </c>
      <c r="AF31" s="78">
        <f>Tabela3[[#This Row],[Lucro Líquido]]/Tabela3[[#This Row],[Total Ações]]</f>
        <v>0.4102048474632628</v>
      </c>
      <c r="AG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1" s="28">
        <f>[Div Base]*[Ações]</f>
        <v>51741143.24558714</v>
      </c>
      <c r="AL31" s="28">
        <f>SUMPRODUCT(N([Nome]=Tabela3[[#This Row],[Nome]]),[Div Base]*[Ações])</f>
        <v>81397662.5</v>
      </c>
      <c r="AM31" s="6">
        <f>[Patrimônio Líquido]/[Total Ações]</f>
        <v>0.88681048776621108</v>
      </c>
      <c r="AN31" s="48">
        <f>MAX(Tabela3[[#This Row],[Cotação 1]:[Cotação 5]])</f>
        <v>0.45</v>
      </c>
      <c r="AO31" s="44">
        <f>[Cotação]/[VPA]</f>
        <v>0.50743648863863355</v>
      </c>
      <c r="AP31" s="40">
        <f>IF(Tabela3[[#This Row],[Lucro/Ação]]&gt;0,Tabela3[[#This Row],[Cotação]]/(Tabela3[[#This Row],[Lucro/Ação]]/[Ref]*4),0)</f>
        <v>0.82275965797850759</v>
      </c>
      <c r="AQ31" s="78">
        <f>[Lucro Distribuir]/[Total Ações]</f>
        <v>0.38969460509009962</v>
      </c>
      <c r="AR3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1" s="14" t="str">
        <f>IF(AND([% A.A.]&gt;=5%,SUMPRODUCT(N([Nome]=Tabela3[[#This Row],[Nome]]),[PL])&gt;0,[Rentabilidade s/ PL]&gt;=[Rentabilidade s/ PL Média]),"Sim","Não")</f>
        <v>Sim</v>
      </c>
      <c r="AT31" s="42">
        <f>IF([Cotação]&gt;0,Tabela3[[#This Row],[Lucro]]/Tabela3[[#This Row],[Cotação]],0)</f>
        <v>0.21649700282783313</v>
      </c>
      <c r="AU31" s="19">
        <f>((1+Tabela3[[#This Row],[% Yield]])^(1/(3*Tabela3[[#This Row],[Ref]])))^(12)-1</f>
        <v>0.29861791847053376</v>
      </c>
      <c r="AV31" s="14">
        <f>IF([Cotação]&gt;0,($BH$1/Tabela3[[#This Row],[Cotação]]-MOD($BH$1/Tabela3[[#This Row],[Cotação]],100)),)</f>
        <v>1100</v>
      </c>
      <c r="AW31" s="17">
        <f>Tabela3[[#This Row],[Ativos]]*[Lucro]</f>
        <v>107.16601639977739</v>
      </c>
      <c r="AX31" s="17">
        <f>SUMPRODUCT(N(Tabela1[Código]=Tabela3[[#This Row],[PAPEL]]),Tabela1[Fechamento])</f>
        <v>0.45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idden="1">
      <c r="A32" s="3" t="s">
        <v>1287</v>
      </c>
      <c r="B32" s="57" t="s">
        <v>1283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96040000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" s="18">
        <f>IF(Tabela3[[#This Row],[Lucro Líquido]]&gt;0,Tabela3[[#This Row],[Lucro Líquido]]/Tabela3[[#This Row],[Patrimônio Líquido]],0)</f>
        <v>0.15593240906470893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2.2979292427324034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98</v>
      </c>
      <c r="AO32" s="53">
        <f>[Cotação]/[VPA]</f>
        <v>1.4567848800169887</v>
      </c>
      <c r="AP32" s="37">
        <f>IF(Tabela3[[#This Row],[Lucro/Ação]]&gt;0,Tabela3[[#This Row],[Cotação]]/(Tabela3[[#This Row],[Lucro/Ação]]/[Ref]*4),0)</f>
        <v>7.0068093385213999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3.050603915035402E-2</v>
      </c>
      <c r="AU32" s="22">
        <f>((1+Tabela3[[#This Row],[% Yield]])^(1/(3*Tabela3[[#This Row],[Ref]])))^(12)-1</f>
        <v>4.08801385471107E-2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98</v>
      </c>
    </row>
    <row r="33" spans="1:54" hidden="1">
      <c r="A33" s="3" t="s">
        <v>275</v>
      </c>
      <c r="B33" s="58" t="s">
        <v>838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" s="18">
        <f>IF(Tabela3[[#This Row],[Lucro Líquido]]&gt;0,Tabela3[[#This Row],[Lucro Líquido]]/Tabela3[[#This Row],[Patrimônio Líquido]],0)</f>
        <v>0.4494314381270903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2.2979292427324034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idden="1">
      <c r="A34" s="3" t="s">
        <v>275</v>
      </c>
      <c r="B34" s="58" t="s">
        <v>839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" s="18">
        <f>IF(Tabela3[[#This Row],[Lucro Líquido]]&gt;0,Tabela3[[#This Row],[Lucro Líquido]]/Tabela3[[#This Row],[Patrimônio Líquido]],0)</f>
        <v>0.4494314381270903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2.2979292427324034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idden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889379028.60000002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" s="19">
        <f>IF(Tabela3[[#This Row],[Lucro Líquido]]&gt;0,Tabela3[[#This Row],[Lucro Líquido]]/Tabela3[[#This Row],[Patrimônio Líquido]],0)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2.2979292427324034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</v>
      </c>
      <c r="AO35" s="44">
        <f>[Cotação]/[VPA]</f>
        <v>0.54731219229117145</v>
      </c>
      <c r="AP35" s="40">
        <f>IF(Tabela3[[#This Row],[Lucro/Ação]]&gt;0,Tabela3[[#This Row],[Cotação]]/(Tabela3[[#This Row],[Lucro/Ação]]/[Ref]*4),0)</f>
        <v>4.873363152472904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4.8734311925735463E-2</v>
      </c>
      <c r="AU35" s="19">
        <f>((1+Tabela3[[#This Row],[% Yield]])^(1/(3*Tabela3[[#This Row],[Ref]])))^(12)-1</f>
        <v>4.8734311925736629E-2</v>
      </c>
      <c r="AV35" s="14">
        <f>IF([Cotação]&gt;0,($BH$1/Tabela3[[#This Row],[Cotação]]-MOD($BH$1/Tabela3[[#This Row],[Cotação]],100)),)</f>
        <v>1600</v>
      </c>
      <c r="AW35" s="17">
        <f>Tabela3[[#This Row],[Ativos]]*[Lucro]</f>
        <v>23.39246972435302</v>
      </c>
      <c r="AX35" s="5">
        <f>SUMPRODUCT(N(Tabela1[Código]=Tabela3[[#This Row],[PAPEL]]),Tabela1[Fechamento])</f>
        <v>0.3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24" t="s">
        <v>40</v>
      </c>
      <c r="B36" s="57" t="s">
        <v>423</v>
      </c>
      <c r="C36" s="84" t="str">
        <f>LEFT([PAPEL],LEN([PAPEL])-(LEN([PAPEL])-4))</f>
        <v>UNIP</v>
      </c>
      <c r="D36" s="15">
        <v>3</v>
      </c>
      <c r="E36" s="6">
        <v>384330953.12</v>
      </c>
      <c r="F36" s="8">
        <v>278500690</v>
      </c>
      <c r="G36" s="86">
        <v>0.25</v>
      </c>
      <c r="H36" s="15"/>
      <c r="I36" s="19"/>
      <c r="J36" s="19"/>
      <c r="K36" s="88"/>
      <c r="L36" s="88"/>
      <c r="M36" s="13">
        <v>1728469000</v>
      </c>
      <c r="N36" s="13">
        <v>380787000</v>
      </c>
      <c r="O36" s="13">
        <v>247703000</v>
      </c>
      <c r="P36" s="28">
        <v>740932000</v>
      </c>
      <c r="Q36" s="28">
        <v>342727000</v>
      </c>
      <c r="R36" s="28">
        <f>IF(Tabela3[[#This Row],[Ativo || Passivo]]&gt;0,Tabela3[[#This Row],[Ativo || Passivo]]-Tabela3[[#This Row],[Patrimônio Líquido]],0)</f>
        <v>987537000</v>
      </c>
      <c r="S36" s="128">
        <f>Tabela3[[#This Row],[Cotação]]*Tabela3[[#This Row],[Total Ações]]</f>
        <v>509656263.92000002</v>
      </c>
      <c r="T36" s="131">
        <f>IF(Tabela3[[#This Row],[Passivo Circulante]]&gt;0,Tabela3[[#This Row],[Ativo Circulante]]/Tabela3[[#This Row],[Passivo Circulante]],0)</f>
        <v>1.5372724593565681</v>
      </c>
      <c r="U36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" s="49">
        <f>IF(Tabela3[[#This Row],[Lucro Líquido]]&gt;0,Tabela3[[#This Row],[Lucro Líquido]]/Tabela3[[#This Row],[Patrimônio Líquido]],0)</f>
        <v>0.46256201648734296</v>
      </c>
      <c r="W36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" s="49">
        <f>IF(Tabela3[[#This Row],[Dívida]]&gt;0,Tabela3[[#This Row],[Dívida]]/Tabela3[[#This Row],[Patrimônio Líquido]],0)</f>
        <v>1.3328308130840616</v>
      </c>
      <c r="Y36" s="49">
        <f>SUMPRODUCT(N([Dívida / PL]&gt;0),N(RIGHT([PAPEL],LEN([PAPEL])-(LEN([PAPEL])-1))="3"),[Dívida / PL])/SUMPRODUCT(N([Dívida / PL]&gt;0),N(RIGHT([PAPEL],LEN([PAPEL])-(LEN([PAPEL])-1))="3"))</f>
        <v>2.2979292427324034</v>
      </c>
      <c r="Z36" s="13">
        <f>Tabela3[[#This Row],[Capital Social]]*20%</f>
        <v>76866190.623999998</v>
      </c>
      <c r="AA36" s="13">
        <f>IF(([Lucro Líquido]*5%)&gt;[Teto R. Legal],[Teto R. Legal],[Lucro Líquido]*5%)</f>
        <v>17136350</v>
      </c>
      <c r="AB36" s="13">
        <f>IF([Lucro Líquido]&lt;0,0,[Lucro Líquido]-[Reserva Legal])</f>
        <v>325590650</v>
      </c>
      <c r="AC36" s="13">
        <f>Tabela3[[#This Row],[Lucro Distribuir]]*[%Div]</f>
        <v>81397662.5</v>
      </c>
      <c r="AD36" s="21">
        <f>SUMPRODUCT(N([Nome]=Tabela3[[#This Row],[Nome]]),[Ações])</f>
        <v>835502072</v>
      </c>
      <c r="AE36" s="5">
        <f>[Capital Social]/[Total Ações]</f>
        <v>0.46</v>
      </c>
      <c r="AF36" s="78">
        <f>Tabela3[[#This Row],[Lucro Líquido]]/Tabela3[[#This Row],[Total Ações]]</f>
        <v>0.4102048474632628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6" s="13">
        <f>[Div Base]*[Ações]</f>
        <v>27132554.101717565</v>
      </c>
      <c r="AL36" s="13">
        <f>SUMPRODUCT(N([Nome]=Tabela3[[#This Row],[Nome]]),[Div Base]*[Ações])</f>
        <v>81397662.5</v>
      </c>
      <c r="AM36" s="6">
        <f>[Patrimônio Líquido]/[Total Ações]</f>
        <v>0.88681048776621108</v>
      </c>
      <c r="AN36" s="48">
        <f>MAX(Tabela3[[#This Row],[Cotação 1]:[Cotação 5]])</f>
        <v>0.61</v>
      </c>
      <c r="AO36" s="44">
        <f>[Cotação]/[VPA]</f>
        <v>0.68785835126570316</v>
      </c>
      <c r="AP36" s="40">
        <f>IF(Tabela3[[#This Row],[Lucro/Ação]]&gt;0,Tabela3[[#This Row],[Cotação]]/(Tabela3[[#This Row],[Lucro/Ação]]/[Ref]*4),0)</f>
        <v>1.1152964252597548</v>
      </c>
      <c r="AQ36" s="78">
        <f>[Lucro Distribuir]/[Total Ações]</f>
        <v>0.38969460509009962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0.15971090372545066</v>
      </c>
      <c r="AU36" s="19">
        <f>((1+Tabela3[[#This Row],[% Yield]])^(1/(3*Tabela3[[#This Row],[Ref]])))^(12)-1</f>
        <v>0.21842739186031612</v>
      </c>
      <c r="AV36" s="14">
        <f>IF([Cotação]&gt;0,($BH$1/Tabela3[[#This Row],[Cotação]]-MOD($BH$1/Tabela3[[#This Row],[Cotação]],100)),)</f>
        <v>800</v>
      </c>
      <c r="AW36" s="17">
        <f>Tabela3[[#This Row],[Ativos]]*[Lucro]</f>
        <v>77.938921018019926</v>
      </c>
      <c r="AX36" s="13">
        <f>SUMPRODUCT(N(Tabela1[Código]=Tabela3[[#This Row],[PAPEL]]),Tabela1[Fechamento])</f>
        <v>0</v>
      </c>
      <c r="AY36" s="55">
        <f>SUMPRODUCT(N(Tabela17[Código]=Tabela3[[#This Row],[PAPEL]]),Tabela17[Fechamento])</f>
        <v>0.61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idden="1">
      <c r="A37" s="4" t="s">
        <v>14</v>
      </c>
      <c r="B37" s="57" t="s">
        <v>197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119696946409.55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" s="19">
        <f>IF(Tabela3[[#This Row],[Lucro Líquido]]&gt;0,Tabela3[[#This Row],[Lucro Líquido]]/Tabela3[[#This Row],[Patrimônio Líquido]],0)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2.2979292427324034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28.45</v>
      </c>
      <c r="AO37" s="44">
        <f>[Cotação]/[VPA]</f>
        <v>1.6873030800050723</v>
      </c>
      <c r="AP37" s="40">
        <f>IF(Tabela3[[#This Row],[Lucro/Ação]]&gt;0,Tabela3[[#This Row],[Cotação]]/(Tabela3[[#This Row],[Lucro/Ação]]/[Ref]*4),0)</f>
        <v>9.9655871595295586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2.3090508185707615E-2</v>
      </c>
      <c r="AU37" s="19">
        <f>((1+Tabela3[[#This Row],[% Yield]])^(1/(3*Tabela3[[#This Row],[Ref]])))^(12)-1</f>
        <v>2.3090508185708458E-2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28.45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idden="1">
      <c r="A38" s="4" t="s">
        <v>14</v>
      </c>
      <c r="B38" s="57" t="s">
        <v>198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112544580543.25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" s="19">
        <f>IF(Tabela3[[#This Row],[Lucro Líquido]]&gt;0,Tabela3[[#This Row],[Lucro Líquido]]/Tabela3[[#This Row],[Patrimônio Líquido]],0)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2.2979292427324034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26.75</v>
      </c>
      <c r="AO38" s="44">
        <f>[Cotação]/[VPA]</f>
        <v>1.5864800488624142</v>
      </c>
      <c r="AP38" s="40">
        <f>IF(Tabela3[[#This Row],[Lucro/Ação]]&gt;0,Tabela3[[#This Row],[Cotação]]/(Tabela3[[#This Row],[Lucro/Ação]]/[Ref]*4),0)</f>
        <v>9.3701039197685656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2.701373662286468E-2</v>
      </c>
      <c r="AU38" s="19">
        <f>((1+Tabela3[[#This Row],[% Yield]])^(1/(3*Tabela3[[#This Row],[Ref]])))^(12)-1</f>
        <v>2.7013736622863771E-2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26.75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idden="1">
      <c r="A39" s="3" t="s">
        <v>1181</v>
      </c>
      <c r="B39" s="57" t="s">
        <v>1177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941057252.88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" s="18">
        <f>IF(Tabela3[[#This Row],[Lucro Líquido]]&gt;0,Tabela3[[#This Row],[Lucro Líquido]]/Tabela3[[#This Row],[Patrimônio Líquido]],0)</f>
        <v>7.2379135793412069E-2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2.2979292427324034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4.88</v>
      </c>
      <c r="AO39" s="53">
        <f>[Cotação]/[VPA]</f>
        <v>1.3807604033159708</v>
      </c>
      <c r="AP39" s="37">
        <f>IF(Tabela3[[#This Row],[Lucro/Ação]]&gt;0,Tabela3[[#This Row],[Cotação]]/(Tabela3[[#This Row],[Lucro/Ação]]/[Ref]*4),0)</f>
        <v>14.307580370160148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1.2449694175508324E-2</v>
      </c>
      <c r="AU39" s="22">
        <f>((1+Tabela3[[#This Row],[% Yield]])^(1/(3*Tabela3[[#This Row],[Ref]])))^(12)-1</f>
        <v>1.6633940742043496E-2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4.88</v>
      </c>
    </row>
    <row r="40" spans="1:54" hidden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46900000000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" s="19">
        <f>IF(Tabela3[[#This Row],[Lucro Líquido]]&gt;0,Tabela3[[#This Row],[Lucro Líquido]]/Tabela3[[#This Row],[Patrimônio Líquido]],0)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2.2979292427324034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23.45</v>
      </c>
      <c r="AO40" s="44">
        <f>[Cotação]/[VPA]</f>
        <v>6.7566856972777183</v>
      </c>
      <c r="AP40" s="40">
        <f>IF(Tabela3[[#This Row],[Lucro/Ação]]&gt;0,Tabela3[[#This Row],[Cotação]]/(Tabela3[[#This Row],[Lucro/Ação]]/[Ref]*4),0)</f>
        <v>18.959054909303759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1.2526995735607676E-2</v>
      </c>
      <c r="AU40" s="19">
        <f>((1+Tabela3[[#This Row],[% Yield]])^(1/(3*Tabela3[[#This Row],[Ref]])))^(12)-1</f>
        <v>1.2526995735607338E-2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23.45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idden="1">
      <c r="A41" s="3" t="s">
        <v>1310</v>
      </c>
      <c r="B41" s="57" t="s">
        <v>1294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" s="18">
        <f>IF(Tabela3[[#This Row],[Lucro Líquido]]&gt;0,Tabela3[[#This Row],[Lucro Líquido]]/Tabela3[[#This Row],[Patrimônio Líquido]],0)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2.2979292427324034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idden="1">
      <c r="A42" s="3" t="s">
        <v>1310</v>
      </c>
      <c r="B42" s="57" t="s">
        <v>1295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" s="18">
        <f>IF(Tabela3[[#This Row],[Lucro Líquido]]&gt;0,Tabela3[[#This Row],[Lucro Líquido]]/Tabela3[[#This Row],[Patrimônio Líquido]],0)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2.2979292427324034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</v>
      </c>
      <c r="AO42" s="53">
        <f>[Cotação]/[VPA]</f>
        <v>0.17473543962344515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</v>
      </c>
    </row>
    <row r="43" spans="1:54" hidden="1">
      <c r="A43" s="3" t="s">
        <v>275</v>
      </c>
      <c r="B43" s="58" t="s">
        <v>843</v>
      </c>
      <c r="C43" s="16" t="str">
        <f>LEFT([PAPEL],LEN([PAPEL])-(LEN([PAPEL])-4))</f>
        <v>BEEF</v>
      </c>
      <c r="D43" s="16">
        <v>3</v>
      </c>
      <c r="E43" s="5">
        <v>744141845.75</v>
      </c>
      <c r="F43" s="56">
        <v>145056023</v>
      </c>
      <c r="G43" s="81">
        <v>0.25</v>
      </c>
      <c r="H43" s="87"/>
      <c r="J43" s="18"/>
      <c r="K43" s="16"/>
      <c r="L43" s="87"/>
      <c r="M43" s="54"/>
      <c r="N43" s="54"/>
      <c r="O43" s="54"/>
      <c r="P43" s="91">
        <v>536987000</v>
      </c>
      <c r="Q43" s="73">
        <v>-189214000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1507132078.97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" s="18">
        <f>IF(Tabela3[[#This Row],[Lucro Líquido]]&gt;0,Tabela3[[#This Row],[Lucro Líquido]]/Tabela3[[#This Row],[Patrimônio Líquido]],0)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2.2979292427324034</v>
      </c>
      <c r="Z43" s="7">
        <f>Tabela3[[#This Row],[Capital Social]]*20%</f>
        <v>148828369.15000001</v>
      </c>
      <c r="AA43" s="47">
        <f>IF(([Lucro Líquido]*5%)&gt;[Teto R. Legal],[Teto R. Legal],[Lucro Líquido]*5%)</f>
        <v>-9460700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145056023</v>
      </c>
      <c r="AE43" s="85">
        <f>[Capital Social]/[Total Ações]</f>
        <v>5.130030662360018</v>
      </c>
      <c r="AF43" s="85">
        <f>Tabela3[[#This Row],[Lucro Líquido]]/Tabela3[[#This Row],[Total Ações]]</f>
        <v>-1.304420154963162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3.7019283232382567</v>
      </c>
      <c r="AN43" s="52">
        <f>MAX(Tabela3[[#This Row],[Cotação 1]:[Cotação 5]])</f>
        <v>10.39</v>
      </c>
      <c r="AO43" s="53">
        <f>[Cotação]/[VPA]</f>
        <v>2.8066453731095913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10.39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idden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710803936.35000002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" s="19">
        <f>IF(Tabela3[[#This Row],[Lucro Líquido]]&gt;0,Tabela3[[#This Row],[Lucro Líquido]]/Tabela3[[#This Row],[Patrimônio Líquido]],0)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2.2979292427324034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0.45</v>
      </c>
      <c r="AO44" s="44">
        <f>[Cotação]/[VPA]</f>
        <v>0.73454137543867637</v>
      </c>
      <c r="AP44" s="40">
        <f>IF(Tabela3[[#This Row],[Lucro/Ação]]&gt;0,Tabela3[[#This Row],[Cotação]]/(Tabela3[[#This Row],[Lucro/Ação]]/[Ref]*4),0)</f>
        <v>6.4651453135232488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3.6735446534081367E-2</v>
      </c>
      <c r="AU44" s="19">
        <f>((1+Tabela3[[#This Row],[% Yield]])^(1/(3*Tabela3[[#This Row],[Ref]])))^(12)-1</f>
        <v>3.6735446534079896E-2</v>
      </c>
      <c r="AV44" s="14">
        <f>IF([Cotação]&gt;0,($BH$1/Tabela3[[#This Row],[Cotação]]-MOD($BH$1/Tabela3[[#This Row],[Cotação]],100)),)</f>
        <v>1100</v>
      </c>
      <c r="AW44" s="17">
        <f>Tabela3[[#This Row],[Ativos]]*[Lucro]</f>
        <v>18.184046034370279</v>
      </c>
      <c r="AX44" s="5">
        <f>SUMPRODUCT(N(Tabela1[Código]=Tabela3[[#This Row],[PAPEL]]),Tabela1[Fechamento])</f>
        <v>0.45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idden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679212650.28999996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" s="19">
        <f>IF(Tabela3[[#This Row],[Lucro Líquido]]&gt;0,Tabela3[[#This Row],[Lucro Líquido]]/Tabela3[[#This Row],[Patrimônio Líquido]],0)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2.2979292427324034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0.43</v>
      </c>
      <c r="AO45" s="44">
        <f>[Cotação]/[VPA]</f>
        <v>0.70189509208584622</v>
      </c>
      <c r="AP45" s="40">
        <f>IF(Tabela3[[#This Row],[Lucro/Ação]]&gt;0,Tabela3[[#This Row],[Cotação]]/(Tabela3[[#This Row],[Lucro/Ação]]/[Ref]*4),0)</f>
        <v>6.1778055218111039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3.84440719542712E-2</v>
      </c>
      <c r="AU45" s="19">
        <f>((1+Tabela3[[#This Row],[% Yield]])^(1/(3*Tabela3[[#This Row],[Ref]])))^(12)-1</f>
        <v>3.8444071954271575E-2</v>
      </c>
      <c r="AV45" s="14">
        <f>IF([Cotação]&gt;0,($BH$1/Tabela3[[#This Row],[Cotação]]-MOD($BH$1/Tabela3[[#This Row],[Cotação]],100)),)</f>
        <v>1100</v>
      </c>
      <c r="AW45" s="17">
        <f>Tabela3[[#This Row],[Ativos]]*[Lucro]</f>
        <v>18.184046034370279</v>
      </c>
      <c r="AX45" s="5">
        <f>SUMPRODUCT(N(Tabela1[Código]=Tabela3[[#This Row],[PAPEL]]),Tabela1[Fechamento])</f>
        <v>0.43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idden="1">
      <c r="A46" s="4" t="s">
        <v>583</v>
      </c>
      <c r="B46" s="57" t="s">
        <v>584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404810919.5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" s="19">
        <f>IF(Tabela3[[#This Row],[Lucro Líquido]]&gt;0,Tabela3[[#This Row],[Lucro Líquido]]/Tabela3[[#This Row],[Patrimônio Líquido]],0)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2.2979292427324034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7.85</v>
      </c>
      <c r="AO46" s="44">
        <f>[Cotação]/[VPA]</f>
        <v>1.0020469115113471</v>
      </c>
      <c r="AP46" s="40">
        <f>IF(Tabela3[[#This Row],[Lucro/Ação]]&gt;0,Tabela3[[#This Row],[Cotação]]/(Tabela3[[#This Row],[Lucro/Ação]]/[Ref]*4),0)</f>
        <v>9.4267032927368835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2.519438584462394E-2</v>
      </c>
      <c r="AU46" s="42">
        <f>((1+Tabela3[[#This Row],[% Yield]])^(1/(3*Tabela3[[#This Row],[Ref]])))^(12)-1</f>
        <v>2.5194385844624634E-2</v>
      </c>
      <c r="AV46" s="14">
        <f>IF([Cotação]&gt;0,($BH$1/Tabela3[[#This Row],[Cotação]]-MOD($BH$1/Tabela3[[#This Row],[Cotação]],100)),)</f>
        <v>0</v>
      </c>
      <c r="AW46" s="17">
        <f>Tabela3[[#This Row],[Ativos]]*[Lucro]</f>
        <v>0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7.85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idden="1">
      <c r="A47" s="4" t="s">
        <v>14</v>
      </c>
      <c r="B47" s="57" t="s">
        <v>201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" s="19">
        <f>IF(Tabela3[[#This Row],[Lucro Líquido]]&gt;0,Tabela3[[#This Row],[Lucro Líquido]]/Tabela3[[#This Row],[Patrimônio Líquido]],0)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2.2979292427324034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idden="1">
      <c r="A48" s="4" t="s">
        <v>14</v>
      </c>
      <c r="B48" s="57" t="s">
        <v>202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459501456.78000003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" s="19">
        <f>IF(Tabela3[[#This Row],[Lucro Líquido]]&gt;0,Tabela3[[#This Row],[Lucro Líquido]]/Tabela3[[#This Row],[Patrimônio Líquido]],0)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2.2979292427324034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43.59</v>
      </c>
      <c r="AO48" s="44">
        <f>[Cotação]/[VPA]</f>
        <v>1.6441006021074478</v>
      </c>
      <c r="AP48" s="40">
        <f>IF(Tabela3[[#This Row],[Lucro/Ação]]&gt;0,Tabela3[[#This Row],[Cotação]]/(Tabela3[[#This Row],[Lucro/Ação]]/[Ref]*4),0)</f>
        <v>7.8762676856359279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3.2137241840970138E-2</v>
      </c>
      <c r="AU48" s="19">
        <f>((1+Tabela3[[#This Row],[% Yield]])^(1/(3*Tabela3[[#This Row],[Ref]])))^(12)-1</f>
        <v>3.2137241840969111E-2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43.59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idden="1">
      <c r="A49" s="4" t="s">
        <v>14</v>
      </c>
      <c r="B49" s="57" t="s">
        <v>207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" s="19">
        <f>IF(Tabela3[[#This Row],[Lucro Líquido]]&gt;0,Tabela3[[#This Row],[Lucro Líquido]]/Tabela3[[#This Row],[Patrimônio Líquido]],0)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2.2979292427324034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idden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1808260518.3500001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" s="19">
        <f>IF(Tabela3[[#This Row],[Lucro Líquido]]&gt;0,Tabela3[[#This Row],[Lucro Líquido]]/Tabela3[[#This Row],[Patrimônio Líquido]],0)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2.2979292427324034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7.15</v>
      </c>
      <c r="AO50" s="44">
        <f>[Cotação]/[VPA]</f>
        <v>0.92619927233660038</v>
      </c>
      <c r="AP50" s="40">
        <f>IF(Tabela3[[#This Row],[Lucro/Ação]]&gt;0,Tabela3[[#This Row],[Cotação]]/(Tabela3[[#This Row],[Lucro/Ação]]/[Ref]*4),0)</f>
        <v>29.634384672806831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8.0143388372067425E-3</v>
      </c>
      <c r="AU50" s="19">
        <f>((1+Tabela3[[#This Row],[% Yield]])^(1/(3*Tabela3[[#This Row],[Ref]])))^(12)-1</f>
        <v>8.0143388372055924E-3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5">
        <f>SUMPRODUCT(N(Tabela1[Código]=Tabela3[[#This Row],[PAPEL]]),Tabela1[Fechamento])</f>
        <v>7.15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idden="1">
      <c r="A51" s="4" t="s">
        <v>757</v>
      </c>
      <c r="B51" s="57" t="s">
        <v>753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" s="19">
        <f>IF(Tabela3[[#This Row],[Lucro Líquido]]&gt;0,Tabela3[[#This Row],[Lucro Líquido]]/Tabela3[[#This Row],[Patrimônio Líquido]],0)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2.2979292427324034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idden="1">
      <c r="A52" s="3" t="s">
        <v>1093</v>
      </c>
      <c r="B52" s="58" t="s">
        <v>1094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840817959.51999998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2" s="18">
        <f>IF(Tabela3[[#This Row],[Lucro Líquido]]&gt;0,Tabela3[[#This Row],[Lucro Líquido]]/Tabela3[[#This Row],[Patrimônio Líquido]],0)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2.2979292427324034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1.46</v>
      </c>
      <c r="AO52" s="53">
        <f>[Cotação]/[VPA]</f>
        <v>0.32387821219039536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300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1.46</v>
      </c>
      <c r="BB52" s="7">
        <f>SUMPRODUCT(N(Tabela17683[Código]=Tabela3[[#This Row],[PAPEL]]),Tabela17683[Fechamento])</f>
        <v>0</v>
      </c>
    </row>
    <row r="53" spans="1:54" hidden="1">
      <c r="A53" s="4" t="s">
        <v>14</v>
      </c>
      <c r="B53" s="57" t="s">
        <v>548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606215000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3" s="19">
        <f>IF(Tabela3[[#This Row],[Lucro Líquido]]&gt;0,Tabela3[[#This Row],[Lucro Líquido]]/Tabela3[[#This Row],[Patrimônio Líquido]],0)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2.2979292427324034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13.15</v>
      </c>
      <c r="AO53" s="44">
        <f>[Cotação]/[VPA]</f>
        <v>0.71525236150145011</v>
      </c>
      <c r="AP53" s="40">
        <f>IF(Tabela3[[#This Row],[Lucro/Ação]]&gt;0,Tabela3[[#This Row],[Cotação]]/(Tabela3[[#This Row],[Lucro/Ação]]/[Ref]*4),0)</f>
        <v>733.02902055622724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13.15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idden="1">
      <c r="A54" s="4" t="s">
        <v>14</v>
      </c>
      <c r="B54" s="57" t="s">
        <v>549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328232000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4" s="19">
        <f>IF(Tabela3[[#This Row],[Lucro Líquido]]&gt;0,Tabela3[[#This Row],[Lucro Líquido]]/Tabela3[[#This Row],[Patrimônio Líquido]],0)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2.2979292427324034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7.12</v>
      </c>
      <c r="AO54" s="44">
        <f>[Cotação]/[VPA]</f>
        <v>0.38726971968747714</v>
      </c>
      <c r="AP54" s="40">
        <f>IF(Tabela3[[#This Row],[Lucro/Ação]]&gt;0,Tabela3[[#This Row],[Cotação]]/(Tabela3[[#This Row],[Lucro/Ação]]/[Ref]*4),0)</f>
        <v>396.89480048367591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5.5622823485607462E-3</v>
      </c>
      <c r="AU54" s="42">
        <f>((1+Tabela3[[#This Row],[% Yield]])^(1/(3*Tabela3[[#This Row],[Ref]])))^(12)-1</f>
        <v>5.5622823485612649E-3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7.12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idden="1">
      <c r="A55" s="4" t="s">
        <v>14</v>
      </c>
      <c r="B55" s="57" t="s">
        <v>209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5" s="19">
        <f>IF(Tabela3[[#This Row],[Lucro Líquido]]&gt;0,Tabela3[[#This Row],[Lucro Líquido]]/Tabela3[[#This Row],[Patrimônio Líquido]],0)</f>
        <v>2.4060336738487686E-2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2.2979292427324034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500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41979600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6" s="19">
        <f>IF(Tabela3[[#This Row],[Lucro Líquido]]&gt;0,Tabela3[[#This Row],[Lucro Líquido]]/Tabela3[[#This Row],[Patrimônio Líquido]],0)</f>
        <v>2.4060336738487686E-2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2.2979292427324034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0.23</v>
      </c>
      <c r="AO56" s="44">
        <f>[Cotação]/[VPA]</f>
        <v>0.74322539525166864</v>
      </c>
      <c r="AP56" s="40">
        <f>IF(Tabela3[[#This Row],[Lucro/Ação]]&gt;0,Tabela3[[#This Row],[Cotação]]/(Tabela3[[#This Row],[Lucro/Ação]]/[Ref]*4),0)</f>
        <v>23.167549668874173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4.2608695652173914E-2</v>
      </c>
      <c r="AU56" s="19">
        <f>((1+Tabela3[[#This Row],[% Yield]])^(1/(3*Tabela3[[#This Row],[Ref]])))^(12)-1</f>
        <v>5.7211285119388666E-2</v>
      </c>
      <c r="AV56" s="14">
        <f>IF([Cotação]&gt;0,($BH$1/Tabela3[[#This Row],[Cotação]]-MOD($BH$1/Tabela3[[#This Row],[Cotação]],100)),)</f>
        <v>2100</v>
      </c>
      <c r="AW56" s="17">
        <f>Tabela3[[#This Row],[Ativos]]*[Lucro]</f>
        <v>20.580000000000002</v>
      </c>
      <c r="AX56" s="5">
        <f>SUMPRODUCT(N(Tabela1[Código]=Tabela3[[#This Row],[PAPEL]]),Tabela1[Fechamento])</f>
        <v>0.23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idden="1">
      <c r="A57" s="3" t="s">
        <v>885</v>
      </c>
      <c r="B57" s="58" t="s">
        <v>883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163710000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7" s="18">
        <f>IF(Tabela3[[#This Row],[Lucro Líquido]]&gt;0,Tabela3[[#This Row],[Lucro Líquido]]/Tabela3[[#This Row],[Patrimônio Líquido]],0)</f>
        <v>4.181402789742053E-2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2.2979292427324034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360</v>
      </c>
      <c r="AO57" s="53">
        <f>[Cotação]/[VPA]</f>
        <v>0.87592764006227963</v>
      </c>
      <c r="AP57" s="37">
        <f>IF(Tabela3[[#This Row],[Lucro/Ação]]&gt;0,Tabela3[[#This Row],[Cotação]]/(Tabela3[[#This Row],[Lucro/Ação]]/[Ref]*4),0)</f>
        <v>15.711132437619961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1.1337502290635881E-2</v>
      </c>
      <c r="AU57" s="22">
        <f>((1+Tabela3[[#This Row],[% Yield]])^(1/(3*Tabela3[[#This Row],[Ref]])))^(12)-1</f>
        <v>1.5145162305739479E-2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360</v>
      </c>
      <c r="BB57" s="7">
        <f>SUMPRODUCT(N(Tabela17683[Código]=Tabela3[[#This Row],[PAPEL]]),Tabela17683[Fechamento])</f>
        <v>0</v>
      </c>
    </row>
    <row r="58" spans="1:54" hidden="1">
      <c r="A58" s="3" t="s">
        <v>889</v>
      </c>
      <c r="B58" s="58" t="s">
        <v>894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8" s="18">
        <f>IF(Tabela3[[#This Row],[Lucro Líquido]]&gt;0,Tabela3[[#This Row],[Lucro Líquido]]/Tabela3[[#This Row],[Patrimônio Líquido]],0)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2.2979292427324034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600</v>
      </c>
      <c r="AW58" s="7">
        <f>Tabela3[[#This Row],[Ativos]]*[Lucro]</f>
        <v>17.421851519691423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 hidden="1">
      <c r="A59" s="3" t="s">
        <v>889</v>
      </c>
      <c r="B59" s="58" t="s">
        <v>895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9" s="18">
        <f>IF(Tabela3[[#This Row],[Lucro Líquido]]&gt;0,Tabela3[[#This Row],[Lucro Líquido]]/Tabela3[[#This Row],[Patrimônio Líquido]],0)</f>
        <v>0.21806892672114692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2.2979292427324034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500</v>
      </c>
      <c r="AW59" s="7">
        <f>Tabela3[[#This Row],[Ativos]]*[Lucro]</f>
        <v>11.441236382098971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 hidden="1">
      <c r="A60" s="4" t="s">
        <v>14</v>
      </c>
      <c r="B60" s="57" t="s">
        <v>211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2443013380.0799999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0" s="19">
        <f>IF(Tabela3[[#This Row],[Lucro Líquido]]&gt;0,Tabela3[[#This Row],[Lucro Líquido]]/Tabela3[[#This Row],[Patrimônio Líquido]],0)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2.2979292427324034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28.08</v>
      </c>
      <c r="AO60" s="44">
        <f>[Cotação]/[VPA]</f>
        <v>0.80366776434208487</v>
      </c>
      <c r="AP60" s="40">
        <f>IF(Tabela3[[#This Row],[Lucro/Ação]]&gt;0,Tabela3[[#This Row],[Cotação]]/(Tabela3[[#This Row],[Lucro/Ação]]/[Ref]*4),0)</f>
        <v>6.779425347863369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3.5032467770273697E-2</v>
      </c>
      <c r="AU60" s="19">
        <f>((1+Tabela3[[#This Row],[% Yield]])^(1/(3*Tabela3[[#This Row],[Ref]])))^(12)-1</f>
        <v>3.5032467770272913E-2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28.08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idden="1">
      <c r="A61" s="4" t="s">
        <v>14</v>
      </c>
      <c r="B61" s="57" t="s">
        <v>212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1" s="19">
        <f>IF(Tabela3[[#This Row],[Lucro Líquido]]&gt;0,Tabela3[[#This Row],[Lucro Líquido]]/Tabela3[[#This Row],[Patrimônio Líquido]],0)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2.2979292427324034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idden="1">
      <c r="A62" s="3" t="s">
        <v>794</v>
      </c>
      <c r="B62" s="58" t="s">
        <v>795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2" s="18">
        <f>IF(Tabela3[[#This Row],[Lucro Líquido]]&gt;0,Tabela3[[#This Row],[Lucro Líquido]]/Tabela3[[#This Row],[Patrimônio Líquido]],0)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2.2979292427324034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idden="1">
      <c r="A63" s="3" t="s">
        <v>794</v>
      </c>
      <c r="B63" s="58" t="s">
        <v>796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324387528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3" s="18">
        <f>IF(Tabela3[[#This Row],[Lucro Líquido]]&gt;0,Tabela3[[#This Row],[Lucro Líquido]]/Tabela3[[#This Row],[Patrimônio Líquido]],0)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2.2979292427324034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</v>
      </c>
      <c r="AO63" s="53">
        <f>[Cotação]/[VPA]</f>
        <v>-8.7601276802592505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idden="1">
      <c r="A64" s="3" t="s">
        <v>812</v>
      </c>
      <c r="B64" s="58" t="s">
        <v>814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1346018199.75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4" s="18">
        <f>IF(Tabela3[[#This Row],[Lucro Líquido]]&gt;0,Tabela3[[#This Row],[Lucro Líquido]]/Tabela3[[#This Row],[Patrimônio Líquido]],0)</f>
        <v>2.3145145747180702E-2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2.2979292427324034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5.25</v>
      </c>
      <c r="AO64" s="53">
        <f>[Cotação]/[VPA]</f>
        <v>0.84503180111133358</v>
      </c>
      <c r="AP64" s="37">
        <f>IF(Tabela3[[#This Row],[Lucro/Ação]]&gt;0,Tabela3[[#This Row],[Cotação]]/(Tabela3[[#This Row],[Lucro/Ação]]/[Ref]*4),0)</f>
        <v>27.382581978802182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6.5050476298361059E-3</v>
      </c>
      <c r="AU64" s="22">
        <f>((1+Tabela3[[#This Row],[% Yield]])^(1/(3*Tabela3[[#This Row],[Ref]])))^(12)-1</f>
        <v>8.6827867597423225E-3</v>
      </c>
      <c r="AV64" s="10">
        <f>IF([Cotação]&gt;0,($BH$1/Tabela3[[#This Row],[Cotação]]-MOD($BH$1/Tabela3[[#This Row],[Cotação]],100)),)</f>
        <v>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5.25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idden="1">
      <c r="A65" s="4" t="s">
        <v>14</v>
      </c>
      <c r="B65" s="57" t="s">
        <v>556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5" s="19">
        <f>IF(Tabela3[[#This Row],[Lucro Líquido]]&gt;0,Tabela3[[#This Row],[Lucro Líquido]]/Tabela3[[#This Row],[Patrimônio Líquido]],0)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2.2979292427324034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idden="1">
      <c r="A66" s="4" t="s">
        <v>14</v>
      </c>
      <c r="B66" s="57" t="s">
        <v>557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6" s="19">
        <f>IF(Tabela3[[#This Row],[Lucro Líquido]]&gt;0,Tabela3[[#This Row],[Lucro Líquido]]/Tabela3[[#This Row],[Patrimônio Líquido]],0)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2.2979292427324034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idden="1">
      <c r="A67" s="3" t="s">
        <v>294</v>
      </c>
      <c r="B67" s="58" t="s">
        <v>292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6082134242.999999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7" s="18">
        <f>IF(Tabela3[[#This Row],[Lucro Líquido]]&gt;0,Tabela3[[#This Row],[Lucro Líquido]]/Tabela3[[#This Row],[Patrimônio Líquido]],0)</f>
        <v>8.5002742445216398E-2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2.2979292427324034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17.399999999999999</v>
      </c>
      <c r="AO67" s="53">
        <f>[Cotação]/[VPA]</f>
        <v>0.60632206325587956</v>
      </c>
      <c r="AP67" s="37">
        <f>IF(Tabela3[[#This Row],[Lucro/Ação]]&gt;0,Tabela3[[#This Row],[Cotação]]/(Tabela3[[#This Row],[Lucro/Ação]]/[Ref]*4),0)</f>
        <v>5.3497279541890901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3.226011778350981E-2</v>
      </c>
      <c r="AU67" s="18">
        <f>((1+Tabela3[[#This Row],[% Yield]])^(1/(3*Tabela3[[#This Row],[Ref]])))^(12)-1</f>
        <v>4.3243124376748376E-2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17.399999999999999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idden="1">
      <c r="A68" s="3" t="s">
        <v>294</v>
      </c>
      <c r="B68" s="60" t="s">
        <v>293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7378957118.9499998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8" s="18">
        <f>IF(Tabela3[[#This Row],[Lucro Líquido]]&gt;0,Tabela3[[#This Row],[Lucro Líquido]]/Tabela3[[#This Row],[Patrimônio Líquido]],0)</f>
        <v>8.5002742445216398E-2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2.2979292427324034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21.11</v>
      </c>
      <c r="AO68" s="53">
        <f>[Cotação]/[VPA]</f>
        <v>0.73560107789262175</v>
      </c>
      <c r="AP68" s="37">
        <f>IF(Tabela3[[#This Row],[Lucro/Ação]]&gt;0,Tabela3[[#This Row],[Cotação]]/(Tabela3[[#This Row],[Lucro/Ação]]/[Ref]*4),0)</f>
        <v>6.490388339823661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2.924958101479069E-2</v>
      </c>
      <c r="AU68" s="18">
        <f>((1+Tabela3[[#This Row],[% Yield]])^(1/(3*Tabela3[[#This Row],[Ref]])))^(12)-1</f>
        <v>3.9188339976670372E-2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21.11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idden="1">
      <c r="A69" s="3" t="s">
        <v>275</v>
      </c>
      <c r="B69" s="58" t="s">
        <v>274</v>
      </c>
      <c r="C69" s="83" t="str">
        <f>LEFT([PAPEL],LEN([PAPEL])-(LEN([PAPEL])-4))</f>
        <v>BRFS</v>
      </c>
      <c r="D69" s="16">
        <v>3</v>
      </c>
      <c r="E69" s="5">
        <v>12553417953.360001</v>
      </c>
      <c r="F69" s="56">
        <v>872473246</v>
      </c>
      <c r="G69" s="81">
        <v>0.25</v>
      </c>
      <c r="H69" s="16"/>
      <c r="J69" s="18"/>
      <c r="K69" s="87"/>
      <c r="L69" s="87"/>
      <c r="M69" s="54"/>
      <c r="N69" s="54"/>
      <c r="O69" s="54"/>
      <c r="P69" s="5">
        <v>14822624000</v>
      </c>
      <c r="Q69" s="5">
        <v>853987000</v>
      </c>
      <c r="R69" s="5">
        <f>IF(Tabela3[[#This Row],[Ativo || Passivo]]&gt;0,Tabela3[[#This Row],[Ativo || Passivo]]-Tabela3[[#This Row],[Patrimônio Líquido]],0)</f>
        <v>0</v>
      </c>
      <c r="S69" s="5">
        <f>Tabela3[[#This Row],[Cotação]]*Tabela3[[#This Row],[Total Ações]]</f>
        <v>34942553502.299995</v>
      </c>
      <c r="T69" s="130">
        <f>IF(Tabela3[[#This Row],[Passivo Circulante]]&gt;0,Tabela3[[#This Row],[Ativo Circulante]]/Tabela3[[#This Row],[Passivo Circulante]],0)</f>
        <v>0</v>
      </c>
      <c r="U69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69" s="18">
        <f>IF(Tabela3[[#This Row],[Lucro Líquido]]&gt;0,Tabela3[[#This Row],[Lucro Líquido]]/Tabela3[[#This Row],[Patrimônio Líquido]],0)</f>
        <v>5.7613753138445661E-2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69" s="18">
        <f>IF(Tabela3[[#This Row],[Dívida]]&gt;0,Tabela3[[#This Row],[Dívida]]/Tabela3[[#This Row],[Patrimônio Líquido]],0)</f>
        <v>0</v>
      </c>
      <c r="Y69" s="18">
        <f>SUMPRODUCT(N([Dívida / PL]&gt;0),N(RIGHT([PAPEL],LEN([PAPEL])-(LEN([PAPEL])-1))="3"),[Dívida / PL])/SUMPRODUCT(N([Dívida / PL]&gt;0),N(RIGHT([PAPEL],LEN([PAPEL])-(LEN([PAPEL])-1))="3"))</f>
        <v>2.2979292427324034</v>
      </c>
      <c r="Z69" s="5">
        <f>Tabela3[[#This Row],[Capital Social]]*20%</f>
        <v>2510683590.6720004</v>
      </c>
      <c r="AA69" s="5">
        <f>IF(([Lucro Líquido]*5%)&gt;[Teto R. Legal],[Teto R. Legal],[Lucro Líquido]*5%)</f>
        <v>42699350</v>
      </c>
      <c r="AB69" s="5">
        <f>IF([Lucro Líquido]&lt;0,0,[Lucro Líquido]-[Reserva Legal])</f>
        <v>811287650</v>
      </c>
      <c r="AC69" s="5">
        <f>Tabela3[[#This Row],[Lucro Distribuir]]*[%Div]</f>
        <v>202821912.5</v>
      </c>
      <c r="AD69" s="21">
        <f>SUMPRODUCT(N([Nome]=Tabela3[[#This Row],[Nome]]),[Ações])</f>
        <v>872473246</v>
      </c>
      <c r="AE69" s="5">
        <f>[Capital Social]/[Total Ações]</f>
        <v>14.388312777398335</v>
      </c>
      <c r="AF69" s="77">
        <f>Tabela3[[#This Row],[Lucro Líquido]]/Tabela3[[#This Row],[Total Ações]]</f>
        <v>0.97881167579091588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AK69" s="5">
        <f>[Div Base]*[Ações]</f>
        <v>202821912.5</v>
      </c>
      <c r="AL69" s="5">
        <f>SUMPRODUCT(N([Nome]=Tabela3[[#This Row],[Nome]]),[Div Base]*[Ações])</f>
        <v>202821912.5</v>
      </c>
      <c r="AM69" s="5">
        <f>[Patrimônio Líquido]/[Total Ações]</f>
        <v>16.989201752554369</v>
      </c>
      <c r="AN69" s="52">
        <f>MAX(Tabela3[[#This Row],[Cotação 1]:[Cotação 5]])</f>
        <v>40.049999999999997</v>
      </c>
      <c r="AO69" s="53">
        <f>[Cotação]/[VPA]</f>
        <v>2.3573797393970191</v>
      </c>
      <c r="AP69" s="37">
        <f>IF(Tabela3[[#This Row],[Lucro/Ação]]&gt;0,Tabela3[[#This Row],[Cotação]]/(Tabela3[[#This Row],[Lucro/Ação]]/[Ref]*4),0)</f>
        <v>30.687721390050431</v>
      </c>
      <c r="AQ69" s="77">
        <f>[Lucro Distribuir]/[Total Ações]</f>
        <v>0.92987109200137008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5.8044387765378907E-3</v>
      </c>
      <c r="AU69" s="18">
        <f>((1+Tabela3[[#This Row],[% Yield]])^(1/(3*Tabela3[[#This Row],[Ref]])))^(12)-1</f>
        <v>7.7467290701502822E-3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40.049999999999997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4" t="s">
        <v>14</v>
      </c>
      <c r="B70" s="57" t="s">
        <v>221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0" s="18">
        <f>IF(Tabela3[[#This Row],[Lucro Líquido]]&gt;0,Tabela3[[#This Row],[Lucro Líquido]]/Tabela3[[#This Row],[Patrimônio Líquido]],0)</f>
        <v>4.0885589790808266E-2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2.2979292427324034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100</v>
      </c>
      <c r="AW70" s="7">
        <f>Tabela3[[#This Row],[Ativos]]*[Lucro]</f>
        <v>24.716122126722627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idden="1">
      <c r="A71" s="4" t="s">
        <v>14</v>
      </c>
      <c r="B71" s="57" t="s">
        <v>222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1" s="18">
        <f>IF(Tabela3[[#This Row],[Lucro Líquido]]&gt;0,Tabela3[[#This Row],[Lucro Líquido]]/Tabela3[[#This Row],[Patrimônio Líquido]],0)</f>
        <v>4.0885589790808266E-2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2.2979292427324034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100</v>
      </c>
      <c r="AW71" s="17">
        <f>Tabela3[[#This Row],[Ativos]]*[Lucro]</f>
        <v>7.8085912537628044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idden="1">
      <c r="A72" s="4" t="s">
        <v>14</v>
      </c>
      <c r="B72" s="57" t="s">
        <v>217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2" s="18">
        <f>IF(Tabela3[[#This Row],[Lucro Líquido]]&gt;0,Tabela3[[#This Row],[Lucro Líquido]]/Tabela3[[#This Row],[Patrimônio Líquido]],0)</f>
        <v>4.0885589790808266E-2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2.2979292427324034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100</v>
      </c>
      <c r="AW72" s="7">
        <f>Tabela3[[#This Row],[Ativos]]*[Lucro]</f>
        <v>7.8085912537628044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14</v>
      </c>
      <c r="B73" s="57" t="s">
        <v>218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3" s="18">
        <f>IF(Tabela3[[#This Row],[Lucro Líquido]]&gt;0,Tabela3[[#This Row],[Lucro Líquido]]/Tabela3[[#This Row],[Patrimônio Líquido]],0)</f>
        <v>4.0885589790808266E-2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2.2979292427324034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100</v>
      </c>
      <c r="AW73" s="7">
        <f>Tabela3[[#This Row],[Ativos]]*[Lucro]</f>
        <v>20.596768438935527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4" s="18">
        <f>IF(Tabela3[[#This Row],[Lucro Líquido]]&gt;0,Tabela3[[#This Row],[Lucro Líquido]]/Tabela3[[#This Row],[Patrimônio Líquido]],0)</f>
        <v>4.0885589790808266E-2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2.2979292427324034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0</v>
      </c>
      <c r="AW74" s="7">
        <f>Tabela3[[#This Row],[Ativos]]*[Lucro]</f>
        <v>0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14</v>
      </c>
      <c r="B75" s="57" t="s">
        <v>219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5" s="19">
        <f>IF(Tabela3[[#This Row],[Lucro Líquido]]&gt;0,Tabela3[[#This Row],[Lucro Líquido]]/Tabela3[[#This Row],[Patrimônio Líquido]],0)</f>
        <v>4.0885589790808266E-2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2.2979292427324034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100</v>
      </c>
      <c r="AW75" s="7">
        <f>Tabela3[[#This Row],[Ativos]]*[Lucro]</f>
        <v>28.835475814509735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14</v>
      </c>
      <c r="B76" s="57" t="s">
        <v>220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6" s="18">
        <f>IF(Tabela3[[#This Row],[Lucro Líquido]]&gt;0,Tabela3[[#This Row],[Lucro Líquido]]/Tabela3[[#This Row],[Patrimônio Líquido]],0)</f>
        <v>4.0885589790808266E-2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2.2979292427324034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100</v>
      </c>
      <c r="AW76" s="7">
        <f>Tabela3[[#This Row],[Ativos]]*[Lucro]</f>
        <v>20.596768438935527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idden="1">
      <c r="A77" s="4" t="s">
        <v>367</v>
      </c>
      <c r="B77" s="57" t="s">
        <v>366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1568680880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7" s="19">
        <f>IF(Tabela3[[#This Row],[Lucro Líquido]]&gt;0,Tabela3[[#This Row],[Lucro Líquido]]/Tabela3[[#This Row],[Patrimônio Líquido]],0)</f>
        <v>0.17750610360414804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2.2979292427324034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16</v>
      </c>
      <c r="AO77" s="44">
        <f>[Cotação]/[VPA]</f>
        <v>3.1599363452504692</v>
      </c>
      <c r="AP77" s="40">
        <f>IF(Tabela3[[#This Row],[Lucro/Ação]]&gt;0,Tabela3[[#This Row],[Cotação]]/(Tabela3[[#This Row],[Lucro/Ação]]/[Ref]*4),0)</f>
        <v>13.351384604909269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1.3341312925290451E-2</v>
      </c>
      <c r="AU77" s="19">
        <f>((1+Tabela3[[#This Row],[% Yield]])^(1/(3*Tabela3[[#This Row],[Ref]])))^(12)-1</f>
        <v>1.7827854088829698E-2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16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idden="1">
      <c r="A78" s="4" t="s">
        <v>14</v>
      </c>
      <c r="B78" s="57" t="s">
        <v>195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8" s="19">
        <f>IF(Tabela3[[#This Row],[Lucro Líquido]]&gt;0,Tabela3[[#This Row],[Lucro Líquido]]/Tabela3[[#This Row],[Patrimônio Líquido]],0)</f>
        <v>3.9647756380091416E-2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2.2979292427324034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4" t="s">
        <v>14</v>
      </c>
      <c r="B79" s="57" t="s">
        <v>196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516986339.16000003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79" s="19">
        <f>IF(Tabela3[[#This Row],[Lucro Líquido]]&gt;0,Tabela3[[#This Row],[Lucro Líquido]]/Tabela3[[#This Row],[Patrimônio Líquido]],0)</f>
        <v>3.9647756380091416E-2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2.2979292427324034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5.73</v>
      </c>
      <c r="AO79" s="44">
        <f>[Cotação]/[VPA]</f>
        <v>0.43834281616840953</v>
      </c>
      <c r="AP79" s="40">
        <f>IF(Tabela3[[#This Row],[Lucro/Ação]]&gt;0,Tabela3[[#This Row],[Cotação]]/(Tabela3[[#This Row],[Lucro/Ação]]/[Ref]*4),0)</f>
        <v>8.2919474427407476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6.0813986015730598E-2</v>
      </c>
      <c r="AU79" s="19">
        <f>((1+Tabela3[[#This Row],[% Yield]])^(1/(3*Tabela3[[#This Row],[Ref]])))^(12)-1</f>
        <v>8.1896334143816141E-2</v>
      </c>
      <c r="AV79" s="14">
        <f>IF([Cotação]&gt;0,($BH$1/Tabela3[[#This Row],[Cotação]]-MOD($BH$1/Tabela3[[#This Row],[Cotação]],100)),)</f>
        <v>0</v>
      </c>
      <c r="AW79" s="17">
        <f>Tabela3[[#This Row],[Ativos]]*[Lucro]</f>
        <v>0</v>
      </c>
      <c r="AX79" s="5">
        <f>SUMPRODUCT(N(Tabela1[Código]=Tabela3[[#This Row],[PAPEL]]),Tabela1[Fechamento])</f>
        <v>5.73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idden="1">
      <c r="A80" s="4" t="s">
        <v>40</v>
      </c>
      <c r="B80" s="57" t="s">
        <v>259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10619574435.360001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0" s="19">
        <f>IF(Tabela3[[#This Row],[Lucro Líquido]]&gt;0,Tabela3[[#This Row],[Lucro Líquido]]/Tabela3[[#This Row],[Patrimônio Líquido]],0)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2.2979292427324034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13.32</v>
      </c>
      <c r="AO80" s="53">
        <f>[Cotação]/[VPA]</f>
        <v>1.3985803492060565</v>
      </c>
      <c r="AP80" s="37">
        <f>IF(Tabela3[[#This Row],[Lucro/Ação]]&gt;0,Tabela3[[#This Row],[Cotação]]/(Tabela3[[#This Row],[Lucro/Ação]]/[Ref]*4),0)</f>
        <v>20.835073456112163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13.32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idden="1">
      <c r="A81" s="4" t="s">
        <v>40</v>
      </c>
      <c r="B81" s="57" t="s">
        <v>260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13194741509.4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1" s="19">
        <f>IF(Tabela3[[#This Row],[Lucro Líquido]]&gt;0,Tabela3[[#This Row],[Lucro Líquido]]/Tabela3[[#This Row],[Patrimônio Líquido]],0)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2.2979292427324034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16.55</v>
      </c>
      <c r="AO81" s="53">
        <f>[Cotação]/[VPA]</f>
        <v>1.7377255840360537</v>
      </c>
      <c r="AP81" s="37">
        <f>IF(Tabela3[[#This Row],[Lucro/Ação]]&gt;0,Tabela3[[#This Row],[Cotação]]/(Tabela3[[#This Row],[Lucro/Ação]]/[Ref]*4),0)</f>
        <v>25.88742234974897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3.6574670635737584E-2</v>
      </c>
      <c r="AU81" s="18">
        <f>((1+Tabela3[[#This Row],[% Yield]])^(1/(3*Tabela3[[#This Row],[Ref]])))^(12)-1</f>
        <v>3.6574670635738826E-2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16.55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>
      <c r="A82" s="4" t="s">
        <v>40</v>
      </c>
      <c r="B82" s="57" t="s">
        <v>261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2" s="19">
        <f>IF(Tabela3[[#This Row],[Lucro Líquido]]&gt;0,Tabela3[[#This Row],[Lucro Líquido]]/Tabela3[[#This Row],[Patrimônio Líquido]],0)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2.2979292427324034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idden="1">
      <c r="A83" s="3" t="s">
        <v>341</v>
      </c>
      <c r="B83" s="58" t="s">
        <v>344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7966196120.3999996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3" s="18">
        <f>IF(Tabela3[[#This Row],[Lucro Líquido]]&gt;0,Tabela3[[#This Row],[Lucro Líquido]]/Tabela3[[#This Row],[Patrimônio Líquido]],0)</f>
        <v>3.9031782953326349E-2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2.2979292427324034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17.36</v>
      </c>
      <c r="AO83" s="53">
        <f>[Cotação]/[VPA]</f>
        <v>0.9285351093723555</v>
      </c>
      <c r="AP83" s="37">
        <f>IF(Tabela3[[#This Row],[Lucro/Ação]]&gt;0,Tabela3[[#This Row],[Cotação]]/(Tabela3[[#This Row],[Lucro/Ação]]/[Ref]*4),0)</f>
        <v>17.841904195409509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9.983519586761894E-3</v>
      </c>
      <c r="AU83" s="18">
        <f>((1+Tabela3[[#This Row],[% Yield]])^(1/(3*Tabela3[[#This Row],[Ref]])))^(12)-1</f>
        <v>1.3333459549675908E-2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17.36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idden="1">
      <c r="A84" s="3" t="s">
        <v>341</v>
      </c>
      <c r="B84" s="58" t="s">
        <v>346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5063709397.5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4" s="18">
        <f>IF(Tabela3[[#This Row],[Lucro Líquido]]&gt;0,Tabela3[[#This Row],[Lucro Líquido]]/Tabela3[[#This Row],[Patrimônio Líquido]],0)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2.2979292427324034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16.25</v>
      </c>
      <c r="AO84" s="53">
        <f>[Cotação]/[VPA]</f>
        <v>0.66188464135596892</v>
      </c>
      <c r="AP84" s="37">
        <f>IF(Tabela3[[#This Row],[Lucro/Ação]]&gt;0,Tabela3[[#This Row],[Cotação]]/(Tabela3[[#This Row],[Lucro/Ação]]/[Ref]*4),0)</f>
        <v>62.390150532268798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3.8066906069919269E-3</v>
      </c>
      <c r="AU84" s="18">
        <f>((1+Tabela3[[#This Row],[% Yield]])^(1/(3*Tabela3[[#This Row],[Ref]])))^(12)-1</f>
        <v>3.8066906069911255E-3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16.25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idden="1">
      <c r="A85" s="4" t="s">
        <v>14</v>
      </c>
      <c r="B85" s="57" t="s">
        <v>203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/>
      <c r="N85" s="55"/>
      <c r="O85" s="55"/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</v>
      </c>
      <c r="U8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5" s="19">
        <f>IF(Tabela3[[#This Row],[Lucro Líquido]]&gt;0,Tabela3[[#This Row],[Lucro Líquido]]/Tabela3[[#This Row],[Patrimônio Líquido]],0)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5" s="19">
        <f>IF(Tabela3[[#This Row],[Dívida]]&gt;0,Tabela3[[#This Row],[Dívida]]/Tabela3[[#This Row],[Patrimônio Líquido]],0)</f>
        <v>0</v>
      </c>
      <c r="Y85" s="19">
        <f>SUMPRODUCT(N([Dívida / PL]&gt;0),N(RIGHT([PAPEL],LEN([PAPEL])-(LEN([PAPEL])-1))="3"),[Dívida / PL])/SUMPRODUCT(N([Dívida / PL]&gt;0),N(RIGHT([PAPEL],LEN([PAPEL])-(LEN([PAPEL])-1))="3"))</f>
        <v>2.2979292427324034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>
      <c r="A86" s="24" t="s">
        <v>40</v>
      </c>
      <c r="B86" s="57" t="s">
        <v>73</v>
      </c>
      <c r="C86" s="84" t="str">
        <f>LEFT([PAPEL],LEN([PAPEL])-(LEN([PAPEL])-4))</f>
        <v>UNIP</v>
      </c>
      <c r="D86" s="15">
        <v>3</v>
      </c>
      <c r="E86" s="6">
        <v>384330953.12</v>
      </c>
      <c r="F86" s="8">
        <v>25907109</v>
      </c>
      <c r="G86" s="81">
        <v>0.25</v>
      </c>
      <c r="H86" s="15"/>
      <c r="I86" s="19">
        <v>0.1</v>
      </c>
      <c r="J86" s="19"/>
      <c r="K86" s="88"/>
      <c r="L86" s="88"/>
      <c r="M86" s="13">
        <v>1728469000</v>
      </c>
      <c r="N86" s="13">
        <v>380787000</v>
      </c>
      <c r="O86" s="13">
        <v>247703000</v>
      </c>
      <c r="P86" s="28">
        <v>740932000</v>
      </c>
      <c r="Q86" s="28">
        <v>342727000</v>
      </c>
      <c r="R86" s="28">
        <f>IF(Tabela3[[#This Row],[Ativo || Passivo]]&gt;0,Tabela3[[#This Row],[Ativo || Passivo]]-Tabela3[[#This Row],[Patrimônio Líquido]],0)</f>
        <v>987537000</v>
      </c>
      <c r="S86" s="128">
        <f>Tabela3[[#This Row],[Cotação]]*Tabela3[[#This Row],[Total Ações]]</f>
        <v>509656263.92000002</v>
      </c>
      <c r="T86" s="131">
        <f>IF(Tabela3[[#This Row],[Passivo Circulante]]&gt;0,Tabela3[[#This Row],[Ativo Circulante]]/Tabela3[[#This Row],[Passivo Circulante]],0)</f>
        <v>1.5372724593565681</v>
      </c>
      <c r="U86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6" s="49">
        <f>IF(Tabela3[[#This Row],[Lucro Líquido]]&gt;0,Tabela3[[#This Row],[Lucro Líquido]]/Tabela3[[#This Row],[Patrimônio Líquido]],0)</f>
        <v>0.46256201648734296</v>
      </c>
      <c r="W86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6" s="49">
        <f>IF(Tabela3[[#This Row],[Dívida]]&gt;0,Tabela3[[#This Row],[Dívida]]/Tabela3[[#This Row],[Patrimônio Líquido]],0)</f>
        <v>1.3328308130840616</v>
      </c>
      <c r="Y86" s="49">
        <f>SUMPRODUCT(N([Dívida / PL]&gt;0),N(RIGHT([PAPEL],LEN([PAPEL])-(LEN([PAPEL])-1))="3"),[Dívida / PL])/SUMPRODUCT(N([Dívida / PL]&gt;0),N(RIGHT([PAPEL],LEN([PAPEL])-(LEN([PAPEL])-1))="3"))</f>
        <v>2.2979292427324034</v>
      </c>
      <c r="Z86" s="13">
        <f>Tabela3[[#This Row],[Capital Social]]*20%</f>
        <v>76866190.623999998</v>
      </c>
      <c r="AA86" s="13">
        <f>IF(([Lucro Líquido]*5%)&gt;[Teto R. Legal],[Teto R. Legal],[Lucro Líquido]*5%)</f>
        <v>17136350</v>
      </c>
      <c r="AB86" s="13">
        <f>IF([Lucro Líquido]&lt;0,0,[Lucro Líquido]-[Reserva Legal])</f>
        <v>325590650</v>
      </c>
      <c r="AC86" s="13">
        <f>Tabela3[[#This Row],[Lucro Distribuir]]*[%Div]</f>
        <v>81397662.5</v>
      </c>
      <c r="AD86" s="21">
        <f>SUMPRODUCT(N([Nome]=Tabela3[[#This Row],[Nome]]),[Ações])</f>
        <v>835502072</v>
      </c>
      <c r="AE86" s="5">
        <f>[Capital Social]/[Total Ações]</f>
        <v>0.46</v>
      </c>
      <c r="AF86" s="78">
        <f>Tabela3[[#This Row],[Lucro Líquido]]/Tabela3[[#This Row],[Total Ações]]</f>
        <v>0.4102048474632628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86" s="13">
        <f>[Div Base]*[Ações]</f>
        <v>2523965.1526952912</v>
      </c>
      <c r="AL86" s="13">
        <f>SUMPRODUCT(N([Nome]=Tabela3[[#This Row],[Nome]]),[Div Base]*[Ações])</f>
        <v>81397662.5</v>
      </c>
      <c r="AM86" s="6">
        <f>[Patrimônio Líquido]/[Total Ações]</f>
        <v>0.88681048776621108</v>
      </c>
      <c r="AN86" s="48">
        <f>MAX(Tabela3[[#This Row],[Cotação 1]:[Cotação 5]])</f>
        <v>0.61</v>
      </c>
      <c r="AO86" s="44">
        <f>[Cotação]/[VPA]</f>
        <v>0.68785835126570316</v>
      </c>
      <c r="AP86" s="40">
        <f>IF(Tabela3[[#This Row],[Lucro/Ação]]&gt;0,Tabela3[[#This Row],[Cotação]]/(Tabela3[[#This Row],[Lucro/Ação]]/[Ref]*4),0)</f>
        <v>1.1152964252597548</v>
      </c>
      <c r="AQ86" s="78">
        <f>[Lucro Distribuir]/[Total Ações]</f>
        <v>0.38969460509009962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86" s="15" t="str">
        <f>IF(AND([% A.A.]&gt;=5%,SUMPRODUCT(N([Nome]=Tabela3[[#This Row],[Nome]]),[PL])&gt;0,[Rentabilidade s/ PL]&gt;=[Rentabilidade s/ PL Média]),"Sim","Não")</f>
        <v>Sim</v>
      </c>
      <c r="AT86" s="42">
        <f>IF([Cotação]&gt;0,Tabela3[[#This Row],[Lucro]]/Tabela3[[#This Row],[Cotação]],0)</f>
        <v>0.15971090372545066</v>
      </c>
      <c r="AU86" s="19">
        <f>((1+Tabela3[[#This Row],[% Yield]])^(1/(3*Tabela3[[#This Row],[Ref]])))^(12)-1</f>
        <v>0.21842739186031612</v>
      </c>
      <c r="AV86" s="14">
        <f>IF([Cotação]&gt;0,($BH$1/Tabela3[[#This Row],[Cotação]]-MOD($BH$1/Tabela3[[#This Row],[Cotação]],100)),)</f>
        <v>800</v>
      </c>
      <c r="AW86" s="17">
        <f>Tabela3[[#This Row],[Ativos]]*[Lucro]</f>
        <v>77.938921018019926</v>
      </c>
      <c r="AX86" s="13">
        <f>SUMPRODUCT(N(Tabela1[Código]=Tabela3[[#This Row],[PAPEL]]),Tabela1[Fechamento])</f>
        <v>0.61</v>
      </c>
      <c r="AY86" s="5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idden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/>
      <c r="N87" s="55"/>
      <c r="O87" s="55"/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0</v>
      </c>
      <c r="S87" s="6">
        <f>Tabela3[[#This Row],[Cotação]]*Tabela3[[#This Row],[Total Ações]]</f>
        <v>4388296138.21</v>
      </c>
      <c r="T87" s="132">
        <f>IF(Tabela3[[#This Row],[Passivo Circulante]]&gt;0,Tabela3[[#This Row],[Ativo Circulante]]/Tabela3[[#This Row],[Passivo Circulante]],0)</f>
        <v>0</v>
      </c>
      <c r="U8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7" s="19">
        <f>IF(Tabela3[[#This Row],[Lucro Líquido]]&gt;0,Tabela3[[#This Row],[Lucro Líquido]]/Tabela3[[#This Row],[Patrimônio Líquido]],0)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7" s="19">
        <f>IF(Tabela3[[#This Row],[Dívida]]&gt;0,Tabela3[[#This Row],[Dívida]]/Tabela3[[#This Row],[Patrimônio Líquido]],0)</f>
        <v>0</v>
      </c>
      <c r="Y87" s="19">
        <f>SUMPRODUCT(N([Dívida / PL]&gt;0),N(RIGHT([PAPEL],LEN([PAPEL])-(LEN([PAPEL])-1))="3"),[Dívida / PL])/SUMPRODUCT(N([Dívida / PL]&gt;0),N(RIGHT([PAPEL],LEN([PAPEL])-(LEN([PAPEL])-1))="3"))</f>
        <v>2.2979292427324034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10.73</v>
      </c>
      <c r="AO87" s="44">
        <f>[Cotação]/[VPA]</f>
        <v>0.85245022850457142</v>
      </c>
      <c r="AP87" s="40">
        <f>IF(Tabela3[[#This Row],[Lucro/Ação]]&gt;0,Tabela3[[#This Row],[Cotação]]/(Tabela3[[#This Row],[Lucro/Ação]]/[Ref]*4),0)</f>
        <v>5.5434796987041661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4.2769474113135052E-2</v>
      </c>
      <c r="AU87" s="19">
        <f>((1+Tabela3[[#This Row],[% Yield]])^(1/(3*Tabela3[[#This Row],[Ref]])))^(12)-1</f>
        <v>4.2769474113135697E-2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10.73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idden="1">
      <c r="A88" s="3" t="s">
        <v>265</v>
      </c>
      <c r="B88" s="58" t="s">
        <v>860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1865431729.26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8" s="18">
        <f>IF(Tabela3[[#This Row],[Lucro Líquido]]&gt;0,Tabela3[[#This Row],[Lucro Líquido]]/Tabela3[[#This Row],[Patrimônio Líquido]],0)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2.2979292427324034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9.02</v>
      </c>
      <c r="AO88" s="53">
        <f>[Cotação]/[VPA]</f>
        <v>0.74702848753932505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9.02</v>
      </c>
      <c r="BB88" s="7">
        <f>SUMPRODUCT(N(Tabela17683[Código]=Tabela3[[#This Row],[PAPEL]]),Tabela17683[Fechamento])</f>
        <v>0</v>
      </c>
    </row>
    <row r="89" spans="1:54" hidden="1">
      <c r="A89" s="4" t="s">
        <v>14</v>
      </c>
      <c r="B89" s="57" t="s">
        <v>215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89" s="18">
        <f>IF(Tabela3[[#This Row],[Lucro Líquido]]&gt;0,Tabela3[[#This Row],[Lucro Líquido]]/Tabela3[[#This Row],[Patrimônio Líquido]],0)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2.2979292427324034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idden="1">
      <c r="A90" s="4" t="s">
        <v>14</v>
      </c>
      <c r="B90" s="57" t="s">
        <v>216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0" s="18">
        <f>IF(Tabela3[[#This Row],[Lucro Líquido]]&gt;0,Tabela3[[#This Row],[Lucro Líquido]]/Tabela3[[#This Row],[Patrimônio Líquido]],0)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2.2979292427324034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idden="1">
      <c r="A91" s="3" t="s">
        <v>802</v>
      </c>
      <c r="B91" s="58" t="s">
        <v>807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3614051861.46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1" s="18">
        <f>IF(Tabela3[[#This Row],[Lucro Líquido]]&gt;0,Tabela3[[#This Row],[Lucro Líquido]]/Tabela3[[#This Row],[Patrimônio Líquido]],0)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2.2979292427324034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22.73</v>
      </c>
      <c r="AO91" s="53">
        <f>[Cotação]/[VPA]</f>
        <v>4.3389310360699982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22.73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idden="1">
      <c r="A92" s="4" t="s">
        <v>294</v>
      </c>
      <c r="B92" s="57" t="s">
        <v>705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2" s="19">
        <f>IF(Tabela3[[#This Row],[Lucro Líquido]]&gt;0,Tabela3[[#This Row],[Lucro Líquido]]/Tabela3[[#This Row],[Patrimônio Líquido]],0)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2.2979292427324034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600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idden="1">
      <c r="A93" s="4" t="s">
        <v>294</v>
      </c>
      <c r="B93" s="57" t="s">
        <v>706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122735736.95999999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3" s="19">
        <f>IF(Tabela3[[#This Row],[Lucro Líquido]]&gt;0,Tabela3[[#This Row],[Lucro Líquido]]/Tabela3[[#This Row],[Patrimônio Líquido]],0)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2.2979292427324034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0.82</v>
      </c>
      <c r="AO93" s="44">
        <f>[Cotação]/[VPA]</f>
        <v>-1.796115212924752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600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0.82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idden="1">
      <c r="A94" s="4" t="s">
        <v>373</v>
      </c>
      <c r="B94" s="57" t="s">
        <v>372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18810000000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4" s="19">
        <f>IF(Tabela3[[#This Row],[Lucro Líquido]]&gt;0,Tabela3[[#This Row],[Lucro Líquido]]/Tabela3[[#This Row],[Patrimônio Líquido]],0)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2.2979292427324034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9.5</v>
      </c>
      <c r="AO94" s="44">
        <f>[Cotação]/[VPA]</f>
        <v>0.97540845423480504</v>
      </c>
      <c r="AP94" s="40">
        <f>IF(Tabela3[[#This Row],[Lucro/Ação]]&gt;0,Tabela3[[#This Row],[Cotação]]/(Tabela3[[#This Row],[Lucro/Ação]]/[Ref]*4),0)</f>
        <v>17.392253096579246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1.3655505050505052E-2</v>
      </c>
      <c r="AU94" s="19">
        <f>((1+Tabela3[[#This Row],[% Yield]])^(1/(3*Tabela3[[#This Row],[Ref]])))^(12)-1</f>
        <v>1.3655505050506056E-2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9.5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idden="1">
      <c r="A95" s="3" t="s">
        <v>1093</v>
      </c>
      <c r="B95" s="58" t="s">
        <v>1096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5" s="18">
        <f>IF(Tabela3[[#This Row],[Lucro Líquido]]&gt;0,Tabela3[[#This Row],[Lucro Líquido]]/Tabela3[[#This Row],[Patrimônio Líquido]],0)</f>
        <v>1.9578326414682106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2.2979292427324034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idden="1">
      <c r="A96" s="3" t="s">
        <v>1093</v>
      </c>
      <c r="B96" s="58" t="s">
        <v>1097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6" s="18">
        <f>IF(Tabela3[[#This Row],[Lucro Líquido]]&gt;0,Tabela3[[#This Row],[Lucro Líquido]]/Tabela3[[#This Row],[Patrimônio Líquido]],0)</f>
        <v>1.9578326414682106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2.2979292427324034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idden="1">
      <c r="A97" s="3" t="s">
        <v>1024</v>
      </c>
      <c r="B97" s="58" t="s">
        <v>1025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7" s="18">
        <f>IF(Tabela3[[#This Row],[Lucro Líquido]]&gt;0,Tabela3[[#This Row],[Lucro Líquido]]/Tabela3[[#This Row],[Patrimônio Líquido]],0)</f>
        <v>3.9942102905193511E-2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2.2979292427324034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idden="1">
      <c r="A98" s="3" t="s">
        <v>1024</v>
      </c>
      <c r="B98" s="58" t="s">
        <v>1026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82501812.859999999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8" s="18">
        <f>IF(Tabela3[[#This Row],[Lucro Líquido]]&gt;0,Tabela3[[#This Row],[Lucro Líquido]]/Tabela3[[#This Row],[Patrimônio Líquido]],0)</f>
        <v>3.9942102905193511E-2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2.2979292427324034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2.14</v>
      </c>
      <c r="AO98" s="53">
        <f>[Cotação]/[VPA]</f>
        <v>2.8432233814660375</v>
      </c>
      <c r="AP98" s="37">
        <f>IF(Tabela3[[#This Row],[Lucro/Ação]]&gt;0,Tabela3[[#This Row],[Cotação]]/(Tabela3[[#This Row],[Lucro/Ação]]/[Ref]*4),0)</f>
        <v>53.387713239861959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3.336441836340031E-3</v>
      </c>
      <c r="AU98" s="22">
        <f>((1+Tabela3[[#This Row],[% Yield]])^(1/(3*Tabela3[[#This Row],[Ref]])))^(12)-1</f>
        <v>4.4510610266930151E-3</v>
      </c>
      <c r="AV98" s="10">
        <f>IF([Cotação]&gt;0,($BH$1/Tabela3[[#This Row],[Cotação]]-MOD($BH$1/Tabela3[[#This Row],[Cotação]],100)),)</f>
        <v>200</v>
      </c>
      <c r="AW98" s="7">
        <f>Tabela3[[#This Row],[Ativos]]*[Lucro]</f>
        <v>1.4279971059535335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2.14</v>
      </c>
      <c r="BB98" s="7">
        <f>SUMPRODUCT(N(Tabela17683[Código]=Tabela3[[#This Row],[PAPEL]]),Tabela17683[Fechamento])</f>
        <v>0</v>
      </c>
    </row>
    <row r="99" spans="1:54" hidden="1">
      <c r="A99" s="3" t="s">
        <v>1209</v>
      </c>
      <c r="B99" s="57" t="s">
        <v>1196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110682000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99" s="18">
        <f>IF(Tabela3[[#This Row],[Lucro Líquido]]&gt;0,Tabela3[[#This Row],[Lucro Líquido]]/Tabela3[[#This Row],[Patrimônio Líquido]],0)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2.2979292427324034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2.58</v>
      </c>
      <c r="AO99" s="53">
        <f>[Cotação]/[VPA]</f>
        <v>0.7153604529414046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100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2.58</v>
      </c>
    </row>
    <row r="100" spans="1:54" hidden="1">
      <c r="A100" s="4" t="s">
        <v>37</v>
      </c>
      <c r="B100" s="57" t="s">
        <v>178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0" s="19">
        <f>IF(Tabela3[[#This Row],[Lucro Líquido]]&gt;0,Tabela3[[#This Row],[Lucro Líquido]]/Tabela3[[#This Row],[Patrimônio Líquido]],0)</f>
        <v>1.5826994304830939E-2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2.2979292427324034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100</v>
      </c>
      <c r="AW100" s="17">
        <f>Tabela3[[#This Row],[Ativos]]*[Lucro]</f>
        <v>0.63939738189784634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idden="1">
      <c r="A101" s="4" t="s">
        <v>37</v>
      </c>
      <c r="B101" s="57" t="s">
        <v>514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1" s="19">
        <f>IF(Tabela3[[#This Row],[Lucro Líquido]]&gt;0,Tabela3[[#This Row],[Lucro Líquido]]/Tabela3[[#This Row],[Patrimônio Líquido]],0)</f>
        <v>1.5826994304830939E-2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2.2979292427324034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idden="1">
      <c r="A102" s="4" t="s">
        <v>12</v>
      </c>
      <c r="B102" s="57" t="s">
        <v>456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4510893305.6999998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2" s="19">
        <f>IF(Tabela3[[#This Row],[Lucro Líquido]]&gt;0,Tabela3[[#This Row],[Lucro Líquido]]/Tabela3[[#This Row],[Patrimônio Líquido]],0)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2.2979292427324034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1.1499999999999999</v>
      </c>
      <c r="AO102" s="44">
        <f>[Cotação]/[VPA]</f>
        <v>1.8183037117491156</v>
      </c>
      <c r="AP102" s="40">
        <f>IF(Tabela3[[#This Row],[Lucro/Ação]]&gt;0,Tabela3[[#This Row],[Cotação]]/(Tabela3[[#This Row],[Lucro/Ação]]/[Ref]*4),0)</f>
        <v>8.758012782419101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2.7118023905692311E-2</v>
      </c>
      <c r="AU102" s="42">
        <f>((1+Tabela3[[#This Row],[% Yield]])^(1/(3*Tabela3[[#This Row],[Ref]])))^(12)-1</f>
        <v>2.7118023905692068E-2</v>
      </c>
      <c r="AV102" s="14">
        <f>IF([Cotação]&gt;0,($BH$1/Tabela3[[#This Row],[Cotação]]-MOD($BH$1/Tabela3[[#This Row],[Cotação]],100)),)</f>
        <v>400</v>
      </c>
      <c r="AW102" s="17">
        <f>Tabela3[[#This Row],[Ativos]]*[Lucro]</f>
        <v>12.474290996618462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1.1499999999999999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idden="1">
      <c r="A103" s="3" t="s">
        <v>1321</v>
      </c>
      <c r="B103" s="57" t="s">
        <v>1322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5129243.2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3" s="18">
        <f>IF(Tabela3[[#This Row],[Lucro Líquido]]&gt;0,Tabela3[[#This Row],[Lucro Líquido]]/Tabela3[[#This Row],[Patrimônio Líquido]],0)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2.2979292427324034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0.05</v>
      </c>
      <c r="AO103" s="53">
        <f>[Cotação]/[VPA]</f>
        <v>-1.0414370784780757E-3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10000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0.05</v>
      </c>
    </row>
    <row r="104" spans="1:54" hidden="1">
      <c r="A104" s="3" t="s">
        <v>1321</v>
      </c>
      <c r="B104" s="57" t="s">
        <v>1323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5129243.2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4" s="18">
        <f>IF(Tabela3[[#This Row],[Lucro Líquido]]&gt;0,Tabela3[[#This Row],[Lucro Líquido]]/Tabela3[[#This Row],[Patrimônio Líquido]],0)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2.2979292427324034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0.05</v>
      </c>
      <c r="AO104" s="53">
        <f>[Cotação]/[VPA]</f>
        <v>-1.0414370784780757E-3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10000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0.05</v>
      </c>
    </row>
    <row r="105" spans="1:54" hidden="1">
      <c r="A105" s="4" t="s">
        <v>336</v>
      </c>
      <c r="B105" s="126" t="s">
        <v>1182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5" s="18">
        <f>IF(Tabela3[[#This Row],[Lucro Líquido]]&gt;0,Tabela3[[#This Row],[Lucro Líquido]]/Tabela3[[#This Row],[Patrimônio Líquido]],0)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2.2979292427324034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3500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idden="1">
      <c r="A106" s="4" t="s">
        <v>336</v>
      </c>
      <c r="B106" s="126" t="s">
        <v>1183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9360000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6" s="18">
        <f>IF(Tabela3[[#This Row],[Lucro Líquido]]&gt;0,Tabela3[[#This Row],[Lucro Líquido]]/Tabela3[[#This Row],[Patrimônio Líquido]],0)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2.2979292427324034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0.12</v>
      </c>
      <c r="AO106" s="53">
        <f>[Cotação]/[VPA]</f>
        <v>-5.8337020947727282E-2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4100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0.12</v>
      </c>
    </row>
    <row r="107" spans="1:54" hidden="1">
      <c r="A107" s="3" t="s">
        <v>341</v>
      </c>
      <c r="B107" s="58" t="s">
        <v>348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1618500000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7" s="18">
        <f>IF(Tabela3[[#This Row],[Lucro Líquido]]&gt;0,Tabela3[[#This Row],[Lucro Líquido]]/Tabela3[[#This Row],[Patrimônio Líquido]],0)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2.2979292427324034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19.5</v>
      </c>
      <c r="AO107" s="53">
        <f>[Cotação]/[VPA]</f>
        <v>2.3149803616432711</v>
      </c>
      <c r="AP107" s="37">
        <f>IF(Tabela3[[#This Row],[Lucro/Ação]]&gt;0,Tabela3[[#This Row],[Cotação]]/(Tabela3[[#This Row],[Lucro/Ação]]/[Ref]*4),0)</f>
        <v>10.869638215995863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2.1849853259190609E-2</v>
      </c>
      <c r="AU107" s="18">
        <f>((1+Tabela3[[#This Row],[% Yield]])^(1/(3*Tabela3[[#This Row],[Ref]])))^(12)-1</f>
        <v>2.1849853259189977E-2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19.5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idden="1">
      <c r="A108" s="3" t="s">
        <v>1218</v>
      </c>
      <c r="B108" s="57" t="s">
        <v>1211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28390642175.999996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8" s="18">
        <f>IF(Tabela3[[#This Row],[Lucro Líquido]]&gt;0,Tabela3[[#This Row],[Lucro Líquido]]/Tabela3[[#This Row],[Patrimônio Líquido]],0)</f>
        <v>0.3374124496274466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2.2979292427324034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16.079999999999998</v>
      </c>
      <c r="AO108" s="53">
        <f>[Cotação]/[VPA]</f>
        <v>9.1703054769936792</v>
      </c>
      <c r="AP108" s="37">
        <f>IF(Tabela3[[#This Row],[Lucro/Ação]]&gt;0,Tabela3[[#This Row],[Cotação]]/(Tabela3[[#This Row],[Lucro/Ação]]/[Ref]*4),0)</f>
        <v>20.383744332312851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8.7385809543162069E-3</v>
      </c>
      <c r="AU108" s="22">
        <f>((1+Tabela3[[#This Row],[% Yield]])^(1/(3*Tabela3[[#This Row],[Ref]])))^(12)-1</f>
        <v>1.1668377949105357E-2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16.079999999999998</v>
      </c>
    </row>
    <row r="109" spans="1:54" hidden="1">
      <c r="A109" s="4" t="s">
        <v>662</v>
      </c>
      <c r="B109" s="57" t="s">
        <v>663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173525392.68000001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09" s="19">
        <f>IF(Tabela3[[#This Row],[Lucro Líquido]]&gt;0,Tabela3[[#This Row],[Lucro Líquido]]/Tabela3[[#This Row],[Patrimônio Líquido]],0)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2.2979292427324034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1.02</v>
      </c>
      <c r="AO109" s="44">
        <f>[Cotação]/[VPA]</f>
        <v>0.23447191097046355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400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1.02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idden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146935328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0" s="19">
        <f>IF(Tabela3[[#This Row],[Lucro Líquido]]&gt;0,Tabela3[[#This Row],[Lucro Líquido]]/Tabela3[[#This Row],[Patrimônio Líquido]],0)</f>
        <v>3.8421095550586488E-2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2.2979292427324034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16</v>
      </c>
      <c r="AO110" s="44">
        <f>[Cotação]/[VPA]</f>
        <v>0.31531592252260759</v>
      </c>
      <c r="AP110" s="40">
        <f>IF(Tabela3[[#This Row],[Lucro/Ação]]&gt;0,Tabela3[[#This Row],[Cotação]]/(Tabela3[[#This Row],[Lucro/Ação]]/[Ref]*4),0)</f>
        <v>6.1551327077747988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 hidden="1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211219534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1" s="19">
        <f>IF(Tabela3[[#This Row],[Lucro Líquido]]&gt;0,Tabela3[[#This Row],[Lucro Líquido]]/Tabela3[[#This Row],[Patrimônio Líquido]],0)</f>
        <v>3.8421095550586488E-2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2.2979292427324034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23</v>
      </c>
      <c r="AO111" s="44">
        <f>[Cotação]/[VPA]</f>
        <v>0.45326663862624844</v>
      </c>
      <c r="AP111" s="40">
        <f>IF(Tabela3[[#This Row],[Lucro/Ação]]&gt;0,Tabela3[[#This Row],[Cotação]]/(Tabela3[[#This Row],[Lucro/Ação]]/[Ref]*4),0)</f>
        <v>8.8480032674262734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0.16194343351784876</v>
      </c>
      <c r="AU111" s="19">
        <f>((1+Tabela3[[#This Row],[% Yield]])^(1/(3*Tabela3[[#This Row],[Ref]])))^(12)-1</f>
        <v>0.22155581271887548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23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idden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2" s="19">
        <f>IF(Tabela3[[#This Row],[Lucro Líquido]]&gt;0,Tabela3[[#This Row],[Lucro Líquido]]/Tabela3[[#This Row],[Patrimônio Líquido]],0)</f>
        <v>3.8421095550586488E-2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2.2979292427324034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idden="1">
      <c r="A113" s="3" t="s">
        <v>910</v>
      </c>
      <c r="B113" s="58" t="s">
        <v>911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115000000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3" s="18">
        <f>IF(Tabela3[[#This Row],[Lucro Líquido]]&gt;0,Tabela3[[#This Row],[Lucro Líquido]]/Tabela3[[#This Row],[Patrimônio Líquido]],0)</f>
        <v>3.3631206928756111E-2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2.2979292427324034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11.5</v>
      </c>
      <c r="AO113" s="53">
        <f>[Cotação]/[VPA]</f>
        <v>0.376847782988108</v>
      </c>
      <c r="AP113" s="37">
        <f>IF(Tabela3[[#This Row],[Lucro/Ação]]&gt;0,Tabela3[[#This Row],[Cotação]]/(Tabela3[[#This Row],[Lucro/Ação]]/[Ref]*4),0)</f>
        <v>8.4039754457760889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2.1195326086956522E-2</v>
      </c>
      <c r="AU113" s="22">
        <f>((1+Tabela3[[#This Row],[% Yield]])^(1/(3*Tabela3[[#This Row],[Ref]])))^(12)-1</f>
        <v>2.8359800196967155E-2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11.5</v>
      </c>
      <c r="BB113" s="7">
        <f>SUMPRODUCT(N(Tabela17683[Código]=Tabela3[[#This Row],[PAPEL]]),Tabela17683[Fechamento])</f>
        <v>0</v>
      </c>
    </row>
    <row r="114" spans="1:54" hidden="1">
      <c r="A114" s="3" t="s">
        <v>910</v>
      </c>
      <c r="B114" s="58" t="s">
        <v>912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111000000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4" s="18">
        <f>IF(Tabela3[[#This Row],[Lucro Líquido]]&gt;0,Tabela3[[#This Row],[Lucro Líquido]]/Tabela3[[#This Row],[Patrimônio Líquido]],0)</f>
        <v>3.3631206928756111E-2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2.2979292427324034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11.1</v>
      </c>
      <c r="AO114" s="53">
        <f>[Cotação]/[VPA]</f>
        <v>0.36374003401460858</v>
      </c>
      <c r="AP114" s="37">
        <f>IF(Tabela3[[#This Row],[Lucro/Ação]]&gt;0,Tabela3[[#This Row],[Cotação]]/(Tabela3[[#This Row],[Lucro/Ação]]/[Ref]*4),0)</f>
        <v>8.1116632563577902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2.1959121621621624E-2</v>
      </c>
      <c r="AU114" s="22">
        <f>((1+Tabela3[[#This Row],[% Yield]])^(1/(3*Tabela3[[#This Row],[Ref]])))^(12)-1</f>
        <v>2.9385466883620426E-2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11.1</v>
      </c>
      <c r="BB114" s="7">
        <f>SUMPRODUCT(N(Tabela17683[Código]=Tabela3[[#This Row],[PAPEL]]),Tabela17683[Fechamento])</f>
        <v>0</v>
      </c>
    </row>
    <row r="115" spans="1:54" hidden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5643438366.6199999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5" s="19">
        <f>IF(Tabela3[[#This Row],[Lucro Líquido]]&gt;0,Tabela3[[#This Row],[Lucro Líquido]]/Tabela3[[#This Row],[Patrimônio Líquido]],0)</f>
        <v>0.15620221119229397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2.2979292427324034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29.99</v>
      </c>
      <c r="AO115" s="44">
        <f>[Cotação]/[VPA]</f>
        <v>2.0311089924459265</v>
      </c>
      <c r="AP115" s="40">
        <f>IF(Tabela3[[#This Row],[Lucro/Ação]]&gt;0,Tabela3[[#This Row],[Cotação]]/(Tabela3[[#This Row],[Lucro/Ação]]/[Ref]*4),0)</f>
        <v>9.7523058905941813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1.7696620250429819E-2</v>
      </c>
      <c r="AU115" s="19">
        <f>((1+Tabela3[[#This Row],[% Yield]])^(1/(3*Tabela3[[#This Row],[Ref]])))^(12)-1</f>
        <v>2.366481539975962E-2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29.99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idden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6" s="19">
        <f>IF(Tabela3[[#This Row],[Lucro Líquido]]&gt;0,Tabela3[[#This Row],[Lucro Líquido]]/Tabela3[[#This Row],[Patrimônio Líquido]],0)</f>
        <v>0.15620221119229397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2.2979292427324034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idden="1">
      <c r="A117" s="4" t="s">
        <v>12</v>
      </c>
      <c r="B117" s="57" t="s">
        <v>477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7" s="19">
        <f>IF(Tabela3[[#This Row],[Lucro Líquido]]&gt;0,Tabela3[[#This Row],[Lucro Líquido]]/Tabela3[[#This Row],[Patrimônio Líquido]],0)</f>
        <v>0.15620221119229397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2.2979292427324034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idden="1">
      <c r="A118" s="4" t="s">
        <v>12</v>
      </c>
      <c r="B118" s="57" t="s">
        <v>488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8" s="19">
        <f>IF(Tabela3[[#This Row],[Lucro Líquido]]&gt;0,Tabela3[[#This Row],[Lucro Líquido]]/Tabela3[[#This Row],[Patrimônio Líquido]],0)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2.2979292427324034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500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idden="1">
      <c r="A119" s="4" t="s">
        <v>12</v>
      </c>
      <c r="B119" s="57" t="s">
        <v>489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19" s="19">
        <f>IF(Tabela3[[#This Row],[Lucro Líquido]]&gt;0,Tabela3[[#This Row],[Lucro Líquido]]/Tabela3[[#This Row],[Patrimônio Líquido]],0)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2.2979292427324034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300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idden="1">
      <c r="A120" s="4" t="s">
        <v>517</v>
      </c>
      <c r="B120" s="57" t="s">
        <v>522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0" s="19">
        <f>IF(Tabela3[[#This Row],[Lucro Líquido]]&gt;0,Tabela3[[#This Row],[Lucro Líquido]]/Tabela3[[#This Row],[Patrimônio Líquido]],0)</f>
        <v>0.27334106527347224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2.2979292427324034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idden="1">
      <c r="A121" s="4" t="s">
        <v>12</v>
      </c>
      <c r="B121" s="126" t="s">
        <v>465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2365237760.6799998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1" s="19">
        <f>IF(Tabela3[[#This Row],[Lucro Líquido]]&gt;0,Tabela3[[#This Row],[Lucro Líquido]]/Tabela3[[#This Row],[Patrimônio Líquido]],0)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2.2979292427324034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1.24</v>
      </c>
      <c r="AO121" s="44">
        <f>[Cotação]/[VPA]</f>
        <v>6.0019685510192167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400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1.24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idden="1">
      <c r="A122" s="4" t="s">
        <v>12</v>
      </c>
      <c r="B122" s="126" t="s">
        <v>466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2" s="19">
        <f>IF(Tabela3[[#This Row],[Lucro Líquido]]&gt;0,Tabela3[[#This Row],[Lucro Líquido]]/Tabela3[[#This Row],[Patrimônio Líquido]],0)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2.2979292427324034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500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idden="1">
      <c r="A123" s="4" t="s">
        <v>12</v>
      </c>
      <c r="B123" s="126" t="s">
        <v>467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3" s="19">
        <f>IF(Tabela3[[#This Row],[Lucro Líquido]]&gt;0,Tabela3[[#This Row],[Lucro Líquido]]/Tabela3[[#This Row],[Patrimônio Líquido]],0)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2.2979292427324034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600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idden="1">
      <c r="A124" s="4" t="s">
        <v>12</v>
      </c>
      <c r="B124" s="126" t="s">
        <v>468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4" s="19">
        <f>IF(Tabela3[[#This Row],[Lucro Líquido]]&gt;0,Tabela3[[#This Row],[Lucro Líquido]]/Tabela3[[#This Row],[Patrimônio Líquido]],0)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2.2979292427324034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800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idden="1">
      <c r="A125" s="4" t="s">
        <v>12</v>
      </c>
      <c r="B125" s="57" t="s">
        <v>478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5" s="19">
        <f>IF(Tabela3[[#This Row],[Lucro Líquido]]&gt;0,Tabela3[[#This Row],[Lucro Líquido]]/Tabela3[[#This Row],[Patrimônio Líquido]],0)</f>
        <v>1.7039220953225478E-2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2.2979292427324034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idden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6" s="19">
        <f>IF(Tabela3[[#This Row],[Lucro Líquido]]&gt;0,Tabela3[[#This Row],[Lucro Líquido]]/Tabela3[[#This Row],[Patrimônio Líquido]],0)</f>
        <v>1.7039220953225478E-2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2.2979292427324034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idden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1351230346.6800001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7" s="19">
        <f>IF(Tabela3[[#This Row],[Lucro Líquido]]&gt;0,Tabela3[[#This Row],[Lucro Líquido]]/Tabela3[[#This Row],[Patrimônio Líquido]],0)</f>
        <v>1.7039220953225478E-2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2.2979292427324034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18.11</v>
      </c>
      <c r="AO127" s="44">
        <f>[Cotação]/[VPA]</f>
        <v>0.36441773402633715</v>
      </c>
      <c r="AP127" s="40">
        <f>IF(Tabela3[[#This Row],[Lucro/Ação]]&gt;0,Tabela3[[#This Row],[Cotação]]/(Tabela3[[#This Row],[Lucro/Ação]]/[Ref]*4),0)</f>
        <v>16.040246280626778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1.1835300795375748E-2</v>
      </c>
      <c r="AU127" s="19">
        <f>((1+Tabela3[[#This Row],[% Yield]])^(1/(3*Tabela3[[#This Row],[Ref]])))^(12)-1</f>
        <v>1.5811447226143027E-2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18.11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idden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6216000733.54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8" s="19">
        <f>IF(Tabela3[[#This Row],[Lucro Líquido]]&gt;0,Tabela3[[#This Row],[Lucro Líquido]]/Tabela3[[#This Row],[Patrimônio Líquido]],0)</f>
        <v>7.5885169683148887E-2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2.2979292427324034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18.98</v>
      </c>
      <c r="AO128" s="44">
        <f>[Cotação]/[VPA]</f>
        <v>0.5931780083993462</v>
      </c>
      <c r="AP128" s="40">
        <f>IF(Tabela3[[#This Row],[Lucro/Ação]]&gt;0,Tabela3[[#This Row],[Cotação]]/(Tabela3[[#This Row],[Lucro/Ação]]/[Ref]*4),0)</f>
        <v>5.8625882785408168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2.8799761773128367E-2</v>
      </c>
      <c r="AU128" s="19">
        <f>((1+Tabela3[[#This Row],[% Yield]])^(1/(3*Tabela3[[#This Row],[Ref]])))^(12)-1</f>
        <v>3.8582833637790914E-2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18.98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 hidden="1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7532561479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29" s="19">
        <f>IF(Tabela3[[#This Row],[Lucro Líquido]]&gt;0,Tabela3[[#This Row],[Lucro Líquido]]/Tabela3[[#This Row],[Patrimônio Líquido]],0)</f>
        <v>7.5885169683148887E-2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2.2979292427324034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23</v>
      </c>
      <c r="AO129" s="44">
        <f>[Cotação]/[VPA]</f>
        <v>0.71881423567887048</v>
      </c>
      <c r="AP129" s="40">
        <f>IF(Tabela3[[#This Row],[Lucro/Ação]]&gt;0,Tabela3[[#This Row],[Cotação]]/(Tabela3[[#This Row],[Lucro/Ação]]/[Ref]*4),0)</f>
        <v>7.1042955957027809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7.9328040947145129E-2</v>
      </c>
      <c r="AU129" s="19">
        <f>((1+Tabela3[[#This Row],[% Yield]])^(1/(3*Tabela3[[#This Row],[Ref]])))^(12)-1</f>
        <v>0.10714528172709725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23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idden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7254184206.9499998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0" s="19">
        <f>IF(Tabela3[[#This Row],[Lucro Líquido]]&gt;0,Tabela3[[#This Row],[Lucro Líquido]]/Tabela3[[#This Row],[Patrimônio Líquido]],0)</f>
        <v>7.5885169683148887E-2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2.2979292427324034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22.15</v>
      </c>
      <c r="AO130" s="44">
        <f>[Cotação]/[VPA]</f>
        <v>0.69224936175160789</v>
      </c>
      <c r="AP130" s="40">
        <f>IF(Tabela3[[#This Row],[Lucro/Ação]]&gt;0,Tabela3[[#This Row],[Cotação]]/(Tabela3[[#This Row],[Lucro/Ação]]/[Ref]*4),0)</f>
        <v>6.841745541078982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2.4678080291375911E-2</v>
      </c>
      <c r="AU130" s="19">
        <f>((1+Tabela3[[#This Row],[% Yield]])^(1/(3*Tabela3[[#This Row],[Ref]])))^(12)-1</f>
        <v>3.3038707440607995E-2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22.15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idden="1">
      <c r="A131" s="4" t="s">
        <v>517</v>
      </c>
      <c r="B131" s="57" t="s">
        <v>518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5977959342.3299999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1" s="19">
        <f>IF(Tabela3[[#This Row],[Lucro Líquido]]&gt;0,Tabela3[[#This Row],[Lucro Líquido]]/Tabela3[[#This Row],[Patrimônio Líquido]],0)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2.2979292427324034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49.89</v>
      </c>
      <c r="AO131" s="44">
        <f>[Cotação]/[VPA]</f>
        <v>2.2503657499118179</v>
      </c>
      <c r="AP131" s="40">
        <f>IF(Tabela3[[#This Row],[Lucro/Ação]]&gt;0,Tabela3[[#This Row],[Cotação]]/(Tabela3[[#This Row],[Lucro/Ação]]/[Ref]*4),0)</f>
        <v>9.6588351836209085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2.4588886287524984E-2</v>
      </c>
      <c r="AU131" s="42">
        <f>((1+Tabela3[[#This Row],[% Yield]])^(1/(3*Tabela3[[#This Row],[Ref]])))^(12)-1</f>
        <v>2.4588886287525202E-2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49.89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idden="1">
      <c r="A132" s="4" t="s">
        <v>517</v>
      </c>
      <c r="B132" s="57" t="s">
        <v>519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6073817579.9299994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2" s="19">
        <f>IF(Tabela3[[#This Row],[Lucro Líquido]]&gt;0,Tabela3[[#This Row],[Lucro Líquido]]/Tabela3[[#This Row],[Patrimônio Líquido]],0)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2.2979292427324034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50.69</v>
      </c>
      <c r="AO132" s="44">
        <f>[Cotação]/[VPA]</f>
        <v>2.2864509894373635</v>
      </c>
      <c r="AP132" s="40">
        <f>IF(Tabela3[[#This Row],[Lucro/Ação]]&gt;0,Tabela3[[#This Row],[Cotação]]/(Tabela3[[#This Row],[Lucro/Ação]]/[Ref]*4),0)</f>
        <v>9.8137172871866873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2.4200819429564441E-2</v>
      </c>
      <c r="AU132" s="42">
        <f>((1+Tabela3[[#This Row],[% Yield]])^(1/(3*Tabela3[[#This Row],[Ref]])))^(12)-1</f>
        <v>2.4200819429565756E-2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50.69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idden="1">
      <c r="A133" s="3" t="s">
        <v>1067</v>
      </c>
      <c r="B133" s="58" t="s">
        <v>1070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354604711.04999995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3" s="18">
        <f>IF(Tabela3[[#This Row],[Lucro Líquido]]&gt;0,Tabela3[[#This Row],[Lucro Líquido]]/Tabela3[[#This Row],[Patrimônio Líquido]],0)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2.2979292427324034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16.29</v>
      </c>
      <c r="AO133" s="53">
        <f>[Cotação]/[VPA]</f>
        <v>0.9956545620031837</v>
      </c>
      <c r="AP133" s="37">
        <f>IF(Tabela3[[#This Row],[Lucro/Ação]]&gt;0,Tabela3[[#This Row],[Cotação]]/(Tabela3[[#This Row],[Lucro/Ação]]/[Ref]*4),0)</f>
        <v>7.0311843367043112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3.3778093223953518E-2</v>
      </c>
      <c r="AU133" s="22">
        <f>((1+Tabela3[[#This Row],[% Yield]])^(1/(3*Tabela3[[#This Row],[Ref]])))^(12)-1</f>
        <v>3.3778093223953753E-2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16.29</v>
      </c>
      <c r="BB133" s="7">
        <f>SUMPRODUCT(N(Tabela17683[Código]=Tabela3[[#This Row],[PAPEL]]),Tabela17683[Fechamento])</f>
        <v>0</v>
      </c>
    </row>
    <row r="134" spans="1:54" hidden="1">
      <c r="A134" s="3" t="s">
        <v>1067</v>
      </c>
      <c r="B134" s="58" t="s">
        <v>1071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356563853.09999996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4" s="18">
        <f>IF(Tabela3[[#This Row],[Lucro Líquido]]&gt;0,Tabela3[[#This Row],[Lucro Líquido]]/Tabela3[[#This Row],[Patrimônio Líquido]],0)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2.2979292427324034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16.38</v>
      </c>
      <c r="AO134" s="53">
        <f>[Cotação]/[VPA]</f>
        <v>1.0011554159369029</v>
      </c>
      <c r="AP134" s="37">
        <f>IF(Tabela3[[#This Row],[Lucro/Ação]]&gt;0,Tabela3[[#This Row],[Cotação]]/(Tabela3[[#This Row],[Lucro/Ação]]/[Ref]*4),0)</f>
        <v>7.0700306590065445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3.3592499305140584E-2</v>
      </c>
      <c r="AU134" s="22">
        <f>((1+Tabela3[[#This Row],[% Yield]])^(1/(3*Tabela3[[#This Row],[Ref]])))^(12)-1</f>
        <v>3.3592499305141521E-2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16.38</v>
      </c>
      <c r="BB134" s="7">
        <f>SUMPRODUCT(N(Tabela17683[Código]=Tabela3[[#This Row],[PAPEL]]),Tabela17683[Fechamento])</f>
        <v>0</v>
      </c>
    </row>
    <row r="135" spans="1:54" hidden="1">
      <c r="A135" s="4" t="s">
        <v>373</v>
      </c>
      <c r="B135" s="57" t="s">
        <v>376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50390001562.899994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5" s="19">
        <f>IF(Tabela3[[#This Row],[Lucro Líquido]]&gt;0,Tabela3[[#This Row],[Lucro Líquido]]/Tabela3[[#This Row],[Patrimônio Líquido]],0)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2.2979292427324034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64.099999999999994</v>
      </c>
      <c r="AO135" s="44">
        <f>[Cotação]/[VPA]</f>
        <v>15.178511386262828</v>
      </c>
      <c r="AP135" s="40">
        <f>IF(Tabela3[[#This Row],[Lucro/Ação]]&gt;0,Tabela3[[#This Row],[Cotação]]/(Tabela3[[#This Row],[Lucro/Ação]]/[Ref]*4),0)</f>
        <v>18.84724069257155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2.520262821216139E-2</v>
      </c>
      <c r="AU135" s="19">
        <f>((1+Tabela3[[#This Row],[% Yield]])^(1/(3*Tabela3[[#This Row],[Ref]])))^(12)-1</f>
        <v>2.5202628212160905E-2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64.099999999999994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3" t="s">
        <v>1093</v>
      </c>
      <c r="B136" s="57" t="s">
        <v>1107</v>
      </c>
      <c r="C136" s="16" t="str">
        <f>LEFT([PAPEL],LEN([PAPEL])-(LEN([PAPEL])-4))</f>
        <v>GFSA</v>
      </c>
      <c r="D136" s="16">
        <v>4</v>
      </c>
      <c r="E136" s="5">
        <v>2740662000</v>
      </c>
      <c r="F136" s="56">
        <v>435559201</v>
      </c>
      <c r="G136" s="81">
        <v>0.25</v>
      </c>
      <c r="H136" s="87"/>
      <c r="J136" s="18"/>
      <c r="K136" s="16"/>
      <c r="L136" s="87"/>
      <c r="M136" s="54">
        <v>6823205000</v>
      </c>
      <c r="N136" s="54">
        <v>3312510000</v>
      </c>
      <c r="O136" s="54">
        <v>1925787000</v>
      </c>
      <c r="P136" s="91">
        <v>3190724000</v>
      </c>
      <c r="Q136" s="73">
        <v>867443000</v>
      </c>
      <c r="R136" s="73">
        <f>IF(Tabela3[[#This Row],[Ativo || Passivo]]&gt;0,Tabela3[[#This Row],[Ativo || Passivo]]-Tabela3[[#This Row],[Patrimônio Líquido]],0)</f>
        <v>3632481000</v>
      </c>
      <c r="S136" s="73">
        <f>Tabela3[[#This Row],[Cotação]]*Tabela3[[#This Row],[Total Ações]]</f>
        <v>1363300299.1299999</v>
      </c>
      <c r="T136" s="37">
        <f>IF(Tabela3[[#This Row],[Passivo Circulante]]&gt;0,Tabela3[[#This Row],[Ativo Circulante]]/Tabela3[[#This Row],[Passivo Circulante]],0)</f>
        <v>1.7200811927798869</v>
      </c>
      <c r="U13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6" s="18">
        <f>IF(Tabela3[[#This Row],[Lucro Líquido]]&gt;0,Tabela3[[#This Row],[Lucro Líquido]]/Tabela3[[#This Row],[Patrimônio Líquido]],0)</f>
        <v>0.27186400327950649</v>
      </c>
      <c r="W13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6" s="18">
        <f>IF(Tabela3[[#This Row],[Dívida]]&gt;0,Tabela3[[#This Row],[Dívida]]/Tabela3[[#This Row],[Patrimônio Líquido]],0)</f>
        <v>1.1384503955841998</v>
      </c>
      <c r="Y136" s="18">
        <f>SUMPRODUCT(N([Dívida / PL]&gt;0),N(RIGHT([PAPEL],LEN([PAPEL])-(LEN([PAPEL])-1))="3"),[Dívida / PL])/SUMPRODUCT(N([Dívida / PL]&gt;0),N(RIGHT([PAPEL],LEN([PAPEL])-(LEN([PAPEL])-1))="3"))</f>
        <v>2.2979292427324034</v>
      </c>
      <c r="Z136" s="7">
        <f>Tabela3[[#This Row],[Capital Social]]*20%</f>
        <v>548132400</v>
      </c>
      <c r="AA136" s="47">
        <f>IF(([Lucro Líquido]*5%)&gt;[Teto R. Legal],[Teto R. Legal],[Lucro Líquido]*5%)</f>
        <v>43372150</v>
      </c>
      <c r="AB136" s="47">
        <f>IF([Lucro Líquido]&lt;0,0,[Lucro Líquido]-[Reserva Legal])</f>
        <v>824070850</v>
      </c>
      <c r="AC136" s="47">
        <f>Tabela3[[#This Row],[Lucro Distribuir]]*[%Div]</f>
        <v>206017712.5</v>
      </c>
      <c r="AD136" s="56">
        <f>SUMPRODUCT(N([Nome]=Tabela3[[#This Row],[Nome]]),[Ações])</f>
        <v>435559201</v>
      </c>
      <c r="AE136" s="85">
        <f>[Capital Social]/[Total Ações]</f>
        <v>6.2922835603236402</v>
      </c>
      <c r="AF136" s="85">
        <f>Tabela3[[#This Row],[Lucro Líquido]]/Tabela3[[#This Row],[Total Ações]]</f>
        <v>1.9915616476668117</v>
      </c>
      <c r="AG1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1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136" s="7">
        <f>[Div Base]*[Ações]</f>
        <v>206017712.5</v>
      </c>
      <c r="AL136" s="120">
        <f>SUMPRODUCT(N([Nome]=Tabela3[[#This Row],[Nome]]),[Div Base]*[Ações])</f>
        <v>206017712.5</v>
      </c>
      <c r="AM136" s="5">
        <f>[Patrimônio Líquido]/[Total Ações]</f>
        <v>7.3255805242419845</v>
      </c>
      <c r="AN136" s="52">
        <f>MAX(Tabela3[[#This Row],[Cotação 1]:[Cotação 5]])</f>
        <v>3.13</v>
      </c>
      <c r="AO136" s="53">
        <f>[Cotação]/[VPA]</f>
        <v>0.42726989207778548</v>
      </c>
      <c r="AP136" s="37">
        <f>IF(Tabela3[[#This Row],[Lucro/Ação]]&gt;0,Tabela3[[#This Row],[Cotação]]/(Tabela3[[#This Row],[Lucro/Ação]]/[Ref]*4),0)</f>
        <v>1.5716309880072812</v>
      </c>
      <c r="AQ136" s="85">
        <f>[Lucro Distribuir]/[Total Ações]</f>
        <v>1.8919835652834711</v>
      </c>
      <c r="AR136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136" s="10" t="str">
        <f>IF(AND([% A.A.]&gt;=5%,SUMPRODUCT(N([Nome]=Tabela3[[#This Row],[Nome]]),[PL])&gt;0,[Rentabilidade s/ PL]&gt;=[Rentabilidade s/ PL Média]),"Sim","Não")</f>
        <v>Sim</v>
      </c>
      <c r="AT136" s="22">
        <f>IF([Cotação]&gt;0,Tabela3[[#This Row],[Lucro]]/Tabela3[[#This Row],[Cotação]],0)</f>
        <v>0.15111689818558077</v>
      </c>
      <c r="AU136" s="22">
        <f>((1+Tabela3[[#This Row],[% Yield]])^(1/(3*Tabela3[[#This Row],[Ref]])))^(12)-1</f>
        <v>0.15111689818558216</v>
      </c>
      <c r="AV136" s="10">
        <f>IF([Cotação]&gt;0,($BH$1/Tabela3[[#This Row],[Cotação]]-MOD($BH$1/Tabela3[[#This Row],[Cotação]],100)),)</f>
        <v>100</v>
      </c>
      <c r="AW136" s="7">
        <f>Tabela3[[#This Row],[Ativos]]*[Lucro]</f>
        <v>47.29958913208678</v>
      </c>
      <c r="AX136" s="7">
        <f>SUMPRODUCT(N(Tabela1[Código]=Tabela3[[#This Row],[PAPEL]]),Tabela1[Fechamento])</f>
        <v>0</v>
      </c>
      <c r="AY136" s="7">
        <f>SUMPRODUCT(N(Tabela17[Código]=Tabela3[[#This Row],[PAPEL]]),Tabela17[Fechamento])</f>
        <v>0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3.13</v>
      </c>
      <c r="BB136" s="7">
        <f>SUMPRODUCT(N(Tabela17683[Código]=Tabela3[[#This Row],[PAPEL]]),Tabela17683[Fechamento])</f>
        <v>0</v>
      </c>
    </row>
    <row r="137" spans="1:54" hidden="1">
      <c r="A137" s="3" t="s">
        <v>273</v>
      </c>
      <c r="B137" s="58" t="s">
        <v>271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311850000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7" s="18">
        <f>IF(Tabela3[[#This Row],[Lucro Líquido]]&gt;0,Tabela3[[#This Row],[Lucro Líquido]]/Tabela3[[#This Row],[Patrimônio Líquido]],0)</f>
        <v>0.14056941519826702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2.2979292427324034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12.5</v>
      </c>
      <c r="AO137" s="53">
        <f>[Cotação]/[VPA]</f>
        <v>1.1789412400715267</v>
      </c>
      <c r="AP137" s="37">
        <f>IF(Tabela3[[#This Row],[Lucro/Ação]]&gt;0,Tabela3[[#This Row],[Cotação]]/(Tabela3[[#This Row],[Lucro/Ação]]/[Ref]*4),0)</f>
        <v>6.2901729284888255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3.0180591491104386E-2</v>
      </c>
      <c r="AU137" s="18">
        <f>((1+Tabela3[[#This Row],[% Yield]])^(1/(3*Tabela3[[#This Row],[Ref]])))^(12)-1</f>
        <v>4.0441863033111147E-2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12.5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idden="1">
      <c r="A138" s="3" t="s">
        <v>835</v>
      </c>
      <c r="B138" s="125" t="s">
        <v>831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8" s="18">
        <f>IF(Tabela3[[#This Row],[Lucro Líquido]]&gt;0,Tabela3[[#This Row],[Lucro Líquido]]/Tabela3[[#This Row],[Patrimônio Líquido]],0)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2.2979292427324034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idden="1">
      <c r="A139" s="3" t="s">
        <v>835</v>
      </c>
      <c r="B139" s="125" t="s">
        <v>832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39" s="18">
        <f>IF(Tabela3[[#This Row],[Lucro Líquido]]&gt;0,Tabela3[[#This Row],[Lucro Líquido]]/Tabela3[[#This Row],[Patrimônio Líquido]],0)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2.2979292427324034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100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idden="1">
      <c r="A140" s="4" t="s">
        <v>12</v>
      </c>
      <c r="B140" s="57" t="s">
        <v>462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0" s="19">
        <f>IF(Tabela3[[#This Row],[Lucro Líquido]]&gt;0,Tabela3[[#This Row],[Lucro Líquido]]/Tabela3[[#This Row],[Patrimônio Líquido]],0)</f>
        <v>7.7599250330004241E-2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2.2979292427324034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idden="1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598245376.40999997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1" s="19">
        <f>IF(Tabela3[[#This Row],[Lucro Líquido]]&gt;0,Tabela3[[#This Row],[Lucro Líquido]]/Tabela3[[#This Row],[Patrimônio Líquido]],0)</f>
        <v>7.7599250330004241E-2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2.2979292427324034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15.51</v>
      </c>
      <c r="AO141" s="44">
        <f>[Cotação]/[VPA]</f>
        <v>0.31041431949079723</v>
      </c>
      <c r="AP141" s="40">
        <f>IF(Tabela3[[#This Row],[Lucro/Ação]]&gt;0,Tabela3[[#This Row],[Cotação]]/(Tabela3[[#This Row],[Lucro/Ação]]/[Ref]*4),0)</f>
        <v>3.0001673808449181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5.9371687438930759E-2</v>
      </c>
      <c r="AU141" s="19">
        <f>((1+Tabela3[[#This Row],[% Yield]])^(1/(3*Tabela3[[#This Row],[Ref]])))^(12)-1</f>
        <v>7.9935495439270143E-2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15.51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30</v>
      </c>
      <c r="C142" s="82" t="str">
        <f>LEFT([PAPEL],LEN([PAPEL])-(LEN([PAPEL])-4))</f>
        <v>CMIG</v>
      </c>
      <c r="D142" s="15">
        <v>3</v>
      </c>
      <c r="E142" s="6">
        <v>6294208270</v>
      </c>
      <c r="F142" s="8">
        <v>838076946</v>
      </c>
      <c r="G142" s="86">
        <v>0.5</v>
      </c>
      <c r="H142" s="19">
        <v>0.03</v>
      </c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16264234169.68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2" s="49">
        <f>IF(Tabela3[[#This Row],[Lucro Líquido]]&gt;0,Tabela3[[#This Row],[Lucro Líquido]]/Tabela3[[#This Row],[Patrimônio Líquido]],0)</f>
        <v>0.17210476858257881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2.2979292427324034</v>
      </c>
      <c r="Z142" s="28">
        <f>Tabela3[[#This Row],[Capital Social]]*20%</f>
        <v>1258841654</v>
      </c>
      <c r="AA142" s="28">
        <f>IF(([Lucro Líquido]*5%)&gt;[Teto R. Legal],[Teto R. Legal],[Lucro Líquido]*5%)</f>
        <v>113571300</v>
      </c>
      <c r="AB142" s="90">
        <f>IF([Lucro Líquido]&lt;0,0,[Lucro Líquido]-[Reserva Legal])</f>
        <v>2157854700</v>
      </c>
      <c r="AC142" s="90">
        <f>Tabela3[[#This Row],[Lucro Distribuir]]*[%Div]</f>
        <v>1078927350</v>
      </c>
      <c r="AD142" s="56">
        <f>SUMPRODUCT(N([Nome]=Tabela3[[#This Row],[Nome]]),[Ações])</f>
        <v>1258841654</v>
      </c>
      <c r="AE142" s="28">
        <f>[Capital Social]/[Total Ações]</f>
        <v>5</v>
      </c>
      <c r="AF142" s="79">
        <f>Tabela3[[#This Row],[Lucro Líquido]]/Tabela3[[#This Row],[Total Ações]]</f>
        <v>1.8043778522759304</v>
      </c>
      <c r="AG142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2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28">
        <f>[Div Base]*[Ações]</f>
        <v>718298552.93608928</v>
      </c>
      <c r="AL142" s="28">
        <f>SUMPRODUCT(N([Nome]=Tabela3[[#This Row],[Nome]]),[Div Base]*[Ações])</f>
        <v>1078927350</v>
      </c>
      <c r="AM142" s="28">
        <f>[Patrimônio Líquido]/[Total Ações]</f>
        <v>10.484182786662062</v>
      </c>
      <c r="AN142" s="29">
        <f>MAX(Tabela3[[#This Row],[Cotação 1]:[Cotação 5]])</f>
        <v>12.92</v>
      </c>
      <c r="AO142" s="30">
        <f>[Cotação]/[VPA]</f>
        <v>1.232332577836851</v>
      </c>
      <c r="AP142" s="35">
        <f>IF(Tabela3[[#This Row],[Lucro/Ação]]&gt;0,Tabela3[[#This Row],[Cotação]]/(Tabela3[[#This Row],[Lucro/Ação]]/[Ref]*4),0)</f>
        <v>5.3702720789759386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25" t="str">
        <f>IF(AND([% A.A.]&gt;=5%,SUMPRODUCT(N([Nome]=Tabela3[[#This Row],[Nome]]),[PL])&gt;0,[Rentabilidade s/ PL]&gt;=[Rentabilidade s/ PL Média]),"Sim","Não")</f>
        <v>Sim</v>
      </c>
      <c r="AT142" s="27">
        <f>IF([Cotação]&gt;0,Tabela3[[#This Row],[Lucro]]/Tabela3[[#This Row],[Cotação]],0)</f>
        <v>6.6337421039556269E-2</v>
      </c>
      <c r="AU142" s="49">
        <f>((1+Tabela3[[#This Row],[% Yield]])^(1/(3*Tabela3[[#This Row],[Ref]])))^(12)-1</f>
        <v>8.941378642807396E-2</v>
      </c>
      <c r="AV142" s="14">
        <f>IF([Cotação]&gt;0,($BH$1/Tabela3[[#This Row],[Cotação]]-MOD($BH$1/Tabela3[[#This Row],[Cotação]],100)),)</f>
        <v>0</v>
      </c>
      <c r="AW142" s="7">
        <f>Tabela3[[#This Row],[Ativos]]*[Lucro]</f>
        <v>0</v>
      </c>
      <c r="AX142" s="5">
        <f>SUMPRODUCT(N(Tabela1[Código]=Tabela3[[#This Row],[PAPEL]]),Tabela1[Fechamento])</f>
        <v>12.92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31</v>
      </c>
      <c r="C143" s="15" t="str">
        <f>LEFT([PAPEL],LEN([PAPEL])-(LEN([PAPEL])-4))</f>
        <v>CMIG</v>
      </c>
      <c r="D143" s="15">
        <v>3</v>
      </c>
      <c r="E143" s="6">
        <v>6294208270</v>
      </c>
      <c r="F143" s="8">
        <v>420764708</v>
      </c>
      <c r="G143" s="81">
        <v>0.5</v>
      </c>
      <c r="H143" s="15"/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16516002500.48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3" s="49">
        <f>IF(Tabela3[[#This Row],[Lucro Líquido]]&gt;0,Tabela3[[#This Row],[Lucro Líquido]]/Tabela3[[#This Row],[Patrimônio Líquido]],0)</f>
        <v>0.17210476858257881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2.2979292427324034</v>
      </c>
      <c r="Z143" s="13">
        <f>Tabela3[[#This Row],[Capital Social]]*20%</f>
        <v>1258841654</v>
      </c>
      <c r="AA143" s="13">
        <f>IF(([Lucro Líquido]*5%)&gt;[Teto R. Legal],[Teto R. Legal],[Lucro Líquido]*5%)</f>
        <v>113571300</v>
      </c>
      <c r="AB143" s="89">
        <f>IF([Lucro Líquido]&lt;0,0,[Lucro Líquido]-[Reserva Legal])</f>
        <v>2157854700</v>
      </c>
      <c r="AC143" s="89">
        <f>Tabela3[[#This Row],[Lucro Distribuir]]*[%Div]</f>
        <v>1078927350</v>
      </c>
      <c r="AD143" s="56">
        <f>SUMPRODUCT(N([Nome]=Tabela3[[#This Row],[Nome]]),[Ações])</f>
        <v>1258841654</v>
      </c>
      <c r="AE143" s="6">
        <f>[Capital Social]/[Total Ações]</f>
        <v>5</v>
      </c>
      <c r="AF143" s="78">
        <f>Tabela3[[#This Row],[Lucro Líquido]]/Tabela3[[#This Row],[Total Ações]]</f>
        <v>1.8043778522759304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13">
        <f>[Div Base]*[Ações]</f>
        <v>360628797.06391078</v>
      </c>
      <c r="AL143" s="13">
        <f>SUMPRODUCT(N([Nome]=Tabela3[[#This Row],[Nome]]),[Div Base]*[Ações])</f>
        <v>1078927350</v>
      </c>
      <c r="AM143" s="6">
        <f>[Patrimônio Líquido]/[Total Ações]</f>
        <v>10.484182786662062</v>
      </c>
      <c r="AN143" s="48">
        <f>MAX(Tabela3[[#This Row],[Cotação 1]:[Cotação 5]])</f>
        <v>13.12</v>
      </c>
      <c r="AO143" s="44">
        <f>[Cotação]/[VPA]</f>
        <v>1.25140893353092</v>
      </c>
      <c r="AP143" s="40">
        <f>IF(Tabela3[[#This Row],[Lucro/Ação]]&gt;0,Tabela3[[#This Row],[Cotação]]/(Tabela3[[#This Row],[Lucro/Ação]]/[Ref]*4),0)</f>
        <v>5.4534032257093124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14" t="str">
        <f>IF(AND([% A.A.]&gt;=5%,SUMPRODUCT(N([Nome]=Tabela3[[#This Row],[Nome]]),[PL])&gt;0,[Rentabilidade s/ PL]&gt;=[Rentabilidade s/ PL Média]),"Sim","Não")</f>
        <v>Sim</v>
      </c>
      <c r="AT143" s="42">
        <f>IF([Cotação]&gt;0,Tabela3[[#This Row],[Lucro]]/Tabela3[[#This Row],[Cotação]],0)</f>
        <v>6.5326179865172793E-2</v>
      </c>
      <c r="AU143" s="19">
        <f>((1+Tabela3[[#This Row],[% Yield]])^(1/(3*Tabela3[[#This Row],[Ref]])))^(12)-1</f>
        <v>8.803650390916351E-2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47">
        <f>SUMPRODUCT(N(Tabela1[Código]=Tabela3[[#This Row],[PAPEL]]),Tabela1[Fechamento])</f>
        <v>13.12</v>
      </c>
      <c r="AY143" s="4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idden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3752625411.8000002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4" s="19">
        <f>IF(Tabela3[[#This Row],[Lucro Líquido]]&gt;0,Tabela3[[#This Row],[Lucro Líquido]]/Tabela3[[#This Row],[Patrimônio Líquido]],0)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2.2979292427324034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48.2</v>
      </c>
      <c r="AO144" s="44">
        <f>[Cotação]/[VPA]</f>
        <v>2.3958183668374913</v>
      </c>
      <c r="AP144" s="40">
        <f>IF(Tabela3[[#This Row],[Lucro/Ação]]&gt;0,Tabela3[[#This Row],[Cotação]]/(Tabela3[[#This Row],[Lucro/Ação]]/[Ref]*4),0)</f>
        <v>23.969860061575414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9.9082764517562389E-3</v>
      </c>
      <c r="AU144" s="19">
        <f>((1+Tabela3[[#This Row],[% Yield]])^(1/(3*Tabela3[[#This Row],[Ref]])))^(12)-1</f>
        <v>9.9082764517550714E-3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48.2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idden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2966286891.9000001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5" s="19">
        <f>IF(Tabela3[[#This Row],[Lucro Líquido]]&gt;0,Tabela3[[#This Row],[Lucro Líquido]]/Tabela3[[#This Row],[Patrimônio Líquido]],0)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2.2979292427324034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38.1</v>
      </c>
      <c r="AO145" s="53">
        <f>[Cotação]/[VPA]</f>
        <v>1.8937900368570211</v>
      </c>
      <c r="AP145" s="37">
        <f>IF(Tabela3[[#This Row],[Lucro/Ação]]&gt;0,Tabela3[[#This Row],[Cotação]]/(Tabela3[[#This Row],[Lucro/Ação]]/[Ref]*4),0)</f>
        <v>18.947130048672683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1.2534879920594506E-2</v>
      </c>
      <c r="AU145" s="18">
        <f>((1+Tabela3[[#This Row],[% Yield]])^(1/(3*Tabela3[[#This Row],[Ref]])))^(12)-1</f>
        <v>1.2534879920595543E-2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38.1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idden="1">
      <c r="A146" s="3" t="s">
        <v>12</v>
      </c>
      <c r="B146" s="58" t="s">
        <v>481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6" s="19">
        <f>IF(Tabela3[[#This Row],[Lucro Líquido]]&gt;0,Tabela3[[#This Row],[Lucro Líquido]]/Tabela3[[#This Row],[Patrimônio Líquido]],0)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2.2979292427324034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idden="1">
      <c r="A147" s="3" t="s">
        <v>341</v>
      </c>
      <c r="B147" s="57" t="s">
        <v>725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7" s="19">
        <f>IF(Tabela3[[#This Row],[Lucro Líquido]]&gt;0,Tabela3[[#This Row],[Lucro Líquido]]/Tabela3[[#This Row],[Patrimônio Líquido]],0)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2.2979292427324034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idden="1">
      <c r="A148" s="3" t="s">
        <v>341</v>
      </c>
      <c r="B148" s="57" t="s">
        <v>726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8" s="19">
        <f>IF(Tabela3[[#This Row],[Lucro Líquido]]&gt;0,Tabela3[[#This Row],[Lucro Líquido]]/Tabela3[[#This Row],[Patrimônio Líquido]],0)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2.2979292427324034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idden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15858279804.800001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49" s="49">
        <f>IF(Tabela3[[#This Row],[Lucro Líquido]]&gt;0,Tabela3[[#This Row],[Lucro Líquido]]/Tabela3[[#This Row],[Patrimônio Líquido]],0)</f>
        <v>9.4106815521136034E-2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2.2979292427324034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16.48</v>
      </c>
      <c r="AO149" s="30">
        <f>[Cotação]/[VPA]</f>
        <v>2.3446944284549627</v>
      </c>
      <c r="AP149" s="35">
        <f>IF(Tabela3[[#This Row],[Lucro/Ação]]&gt;0,Tabela3[[#This Row],[Cotação]]/(Tabela3[[#This Row],[Lucro/Ação]]/[Ref]*4),0)</f>
        <v>18.686434256680005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9.532316200792779E-3</v>
      </c>
      <c r="AU149" s="49">
        <f>((1+Tabela3[[#This Row],[% Yield]])^(1/(3*Tabela3[[#This Row],[Ref]])))^(12)-1</f>
        <v>1.2729904564172001E-2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16.48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 hidden="1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4925796750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0" s="49">
        <f>IF(Tabela3[[#This Row],[Lucro Líquido]]&gt;0,Tabela3[[#This Row],[Lucro Líquido]]/Tabela3[[#This Row],[Patrimônio Líquido]],0)</f>
        <v>7.0039892036208792E-2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2.2979292427324034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18</v>
      </c>
      <c r="AO150" s="30">
        <f>[Cotação]/[VPA]</f>
        <v>0.3839766728054021</v>
      </c>
      <c r="AP150" s="35">
        <f>IF(Tabela3[[#This Row],[Lucro/Ação]]&gt;0,Tabela3[[#This Row],[Cotação]]/(Tabela3[[#This Row],[Lucro/Ação]]/[Ref]*4),0)</f>
        <v>4.1116925830664064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4.3186143556902284E-2</v>
      </c>
      <c r="AU150" s="49">
        <f>((1+Tabela3[[#This Row],[% Yield]])^(1/(3*Tabela3[[#This Row],[Ref]])))^(12)-1</f>
        <v>5.7992071224819197E-2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18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idden="1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1" s="135">
        <f>IF(Tabela3[[#This Row],[Lucro Líquido]]&gt;0,Tabela3[[#This Row],[Lucro Líquido]]/Tabela3[[#This Row],[Patrimônio Líquido]],0)</f>
        <v>7.0039892036208792E-2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2.2979292427324034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idden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6707293241.25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2" s="18">
        <f>IF(Tabela3[[#This Row],[Lucro Líquido]]&gt;0,Tabela3[[#This Row],[Lucro Líquido]]/Tabela3[[#This Row],[Patrimônio Líquido]],0)</f>
        <v>7.0039892036208792E-2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2.2979292427324034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24.51</v>
      </c>
      <c r="AO152" s="44">
        <f>[Cotação]/[VPA]</f>
        <v>0.52284823613668918</v>
      </c>
      <c r="AP152" s="40">
        <f>IF(Tabela3[[#This Row],[Lucro/Ação]]&gt;0,Tabela3[[#This Row],[Cotação]]/(Tabela3[[#This Row],[Lucro/Ação]]/[Ref]*4),0)</f>
        <v>5.5987547339420907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3.1715650102988213E-2</v>
      </c>
      <c r="AU152" s="19">
        <f>((1+Tabela3[[#This Row],[% Yield]])^(1/(3*Tabela3[[#This Row],[Ref]])))^(12)-1</f>
        <v>4.2509507961898674E-2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24.51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idden="1">
      <c r="A153" s="3" t="s">
        <v>1093</v>
      </c>
      <c r="B153" s="57" t="s">
        <v>1102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155986659.64000002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3" s="18">
        <f>IF(Tabela3[[#This Row],[Lucro Líquido]]&gt;0,Tabela3[[#This Row],[Lucro Líquido]]/Tabela3[[#This Row],[Patrimônio Líquido]],0)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2.2979292427324034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3.22</v>
      </c>
      <c r="AO153" s="53">
        <f>[Cotação]/[VPA]</f>
        <v>0.42497271398252562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100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3.22</v>
      </c>
      <c r="BB153" s="7">
        <f>SUMPRODUCT(N(Tabela17683[Código]=Tabela3[[#This Row],[PAPEL]]),Tabela17683[Fechamento])</f>
        <v>0</v>
      </c>
    </row>
    <row r="154" spans="1:54" hidden="1">
      <c r="A154" s="4" t="s">
        <v>757</v>
      </c>
      <c r="B154" s="57" t="s">
        <v>755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374868889.60000002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4" s="19">
        <f>IF(Tabela3[[#This Row],[Lucro Líquido]]&gt;0,Tabela3[[#This Row],[Lucro Líquido]]/Tabela3[[#This Row],[Patrimônio Líquido]],0)</f>
        <v>9.6393530032869004E-2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2.2979292427324034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12.8</v>
      </c>
      <c r="AO154" s="44">
        <f>[Cotação]/[VPA]</f>
        <v>1.3150018402433079</v>
      </c>
      <c r="AP154" s="40">
        <f>IF(Tabela3[[#This Row],[Lucro/Ação]]&gt;0,Tabela3[[#This Row],[Cotação]]/(Tabela3[[#This Row],[Lucro/Ação]]/[Ref]*4),0)</f>
        <v>10.231510142290476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2.4373234892202694E-2</v>
      </c>
      <c r="AU154" s="42">
        <f>((1+Tabela3[[#This Row],[% Yield]])^(1/(3*Tabela3[[#This Row],[Ref]])))^(12)-1</f>
        <v>3.2628950806038892E-2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12.8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idden="1">
      <c r="A155" s="4" t="s">
        <v>360</v>
      </c>
      <c r="B155" s="57" t="s">
        <v>363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420948293.94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5" s="19">
        <f>IF(Tabela3[[#This Row],[Lucro Líquido]]&gt;0,Tabela3[[#This Row],[Lucro Líquido]]/Tabela3[[#This Row],[Patrimônio Líquido]],0)</f>
        <v>5.3691156582783436E-2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2.2979292427324034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3.98</v>
      </c>
      <c r="AO155" s="44">
        <f>[Cotação]/[VPA]</f>
        <v>0.57213884421912486</v>
      </c>
      <c r="AP155" s="40">
        <f>IF(Tabela3[[#This Row],[Lucro/Ação]]&gt;0,Tabela3[[#This Row],[Cotação]]/(Tabela3[[#This Row],[Lucro/Ação]]/[Ref]*4),0)</f>
        <v>7.9920821318634028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100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3.98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360</v>
      </c>
      <c r="B156" s="57" t="s">
        <v>364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396622136.25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6" s="19">
        <f>IF(Tabela3[[#This Row],[Lucro Líquido]]&gt;0,Tabela3[[#This Row],[Lucro Líquido]]/Tabela3[[#This Row],[Patrimônio Líquido]],0)</f>
        <v>5.3691156582783436E-2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2.2979292427324034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3.75</v>
      </c>
      <c r="AO156" s="44">
        <f>[Cotação]/[VPA]</f>
        <v>0.53907554417631109</v>
      </c>
      <c r="AP156" s="40">
        <f>IF(Tabela3[[#This Row],[Lucro/Ação]]&gt;0,Tabela3[[#This Row],[Cotação]]/(Tabela3[[#This Row],[Lucro/Ação]]/[Ref]*4),0)</f>
        <v>7.5302281393185329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6.6763797528711435E-2</v>
      </c>
      <c r="AU156" s="19">
        <f>((1+Tabela3[[#This Row],[% Yield]])^(1/(3*Tabela3[[#This Row],[Ref]])))^(12)-1</f>
        <v>8.9994629938163762E-2</v>
      </c>
      <c r="AV156" s="14">
        <f>IF([Cotação]&gt;0,($BH$1/Tabela3[[#This Row],[Cotação]]-MOD($BH$1/Tabela3[[#This Row],[Cotação]],100)),)</f>
        <v>100</v>
      </c>
      <c r="AW156" s="17">
        <f>Tabela3[[#This Row],[Ativos]]*[Lucro]</f>
        <v>25.03642407326679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3.75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idden="1">
      <c r="A157" s="3" t="s">
        <v>800</v>
      </c>
      <c r="B157" s="58" t="s">
        <v>799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30141043860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7" s="18">
        <f>IF(Tabela3[[#This Row],[Lucro Líquido]]&gt;0,Tabela3[[#This Row],[Lucro Líquido]]/Tabela3[[#This Row],[Patrimônio Líquido]],0)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2.2979292427324034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19.72</v>
      </c>
      <c r="AO157" s="53">
        <f>[Cotação]/[VPA]</f>
        <v>12.35099368375503</v>
      </c>
      <c r="AP157" s="37">
        <f>IF(Tabela3[[#This Row],[Lucro/Ação]]&gt;0,Tabela3[[#This Row],[Cotação]]/(Tabela3[[#This Row],[Lucro/Ação]]/[Ref]*4),0)</f>
        <v>17.789862525836902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1.3350299905638371E-2</v>
      </c>
      <c r="AU157" s="22">
        <f>((1+Tabela3[[#This Row],[% Yield]])^(1/(3*Tabela3[[#This Row],[Ref]])))^(12)-1</f>
        <v>1.3350299905636742E-2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19.72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idden="1">
      <c r="A158" s="4" t="s">
        <v>26</v>
      </c>
      <c r="B158" s="57" t="s">
        <v>246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8" s="19">
        <f>IF(Tabela3[[#This Row],[Lucro Líquido]]&gt;0,Tabela3[[#This Row],[Lucro Líquido]]/Tabela3[[#This Row],[Patrimônio Líquido]],0)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2.2979292427324034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idden="1">
      <c r="A159" s="4" t="s">
        <v>26</v>
      </c>
      <c r="B159" s="57" t="s">
        <v>247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231321600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59" s="19">
        <f>IF(Tabela3[[#This Row],[Lucro Líquido]]&gt;0,Tabela3[[#This Row],[Lucro Líquido]]/Tabela3[[#This Row],[Patrimônio Líquido]],0)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2.2979292427324034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30.12</v>
      </c>
      <c r="AO159" s="44">
        <f>[Cotação]/[VPA]</f>
        <v>1.3200951886367138</v>
      </c>
      <c r="AP159" s="40">
        <f>IF(Tabela3[[#This Row],[Lucro/Ação]]&gt;0,Tabela3[[#This Row],[Cotação]]/(Tabela3[[#This Row],[Lucro/Ação]]/[Ref]*4),0)</f>
        <v>21.808390685396436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1.0890303802152501E-2</v>
      </c>
      <c r="AU159" s="19">
        <f>((1+Tabela3[[#This Row],[% Yield]])^(1/(3*Tabela3[[#This Row],[Ref]])))^(12)-1</f>
        <v>1.0890303802153056E-2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30.12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idden="1">
      <c r="A160" s="3" t="s">
        <v>265</v>
      </c>
      <c r="B160" s="58" t="s">
        <v>266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14614923129.17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0" s="19">
        <f>IF(Tabela3[[#This Row],[Lucro Líquido]]&gt;0,Tabela3[[#This Row],[Lucro Líquido]]/Tabela3[[#This Row],[Patrimônio Líquido]],0)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2.2979292427324034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35.89</v>
      </c>
      <c r="AO160" s="53">
        <f>[Cotação]/[VPA]</f>
        <v>1.5009896548938066</v>
      </c>
      <c r="AP160" s="37">
        <f>IF(Tabela3[[#This Row],[Lucro/Ação]]&gt;0,Tabela3[[#This Row],[Cotação]]/(Tabela3[[#This Row],[Lucro/Ação]]/[Ref]*4),0)</f>
        <v>62.416925599701052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3.8050576461128608E-3</v>
      </c>
      <c r="AU160" s="18">
        <f>((1+Tabela3[[#This Row],[% Yield]])^(1/(3*Tabela3[[#This Row],[Ref]])))^(12)-1</f>
        <v>3.8050576461128305E-3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35.89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idden="1">
      <c r="A161" s="4" t="s">
        <v>37</v>
      </c>
      <c r="B161" s="57" t="s">
        <v>180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3949586190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1" s="19">
        <f>IF(Tabela3[[#This Row],[Lucro Líquido]]&gt;0,Tabela3[[#This Row],[Lucro Líquido]]/Tabela3[[#This Row],[Patrimônio Líquido]],0)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2.2979292427324034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33</v>
      </c>
      <c r="AO161" s="44">
        <f>[Cotação]/[VPA]</f>
        <v>0.73998885778528289</v>
      </c>
      <c r="AP161" s="40">
        <f>IF(Tabela3[[#This Row],[Lucro/Ação]]&gt;0,Tabela3[[#This Row],[Cotação]]/(Tabela3[[#This Row],[Lucro/Ação]]/[Ref]*4),0)</f>
        <v>9.4083688228778328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2.524348316601745E-2</v>
      </c>
      <c r="AU161" s="19">
        <f>((1+Tabela3[[#This Row],[% Yield]])^(1/(3*Tabela3[[#This Row],[Ref]])))^(12)-1</f>
        <v>2.524348316601932E-2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33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idden="1">
      <c r="A162" s="4" t="s">
        <v>237</v>
      </c>
      <c r="B162" s="57" t="s">
        <v>597</v>
      </c>
      <c r="C162" s="15" t="str">
        <f>LEFT([PAPEL],LEN([PAPEL])-(LEN([PAPEL])-4))</f>
        <v>CSNA</v>
      </c>
      <c r="D162" s="15">
        <v>3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/>
      <c r="N162" s="55"/>
      <c r="O162" s="55"/>
      <c r="P162" s="92">
        <v>8507300000</v>
      </c>
      <c r="Q162" s="93">
        <v>1021477000</v>
      </c>
      <c r="R162" s="93">
        <f>IF(Tabela3[[#This Row],[Ativo || Passivo]]&gt;0,Tabela3[[#This Row],[Ativo || Passivo]]-Tabela3[[#This Row],[Patrimônio Líquido]],0)</f>
        <v>0</v>
      </c>
      <c r="S162" s="93">
        <f>Tabela3[[#This Row],[Cotação]]*Tabela3[[#This Row],[Total Ações]]</f>
        <v>15498222248.040001</v>
      </c>
      <c r="T162" s="40">
        <f>IF(Tabela3[[#This Row],[Passivo Circulante]]&gt;0,Tabela3[[#This Row],[Ativo Circulante]]/Tabela3[[#This Row],[Passivo Circulante]],0)</f>
        <v>0</v>
      </c>
      <c r="U16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2" s="19">
        <f>IF(Tabela3[[#This Row],[Lucro Líquido]]&gt;0,Tabela3[[#This Row],[Lucro Líquido]]/Tabela3[[#This Row],[Patrimônio Líquido]],0)</f>
        <v>0.12007064521058385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2" s="19">
        <f>IF(Tabela3[[#This Row],[Dívida]]&gt;0,Tabela3[[#This Row],[Dívida]]/Tabela3[[#This Row],[Patrimônio Líquido]],0)</f>
        <v>0</v>
      </c>
      <c r="Y162" s="19">
        <f>SUMPRODUCT(N([Dívida / PL]&gt;0),N(RIGHT([PAPEL],LEN([PAPEL])-(LEN([PAPEL])-1))="3"),[Dívida / PL])/SUMPRODUCT(N([Dívida / PL]&gt;0),N(RIGHT([PAPEL],LEN([PAPEL])-(LEN([PAPEL])-1))="3"))</f>
        <v>2.2979292427324034</v>
      </c>
      <c r="Z162" s="13">
        <f>Tabela3[[#This Row],[Capital Social]]*20%</f>
        <v>908000000</v>
      </c>
      <c r="AA162" s="13">
        <f>IF(([Lucro Líquido]*5%)&gt;[Teto R. Legal],[Teto R. Legal],[Lucro Líquido]*5%)</f>
        <v>51073850</v>
      </c>
      <c r="AB162" s="13">
        <f>IF([Lucro Líquido]&lt;0,0,[Lucro Líquido]-[Reserva Legal])</f>
        <v>970403150</v>
      </c>
      <c r="AC162" s="13">
        <f>Tabela3[[#This Row],[Lucro Distribuir]]*[%Div]</f>
        <v>242600787.5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0.70061587298331629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AK162" s="13">
        <f>[Div Base]*[Ações]</f>
        <v>242600787.50000003</v>
      </c>
      <c r="AL162" s="13">
        <f>SUMPRODUCT(N([Nome]=Tabela3[[#This Row],[Nome]]),[Div Base]*[Ações])</f>
        <v>242600787.50000003</v>
      </c>
      <c r="AM162" s="6">
        <f>[Patrimônio Líquido]/[Total Ações]</f>
        <v>5.8350304668934951</v>
      </c>
      <c r="AN162" s="48">
        <f>MAX(Tabela3[[#This Row],[Cotação 1]:[Cotação 5]])</f>
        <v>10.63</v>
      </c>
      <c r="AO162" s="44">
        <f>[Cotação]/[VPA]</f>
        <v>1.821755697817169</v>
      </c>
      <c r="AP162" s="40">
        <f>IF(Tabela3[[#This Row],[Lucro/Ação]]&gt;0,Tabela3[[#This Row],[Cotação]]/(Tabela3[[#This Row],[Lucro/Ação]]/[Ref]*4),0)</f>
        <v>11.379274017946564</v>
      </c>
      <c r="AQ162" s="78">
        <f>[Lucro Distribuir]/[Total Ações]</f>
        <v>0.66558507933415056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1.5653459062421226E-2</v>
      </c>
      <c r="AU162" s="42">
        <f>((1+Tabela3[[#This Row],[% Yield]])^(1/(3*Tabela3[[#This Row],[Ref]])))^(12)-1</f>
        <v>2.0925541848329621E-2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10.63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idden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1596703266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3" s="19">
        <f>IF(Tabela3[[#This Row],[Lucro Líquido]]&gt;0,Tabela3[[#This Row],[Lucro Líquido]]/Tabela3[[#This Row],[Patrimônio Líquido]],0)</f>
        <v>0.17473465545048389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2.2979292427324034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9.5</v>
      </c>
      <c r="AO163" s="44">
        <f>[Cotação]/[VPA]</f>
        <v>1.8046065757753509</v>
      </c>
      <c r="AP163" s="40">
        <f>IF(Tabela3[[#This Row],[Lucro/Ação]]&gt;0,Tabela3[[#This Row],[Cotação]]/(Tabela3[[#This Row],[Lucro/Ação]]/[Ref]*4),0)</f>
        <v>7.745772745207109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2.22809085147334E-2</v>
      </c>
      <c r="AU163" s="19">
        <f>((1+Tabela3[[#This Row],[% Yield]])^(1/(3*Tabela3[[#This Row],[Ref]])))^(12)-1</f>
        <v>2.9817656555644501E-2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9.5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idden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4" s="19">
        <f>IF(Tabela3[[#This Row],[Lucro Líquido]]&gt;0,Tabela3[[#This Row],[Lucro Líquido]]/Tabela3[[#This Row],[Patrimônio Líquido]],0)</f>
        <v>0.17473465545048389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2.2979292427324034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idden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1512666252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5" s="19">
        <f>IF(Tabela3[[#This Row],[Lucro Líquido]]&gt;0,Tabela3[[#This Row],[Lucro Líquido]]/Tabela3[[#This Row],[Patrimônio Líquido]],0)</f>
        <v>0.17473465545048389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2.2979292427324034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</v>
      </c>
      <c r="AO165" s="44">
        <f>[Cotação]/[VPA]</f>
        <v>1.7096272823134904</v>
      </c>
      <c r="AP165" s="40">
        <f>IF(Tabela3[[#This Row],[Lucro/Ação]]&gt;0,Tabela3[[#This Row],[Cotação]]/(Tabela3[[#This Row],[Lucro/Ação]]/[Ref]*4),0)</f>
        <v>7.3381004954593667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2.5870610477547143E-2</v>
      </c>
      <c r="AU165" s="19">
        <f>((1+Tabela3[[#This Row],[% Yield]])^(1/(3*Tabela3[[#This Row],[Ref]])))^(12)-1</f>
        <v>3.4642032113114229E-2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idden="1">
      <c r="A166" s="3" t="s">
        <v>1209</v>
      </c>
      <c r="B166" s="57" t="s">
        <v>1193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7064037584.0999994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6" s="18">
        <f>IF(Tabela3[[#This Row],[Lucro Líquido]]&gt;0,Tabela3[[#This Row],[Lucro Líquido]]/Tabela3[[#This Row],[Patrimônio Líquido]],0)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2.2979292427324034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20.43</v>
      </c>
      <c r="AO166" s="53">
        <f>[Cotação]/[VPA]</f>
        <v>16.118813055849657</v>
      </c>
      <c r="AP166" s="37">
        <f>IF(Tabela3[[#This Row],[Lucro/Ação]]&gt;0,Tabela3[[#This Row],[Cotação]]/(Tabela3[[#This Row],[Lucro/Ação]]/[Ref]*4),0)</f>
        <v>69.081212866600822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1.7189912433835237E-2</v>
      </c>
      <c r="AU166" s="22">
        <f>((1+Tabela3[[#This Row],[% Yield]])^(1/(3*Tabela3[[#This Row],[Ref]])))^(12)-1</f>
        <v>1.7189912433836385E-2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20.43</v>
      </c>
    </row>
    <row r="167" spans="1:54" hidden="1">
      <c r="A167" s="3" t="s">
        <v>1209</v>
      </c>
      <c r="B167" s="57" t="s">
        <v>1194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2074607220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7" s="18">
        <f>IF(Tabela3[[#This Row],[Lucro Líquido]]&gt;0,Tabela3[[#This Row],[Lucro Líquido]]/Tabela3[[#This Row],[Patrimônio Líquido]],0)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2.2979292427324034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6</v>
      </c>
      <c r="AO167" s="53">
        <f>[Cotação]/[VPA]</f>
        <v>4.7338658020116462</v>
      </c>
      <c r="AP167" s="37">
        <f>IF(Tabela3[[#This Row],[Lucro/Ação]]&gt;0,Tabela3[[#This Row],[Cotação]]/(Tabela3[[#This Row],[Lucro/Ação]]/[Ref]*4),0)</f>
        <v>20.288168242760889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1.1706330367441795E-2</v>
      </c>
      <c r="AU167" s="22">
        <f>((1+Tabela3[[#This Row],[% Yield]])^(1/(3*Tabela3[[#This Row],[Ref]])))^(12)-1</f>
        <v>1.1706330367439843E-2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6</v>
      </c>
    </row>
    <row r="168" spans="1:54" hidden="1">
      <c r="A168" s="3" t="s">
        <v>1209</v>
      </c>
      <c r="B168" s="57" t="s">
        <v>1195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1234391295.8999999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8" s="18">
        <f>IF(Tabela3[[#This Row],[Lucro Líquido]]&gt;0,Tabela3[[#This Row],[Lucro Líquido]]/Tabela3[[#This Row],[Patrimônio Líquido]],0)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2.2979292427324034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3.57</v>
      </c>
      <c r="AO168" s="53">
        <f>[Cotação]/[VPA]</f>
        <v>2.8166501521969294</v>
      </c>
      <c r="AP168" s="37">
        <f>IF(Tabela3[[#This Row],[Lucro/Ação]]&gt;0,Tabela3[[#This Row],[Cotação]]/(Tabela3[[#This Row],[Lucro/Ação]]/[Ref]*4),0)</f>
        <v>12.071460104442728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1.9674504819229909E-2</v>
      </c>
      <c r="AU168" s="22">
        <f>((1+Tabela3[[#This Row],[% Yield]])^(1/(3*Tabela3[[#This Row],[Ref]])))^(12)-1</f>
        <v>1.9674504819230165E-2</v>
      </c>
      <c r="AV168" s="10">
        <f>IF([Cotação]&gt;0,($BH$1/Tabela3[[#This Row],[Cotação]]-MOD($BH$1/Tabela3[[#This Row],[Cotação]],100)),)</f>
        <v>100</v>
      </c>
      <c r="AW168" s="7">
        <f>Tabela3[[#This Row],[Ativos]]*[Lucro]</f>
        <v>7.0237982204650775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3.57</v>
      </c>
    </row>
    <row r="169" spans="1:54" hidden="1">
      <c r="A169" s="4" t="s">
        <v>373</v>
      </c>
      <c r="B169" s="57" t="s">
        <v>375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6426492542.9300003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69" s="19">
        <f>IF(Tabela3[[#This Row],[Lucro Líquido]]&gt;0,Tabela3[[#This Row],[Lucro Líquido]]/Tabela3[[#This Row],[Patrimônio Líquido]],0)</f>
        <v>0.16212351597180844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2.2979292427324034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24.67</v>
      </c>
      <c r="AO169" s="44">
        <f>[Cotação]/[VPA]</f>
        <v>3.9354603008442894</v>
      </c>
      <c r="AP169" s="40">
        <f>IF(Tabela3[[#This Row],[Lucro/Ação]]&gt;0,Tabela3[[#This Row],[Cotação]]/(Tabela3[[#This Row],[Lucro/Ação]]/[Ref]*4),0)</f>
        <v>18.205842674584407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9.7839470099708586E-3</v>
      </c>
      <c r="AU169" s="19">
        <f>((1+Tabela3[[#This Row],[% Yield]])^(1/(3*Tabela3[[#This Row],[Ref]])))^(12)-1</f>
        <v>1.3066488976743118E-2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24.67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idden="1">
      <c r="A170" s="3" t="s">
        <v>910</v>
      </c>
      <c r="B170" s="58" t="s">
        <v>996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0" s="18">
        <f>IF(Tabela3[[#This Row],[Lucro Líquido]]&gt;0,Tabela3[[#This Row],[Lucro Líquido]]/Tabela3[[#This Row],[Patrimônio Líquido]],0)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2.2979292427324034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200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idden="1">
      <c r="A171" s="3" t="s">
        <v>910</v>
      </c>
      <c r="B171" s="58" t="s">
        <v>997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1" s="18">
        <f>IF(Tabela3[[#This Row],[Lucro Líquido]]&gt;0,Tabela3[[#This Row],[Lucro Líquido]]/Tabela3[[#This Row],[Patrimônio Líquido]],0)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2.2979292427324034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700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 hidden="1">
      <c r="A172" s="3" t="s">
        <v>910</v>
      </c>
      <c r="B172" s="58" t="s">
        <v>976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302688195.16000003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2" s="18">
        <f>IF(Tabela3[[#This Row],[Lucro Líquido]]&gt;0,Tabela3[[#This Row],[Lucro Líquido]]/Tabela3[[#This Row],[Patrimônio Líquido]],0)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2.2979292427324034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2.4700000000000002</v>
      </c>
      <c r="AO172" s="53">
        <f>[Cotação]/[VPA]</f>
        <v>0.30245590902187125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200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2.4700000000000002</v>
      </c>
      <c r="BB172" s="7">
        <f>SUMPRODUCT(N(Tabela17683[Código]=Tabela3[[#This Row],[PAPEL]]),Tabela17683[Fechamento])</f>
        <v>0</v>
      </c>
    </row>
    <row r="173" spans="1:54" hidden="1">
      <c r="A173" s="3" t="s">
        <v>910</v>
      </c>
      <c r="B173" s="58" t="s">
        <v>977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257346238.80000001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3" s="18">
        <f>IF(Tabela3[[#This Row],[Lucro Líquido]]&gt;0,Tabela3[[#This Row],[Lucro Líquido]]/Tabela3[[#This Row],[Patrimônio Líquido]],0)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2.2979292427324034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2.1</v>
      </c>
      <c r="AO173" s="53">
        <f>[Cotação]/[VPA]</f>
        <v>0.25714874856110509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200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2.1</v>
      </c>
      <c r="BB173" s="7">
        <f>SUMPRODUCT(N(Tabela17683[Código]=Tabela3[[#This Row],[PAPEL]]),Tabela17683[Fechamento])</f>
        <v>0</v>
      </c>
    </row>
    <row r="174" spans="1:54" hidden="1">
      <c r="A174" s="3" t="s">
        <v>910</v>
      </c>
      <c r="B174" s="58" t="s">
        <v>981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196495900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4" s="18">
        <f>IF(Tabela3[[#This Row],[Lucro Líquido]]&gt;0,Tabela3[[#This Row],[Lucro Líquido]]/Tabela3[[#This Row],[Patrimônio Líquido]],0)</f>
        <v>0.11543515617103002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2.2979292427324034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5</v>
      </c>
      <c r="AO174" s="53">
        <f>[Cotação]/[VPA]</f>
        <v>0.70936123666084239</v>
      </c>
      <c r="AP174" s="37">
        <f>IF(Tabela3[[#This Row],[Lucro/Ação]]&gt;0,Tabela3[[#This Row],[Cotação]]/(Tabela3[[#This Row],[Lucro/Ação]]/[Ref]*4),0)</f>
        <v>4.6088292782086562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A.A.]&gt;=5%,SUMPRODUCT(N([Nome]=Tabela3[[#This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3.7446137293016393E-2</v>
      </c>
      <c r="AU174" s="22">
        <f>((1+Tabela3[[#This Row],[% Yield]])^(1/(3*Tabela3[[#This Row],[Ref]])))^(12)-1</f>
        <v>5.0237232695795608E-2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5</v>
      </c>
      <c r="BB174" s="7">
        <f>SUMPRODUCT(N(Tabela17683[Código]=Tabela3[[#This Row],[PAPEL]]),Tabela17683[Fechamento])</f>
        <v>0</v>
      </c>
    </row>
    <row r="175" spans="1:54" hidden="1">
      <c r="A175" s="3" t="s">
        <v>910</v>
      </c>
      <c r="B175" s="58" t="s">
        <v>982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234616104.59999999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5" s="18">
        <f>IF(Tabela3[[#This Row],[Lucro Líquido]]&gt;0,Tabela3[[#This Row],[Lucro Líquido]]/Tabela3[[#This Row],[Patrimônio Líquido]],0)</f>
        <v>0.11543515617103002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2.2979292427324034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5.97</v>
      </c>
      <c r="AO175" s="53">
        <f>[Cotação]/[VPA]</f>
        <v>0.84697731657304576</v>
      </c>
      <c r="AP175" s="37">
        <f>IF(Tabela3[[#This Row],[Lucro/Ação]]&gt;0,Tabela3[[#This Row],[Cotação]]/(Tabela3[[#This Row],[Lucro/Ação]]/[Ref]*4),0)</f>
        <v>5.5029421581811357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3.1361924031002006E-2</v>
      </c>
      <c r="AU175" s="22">
        <f>((1+Tabela3[[#This Row],[% Yield]])^(1/(3*Tabela3[[#This Row],[Ref]])))^(12)-1</f>
        <v>4.203296616829344E-2</v>
      </c>
      <c r="AV175" s="10">
        <f>IF([Cotação]&gt;0,($BH$1/Tabela3[[#This Row],[Cotação]]-MOD($BH$1/Tabela3[[#This Row],[Cotação]],100)),)</f>
        <v>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5.97</v>
      </c>
      <c r="BB175" s="7">
        <f>SUMPRODUCT(N(Tabela17683[Código]=Tabela3[[#This Row],[PAPEL]]),Tabela17683[Fechamento])</f>
        <v>0</v>
      </c>
    </row>
    <row r="176" spans="1:54" hidden="1">
      <c r="A176" s="3" t="s">
        <v>910</v>
      </c>
      <c r="B176" s="58" t="s">
        <v>985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6" s="18">
        <f>IF(Tabela3[[#This Row],[Lucro Líquido]]&gt;0,Tabela3[[#This Row],[Lucro Líquido]]/Tabela3[[#This Row],[Patrimônio Líquido]],0)</f>
        <v>0.11543515617103002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2.2979292427324034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idden="1">
      <c r="A177" s="3" t="s">
        <v>869</v>
      </c>
      <c r="B177" s="58" t="s">
        <v>870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1692963450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7" s="18">
        <f>IF(Tabela3[[#This Row],[Lucro Líquido]]&gt;0,Tabela3[[#This Row],[Lucro Líquido]]/Tabela3[[#This Row],[Patrimônio Líquido]],0)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2.2979292427324034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13.05</v>
      </c>
      <c r="AO177" s="53">
        <f>[Cotação]/[VPA]</f>
        <v>5.3527194172270862</v>
      </c>
      <c r="AP177" s="37">
        <f>IF(Tabela3[[#This Row],[Lucro/Ação]]&gt;0,Tabela3[[#This Row],[Cotação]]/(Tabela3[[#This Row],[Lucro/Ação]]/[Ref]*4),0)</f>
        <v>15.158785211582888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1.5667482366497634E-2</v>
      </c>
      <c r="AU177" s="22">
        <f>((1+Tabela3[[#This Row],[% Yield]])^(1/(3*Tabela3[[#This Row],[Ref]])))^(12)-1</f>
        <v>1.5667482366499286E-2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13.05</v>
      </c>
      <c r="BB177" s="7">
        <f>SUMPRODUCT(N(Tabela17683[Código]=Tabela3[[#This Row],[PAPEL]]),Tabela17683[Fechamento])</f>
        <v>0</v>
      </c>
    </row>
    <row r="178" spans="1:54" hidden="1">
      <c r="A178" s="3" t="s">
        <v>1093</v>
      </c>
      <c r="B178" s="57" t="s">
        <v>1103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5520729484.25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8" s="18">
        <f>IF(Tabela3[[#This Row],[Lucro Líquido]]&gt;0,Tabela3[[#This Row],[Lucro Líquido]]/Tabela3[[#This Row],[Patrimônio Líquido]],0)</f>
        <v>9.6553084933264754E-2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2.2979292427324034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13.25</v>
      </c>
      <c r="AO178" s="53">
        <f>[Cotação]/[VPA]</f>
        <v>0.99390923679657139</v>
      </c>
      <c r="AP178" s="37">
        <f>IF(Tabela3[[#This Row],[Lucro/Ação]]&gt;0,Tabela3[[#This Row],[Cotação]]/(Tabela3[[#This Row],[Lucro/Ação]]/[Ref]*4),0)</f>
        <v>7.7204361529479213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2.3071883047952661E-2</v>
      </c>
      <c r="AU178" s="22">
        <f>((1+Tabela3[[#This Row],[% Yield]])^(1/(3*Tabela3[[#This Row],[Ref]])))^(12)-1</f>
        <v>3.088020150789661E-2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13.25</v>
      </c>
      <c r="BB178" s="7">
        <f>SUMPRODUCT(N(Tabela17683[Código]=Tabela3[[#This Row],[PAPEL]]),Tabela17683[Fechamento])</f>
        <v>0</v>
      </c>
    </row>
    <row r="179" spans="1:54" hidden="1">
      <c r="A179" s="4" t="s">
        <v>743</v>
      </c>
      <c r="B179" s="57" t="s">
        <v>745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4692635375.75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79" s="19">
        <f>IF(Tabela3[[#This Row],[Lucro Líquido]]&gt;0,Tabela3[[#This Row],[Lucro Líquido]]/Tabela3[[#This Row],[Patrimônio Líquido]],0)</f>
        <v>3.5010389377740307E-2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2.2979292427324034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15.05</v>
      </c>
      <c r="AO179" s="44">
        <f>[Cotação]/[VPA]</f>
        <v>1.7368564843670771</v>
      </c>
      <c r="AP179" s="40">
        <f>IF(Tabela3[[#This Row],[Lucro/Ação]]&gt;0,Tabela3[[#This Row],[Cotação]]/(Tabela3[[#This Row],[Lucro/Ação]]/[Ref]*4),0)</f>
        <v>37.207308642603422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4.7873658831652727E-3</v>
      </c>
      <c r="AU179" s="42">
        <f>((1+Tabela3[[#This Row],[% Yield]])^(1/(3*Tabela3[[#This Row],[Ref]])))^(12)-1</f>
        <v>6.3882421860332883E-3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15.05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idden="1">
      <c r="A180" s="4" t="s">
        <v>14</v>
      </c>
      <c r="B180" s="57" t="s">
        <v>542</v>
      </c>
      <c r="C180" s="82" t="str">
        <f>LEFT([PAPEL],LEN([PAPEL])-(LEN([PAPEL])-4))</f>
        <v>DAYC</v>
      </c>
      <c r="D180" s="15">
        <v>3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/>
      <c r="N180" s="55"/>
      <c r="O180" s="55"/>
      <c r="P180" s="6">
        <v>2365276000</v>
      </c>
      <c r="Q180" s="6">
        <v>168016000</v>
      </c>
      <c r="R180" s="6">
        <f>IF(Tabela3[[#This Row],[Ativo || Passivo]]&gt;0,Tabela3[[#This Row],[Ativo || Passivo]]-Tabela3[[#This Row],[Patrimônio Líquido]],0)</f>
        <v>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0</v>
      </c>
      <c r="U18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0" s="19">
        <f>IF(Tabela3[[#This Row],[Lucro Líquido]]&gt;0,Tabela3[[#This Row],[Lucro Líquido]]/Tabela3[[#This Row],[Patrimônio Líquido]],0)</f>
        <v>7.1034416279537785E-2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0" s="19">
        <f>IF(Tabela3[[#This Row],[Dívida]]&gt;0,Tabela3[[#This Row],[Dívida]]/Tabela3[[#This Row],[Patrimônio Líquido]],0)</f>
        <v>0</v>
      </c>
      <c r="Y180" s="19">
        <f>SUMPRODUCT(N([Dívida / PL]&gt;0),N(RIGHT([PAPEL],LEN([PAPEL])-(LEN([PAPEL])-1))="3"),[Dívida / PL])/SUMPRODUCT(N([Dívida / PL]&gt;0),N(RIGHT([PAPEL],LEN([PAPEL])-(LEN([PAPEL])-1))="3"))</f>
        <v>2.2979292427324034</v>
      </c>
      <c r="Z180" s="6">
        <f>Tabela3[[#This Row],[Capital Social]]*20%</f>
        <v>373772579.49400002</v>
      </c>
      <c r="AA180" s="6">
        <f>IF(([Lucro Líquido]*5%)&gt;[Teto R. Legal],[Teto R. Legal],[Lucro Líquido]*5%)</f>
        <v>8400800</v>
      </c>
      <c r="AB180" s="6">
        <f>IF([Lucro Líquido]&lt;0,0,[Lucro Líquido]-[Reserva Legal])</f>
        <v>159615200</v>
      </c>
      <c r="AC180" s="6">
        <f>Tabela3[[#This Row],[Lucro Distribuir]]*[%Div]</f>
        <v>39903800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0.66609594816065942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0" s="6">
        <f>[Div Base]*[Ações]</f>
        <v>25449245.200253915</v>
      </c>
      <c r="AL180" s="6">
        <f>SUMPRODUCT(N([Nome]=Tabela3[[#This Row],[Nome]]),[Div Base]*[Ações])</f>
        <v>39903800</v>
      </c>
      <c r="AM180" s="6">
        <f>[Patrimônio Líquido]/[Total Ações]</f>
        <v>9.3770876576138686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0.63279115075262649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idden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3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/>
      <c r="N181" s="55"/>
      <c r="O181" s="55"/>
      <c r="P181" s="6">
        <v>2365276000</v>
      </c>
      <c r="Q181" s="6">
        <v>168016000</v>
      </c>
      <c r="R181" s="6">
        <f>IF(Tabela3[[#This Row],[Ativo || Passivo]]&gt;0,Tabela3[[#This Row],[Ativo || Passivo]]-Tabela3[[#This Row],[Patrimônio Líquido]],0)</f>
        <v>0</v>
      </c>
      <c r="S181" s="6">
        <f>Tabela3[[#This Row],[Cotação]]*Tabela3[[#This Row],[Total Ações]]</f>
        <v>2075934681.51</v>
      </c>
      <c r="T181" s="132">
        <f>IF(Tabela3[[#This Row],[Passivo Circulante]]&gt;0,Tabela3[[#This Row],[Ativo Circulante]]/Tabela3[[#This Row],[Passivo Circulante]],0)</f>
        <v>0</v>
      </c>
      <c r="U18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1" s="19">
        <f>IF(Tabela3[[#This Row],[Lucro Líquido]]&gt;0,Tabela3[[#This Row],[Lucro Líquido]]/Tabela3[[#This Row],[Patrimônio Líquido]],0)</f>
        <v>7.1034416279537785E-2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1" s="19">
        <f>IF(Tabela3[[#This Row],[Dívida]]&gt;0,Tabela3[[#This Row],[Dívida]]/Tabela3[[#This Row],[Patrimônio Líquido]],0)</f>
        <v>0</v>
      </c>
      <c r="Y181" s="19">
        <f>SUMPRODUCT(N([Dívida / PL]&gt;0),N(RIGHT([PAPEL],LEN([PAPEL])-(LEN([PAPEL])-1))="3"),[Dívida / PL])/SUMPRODUCT(N([Dívida / PL]&gt;0),N(RIGHT([PAPEL],LEN([PAPEL])-(LEN([PAPEL])-1))="3"))</f>
        <v>2.2979292427324034</v>
      </c>
      <c r="Z181" s="6">
        <f>Tabela3[[#This Row],[Capital Social]]*20%</f>
        <v>373772579.49400002</v>
      </c>
      <c r="AA181" s="6">
        <f>IF(([Lucro Líquido]*5%)&gt;[Teto R. Legal],[Teto R. Legal],[Lucro Líquido]*5%)</f>
        <v>8400800</v>
      </c>
      <c r="AB181" s="6">
        <f>IF([Lucro Líquido]&lt;0,0,[Lucro Líquido]-[Reserva Legal])</f>
        <v>159615200</v>
      </c>
      <c r="AC181" s="6">
        <f>Tabela3[[#This Row],[Lucro Distribuir]]*[%Div]</f>
        <v>39903800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0.66609594816065942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1" s="6">
        <f>[Div Base]*[Ações]</f>
        <v>14454554.799746085</v>
      </c>
      <c r="AL181" s="6">
        <f>SUMPRODUCT(N([Nome]=Tabela3[[#This Row],[Nome]]),[Div Base]*[Ações])</f>
        <v>39903800</v>
      </c>
      <c r="AM181" s="6">
        <f>[Patrimônio Líquido]/[Total Ações]</f>
        <v>9.3770876576138686</v>
      </c>
      <c r="AN181" s="48">
        <f>MAX(Tabela3[[#This Row],[Cotação 1]:[Cotação 5]])</f>
        <v>8.23</v>
      </c>
      <c r="AO181" s="44">
        <f>[Cotação]/[VPA]</f>
        <v>0.87767122378530049</v>
      </c>
      <c r="AP181" s="40">
        <f>IF(Tabela3[[#This Row],[Lucro/Ação]]&gt;0,Tabela3[[#This Row],[Cotação]]/(Tabela3[[#This Row],[Lucro/Ação]]/[Ref]*4),0)</f>
        <v>9.2666830012171459</v>
      </c>
      <c r="AQ181" s="78">
        <f>[Lucro Distribuir]/[Total Ações]</f>
        <v>0.63279115075262649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1.9222088418974072E-2</v>
      </c>
      <c r="AU181" s="19">
        <f>((1+Tabela3[[#This Row],[% Yield]])^(1/(3*Tabela3[[#This Row],[Ref]])))^(12)-1</f>
        <v>2.5711211869144712E-2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5">
        <f>SUMPRODUCT(N(Tabela1[Código]=Tabela3[[#This Row],[PAPEL]]),Tabela1[Fechamento])</f>
        <v>8.23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idden="1">
      <c r="A182" s="3" t="s">
        <v>1363</v>
      </c>
      <c r="B182" s="57" t="s">
        <v>1329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2" s="18">
        <f>IF(Tabela3[[#This Row],[Lucro Líquido]]&gt;0,Tabela3[[#This Row],[Lucro Líquido]]/Tabela3[[#This Row],[Patrimônio Líquido]],0)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2.2979292427324034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idden="1">
      <c r="A183" s="3" t="s">
        <v>1363</v>
      </c>
      <c r="B183" s="57" t="s">
        <v>1330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3" s="18">
        <f>IF(Tabela3[[#This Row],[Lucro Líquido]]&gt;0,Tabela3[[#This Row],[Lucro Líquido]]/Tabela3[[#This Row],[Patrimônio Líquido]],0)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2.2979292427324034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idden="1">
      <c r="A184" s="3" t="s">
        <v>1093</v>
      </c>
      <c r="B184" s="57" t="s">
        <v>1104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1576282302.3500001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4" s="18">
        <f>IF(Tabela3[[#This Row],[Lucro Líquido]]&gt;0,Tabela3[[#This Row],[Lucro Líquido]]/Tabela3[[#This Row],[Patrimônio Líquido]],0)</f>
        <v>0.12023590765042259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2.2979292427324034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10.15</v>
      </c>
      <c r="AO184" s="53">
        <f>[Cotação]/[VPA]</f>
        <v>1.0664708453312368</v>
      </c>
      <c r="AP184" s="37">
        <f>IF(Tabela3[[#This Row],[Lucro/Ação]]&gt;0,Tabela3[[#This Row],[Cotação]]/(Tabela3[[#This Row],[Lucro/Ação]]/[Ref]*4),0)</f>
        <v>6.652364918506243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2.6776191953101259E-2</v>
      </c>
      <c r="AU184" s="22">
        <f>((1+Tabela3[[#This Row],[% Yield]])^(1/(3*Tabela3[[#This Row],[Ref]])))^(12)-1</f>
        <v>3.5859977105119567E-2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10.15</v>
      </c>
      <c r="BB184" s="7">
        <f>SUMPRODUCT(N(Tabela17683[Código]=Tabela3[[#This Row],[PAPEL]]),Tabela17683[Fechamento])</f>
        <v>0</v>
      </c>
    </row>
    <row r="185" spans="1:54" hidden="1">
      <c r="A185" s="4" t="s">
        <v>294</v>
      </c>
      <c r="B185" s="57" t="s">
        <v>713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5" s="19">
        <f>IF(Tabela3[[#This Row],[Lucro Líquido]]&gt;0,Tabela3[[#This Row],[Lucro Líquido]]/Tabela3[[#This Row],[Patrimônio Líquido]],0)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2.2979292427324034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idden="1">
      <c r="A186" s="4" t="s">
        <v>294</v>
      </c>
      <c r="B186" s="57" t="s">
        <v>714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6" s="19">
        <f>IF(Tabela3[[#This Row],[Lucro Líquido]]&gt;0,Tabela3[[#This Row],[Lucro Líquido]]/Tabela3[[#This Row],[Patrimônio Líquido]],0)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2.2979292427324034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idden="1">
      <c r="A187" s="3" t="s">
        <v>910</v>
      </c>
      <c r="B187" s="58" t="s">
        <v>987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7" s="18">
        <f>IF(Tabela3[[#This Row],[Lucro Líquido]]&gt;0,Tabela3[[#This Row],[Lucro Líquido]]/Tabela3[[#This Row],[Patrimônio Líquido]],0)</f>
        <v>6.362665561594491E-2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2.2979292427324034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0</v>
      </c>
      <c r="AW187" s="7">
        <f>Tabela3[[#This Row],[Ativos]]*[Lucro]</f>
        <v>0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idden="1">
      <c r="A188" s="3" t="s">
        <v>910</v>
      </c>
      <c r="B188" s="58" t="s">
        <v>988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261732686.10000002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8" s="19">
        <f>IF(Tabela3[[#This Row],[Lucro Líquido]]&gt;0,Tabela3[[#This Row],[Lucro Líquido]]/Tabela3[[#This Row],[Patrimônio Líquido]],0)</f>
        <v>6.362665561594491E-2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2.2979292427324034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5.19</v>
      </c>
      <c r="AO188" s="53">
        <f>[Cotação]/[VPA]</f>
        <v>0.5959481635385383</v>
      </c>
      <c r="AP188" s="37">
        <f>IF(Tabela3[[#This Row],[Lucro/Ação]]&gt;0,Tabela3[[#This Row],[Cotação]]/(Tabela3[[#This Row],[Lucro/Ação]]/[Ref]*4),0)</f>
        <v>7.024746441991125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2.7024625177690487E-2</v>
      </c>
      <c r="AU188" s="22">
        <f>((1+Tabela3[[#This Row],[% Yield]])^(1/(3*Tabela3[[#This Row],[Ref]])))^(12)-1</f>
        <v>3.6194165364527908E-2</v>
      </c>
      <c r="AV188" s="10">
        <f>IF([Cotação]&gt;0,($BH$1/Tabela3[[#This Row],[Cotação]]-MOD($BH$1/Tabela3[[#This Row],[Cotação]],100)),)</f>
        <v>0</v>
      </c>
      <c r="AW188" s="7">
        <f>Tabela3[[#This Row],[Ativos]]*[Lucro]</f>
        <v>0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5.19</v>
      </c>
      <c r="BB188" s="7">
        <f>SUMPRODUCT(N(Tabela17683[Código]=Tabela3[[#This Row],[PAPEL]]),Tabela17683[Fechamento])</f>
        <v>0</v>
      </c>
    </row>
    <row r="189" spans="1:54" hidden="1">
      <c r="A189" s="3" t="s">
        <v>1209</v>
      </c>
      <c r="B189" s="57" t="s">
        <v>1197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24136678.300000001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89" s="18">
        <f>IF(Tabela3[[#This Row],[Lucro Líquido]]&gt;0,Tabela3[[#This Row],[Lucro Líquido]]/Tabela3[[#This Row],[Patrimônio Líquido]],0)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2.2979292427324034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0.43</v>
      </c>
      <c r="AO189" s="53">
        <f>[Cotação]/[VPA]</f>
        <v>7.3274676077717062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1100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0.43</v>
      </c>
    </row>
    <row r="190" spans="1:54" hidden="1">
      <c r="A190" s="3" t="s">
        <v>1209</v>
      </c>
      <c r="B190" s="57" t="s">
        <v>1198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0" s="18">
        <f>IF(Tabela3[[#This Row],[Lucro Líquido]]&gt;0,Tabela3[[#This Row],[Lucro Líquido]]/Tabela3[[#This Row],[Patrimônio Líquido]],0)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2.2979292427324034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idden="1">
      <c r="A191" s="4" t="s">
        <v>316</v>
      </c>
      <c r="B191" s="57" t="s">
        <v>315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6637502594.3299999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1" s="19">
        <f>IF(Tabela3[[#This Row],[Lucro Líquido]]&gt;0,Tabela3[[#This Row],[Lucro Líquido]]/Tabela3[[#This Row],[Patrimônio Líquido]],0)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2.2979292427324034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10.97</v>
      </c>
      <c r="AO191" s="44">
        <f>[Cotação]/[VPA]</f>
        <v>1.5206174092194626</v>
      </c>
      <c r="AP191" s="40">
        <f>IF(Tabela3[[#This Row],[Lucro/Ação]]&gt;0,Tabela3[[#This Row],[Cotação]]/(Tabela3[[#This Row],[Lucro/Ação]]/[Ref]*4),0)</f>
        <v>12.766392126346362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2.2324239861929159E-2</v>
      </c>
      <c r="AU191" s="19">
        <f>((1+Tabela3[[#This Row],[% Yield]])^(1/(3*Tabela3[[#This Row],[Ref]])))^(12)-1</f>
        <v>2.2324239861928996E-2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10.97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idden="1">
      <c r="A192" s="4" t="s">
        <v>331</v>
      </c>
      <c r="B192" s="126" t="s">
        <v>624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2" s="19">
        <f>IF(Tabela3[[#This Row],[Lucro Líquido]]&gt;0,Tabela3[[#This Row],[Lucro Líquido]]/Tabela3[[#This Row],[Patrimônio Líquido]],0)</f>
        <v>9.5019700751289098E-4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2.2979292427324034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idden="1">
      <c r="A193" s="4" t="s">
        <v>331</v>
      </c>
      <c r="B193" s="126" t="s">
        <v>625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14080020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3" s="19">
        <f>IF(Tabela3[[#This Row],[Lucro Líquido]]&gt;0,Tabela3[[#This Row],[Lucro Líquido]]/Tabela3[[#This Row],[Patrimônio Líquido]],0)</f>
        <v>9.5019700751289098E-4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2.2979292427324034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5</v>
      </c>
      <c r="AO193" s="44">
        <f>[Cotação]/[VPA]</f>
        <v>0.17838390492962208</v>
      </c>
      <c r="AP193" s="40">
        <f>IF(Tabela3[[#This Row],[Lucro/Ação]]&gt;0,Tabela3[[#This Row],[Cotação]]/(Tabela3[[#This Row],[Lucro/Ação]]/[Ref]*4),0)</f>
        <v>140.80019999999999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1.3483016328323751E-3</v>
      </c>
      <c r="AU193" s="42">
        <f>((1+Tabela3[[#This Row],[% Yield]])^(1/(3*Tabela3[[#This Row],[Ref]])))^(12)-1</f>
        <v>1.7981393710906346E-3</v>
      </c>
      <c r="AV193" s="14">
        <f>IF([Cotação]&gt;0,($BH$1/Tabela3[[#This Row],[Cotação]]-MOD($BH$1/Tabela3[[#This Row],[Cotação]],100)),)</f>
        <v>100</v>
      </c>
      <c r="AW193" s="17">
        <f>Tabela3[[#This Row],[Ativos]]*[Lucro]</f>
        <v>0.67415081641618757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5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idden="1">
      <c r="A194" s="3" t="s">
        <v>1281</v>
      </c>
      <c r="B194" s="57" t="s">
        <v>1273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4" s="18">
        <f>IF(Tabela3[[#This Row],[Lucro Líquido]]&gt;0,Tabela3[[#This Row],[Lucro Líquido]]/Tabela3[[#This Row],[Patrimônio Líquido]],0)</f>
        <v>0.11427439438532941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2.2979292427324034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idden="1">
      <c r="A195" s="3" t="s">
        <v>1281</v>
      </c>
      <c r="B195" s="57" t="s">
        <v>1274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56250000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5" s="18">
        <f>IF(Tabela3[[#This Row],[Lucro Líquido]]&gt;0,Tabela3[[#This Row],[Lucro Líquido]]/Tabela3[[#This Row],[Patrimônio Líquido]],0)</f>
        <v>0.11427439438532941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2.2979292427324034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25</v>
      </c>
      <c r="AO195" s="53">
        <f>[Cotação]/[VPA]</f>
        <v>0.79593049581163688</v>
      </c>
      <c r="AP195" s="37">
        <f>IF(Tabela3[[#This Row],[Lucro/Ação]]&gt;0,Tabela3[[#This Row],[Cotação]]/(Tabela3[[#This Row],[Lucro/Ação]]/[Ref]*4),0)</f>
        <v>5.2238112927191684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3.6341500281168539E-2</v>
      </c>
      <c r="AU195" s="22">
        <f>((1+Tabela3[[#This Row],[% Yield]])^(1/(3*Tabela3[[#This Row],[Ref]])))^(12)-1</f>
        <v>4.874648864641018E-2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25</v>
      </c>
    </row>
    <row r="196" spans="1:54" hidden="1">
      <c r="A196" s="4" t="s">
        <v>289</v>
      </c>
      <c r="B196" s="57" t="s">
        <v>527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9235234762.5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6" s="19">
        <f>IF(Tabela3[[#This Row],[Lucro Líquido]]&gt;0,Tabela3[[#This Row],[Lucro Líquido]]/Tabela3[[#This Row],[Patrimônio Líquido]],0)</f>
        <v>3.5271761326044197E-2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2.2979292427324034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7.5</v>
      </c>
      <c r="AO196" s="44">
        <f>[Cotação]/[VPA]</f>
        <v>0.79219966616945647</v>
      </c>
      <c r="AP196" s="40">
        <f>IF(Tabela3[[#This Row],[Lucro/Ação]]&gt;0,Tabela3[[#This Row],[Cotação]]/(Tabela3[[#This Row],[Lucro/Ação]]/[Ref]*4),0)</f>
        <v>16.844912964082123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7.5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>
      <c r="A197" s="4" t="s">
        <v>289</v>
      </c>
      <c r="B197" s="57" t="s">
        <v>379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9715466970.1499996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7" s="19">
        <f>IF(Tabela3[[#This Row],[Lucro Líquido]]&gt;0,Tabela3[[#This Row],[Lucro Líquido]]/Tabela3[[#This Row],[Patrimônio Líquido]],0)</f>
        <v>3.5271761326044197E-2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2.2979292427324034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7.89</v>
      </c>
      <c r="AO197" s="44">
        <f>[Cotação]/[VPA]</f>
        <v>0.83339404881026813</v>
      </c>
      <c r="AP197" s="40">
        <f>IF(Tabela3[[#This Row],[Lucro/Ação]]&gt;0,Tabela3[[#This Row],[Cotação]]/(Tabela3[[#This Row],[Lucro/Ação]]/[Ref]*4),0)</f>
        <v>17.720848438214393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4.5535778141312502E-2</v>
      </c>
      <c r="AU197" s="19">
        <f>((1+Tabela3[[#This Row],[% Yield]])^(1/(3*Tabela3[[#This Row],[Ref]])))^(12)-1</f>
        <v>6.1170573929109295E-2</v>
      </c>
      <c r="AV197" s="14">
        <f>IF([Cotação]&gt;0,($BH$1/Tabela3[[#This Row],[Cotação]]-MOD($BH$1/Tabela3[[#This Row],[Cotação]],100)),)</f>
        <v>0</v>
      </c>
      <c r="AW197" s="13">
        <f>Tabela3[[#This Row],[Ativos]]*[Lucro]</f>
        <v>0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7.89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idden="1">
      <c r="A198" s="3" t="s">
        <v>1218</v>
      </c>
      <c r="B198" s="57" t="s">
        <v>1212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6950216555.1999998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8" s="18">
        <f>IF(Tabela3[[#This Row],[Lucro Líquido]]&gt;0,Tabela3[[#This Row],[Lucro Líquido]]/Tabela3[[#This Row],[Patrimônio Líquido]],0)</f>
        <v>0.14379440184839895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2.2979292427324034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12.44</v>
      </c>
      <c r="AO198" s="53">
        <f>[Cotação]/[VPA]</f>
        <v>3.2284813581681751</v>
      </c>
      <c r="AP198" s="37">
        <f>IF(Tabela3[[#This Row],[Lucro/Ação]]&gt;0,Tabela3[[#This Row],[Cotação]]/(Tabela3[[#This Row],[Lucro/Ação]]/[Ref]*4),0)</f>
        <v>16.839049278002829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1.0578091260335468E-2</v>
      </c>
      <c r="AU198" s="22">
        <f>((1+Tabela3[[#This Row],[% Yield]])^(1/(3*Tabela3[[#This Row],[Ref]])))^(12)-1</f>
        <v>1.4128929266011836E-2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12.44</v>
      </c>
    </row>
    <row r="199" spans="1:54" hidden="1">
      <c r="A199" s="3" t="s">
        <v>910</v>
      </c>
      <c r="B199" s="58" t="s">
        <v>991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199" s="18">
        <f>IF(Tabela3[[#This Row],[Lucro Líquido]]&gt;0,Tabela3[[#This Row],[Lucro Líquido]]/Tabela3[[#This Row],[Patrimônio Líquido]],0)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2.2979292427324034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idden="1">
      <c r="A200" s="3" t="s">
        <v>910</v>
      </c>
      <c r="B200" s="58" t="s">
        <v>992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0" s="18">
        <f>IF(Tabela3[[#This Row],[Lucro Líquido]]&gt;0,Tabela3[[#This Row],[Lucro Líquido]]/Tabela3[[#This Row],[Patrimônio Líquido]],0)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2.2979292427324034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idden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557610952.31999993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1" s="19">
        <f>IF(Tabela3[[#This Row],[Lucro Líquido]]&gt;0,Tabela3[[#This Row],[Lucro Líquido]]/Tabela3[[#This Row],[Patrimônio Líquido]],0)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2.2979292427324034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1.44</v>
      </c>
      <c r="AO201" s="44">
        <f>[Cotação]/[VPA]</f>
        <v>0.31125280271057015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300</v>
      </c>
      <c r="AW201" s="17">
        <f>Tabela3[[#This Row],[Ativos]]*[Lucro]</f>
        <v>0</v>
      </c>
      <c r="AX201" s="5">
        <f>SUMPRODUCT(N(Tabela1[Código]=Tabela3[[#This Row],[PAPEL]]),Tabela1[Fechamento])</f>
        <v>1.44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idden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2" s="19">
        <f>IF(Tabela3[[#This Row],[Lucro Líquido]]&gt;0,Tabela3[[#This Row],[Lucro Líquido]]/Tabela3[[#This Row],[Patrimônio Líquido]],0)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2.2979292427324034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200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idden="1">
      <c r="A203" s="4" t="s">
        <v>12</v>
      </c>
      <c r="B203" s="57" t="s">
        <v>493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3" s="19">
        <f>IF(Tabela3[[#This Row],[Lucro Líquido]]&gt;0,Tabela3[[#This Row],[Lucro Líquido]]/Tabela3[[#This Row],[Patrimônio Líquido]],0)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2.2979292427324034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idden="1">
      <c r="A204" s="4" t="s">
        <v>12</v>
      </c>
      <c r="B204" s="57" t="s">
        <v>494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4" s="19">
        <f>IF(Tabela3[[#This Row],[Lucro Líquido]]&gt;0,Tabela3[[#This Row],[Lucro Líquido]]/Tabela3[[#This Row],[Patrimônio Líquido]],0)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2.2979292427324034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idden="1">
      <c r="A205" s="3" t="s">
        <v>40</v>
      </c>
      <c r="B205" s="57" t="s">
        <v>257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5" s="18">
        <f>IF(Tabela3[[#This Row],[Lucro Líquido]]&gt;0,Tabela3[[#This Row],[Lucro Líquido]]/Tabela3[[#This Row],[Patrimônio Líquido]],0)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2.2979292427324034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idden="1">
      <c r="A206" s="4" t="s">
        <v>40</v>
      </c>
      <c r="B206" s="57" t="s">
        <v>258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277069496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6" s="18">
        <f>IF(Tabela3[[#This Row],[Lucro Líquido]]&gt;0,Tabela3[[#This Row],[Lucro Líquido]]/Tabela3[[#This Row],[Patrimônio Líquido]],0)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2.2979292427324034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8.8000000000000007</v>
      </c>
      <c r="AO206" s="44">
        <f>[Cotação]/[VPA]</f>
        <v>0.54965381685446757</v>
      </c>
      <c r="AP206" s="40">
        <f>IF(Tabela3[[#This Row],[Lucro/Ação]]&gt;0,Tabela3[[#This Row],[Cotação]]/(Tabela3[[#This Row],[Lucro/Ação]]/[Ref]*4),0)</f>
        <v>7.0340059913683683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3.3764543318763607E-2</v>
      </c>
      <c r="AU206" s="19">
        <f>((1+Tabela3[[#This Row],[% Yield]])^(1/(3*Tabela3[[#This Row],[Ref]])))^(12)-1</f>
        <v>3.3764543318764328E-2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8.8000000000000007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idden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6397959293.000001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7" s="19">
        <f>IF(Tabela3[[#This Row],[Lucro Líquido]]&gt;0,Tabela3[[#This Row],[Lucro Líquido]]/Tabela3[[#This Row],[Patrimônio Líquido]],0)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2.2979292427324034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4.7300000000000004</v>
      </c>
      <c r="AO207" s="9">
        <f>[Cotação]/[VPA]</f>
        <v>9.7688095180874221E-2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4.7300000000000004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idden="1">
      <c r="A208" s="4" t="s">
        <v>12</v>
      </c>
      <c r="B208" s="57" t="s">
        <v>461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8" s="19">
        <f>IF(Tabela3[[#This Row],[Lucro Líquido]]&gt;0,Tabela3[[#This Row],[Lucro Líquido]]/Tabela3[[#This Row],[Patrimônio Líquido]],0)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2.2979292427324034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idden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11754390329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09" s="19">
        <f>IF(Tabela3[[#This Row],[Lucro Líquido]]&gt;0,Tabela3[[#This Row],[Lucro Líquido]]/Tabela3[[#This Row],[Patrimônio Líquido]],0)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2.2979292427324034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8.69</v>
      </c>
      <c r="AO209" s="30">
        <f>[Cotação]/[VPA]</f>
        <v>0.1794734771927689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8.69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idden="1">
      <c r="A210" s="4" t="s">
        <v>12</v>
      </c>
      <c r="B210" s="57" t="s">
        <v>166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1723642036.1000001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0" s="19">
        <f>IF(Tabela3[[#This Row],[Lucro Líquido]]&gt;0,Tabela3[[#This Row],[Lucro Líquido]]/Tabela3[[#This Row],[Patrimônio Líquido]],0)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2.2979292427324034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10.3</v>
      </c>
      <c r="AO210" s="44">
        <f>[Cotação]/[VPA]</f>
        <v>0.60917659827203896</v>
      </c>
      <c r="AP210" s="40">
        <f>IF(Tabela3[[#This Row],[Lucro/Ação]]&gt;0,Tabela3[[#This Row],[Cotação]]/(Tabela3[[#This Row],[Lucro/Ação]]/[Ref]*4),0)</f>
        <v>8.6972683497996783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2.645778681622489E-2</v>
      </c>
      <c r="AU210" s="19">
        <f>((1+Tabela3[[#This Row],[% Yield]])^(1/(3*Tabela3[[#This Row],[Ref]])))^(12)-1</f>
        <v>2.6457786816223461E-2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10.3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idden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1318669829.5599999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1" s="19">
        <f>IF(Tabela3[[#This Row],[Lucro Líquido]]&gt;0,Tabela3[[#This Row],[Lucro Líquido]]/Tabela3[[#This Row],[Patrimônio Líquido]],0)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2.2979292427324034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7.88</v>
      </c>
      <c r="AO211" s="9">
        <f>[Cotação]/[VPA]</f>
        <v>0.46604966935763759</v>
      </c>
      <c r="AP211" s="36">
        <f>IF(Tabela3[[#This Row],[Lucro/Ação]]&gt;0,Tabela3[[#This Row],[Cotação]]/(Tabela3[[#This Row],[Lucro/Ação]]/[Ref]*4),0)</f>
        <v>6.6538324850894623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3.8041462568334662E-2</v>
      </c>
      <c r="AU211" s="19">
        <f>((1+Tabela3[[#This Row],[% Yield]])^(1/(3*Tabela3[[#This Row],[Ref]])))^(12)-1</f>
        <v>3.8041462568333628E-2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7.88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idden="1">
      <c r="A212" s="4" t="s">
        <v>12</v>
      </c>
      <c r="B212" s="57" t="s">
        <v>497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2" s="19">
        <f>IF(Tabela3[[#This Row],[Lucro Líquido]]&gt;0,Tabela3[[#This Row],[Lucro Líquido]]/Tabela3[[#This Row],[Patrimônio Líquido]],0)</f>
        <v>3.8292391642213694E-2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2.2979292427324034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idden="1">
      <c r="A213" s="4" t="s">
        <v>12</v>
      </c>
      <c r="B213" s="57" t="s">
        <v>168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3" s="19">
        <f>IF(Tabela3[[#This Row],[Lucro Líquido]]&gt;0,Tabela3[[#This Row],[Lucro Líquido]]/Tabela3[[#This Row],[Patrimônio Líquido]],0)</f>
        <v>3.8292391642213694E-2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2.2979292427324034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0</v>
      </c>
      <c r="AW213" s="17">
        <f>Tabela3[[#This Row],[Ativos]]*[Lucro]</f>
        <v>0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idden="1">
      <c r="A214" s="3" t="s">
        <v>1318</v>
      </c>
      <c r="B214" s="58" t="s">
        <v>1319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15372054313.440001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4" s="18">
        <f>IF(Tabela3[[#This Row],[Lucro Líquido]]&gt;0,Tabela3[[#This Row],[Lucro Líquido]]/Tabela3[[#This Row],[Patrimônio Líquido]],0)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2.2979292427324034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20.76</v>
      </c>
      <c r="AO214" s="53">
        <f>[Cotação]/[VPA]</f>
        <v>1.8571439823274747</v>
      </c>
      <c r="AP214" s="37">
        <f>IF(Tabela3[[#This Row],[Lucro/Ação]]&gt;0,Tabela3[[#This Row],[Cotação]]/(Tabela3[[#This Row],[Lucro/Ação]]/[Ref]*4),0)</f>
        <v>19.766326016492457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1.2015384133694689E-2</v>
      </c>
      <c r="AU214" s="22">
        <f>((1+Tabela3[[#This Row],[% Yield]])^(1/(3*Tabela3[[#This Row],[Ref]])))^(12)-1</f>
        <v>1.2015384133695184E-2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20.76</v>
      </c>
    </row>
    <row r="215" spans="1:54" hidden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4273448039.6400003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5" s="19">
        <f>IF(Tabela3[[#This Row],[Lucro Líquido]]&gt;0,Tabela3[[#This Row],[Lucro Líquido]]/Tabela3[[#This Row],[Patrimônio Líquido]],0)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2.2979292427324034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8.9700000000000006</v>
      </c>
      <c r="AO215" s="44">
        <f>[Cotação]/[VPA]</f>
        <v>0.9344511838471693</v>
      </c>
      <c r="AP215" s="40">
        <f>IF(Tabela3[[#This Row],[Lucro/Ação]]&gt;0,Tabela3[[#This Row],[Cotação]]/(Tabela3[[#This Row],[Lucro/Ação]]/[Ref]*4),0)</f>
        <v>11.372570414830429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2.0883581401288803E-2</v>
      </c>
      <c r="AU215" s="19">
        <f>((1+Tabela3[[#This Row],[% Yield]])^(1/(3*Tabela3[[#This Row],[Ref]])))^(12)-1</f>
        <v>2.0883581401289764E-2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8.9700000000000006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idden="1">
      <c r="A216" s="4" t="s">
        <v>12</v>
      </c>
      <c r="B216" s="57" t="s">
        <v>498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1168529523.24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6" s="19">
        <f>IF(Tabela3[[#This Row],[Lucro Líquido]]&gt;0,Tabela3[[#This Row],[Lucro Líquido]]/Tabela3[[#This Row],[Patrimônio Líquido]],0)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2.2979292427324034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2.02</v>
      </c>
      <c r="AO216" s="44">
        <f>[Cotação]/[VPA]</f>
        <v>0.42911690201949759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200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2.02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idden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14200876134.6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7" s="19">
        <f>IF(Tabela3[[#This Row],[Lucro Líquido]]&gt;0,Tabela3[[#This Row],[Lucro Líquido]]/Tabela3[[#This Row],[Patrimônio Líquido]],0)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2.2979292427324034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11.4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1.5890278378683717E-2</v>
      </c>
      <c r="AU217" s="19">
        <f>((1+Tabela3[[#This Row],[% Yield]])^(1/(3*Tabela3[[#This Row],[Ref]])))^(12)-1</f>
        <v>2.1242952321862907E-2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11.4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idden="1">
      <c r="A218" s="4" t="s">
        <v>12</v>
      </c>
      <c r="B218" s="57" t="s">
        <v>170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3425649944.75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8" s="19">
        <f>IF(Tabela3[[#This Row],[Lucro Líquido]]&gt;0,Tabela3[[#This Row],[Lucro Líquido]]/Tabela3[[#This Row],[Patrimônio Líquido]],0)</f>
        <v>0.10409035559521403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2.2979292427324034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2.75</v>
      </c>
      <c r="AO218" s="44">
        <f>[Cotação]/[VPA]</f>
        <v>1.8764649095058192</v>
      </c>
      <c r="AP218" s="40">
        <f>IF(Tabela3[[#This Row],[Lucro/Ação]]&gt;0,Tabela3[[#This Row],[Cotação]]/(Tabela3[[#This Row],[Lucro/Ação]]/[Ref]*4),0)</f>
        <v>13.520452246337342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1.3174485346690501E-2</v>
      </c>
      <c r="AU218" s="19">
        <f>((1+Tabela3[[#This Row],[% Yield]])^(1/(3*Tabela3[[#This Row],[Ref]])))^(12)-1</f>
        <v>1.7604438615180573E-2</v>
      </c>
      <c r="AV218" s="14">
        <f>IF([Cotação]&gt;0,($BH$1/Tabela3[[#This Row],[Cotação]]-MOD($BH$1/Tabela3[[#This Row],[Cotação]],100)),)</f>
        <v>100</v>
      </c>
      <c r="AW218" s="17">
        <f>Tabela3[[#This Row],[Ativos]]*[Lucro]</f>
        <v>3.6229834703398875</v>
      </c>
      <c r="AX218" s="5">
        <f>SUMPRODUCT(N(Tabela1[Código]=Tabela3[[#This Row],[PAPEL]]),Tabela1[Fechamento])</f>
        <v>2.75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idden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2491381778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19" s="19">
        <f>IF(Tabela3[[#This Row],[Lucro Líquido]]&gt;0,Tabela3[[#This Row],[Lucro Líquido]]/Tabela3[[#This Row],[Patrimônio Líquido]],0)</f>
        <v>0.10409035559521403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2.2979292427324034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2</v>
      </c>
      <c r="AO219" s="44">
        <f>[Cotação]/[VPA]</f>
        <v>1.3647017523678684</v>
      </c>
      <c r="AP219" s="40">
        <f>IF(Tabela3[[#This Row],[Lucro/Ação]]&gt;0,Tabela3[[#This Row],[Cotação]]/(Tabela3[[#This Row],[Lucro/Ação]]/[Ref]*4),0)</f>
        <v>9.8330561791544309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1.8114917351699438E-2</v>
      </c>
      <c r="AU219" s="19">
        <f>((1+Tabela3[[#This Row],[% Yield]])^(1/(3*Tabela3[[#This Row],[Ref]])))^(12)-1</f>
        <v>2.4225854052274842E-2</v>
      </c>
      <c r="AV219" s="14">
        <f>IF([Cotação]&gt;0,($BH$1/Tabela3[[#This Row],[Cotação]]-MOD($BH$1/Tabela3[[#This Row],[Cotação]],100)),)</f>
        <v>200</v>
      </c>
      <c r="AW219" s="17">
        <f>Tabela3[[#This Row],[Ativos]]*[Lucro]</f>
        <v>7.2459669406797751</v>
      </c>
      <c r="AX219" s="5">
        <f>SUMPRODUCT(N(Tabela1[Código]=Tabela3[[#This Row],[PAPEL]]),Tabela1[Fechamento])</f>
        <v>2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idden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2544850434.5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0" s="19">
        <f>IF(Tabela3[[#This Row],[Lucro Líquido]]&gt;0,Tabela3[[#This Row],[Lucro Líquido]]/Tabela3[[#This Row],[Patrimônio Líquido]],0)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2.2979292427324034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15.5</v>
      </c>
      <c r="AO220" s="44">
        <f>[Cotação]/[VPA]</f>
        <v>1.8426817950440892</v>
      </c>
      <c r="AP220" s="40">
        <f>IF(Tabela3[[#This Row],[Lucro/Ação]]&gt;0,Tabela3[[#This Row],[Cotação]]/(Tabela3[[#This Row],[Lucro/Ação]]/[Ref]*4),0)</f>
        <v>13.237399982834582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1.7903247463856718E-2</v>
      </c>
      <c r="AU220" s="19">
        <f>((1+Tabela3[[#This Row],[% Yield]])^(1/(3*Tabela3[[#This Row],[Ref]])))^(12)-1</f>
        <v>1.7903247463857186E-2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idden="1">
      <c r="A221" s="4" t="s">
        <v>12</v>
      </c>
      <c r="B221" s="57" t="s">
        <v>484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1" s="19">
        <f>IF(Tabela3[[#This Row],[Lucro Líquido]]&gt;0,Tabela3[[#This Row],[Lucro Líquido]]/Tabela3[[#This Row],[Patrimônio Líquido]],0)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2.2979292427324034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idden="1">
      <c r="A222" s="4" t="s">
        <v>12</v>
      </c>
      <c r="B222" s="57" t="s">
        <v>485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2" s="19">
        <f>IF(Tabela3[[#This Row],[Lucro Líquido]]&gt;0,Tabela3[[#This Row],[Lucro Líquido]]/Tabela3[[#This Row],[Patrimônio Líquido]],0)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2.2979292427324034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idden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3976884934.0799999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3" s="49">
        <f>IF(Tabela3[[#This Row],[Lucro Líquido]]&gt;0,Tabela3[[#This Row],[Lucro Líquido]]/Tabela3[[#This Row],[Patrimônio Líquido]],0)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2.2979292427324034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20.04</v>
      </c>
      <c r="AO223" s="30">
        <f>[Cotação]/[VPA]</f>
        <v>1.6892917105412388</v>
      </c>
      <c r="AP223" s="35">
        <f>IF(Tabela3[[#This Row],[Lucro/Ação]]&gt;0,Tabela3[[#This Row],[Cotação]]/(Tabela3[[#This Row],[Lucro/Ação]]/[Ref]*4),0)</f>
        <v>57.940832700729921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4.0990090913382406E-3</v>
      </c>
      <c r="AU223" s="49">
        <f>((1+Tabela3[[#This Row],[% Yield]])^(1/(3*Tabela3[[#This Row],[Ref]])))^(12)-1</f>
        <v>4.0990090913375354E-3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20.04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idden="1">
      <c r="A224" s="3" t="s">
        <v>954</v>
      </c>
      <c r="B224" s="58" t="s">
        <v>961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4" s="18">
        <f>IF(Tabela3[[#This Row],[Lucro Líquido]]&gt;0,Tabela3[[#This Row],[Lucro Líquido]]/Tabela3[[#This Row],[Patrimônio Líquido]],0)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2.2979292427324034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idden="1">
      <c r="A225" s="3" t="s">
        <v>954</v>
      </c>
      <c r="B225" s="58" t="s">
        <v>962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3395065.8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5" s="18">
        <f>IF(Tabela3[[#This Row],[Lucro Líquido]]&gt;0,Tabela3[[#This Row],[Lucro Líquido]]/Tabela3[[#This Row],[Patrimônio Líquido]],0)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2.2979292427324034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0.21</v>
      </c>
      <c r="AO225" s="53">
        <f>[Cotação]/[VPA]</f>
        <v>-1.3748100004859322E-2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2300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0.21</v>
      </c>
      <c r="BB225" s="7">
        <f>SUMPRODUCT(N(Tabela17683[Código]=Tabela3[[#This Row],[PAPEL]]),Tabela17683[Fechamento])</f>
        <v>0</v>
      </c>
    </row>
    <row r="226" spans="1:54" hidden="1">
      <c r="A226" s="4" t="s">
        <v>336</v>
      </c>
      <c r="B226" s="57" t="s">
        <v>335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737480000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6" s="19">
        <f>IF(Tabela3[[#This Row],[Lucro Líquido]]&gt;0,Tabela3[[#This Row],[Lucro Líquido]]/Tabela3[[#This Row],[Patrimônio Líquido]],0)</f>
        <v>0.15309882880320752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2.2979292427324034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8.24</v>
      </c>
      <c r="AO226" s="44">
        <f>[Cotação]/[VPA]</f>
        <v>1.4666907972849077</v>
      </c>
      <c r="AP226" s="40">
        <f>IF(Tabela3[[#This Row],[Lucro/Ação]]&gt;0,Tabela3[[#This Row],[Cotação]]/(Tabela3[[#This Row],[Lucro/Ação]]/[Ref]*4),0)</f>
        <v>7.1850196801808233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2.4791163828171609E-2</v>
      </c>
      <c r="AU226" s="19">
        <f>((1+Tabela3[[#This Row],[% Yield]])^(1/(3*Tabela3[[#This Row],[Ref]])))^(12)-1</f>
        <v>3.3190718524650054E-2</v>
      </c>
      <c r="AV226" s="14">
        <f>IF([Cotação]&gt;0,($BH$1/Tabela3[[#This Row],[Cotação]]-MOD($BH$1/Tabela3[[#This Row],[Cotação]],100)),)</f>
        <v>0</v>
      </c>
      <c r="AW226" s="17">
        <f>Tabela3[[#This Row],[Ativos]]*[Lucro]</f>
        <v>0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8.24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idden="1">
      <c r="A227" s="4" t="s">
        <v>316</v>
      </c>
      <c r="B227" s="57" t="s">
        <v>688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7" s="19">
        <f>IF(Tabela3[[#This Row],[Lucro Líquido]]&gt;0,Tabela3[[#This Row],[Lucro Líquido]]/Tabela3[[#This Row],[Patrimônio Líquido]],0)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2.2979292427324034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0</v>
      </c>
      <c r="AW227" s="17">
        <f>Tabela3[[#This Row],[Ativos]]*[Lucro]</f>
        <v>0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idden="1">
      <c r="A228" s="4" t="s">
        <v>316</v>
      </c>
      <c r="B228" s="57" t="s">
        <v>318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501996367.51999998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8" s="19">
        <f>IF(Tabela3[[#This Row],[Lucro Líquido]]&gt;0,Tabela3[[#This Row],[Lucro Líquido]]/Tabela3[[#This Row],[Patrimônio Líquido]],0)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2.2979292427324034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5.42</v>
      </c>
      <c r="AO228" s="44">
        <f>[Cotação]/[VPA]</f>
        <v>0.44055366896979026</v>
      </c>
      <c r="AP228" s="40">
        <f>IF(Tabela3[[#This Row],[Lucro/Ação]]&gt;0,Tabela3[[#This Row],[Cotação]]/(Tabela3[[#This Row],[Lucro/Ação]]/[Ref]*4),0)</f>
        <v>5.6491680079223965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4.4806866969175331E-2</v>
      </c>
      <c r="AU228" s="19">
        <f>((1+Tabela3[[#This Row],[% Yield]])^(1/(3*Tabela3[[#This Row],[Ref]])))^(12)-1</f>
        <v>4.4806866969175463E-2</v>
      </c>
      <c r="AV228" s="14">
        <f>IF([Cotação]&gt;0,($BH$1/Tabela3[[#This Row],[Cotação]]-MOD($BH$1/Tabela3[[#This Row],[Cotação]],100)),)</f>
        <v>0</v>
      </c>
      <c r="AW228" s="17">
        <f>Tabela3[[#This Row],[Ativos]]*[Lucro]</f>
        <v>0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5.42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idden="1">
      <c r="A229" s="3" t="s">
        <v>1093</v>
      </c>
      <c r="B229" s="57" t="s">
        <v>1105</v>
      </c>
      <c r="C229" s="16" t="str">
        <f>LEFT([PAPEL],LEN([PAPEL])-(LEN([PAPEL])-4))</f>
        <v>EVEN</v>
      </c>
      <c r="D229" s="16">
        <v>4</v>
      </c>
      <c r="E229" s="5">
        <v>1083266389.5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1651717328.6400001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29" s="18">
        <f>IF(Tabela3[[#This Row],[Lucro Líquido]]&gt;0,Tabela3[[#This Row],[Lucro Líquido]]/Tabela3[[#This Row],[Patrimônio Líquido]],0)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2.2979292427324034</v>
      </c>
      <c r="Z229" s="7">
        <f>Tabela3[[#This Row],[Capital Social]]*20%</f>
        <v>216653277.90000001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4.6433647602250296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7.08</v>
      </c>
      <c r="AO229" s="53">
        <f>[Cotação]/[VPA]</f>
        <v>0.8307735204670833</v>
      </c>
      <c r="AP229" s="37">
        <f>IF(Tabela3[[#This Row],[Lucro/Ação]]&gt;0,Tabela3[[#This Row],[Cotação]]/(Tabela3[[#This Row],[Lucro/Ação]]/[Ref]*4),0)</f>
        <v>5.8388090207362682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4.0676103492429602E-2</v>
      </c>
      <c r="AU229" s="22">
        <f>((1+Tabela3[[#This Row],[% Yield]])^(1/(3*Tabela3[[#This Row],[Ref]])))^(12)-1</f>
        <v>4.0676103492428117E-2</v>
      </c>
      <c r="AV229" s="10">
        <f>IF([Cotação]&gt;0,($BH$1/Tabela3[[#This Row],[Cotação]]-MOD($BH$1/Tabela3[[#This Row],[Cotação]],100)),)</f>
        <v>0</v>
      </c>
      <c r="AW229" s="7">
        <f>Tabela3[[#This Row],[Ativos]]*[Lucro]</f>
        <v>0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7.08</v>
      </c>
      <c r="BB229" s="7">
        <f>SUMPRODUCT(N(Tabela17683[Código]=Tabela3[[#This Row],[PAPEL]]),Tabela17683[Fechamento])</f>
        <v>0</v>
      </c>
    </row>
    <row r="230" spans="1:54" hidden="1">
      <c r="A230" s="3" t="s">
        <v>1093</v>
      </c>
      <c r="B230" s="58" t="s">
        <v>1106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/>
      <c r="N230" s="54"/>
      <c r="O230" s="54"/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0</v>
      </c>
      <c r="S230" s="73">
        <f>Tabela3[[#This Row],[Cotação]]*Tabela3[[#This Row],[Total Ações]]</f>
        <v>3734128854</v>
      </c>
      <c r="T230" s="37">
        <f>IF(Tabela3[[#This Row],[Passivo Circulante]]&gt;0,Tabela3[[#This Row],[Ativo Circulante]]/Tabela3[[#This Row],[Passivo Circulante]],0)</f>
        <v>0</v>
      </c>
      <c r="U23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0" s="18">
        <f>IF(Tabela3[[#This Row],[Lucro Líquido]]&gt;0,Tabela3[[#This Row],[Lucro Líquido]]/Tabela3[[#This Row],[Patrimônio Líquido]],0)</f>
        <v>0.20493254236343419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0" s="18">
        <f>IF(Tabela3[[#This Row],[Dívida]]&gt;0,Tabela3[[#This Row],[Dívida]]/Tabela3[[#This Row],[Patrimônio Líquido]],0)</f>
        <v>0</v>
      </c>
      <c r="Y230" s="18">
        <f>SUMPRODUCT(N([Dívida / PL]&gt;0),N(RIGHT([PAPEL],LEN([PAPEL])-(LEN([PAPEL])-1))="3"),[Dívida / PL])/SUMPRODUCT(N([Dívida / PL]&gt;0),N(RIGHT([PAPEL],LEN([PAPEL])-(LEN([PAPEL])-1))="3"))</f>
        <v>2.2979292427324034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25.45</v>
      </c>
      <c r="AO230" s="53">
        <f>[Cotação]/[VPA]</f>
        <v>1.7942553395753711</v>
      </c>
      <c r="AP230" s="37">
        <f>IF(Tabela3[[#This Row],[Lucro/Ação]]&gt;0,Tabela3[[#This Row],[Cotação]]/(Tabela3[[#This Row],[Lucro/Ação]]/[Ref]*4),0)</f>
        <v>6.5665095897509236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2.7126283387755853E-2</v>
      </c>
      <c r="AU230" s="22">
        <f>((1+Tabela3[[#This Row],[% Yield]])^(1/(3*Tabela3[[#This Row],[Ref]])))^(12)-1</f>
        <v>3.6330922074850003E-2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25.45</v>
      </c>
      <c r="BB230" s="7">
        <f>SUMPRODUCT(N(Tabela17683[Código]=Tabela3[[#This Row],[PAPEL]]),Tabela17683[Fechamento])</f>
        <v>0</v>
      </c>
    </row>
    <row r="231" spans="1:54" hidden="1">
      <c r="A231" s="4" t="s">
        <v>331</v>
      </c>
      <c r="B231" s="57" t="s">
        <v>614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1" s="18">
        <f>IF(Tabela3[[#This Row],[Lucro Líquido]]&gt;0,Tabela3[[#This Row],[Lucro Líquido]]/Tabela3[[#This Row],[Patrimônio Líquido]],0)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2.2979292427324034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idden="1">
      <c r="A232" s="4" t="s">
        <v>331</v>
      </c>
      <c r="B232" s="57" t="s">
        <v>615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18882098.859999999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2" s="18">
        <f>IF(Tabela3[[#This Row],[Lucro Líquido]]&gt;0,Tabela3[[#This Row],[Lucro Líquido]]/Tabela3[[#This Row],[Patrimônio Líquido]],0)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2.2979292427324034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25.99</v>
      </c>
      <c r="AO232" s="44">
        <f>[Cotação]/[VPA]</f>
        <v>0.89756613870799062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25.99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idden="1">
      <c r="A233" s="3" t="s">
        <v>237</v>
      </c>
      <c r="B233" s="57" t="s">
        <v>234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3" s="18">
        <f>IF(Tabela3[[#This Row],[Lucro Líquido]]&gt;0,Tabela3[[#This Row],[Lucro Líquido]]/Tabela3[[#This Row],[Patrimônio Líquido]],0)</f>
        <v>4.1369007670777967E-2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2.2979292427324034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idden="1">
      <c r="A234" s="3" t="s">
        <v>237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1064256000.0000001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4" s="18">
        <f>IF(Tabela3[[#This Row],[Lucro Líquido]]&gt;0,Tabela3[[#This Row],[Lucro Líquido]]/Tabela3[[#This Row],[Patrimônio Líquido]],0)</f>
        <v>4.1369007670777967E-2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2.2979292427324034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12.05</v>
      </c>
      <c r="AO234" s="53">
        <f>[Cotação]/[VPA]</f>
        <v>0.88179644350320407</v>
      </c>
      <c r="AP234" s="37">
        <f>IF(Tabela3[[#This Row],[Lucro/Ação]]&gt;0,Tabela3[[#This Row],[Cotação]]/(Tabela3[[#This Row],[Lucro/Ação]]/[Ref]*4),0)</f>
        <v>15.98654088806105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1.1875060458194604E-2</v>
      </c>
      <c r="AU234" s="18">
        <f>((1+Tabela3[[#This Row],[% Yield]])^(1/(3*Tabela3[[#This Row],[Ref]])))^(12)-1</f>
        <v>1.5864668779889124E-2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12.05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idden="1">
      <c r="A235" s="4" t="s">
        <v>660</v>
      </c>
      <c r="B235" s="57" t="s">
        <v>661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5" s="19">
        <f>IF(Tabela3[[#This Row],[Lucro Líquido]]&gt;0,Tabela3[[#This Row],[Lucro Líquido]]/Tabela3[[#This Row],[Patrimônio Líquido]],0)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2.2979292427324034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idden="1">
      <c r="A236" s="4" t="s">
        <v>19</v>
      </c>
      <c r="B236" s="57" t="s">
        <v>682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14064400661.940001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6" s="19">
        <f>IF(Tabela3[[#This Row],[Lucro Líquido]]&gt;0,Tabela3[[#This Row],[Lucro Líquido]]/Tabela3[[#This Row],[Patrimônio Líquido]],0)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2.2979292427324034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25.39</v>
      </c>
      <c r="AO236" s="44">
        <f>[Cotação]/[VPA]</f>
        <v>0.9736586363075298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25.39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idden="1">
      <c r="A237" s="3" t="s">
        <v>1267</v>
      </c>
      <c r="B237" s="58" t="s">
        <v>1268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304037126.55000001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7" s="18">
        <f>IF(Tabela3[[#This Row],[Lucro Líquido]]&gt;0,Tabela3[[#This Row],[Lucro Líquido]]/Tabela3[[#This Row],[Patrimônio Líquido]],0)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2.2979292427324034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2.15</v>
      </c>
      <c r="AO237" s="53">
        <f>[Cotação]/[VPA]</f>
        <v>1.0419009854014598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200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2.15</v>
      </c>
    </row>
    <row r="238" spans="1:54" hidden="1">
      <c r="A238" s="3" t="s">
        <v>1267</v>
      </c>
      <c r="B238" s="58" t="s">
        <v>1269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240401448.90000001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8" s="18">
        <f>IF(Tabela3[[#This Row],[Lucro Líquido]]&gt;0,Tabela3[[#This Row],[Lucro Líquido]]/Tabela3[[#This Row],[Patrimônio Líquido]],0)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2.2979292427324034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</v>
      </c>
      <c r="AO238" s="53">
        <f>[Cotação]/[VPA]</f>
        <v>0.82382868613138682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200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</v>
      </c>
    </row>
    <row r="239" spans="1:54" hidden="1">
      <c r="A239" s="4" t="s">
        <v>743</v>
      </c>
      <c r="B239" s="57" t="s">
        <v>747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3094608448.8000002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39" s="19">
        <f>IF(Tabela3[[#This Row],[Lucro Líquido]]&gt;0,Tabela3[[#This Row],[Lucro Líquido]]/Tabela3[[#This Row],[Patrimônio Líquido]],0)</f>
        <v>3.5856898944475996E-2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2.2979292427324034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19.8</v>
      </c>
      <c r="AO239" s="44">
        <f>[Cotação]/[VPA]</f>
        <v>1.7916918946803468</v>
      </c>
      <c r="AP239" s="40">
        <f>IF(Tabela3[[#This Row],[Lucro/Ação]]&gt;0,Tabela3[[#This Row],[Cotação]]/(Tabela3[[#This Row],[Lucro/Ação]]/[Ref]*4),0)</f>
        <v>37.475882203061424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4.7530568869556559E-3</v>
      </c>
      <c r="AU239" s="42">
        <f>((1+Tabela3[[#This Row],[% Yield]])^(1/(3*Tabela3[[#This Row],[Ref]])))^(12)-1</f>
        <v>6.3424242348133486E-3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19.8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idden="1">
      <c r="A240" s="3" t="s">
        <v>1363</v>
      </c>
      <c r="B240" s="58" t="s">
        <v>1331</v>
      </c>
      <c r="C240" s="16" t="str">
        <f>LEFT([PAPEL],LEN([PAPEL])-(LEN([PAPEL])-4))</f>
        <v>FRAS</v>
      </c>
      <c r="D240" s="16">
        <v>3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/>
      <c r="N240" s="54"/>
      <c r="O240" s="54"/>
      <c r="P240" s="91">
        <v>393117000</v>
      </c>
      <c r="Q240" s="73">
        <v>33150000</v>
      </c>
      <c r="R240" s="73">
        <f>IF(Tabela3[[#This Row],[Ativo || Passivo]]&gt;0,Tabela3[[#This Row],[Ativo || Passivo]]-Tabela3[[#This Row],[Patrimônio Líquido]],0)</f>
        <v>0</v>
      </c>
      <c r="S240" s="73">
        <f>Tabela3[[#This Row],[Cotação]]*Tabela3[[#This Row],[Total Ações]]</f>
        <v>467911080</v>
      </c>
      <c r="T240" s="37">
        <f>IF(Tabela3[[#This Row],[Passivo Circulante]]&gt;0,Tabela3[[#This Row],[Ativo Circulante]]/Tabela3[[#This Row],[Passivo Circulante]],0)</f>
        <v>0</v>
      </c>
      <c r="U24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0" s="18">
        <f>IF(Tabela3[[#This Row],[Lucro Líquido]]&gt;0,Tabela3[[#This Row],[Lucro Líquido]]/Tabela3[[#This Row],[Patrimônio Líquido]],0)</f>
        <v>8.4326040339135683E-2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0" s="18">
        <f>IF(Tabela3[[#This Row],[Dívida]]&gt;0,Tabela3[[#This Row],[Dívida]]/Tabela3[[#This Row],[Patrimônio Líquido]],0)</f>
        <v>0</v>
      </c>
      <c r="Y240" s="18">
        <f>SUMPRODUCT(N([Dívida / PL]&gt;0),N(RIGHT([PAPEL],LEN([PAPEL])-(LEN([PAPEL])-1))="3"),[Dívida / PL])/SUMPRODUCT(N([Dívida / PL]&gt;0),N(RIGHT([PAPEL],LEN([PAPEL])-(LEN([PAPEL])-1))="3"))</f>
        <v>2.2979292427324034</v>
      </c>
      <c r="Z240" s="7">
        <f>Tabela3[[#This Row],[Capital Social]]*20%</f>
        <v>34000000</v>
      </c>
      <c r="AA240" s="47">
        <f>IF(([Lucro Líquido]*5%)&gt;[Teto R. Legal],[Teto R. Legal],[Lucro Líquido]*5%)</f>
        <v>1657500</v>
      </c>
      <c r="AB240" s="47">
        <f>IF([Lucro Líquido]&lt;0,0,[Lucro Líquido]-[Reserva Legal])</f>
        <v>31492500</v>
      </c>
      <c r="AC240" s="47">
        <f>Tabela3[[#This Row],[Lucro Distribuir]]*[%Div]</f>
        <v>7873125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0.33156299696942421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0" s="7">
        <f>[Div Base]*[Ações]</f>
        <v>7873125</v>
      </c>
      <c r="AL240" s="120">
        <f>SUMPRODUCT(N([Nome]=Tabela3[[#This Row],[Nome]]),[Div Base]*[Ações])</f>
        <v>7873125</v>
      </c>
      <c r="AM240" s="5">
        <f>[Patrimônio Líquido]/[Total Ações]</f>
        <v>3.9319170642422061</v>
      </c>
      <c r="AN240" s="52">
        <f>MAX(Tabela3[[#This Row],[Cotação 1]:[Cotação 5]])</f>
        <v>4.68</v>
      </c>
      <c r="AO240" s="53">
        <f>[Cotação]/[VPA]</f>
        <v>1.1902590831737117</v>
      </c>
      <c r="AP240" s="37">
        <f>IF(Tabela3[[#This Row],[Lucro/Ação]]&gt;0,Tabela3[[#This Row],[Cotação]]/(Tabela3[[#This Row],[Lucro/Ação]]/[Ref]*4),0)</f>
        <v>10.586223529411765</v>
      </c>
      <c r="AQ240" s="85">
        <f>[Lucro Distribuir]/[Total Ações]</f>
        <v>0.31498484712095298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1.6826113628256038E-2</v>
      </c>
      <c r="AU240" s="22">
        <f>((1+Tabela3[[#This Row],[% Yield]])^(1/(3*Tabela3[[#This Row],[Ref]])))^(12)-1</f>
        <v>2.2497499690689482E-2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7.8746211780238244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4.68</v>
      </c>
    </row>
    <row r="241" spans="1:54" hidden="1">
      <c r="A241" s="3" t="s">
        <v>1264</v>
      </c>
      <c r="B241" s="58" t="s">
        <v>1265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80392300.200000003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1" s="18">
        <f>IF(Tabela3[[#This Row],[Lucro Líquido]]&gt;0,Tabela3[[#This Row],[Lucro Líquido]]/Tabela3[[#This Row],[Patrimônio Líquido]],0)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2.2979292427324034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1.94</v>
      </c>
      <c r="AO241" s="53">
        <f>[Cotação]/[VPA]</f>
        <v>0.31654001307230717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200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1.94</v>
      </c>
    </row>
    <row r="242" spans="1:54" hidden="1">
      <c r="A242" s="4" t="s">
        <v>12</v>
      </c>
      <c r="B242" s="60" t="s">
        <v>162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2" s="19">
        <f>IF(Tabela3[[#This Row],[Lucro Líquido]]&gt;0,Tabela3[[#This Row],[Lucro Líquido]]/Tabela3[[#This Row],[Patrimônio Líquido]],0)</f>
        <v>0.10079519560821246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2.2979292427324034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idden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5477130414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3" s="49">
        <f>IF(Tabela3[[#This Row],[Lucro Líquido]]&gt;0,Tabela3[[#This Row],[Lucro Líquido]]/Tabela3[[#This Row],[Patrimônio Líquido]],0)</f>
        <v>0.10079519560821246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2.2979292427324034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58</v>
      </c>
      <c r="AO243" s="30">
        <f>[Cotação]/[VPA]</f>
        <v>1.9949569672131147</v>
      </c>
      <c r="AP243" s="35">
        <f>IF(Tabela3[[#This Row],[Lucro/Ação]]&gt;0,Tabela3[[#This Row],[Cotação]]/(Tabela3[[#This Row],[Lucro/Ação]]/[Ref]*4),0)</f>
        <v>14.844137326004944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2.4449618734238159E-2</v>
      </c>
      <c r="AU243" s="49">
        <f>((1+Tabela3[[#This Row],[% Yield]])^(1/(3*Tabela3[[#This Row],[Ref]])))^(12)-1</f>
        <v>3.2731618003513097E-2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58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idden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5478612694.4099998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4" s="49">
        <f>IF(Tabela3[[#This Row],[Lucro Líquido]]&gt;0,Tabela3[[#This Row],[Lucro Líquido]]/Tabela3[[#This Row],[Patrimônio Líquido]],0)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2.2979292427324034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14.37</v>
      </c>
      <c r="AO244" s="30">
        <f>[Cotação]/[VPA]</f>
        <v>3.0713000631850158</v>
      </c>
      <c r="AP244" s="35">
        <f>IF(Tabela3[[#This Row],[Lucro/Ação]]&gt;0,Tabela3[[#This Row],[Cotação]]/(Tabela3[[#This Row],[Lucro/Ação]]/[Ref]*4),0)</f>
        <v>6.2160966126289061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3.713443219660225E-2</v>
      </c>
      <c r="AU244" s="49">
        <f>((1+Tabela3[[#This Row],[% Yield]])^(1/(3*Tabela3[[#This Row],[Ref]])))^(12)-1</f>
        <v>3.7134432196601619E-2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14.37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idden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6290682634.5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5" s="49">
        <f>IF(Tabela3[[#This Row],[Lucro Líquido]]&gt;0,Tabela3[[#This Row],[Lucro Líquido]]/Tabela3[[#This Row],[Patrimônio Líquido]],0)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2.2979292427324034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16.5</v>
      </c>
      <c r="AO245" s="30">
        <f>[Cotação]/[VPA]</f>
        <v>3.5265449577280976</v>
      </c>
      <c r="AP245" s="35">
        <f>IF(Tabela3[[#This Row],[Lucro/Ação]]&gt;0,Tabela3[[#This Row],[Cotação]]/(Tabela3[[#This Row],[Lucro/Ação]]/[Ref]*4),0)</f>
        <v>7.1374804529141933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3.5574786093078695E-2</v>
      </c>
      <c r="AU245" s="49">
        <f>((1+Tabela3[[#This Row],[% Yield]])^(1/(3*Tabela3[[#This Row],[Ref]])))^(12)-1</f>
        <v>3.5574786093077959E-2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16.5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1287</v>
      </c>
      <c r="B246" s="57" t="s">
        <v>1282</v>
      </c>
      <c r="C246" s="16" t="str">
        <f>LEFT([PAPEL],LEN([PAPEL])-(LEN([PAPEL])-4))</f>
        <v>BALM</v>
      </c>
      <c r="D246" s="16">
        <v>3</v>
      </c>
      <c r="E246" s="5">
        <v>15000000</v>
      </c>
      <c r="F246" s="56">
        <v>490000</v>
      </c>
      <c r="G246" s="81">
        <v>0.25</v>
      </c>
      <c r="H246" s="87"/>
      <c r="J246" s="18"/>
      <c r="K246" s="16"/>
      <c r="L246" s="87"/>
      <c r="M246" s="47">
        <v>109025000</v>
      </c>
      <c r="N246" s="47">
        <v>67948000</v>
      </c>
      <c r="O246" s="47">
        <v>30740000</v>
      </c>
      <c r="P246" s="91">
        <v>65926000</v>
      </c>
      <c r="Q246" s="73">
        <v>10280000</v>
      </c>
      <c r="R246" s="73">
        <f>IF(Tabela3[[#This Row],[Ativo || Passivo]]&gt;0,Tabela3[[#This Row],[Ativo || Passivo]]-Tabela3[[#This Row],[Patrimônio Líquido]],0)</f>
        <v>43099000</v>
      </c>
      <c r="S246" s="7">
        <f>Tabela3[[#This Row],[Cotação]]*Tabela3[[#This Row],[Total Ações]]</f>
        <v>39200000</v>
      </c>
      <c r="T246" s="37">
        <f>IF(Tabela3[[#This Row],[Passivo Circulante]]&gt;0,Tabela3[[#This Row],[Ativo Circulante]]/Tabela3[[#This Row],[Passivo Circulante]],0)</f>
        <v>2.2104098893949251</v>
      </c>
      <c r="U24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6" s="18">
        <f>IF(Tabela3[[#This Row],[Lucro Líquido]]&gt;0,Tabela3[[#This Row],[Lucro Líquido]]/Tabela3[[#This Row],[Patrimônio Líquido]],0)</f>
        <v>0.15593240906470893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6" s="18">
        <f>IF(Tabela3[[#This Row],[Dívida]]&gt;0,Tabela3[[#This Row],[Dívida]]/Tabela3[[#This Row],[Patrimônio Líquido]],0)</f>
        <v>0.65374814185602037</v>
      </c>
      <c r="Y246" s="18">
        <f>SUMPRODUCT(N([Dívida / PL]&gt;0),N(RIGHT([PAPEL],LEN([PAPEL])-(LEN([PAPEL])-1))="3"),[Dívida / PL])/SUMPRODUCT(N([Dívida / PL]&gt;0),N(RIGHT([PAPEL],LEN([PAPEL])-(LEN([PAPEL])-1))="3"))</f>
        <v>2.2979292427324034</v>
      </c>
      <c r="Z246" s="7">
        <f>Tabela3[[#This Row],[Capital Social]]*20%</f>
        <v>3000000</v>
      </c>
      <c r="AA246" s="47">
        <f>IF(([Lucro Líquido]*5%)&gt;[Teto R. Legal],[Teto R. Legal],[Lucro Líquido]*5%)</f>
        <v>514000</v>
      </c>
      <c r="AB246" s="47">
        <f>IF([Lucro Líquido]&lt;0,0,[Lucro Líquido]-[Reserva Legal])</f>
        <v>9766000</v>
      </c>
      <c r="AC246" s="47">
        <f>Tabela3[[#This Row],[Lucro Distribuir]]*[%Div]</f>
        <v>2441500</v>
      </c>
      <c r="AD246" s="56">
        <f>SUMPRODUCT(N([Nome]=Tabela3[[#This Row],[Nome]]),[Ações])</f>
        <v>980000</v>
      </c>
      <c r="AE246" s="85">
        <f>[Capital Social]/[Total Ações]</f>
        <v>15.306122448979592</v>
      </c>
      <c r="AF246" s="85">
        <f>Tabela3[[#This Row],[Lucro Líquido]]/Tabela3[[#This Row],[Total Ações]]</f>
        <v>10.489795918367347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46" s="7">
        <f>[Div Base]*[Ações]</f>
        <v>1220750</v>
      </c>
      <c r="AL246" s="120">
        <f>SUMPRODUCT(N([Nome]=Tabela3[[#This Row],[Nome]]),[Div Base]*[Ações])</f>
        <v>2685650</v>
      </c>
      <c r="AM246" s="5">
        <f>[Patrimônio Líquido]/[Total Ações]</f>
        <v>67.271428571428572</v>
      </c>
      <c r="AN246" s="52">
        <f>MAX(Tabela3[[#This Row],[Cotação 1]:[Cotação 5]])</f>
        <v>40</v>
      </c>
      <c r="AO246" s="53">
        <f>[Cotação]/[VPA]</f>
        <v>0.59460607347632188</v>
      </c>
      <c r="AP246" s="37">
        <f>IF(Tabela3[[#This Row],[Lucro/Ação]]&gt;0,Tabela3[[#This Row],[Cotação]]/(Tabela3[[#This Row],[Lucro/Ação]]/[Ref]*4),0)</f>
        <v>2.8599221789883265</v>
      </c>
      <c r="AQ246" s="85">
        <f>[Lucro Distribuir]/[Total Ações]</f>
        <v>9.965306122448979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6.228316326530612E-2</v>
      </c>
      <c r="AU246" s="22">
        <f>((1+Tabela3[[#This Row],[% Yield]])^(1/(3*Tabela3[[#This Row],[Ref]])))^(12)-1</f>
        <v>8.3894628893714795E-2</v>
      </c>
      <c r="AV246" s="14">
        <f>IF([Cotação]&gt;0,($BH$1/Tabela3[[#This Row],[Cotação]]-MOD($BH$1/Tabela3[[#This Row],[Cotação]],100)),)</f>
        <v>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40</v>
      </c>
    </row>
    <row r="247" spans="1:54" hidden="1">
      <c r="A247" s="4" t="s">
        <v>237</v>
      </c>
      <c r="B247" s="57" t="s">
        <v>606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20911050132.48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7" s="19">
        <f>IF(Tabela3[[#This Row],[Lucro Líquido]]&gt;0,Tabela3[[#This Row],[Lucro Líquido]]/Tabela3[[#This Row],[Patrimônio Líquido]],0)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2.2979292427324034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12.16</v>
      </c>
      <c r="AO247" s="44">
        <f>[Cotação]/[VPA]</f>
        <v>0.68924472402342873</v>
      </c>
      <c r="AP247" s="40">
        <f>IF(Tabela3[[#This Row],[Lucro/Ação]]&gt;0,Tabela3[[#This Row],[Cotação]]/(Tabela3[[#This Row],[Lucro/Ação]]/[Ref]*4),0)</f>
        <v>13.203662826881585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12.16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idden="1">
      <c r="A248" s="4" t="s">
        <v>237</v>
      </c>
      <c r="B248" s="57" t="s">
        <v>607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25502538936.240002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8" s="19">
        <f>IF(Tabela3[[#This Row],[Lucro Líquido]]&gt;0,Tabela3[[#This Row],[Lucro Líquido]]/Tabela3[[#This Row],[Patrimônio Líquido]],0)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2.2979292427324034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14.83</v>
      </c>
      <c r="AO248" s="44">
        <f>[Cotação]/[VPA]</f>
        <v>0.84058382049896774</v>
      </c>
      <c r="AP248" s="40">
        <f>IF(Tabela3[[#This Row],[Lucro/Ação]]&gt;0,Tabela3[[#This Row],[Cotação]]/(Tabela3[[#This Row],[Lucro/Ação]]/[Ref]*4),0)</f>
        <v>16.102822345612985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2.655759039833324E-2</v>
      </c>
      <c r="AU248" s="42">
        <f>((1+Tabela3[[#This Row],[% Yield]])^(1/(3*Tabela3[[#This Row],[Ref]])))^(12)-1</f>
        <v>2.6557590398334163E-2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14.83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idden="1">
      <c r="A249" s="4" t="s">
        <v>237</v>
      </c>
      <c r="B249" s="57" t="s">
        <v>610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6153081731.5799999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49" s="19">
        <f>IF(Tabela3[[#This Row],[Lucro Líquido]]&gt;0,Tabela3[[#This Row],[Lucro Líquido]]/Tabela3[[#This Row],[Patrimônio Líquido]],0)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2.2979292427324034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14.91</v>
      </c>
      <c r="AO249" s="44">
        <f>[Cotação]/[VPA]</f>
        <v>0.55348853998714931</v>
      </c>
      <c r="AP249" s="40">
        <f>IF(Tabela3[[#This Row],[Lucro/Ação]]&gt;0,Tabela3[[#This Row],[Cotação]]/(Tabela3[[#This Row],[Lucro/Ação]]/[Ref]*4),0)</f>
        <v>12.181329201502997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14.91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idden="1">
      <c r="A250" s="4" t="s">
        <v>237</v>
      </c>
      <c r="B250" s="57" t="s">
        <v>611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7593340299.1999998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0" s="19">
        <f>IF(Tabela3[[#This Row],[Lucro Líquido]]&gt;0,Tabela3[[#This Row],[Lucro Líquido]]/Tabela3[[#This Row],[Patrimônio Líquido]],0)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2.2979292427324034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18.399999999999999</v>
      </c>
      <c r="AO250" s="44">
        <f>[Cotação]/[VPA]</f>
        <v>0.6830442076300165</v>
      </c>
      <c r="AP250" s="40">
        <f>IF(Tabela3[[#This Row],[Lucro/Ação]]&gt;0,Tabela3[[#This Row],[Cotação]]/(Tabela3[[#This Row],[Lucro/Ação]]/[Ref]*4),0)</f>
        <v>15.032626244644877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2.8444190939131034E-2</v>
      </c>
      <c r="AU250" s="42">
        <f>((1+Tabela3[[#This Row],[% Yield]])^(1/(3*Tabela3[[#This Row],[Ref]])))^(12)-1</f>
        <v>2.8444190939130864E-2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18.399999999999999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idden="1">
      <c r="A251" s="3" t="s">
        <v>1233</v>
      </c>
      <c r="B251" s="58" t="s">
        <v>1234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1" s="18">
        <f>IF(Tabela3[[#This Row],[Lucro Líquido]]&gt;0,Tabela3[[#This Row],[Lucro Líquido]]/Tabela3[[#This Row],[Patrimônio Líquido]],0)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2.2979292427324034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idden="1">
      <c r="A252" s="3" t="s">
        <v>1233</v>
      </c>
      <c r="B252" s="58" t="s">
        <v>1235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3120458237.9400001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2" s="18">
        <f>IF(Tabela3[[#This Row],[Lucro Líquido]]&gt;0,Tabela3[[#This Row],[Lucro Líquido]]/Tabela3[[#This Row],[Patrimônio Líquido]],0)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2.2979292427324034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11.19</v>
      </c>
      <c r="AO252" s="53">
        <f>[Cotação]/[VPA]</f>
        <v>4.9189799627347401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11.19</v>
      </c>
    </row>
    <row r="253" spans="1:54" hidden="1">
      <c r="A253" s="4" t="s">
        <v>12</v>
      </c>
      <c r="B253" s="57" t="s">
        <v>475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3" s="19">
        <f>IF(Tabela3[[#This Row],[Lucro Líquido]]&gt;0,Tabela3[[#This Row],[Lucro Líquido]]/Tabela3[[#This Row],[Patrimônio Líquido]],0)</f>
        <v>-1.9077475585101575E-2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2.2979292427324034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idden="1">
      <c r="A254" s="4" t="s">
        <v>40</v>
      </c>
      <c r="B254" s="126" t="s">
        <v>656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175836353.97999999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4" s="19">
        <f>IF(Tabela3[[#This Row],[Lucro Líquido]]&gt;0,Tabela3[[#This Row],[Lucro Líquido]]/Tabela3[[#This Row],[Patrimônio Líquido]],0)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2.2979292427324034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0.49</v>
      </c>
      <c r="AO254" s="44">
        <f>[Cotação]/[VPA]</f>
        <v>2.5155415447782548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1000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0.49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idden="1">
      <c r="A255" s="3" t="s">
        <v>1024</v>
      </c>
      <c r="B255" s="58" t="s">
        <v>1029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5" s="18">
        <f>IF(Tabela3[[#This Row],[Lucro Líquido]]&gt;0,Tabela3[[#This Row],[Lucro Líquido]]/Tabela3[[#This Row],[Patrimônio Líquido]],0)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2.2979292427324034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idden="1">
      <c r="A256" s="3" t="s">
        <v>341</v>
      </c>
      <c r="B256" s="57" t="s">
        <v>738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366489156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6" s="19">
        <f>IF(Tabela3[[#This Row],[Lucro Líquido]]&gt;0,Tabela3[[#This Row],[Lucro Líquido]]/Tabela3[[#This Row],[Patrimônio Líquido]],0)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2.2979292427324034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7.26</v>
      </c>
      <c r="AO256" s="44">
        <f>[Cotação]/[VPA]</f>
        <v>2.118458918600215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7.26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idden="1">
      <c r="A257" s="4" t="s">
        <v>12</v>
      </c>
      <c r="B257" s="57" t="s">
        <v>172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18299111.93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7" s="19">
        <f>IF(Tabela3[[#This Row],[Lucro Líquido]]&gt;0,Tabela3[[#This Row],[Lucro Líquido]]/Tabela3[[#This Row],[Patrimônio Líquido]],0)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2.2979292427324034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0.11</v>
      </c>
      <c r="AO257" s="44">
        <f>[Cotação]/[VPA]</f>
        <v>1.561091275379628</v>
      </c>
      <c r="AP257" s="40">
        <f>IF(Tabela3[[#This Row],[Lucro/Ação]]&gt;0,Tabela3[[#This Row],[Cotação]]/(Tabela3[[#This Row],[Lucro/Ação]]/[Ref]*4),0)</f>
        <v>9.7026044167550385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2.3716361298326404E-2</v>
      </c>
      <c r="AU257" s="19">
        <f>((1+Tabela3[[#This Row],[% Yield]])^(1/(3*Tabela3[[#This Row],[Ref]])))^(12)-1</f>
        <v>2.371636129832555E-2</v>
      </c>
      <c r="AV257" s="14">
        <f>IF([Cotação]&gt;0,($BH$1/Tabela3[[#This Row],[Cotação]]-MOD($BH$1/Tabela3[[#This Row],[Cotação]],100)),)</f>
        <v>4500</v>
      </c>
      <c r="AW257" s="17">
        <f>Tabela3[[#This Row],[Ativos]]*[Lucro]</f>
        <v>11.739598842671571</v>
      </c>
      <c r="AX257" s="5">
        <f>SUMPRODUCT(N(Tabela1[Código]=Tabela3[[#This Row],[PAPEL]]),Tabela1[Fechamento])</f>
        <v>0.11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idden="1">
      <c r="A258" s="4" t="s">
        <v>12</v>
      </c>
      <c r="B258" s="57" t="s">
        <v>173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8" s="19">
        <f>IF(Tabela3[[#This Row],[Lucro Líquido]]&gt;0,Tabela3[[#This Row],[Lucro Líquido]]/Tabela3[[#This Row],[Patrimônio Líquido]],0)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2.2979292427324034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4500</v>
      </c>
      <c r="AW258" s="17">
        <f>Tabela3[[#This Row],[Ativos]]*[Lucro]</f>
        <v>12.913558744628951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idden="1">
      <c r="A259" s="3" t="s">
        <v>1067</v>
      </c>
      <c r="B259" s="58" t="s">
        <v>1074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5647200000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59" s="18">
        <f>IF(Tabela3[[#This Row],[Lucro Líquido]]&gt;0,Tabela3[[#This Row],[Lucro Líquido]]/Tabela3[[#This Row],[Patrimônio Líquido]],0)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2.2979292427324034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90.5</v>
      </c>
      <c r="AO259" s="53">
        <f>[Cotação]/[VPA]</f>
        <v>1.9960956098409295</v>
      </c>
      <c r="AP259" s="37">
        <f>IF(Tabela3[[#This Row],[Lucro/Ação]]&gt;0,Tabela3[[#This Row],[Cotação]]/(Tabela3[[#This Row],[Lucro/Ação]]/[Ref]*4),0)</f>
        <v>13.427044300306241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1.7137835158349161E-2</v>
      </c>
      <c r="AU259" s="22">
        <f>((1+Tabela3[[#This Row],[% Yield]])^(1/(3*Tabela3[[#This Row],[Ref]])))^(12)-1</f>
        <v>1.7137835158348658E-2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90.5</v>
      </c>
      <c r="BB259" s="7">
        <f>SUMPRODUCT(N(Tabela17683[Código]=Tabela3[[#This Row],[PAPEL]]),Tabela17683[Fechamento])</f>
        <v>0</v>
      </c>
    </row>
    <row r="260" spans="1:54" hidden="1">
      <c r="A260" s="3" t="s">
        <v>1067</v>
      </c>
      <c r="B260" s="58" t="s">
        <v>1075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5235360000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0" s="18">
        <f>IF(Tabela3[[#This Row],[Lucro Líquido]]&gt;0,Tabela3[[#This Row],[Lucro Líquido]]/Tabela3[[#This Row],[Patrimônio Líquido]],0)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2.2979292427324034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83.9</v>
      </c>
      <c r="AO260" s="53">
        <f>[Cotação]/[VPA]</f>
        <v>1.8505239963055691</v>
      </c>
      <c r="AP260" s="37">
        <f>IF(Tabela3[[#This Row],[Lucro/Ação]]&gt;0,Tabela3[[#This Row],[Cotação]]/(Tabela3[[#This Row],[Lucro/Ação]]/[Ref]*4),0)</f>
        <v>12.447834439731421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2.0334582745539908E-2</v>
      </c>
      <c r="AU260" s="22">
        <f>((1+Tabela3[[#This Row],[% Yield]])^(1/(3*Tabela3[[#This Row],[Ref]])))^(12)-1</f>
        <v>2.0334582745539675E-2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83.9</v>
      </c>
      <c r="BB260" s="7">
        <f>SUMPRODUCT(N(Tabela17683[Código]=Tabela3[[#This Row],[PAPEL]]),Tabela17683[Fechamento])</f>
        <v>0</v>
      </c>
    </row>
    <row r="261" spans="1:54" hidden="1">
      <c r="A261" s="4" t="s">
        <v>336</v>
      </c>
      <c r="B261" s="58" t="s">
        <v>1184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23562000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1" s="18">
        <f>IF(Tabela3[[#This Row],[Lucro Líquido]]&gt;0,Tabela3[[#This Row],[Lucro Líquido]]/Tabela3[[#This Row],[Patrimônio Líquido]],0)</f>
        <v>-2.355175462083987E-2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2.2979292427324034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1.98</v>
      </c>
      <c r="AO261" s="53">
        <f>[Cotação]/[VPA]</f>
        <v>-0.2612922366031033</v>
      </c>
      <c r="AP261" s="37">
        <f>IF(Tabela3[[#This Row],[Lucro/Ação]]&gt;0,Tabela3[[#This Row],[Cotação]]/(Tabela3[[#This Row],[Lucro/Ação]]/[Ref]*4),0)</f>
        <v>8.3207888587172754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2.0741164911433671E-2</v>
      </c>
      <c r="AU261" s="22">
        <f>((1+Tabela3[[#This Row],[% Yield]])^(1/(3*Tabela3[[#This Row],[Ref]])))^(12)-1</f>
        <v>2.7750048778378167E-2</v>
      </c>
      <c r="AV261" s="10">
        <f>IF([Cotação]&gt;0,($BH$1/Tabela3[[#This Row],[Cotação]]-MOD($BH$1/Tabela3[[#This Row],[Cotação]],100)),)</f>
        <v>200</v>
      </c>
      <c r="AW261" s="7">
        <f>Tabela3[[#This Row],[Ativos]]*[Lucro]</f>
        <v>8.2135013049277337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1.98</v>
      </c>
    </row>
    <row r="262" spans="1:54" hidden="1">
      <c r="A262" s="4" t="s">
        <v>336</v>
      </c>
      <c r="B262" s="58" t="s">
        <v>1185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15232000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2" s="18">
        <f>IF(Tabela3[[#This Row],[Lucro Líquido]]&gt;0,Tabela3[[#This Row],[Lucro Líquido]]/Tabela3[[#This Row],[Patrimônio Líquido]],0)</f>
        <v>-2.355175462083987E-2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2.2979292427324034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1.28</v>
      </c>
      <c r="AO262" s="53">
        <f>[Cotação]/[VPA]</f>
        <v>-0.16891619335958194</v>
      </c>
      <c r="AP262" s="37">
        <f>IF(Tabela3[[#This Row],[Lucro/Ação]]&gt;0,Tabela3[[#This Row],[Cotação]]/(Tabela3[[#This Row],[Lucro/Ação]]/[Ref]*4),0)</f>
        <v>5.3790958278576326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3.5292388467958243E-2</v>
      </c>
      <c r="AU262" s="22">
        <f>((1+Tabela3[[#This Row],[% Yield]])^(1/(3*Tabela3[[#This Row],[Ref]])))^(12)-1</f>
        <v>4.7331167984646427E-2</v>
      </c>
      <c r="AV262" s="10">
        <f>IF([Cotação]&gt;0,($BH$1/Tabela3[[#This Row],[Cotação]]-MOD($BH$1/Tabela3[[#This Row],[Cotação]],100)),)</f>
        <v>300</v>
      </c>
      <c r="AW262" s="7">
        <f>Tabela3[[#This Row],[Ativos]]*[Lucro]</f>
        <v>13.552277171695964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1.28</v>
      </c>
    </row>
    <row r="263" spans="1:54">
      <c r="A263" s="4" t="s">
        <v>331</v>
      </c>
      <c r="B263" s="57" t="s">
        <v>330</v>
      </c>
      <c r="C263" s="82" t="str">
        <f>LEFT([PAPEL],LEN([PAPEL])-(LEN([PAPEL])-4))</f>
        <v>PATI</v>
      </c>
      <c r="D263" s="15">
        <v>3</v>
      </c>
      <c r="E263" s="6">
        <v>140000000</v>
      </c>
      <c r="F263" s="8">
        <v>745893</v>
      </c>
      <c r="G263" s="81">
        <v>0.25</v>
      </c>
      <c r="H263" s="9">
        <v>0.06</v>
      </c>
      <c r="I263" s="19">
        <v>0.08</v>
      </c>
      <c r="J263" s="19"/>
      <c r="K263" s="88"/>
      <c r="L263" s="88"/>
      <c r="M263" s="13">
        <v>510692000</v>
      </c>
      <c r="N263" s="13">
        <v>218703000</v>
      </c>
      <c r="O263" s="13">
        <v>135960000</v>
      </c>
      <c r="P263" s="6">
        <v>241884000</v>
      </c>
      <c r="Q263" s="6">
        <v>56208000</v>
      </c>
      <c r="R263" s="6">
        <f>IF(Tabela3[[#This Row],[Ativo || Passivo]]&gt;0,Tabela3[[#This Row],[Ativo || Passivo]]-Tabela3[[#This Row],[Patrimônio Líquido]],0)</f>
        <v>268808000</v>
      </c>
      <c r="S263" s="13">
        <f>Tabela3[[#This Row],[Cotação]]*Tabela3[[#This Row],[Total Ações]]</f>
        <v>233619582.71999997</v>
      </c>
      <c r="T263" s="132">
        <f>IF(Tabela3[[#This Row],[Passivo Circulante]]&gt;0,Tabela3[[#This Row],[Ativo Circulante]]/Tabela3[[#This Row],[Passivo Circulante]],0)</f>
        <v>1.6085834068843778</v>
      </c>
      <c r="U26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3" s="19">
        <f>IF(Tabela3[[#This Row],[Lucro Líquido]]&gt;0,Tabela3[[#This Row],[Lucro Líquido]]/Tabela3[[#This Row],[Patrimônio Líquido]],0)</f>
        <v>0.2323758495807908</v>
      </c>
      <c r="W26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3" s="19">
        <f>IF(Tabela3[[#This Row],[Dívida]]&gt;0,Tabela3[[#This Row],[Dívida]]/Tabela3[[#This Row],[Patrimônio Líquido]],0)</f>
        <v>1.1113095533396173</v>
      </c>
      <c r="Y263" s="19">
        <f>SUMPRODUCT(N([Dívida / PL]&gt;0),N(RIGHT([PAPEL],LEN([PAPEL])-(LEN([PAPEL])-1))="3"),[Dívida / PL])/SUMPRODUCT(N([Dívida / PL]&gt;0),N(RIGHT([PAPEL],LEN([PAPEL])-(LEN([PAPEL])-1))="3"))</f>
        <v>2.2979292427324034</v>
      </c>
      <c r="Z263" s="6">
        <f>Tabela3[[#This Row],[Capital Social]]*20%</f>
        <v>28000000</v>
      </c>
      <c r="AA263" s="6">
        <f>IF(([Lucro Líquido]*5%)&gt;[Teto R. Legal],[Teto R. Legal],[Lucro Líquido]*5%)</f>
        <v>2810400</v>
      </c>
      <c r="AB263" s="6">
        <f>IF([Lucro Líquido]&lt;0,0,[Lucro Líquido]-[Reserva Legal])</f>
        <v>53397600</v>
      </c>
      <c r="AC263" s="6">
        <f>Tabela3[[#This Row],[Lucro Distribuir]]*[%Div]</f>
        <v>13349400</v>
      </c>
      <c r="AD263" s="21">
        <f>SUMPRODUCT(N([Nome]=Tabela3[[#This Row],[Nome]]),[Ações])</f>
        <v>12587262</v>
      </c>
      <c r="AE263" s="5">
        <f>[Capital Social]/[Total Ações]</f>
        <v>11.12235528266592</v>
      </c>
      <c r="AF263" s="78">
        <f>Tabela3[[#This Row],[Lucro Líquido]]/Tabela3[[#This Row],[Total Ações]]</f>
        <v>4.4654667552006151</v>
      </c>
      <c r="AG2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2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2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2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263" s="6">
        <f>[Div Base]*[Ações]</f>
        <v>860010.29808706616</v>
      </c>
      <c r="AL263" s="6">
        <f>SUMPRODUCT(N([Nome]=Tabela3[[#This Row],[Nome]]),[Div Base]*[Ações])</f>
        <v>13349400.000000002</v>
      </c>
      <c r="AM263" s="6">
        <f>[Patrimônio Líquido]/[Total Ações]</f>
        <v>19.216569894231167</v>
      </c>
      <c r="AN263" s="48">
        <f>MAX(Tabela3[[#This Row],[Cotação 1]:[Cotação 5]])</f>
        <v>18.559999999999999</v>
      </c>
      <c r="AO263" s="44">
        <f>[Cotação]/[VPA]</f>
        <v>0.96583313786773828</v>
      </c>
      <c r="AP263" s="40">
        <f>IF(Tabela3[[#This Row],[Lucro/Ação]]&gt;0,Tabela3[[#This Row],[Cotação]]/(Tabela3[[#This Row],[Lucro/Ação]]/[Ref]*4),0)</f>
        <v>3.1172553202391113</v>
      </c>
      <c r="AQ263" s="78">
        <f>[Lucro Distribuir]/[Total Ações]</f>
        <v>4.2421934174405838</v>
      </c>
      <c r="AR263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263" s="15" t="str">
        <f>IF(AND([% A.A.]&gt;=5%,SUMPRODUCT(N([Nome]=Tabela3[[#This Row],[Nome]]),[PL])&gt;0,[Rentabilidade s/ PL]&gt;=[Rentabilidade s/ PL Média]),"Sim","Não")</f>
        <v>Sim</v>
      </c>
      <c r="AT263" s="42">
        <f>IF([Cotação]&gt;0,Tabela3[[#This Row],[Lucro]]/Tabela3[[#This Row],[Cotação]],0)</f>
        <v>6.212253198566111E-2</v>
      </c>
      <c r="AU263" s="19">
        <f>((1+Tabela3[[#This Row],[% Yield]])^(1/(3*Tabela3[[#This Row],[Ref]])))^(12)-1</f>
        <v>8.3676102108862782E-2</v>
      </c>
      <c r="AV263" s="14">
        <f>IF([Cotação]&gt;0,($BH$1/Tabela3[[#This Row],[Cotação]]-MOD($BH$1/Tabela3[[#This Row],[Cotação]],100)),)</f>
        <v>0</v>
      </c>
      <c r="AW263" s="17">
        <f>Tabela3[[#This Row],[Ativos]]*[Lucro]</f>
        <v>0</v>
      </c>
      <c r="AX263" s="13">
        <f>SUMPRODUCT(N(Tabela1[Código]=Tabela3[[#This Row],[PAPEL]]),Tabela1[Fechamento])</f>
        <v>0</v>
      </c>
      <c r="AY263" s="55">
        <f>SUMPRODUCT(N(Tabela17[Código]=Tabela3[[#This Row],[PAPEL]]),Tabela17[Fechamento])</f>
        <v>18.559999999999999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0</v>
      </c>
    </row>
    <row r="264" spans="1:54" hidden="1">
      <c r="A264" s="3" t="s">
        <v>294</v>
      </c>
      <c r="B264" s="58" t="s">
        <v>709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4" s="18">
        <f>IF(Tabela3[[#This Row],[Lucro Líquido]]&gt;0,Tabela3[[#This Row],[Lucro Líquido]]/Tabela3[[#This Row],[Patrimônio Líquido]],0)</f>
        <v>1.0254451959621972E-2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2.2979292427324034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idden="1">
      <c r="A265" s="3" t="s">
        <v>294</v>
      </c>
      <c r="B265" s="58" t="s">
        <v>298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120564668.39999999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5" s="18">
        <f>IF(Tabela3[[#This Row],[Lucro Líquido]]&gt;0,Tabela3[[#This Row],[Lucro Líquido]]/Tabela3[[#This Row],[Patrimônio Líquido]],0)</f>
        <v>1.0254451959621972E-2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2.2979292427324034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13.2</v>
      </c>
      <c r="AO265" s="44">
        <f>[Cotação]/[VPA]</f>
        <v>0.24104593490652232</v>
      </c>
      <c r="AP265" s="40">
        <f>IF(Tabela3[[#This Row],[Lucro/Ação]]&gt;0,Tabela3[[#This Row],[Cotação]]/(Tabela3[[#This Row],[Lucro/Ação]]/[Ref]*4),0)</f>
        <v>17.629850126730357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1.0768165253729985E-2</v>
      </c>
      <c r="AU265" s="19">
        <f>((1+Tabela3[[#This Row],[% Yield]])^(1/(3*Tabela3[[#This Row],[Ref]])))^(12)-1</f>
        <v>1.4383259705623486E-2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13.2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idden="1">
      <c r="A266" s="3" t="s">
        <v>294</v>
      </c>
      <c r="B266" s="58" t="s">
        <v>710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6" s="18">
        <f>IF(Tabela3[[#This Row],[Lucro Líquido]]&gt;0,Tabela3[[#This Row],[Lucro Líquido]]/Tabela3[[#This Row],[Patrimônio Líquido]],0)</f>
        <v>1.0254451959621972E-2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2.2979292427324034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idden="1">
      <c r="A267" s="103" t="s">
        <v>969</v>
      </c>
      <c r="B267" s="58" t="s">
        <v>970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7" s="110">
        <f>IF(Tabela3[[#This Row],[Lucro Líquido]]&gt;0,Tabela3[[#This Row],[Lucro Líquido]]/Tabela3[[#This Row],[Patrimônio Líquido]],0)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2.2979292427324034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800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idden="1">
      <c r="A268" s="3" t="s">
        <v>969</v>
      </c>
      <c r="B268" s="58" t="s">
        <v>971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4743000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8" s="110">
        <f>IF(Tabela3[[#This Row],[Lucro Líquido]]&gt;0,Tabela3[[#This Row],[Lucro Líquido]]/Tabela3[[#This Row],[Patrimônio Líquido]],0)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2.2979292427324034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0.31</v>
      </c>
      <c r="AO268" s="53">
        <f>[Cotação]/[VPA]</f>
        <v>-1.1628277578238965E-2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1600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0.31</v>
      </c>
      <c r="BB268" s="7">
        <f>SUMPRODUCT(N(Tabela17683[Código]=Tabela3[[#This Row],[PAPEL]]),Tabela17683[Fechamento])</f>
        <v>0</v>
      </c>
    </row>
    <row r="269" spans="1:54" hidden="1">
      <c r="A269" s="3" t="s">
        <v>975</v>
      </c>
      <c r="B269" s="58" t="s">
        <v>908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4098818556.2999997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69" s="18">
        <f>IF(Tabela3[[#This Row],[Lucro Líquido]]&gt;0,Tabela3[[#This Row],[Lucro Líquido]]/Tabela3[[#This Row],[Patrimônio Líquido]],0)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2.2979292427324034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24.9</v>
      </c>
      <c r="AO269" s="53">
        <f>[Cotação]/[VPA]</f>
        <v>4.5178092188770993</v>
      </c>
      <c r="AP269" s="37">
        <f>IF(Tabela3[[#This Row],[Lucro/Ação]]&gt;0,Tabela3[[#This Row],[Cotação]]/(Tabela3[[#This Row],[Lucro/Ação]]/[Ref]*4),0)</f>
        <v>12.882398690959606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1.8436007586589347E-2</v>
      </c>
      <c r="AU269" s="22">
        <f>((1+Tabela3[[#This Row],[% Yield]])^(1/(3*Tabela3[[#This Row],[Ref]])))^(12)-1</f>
        <v>1.8436007586589698E-2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24.9</v>
      </c>
      <c r="BB269" s="7">
        <f>SUMPRODUCT(N(Tabela17683[Código]=Tabela3[[#This Row],[PAPEL]]),Tabela17683[Fechamento])</f>
        <v>0</v>
      </c>
    </row>
    <row r="270" spans="1:54" hidden="1">
      <c r="A270" s="3" t="s">
        <v>802</v>
      </c>
      <c r="B270" s="58" t="s">
        <v>809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9449906765.6499996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0" s="18">
        <f>IF(Tabela3[[#This Row],[Lucro Líquido]]&gt;0,Tabela3[[#This Row],[Lucro Líquido]]/Tabela3[[#This Row],[Patrimônio Líquido]],0)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2.2979292427324034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14.95</v>
      </c>
      <c r="AO270" s="53">
        <f>[Cotação]/[VPA]</f>
        <v>1.3350009141173429</v>
      </c>
      <c r="AP270" s="37">
        <f>IF(Tabela3[[#This Row],[Lucro/Ação]]&gt;0,Tabela3[[#This Row],[Cotação]]/(Tabela3[[#This Row],[Lucro/Ação]]/[Ref]*4),0)</f>
        <v>36.809882930368261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6.4520715930900677E-3</v>
      </c>
      <c r="AU270" s="22">
        <f>((1+Tabela3[[#This Row],[% Yield]])^(1/(3*Tabela3[[#This Row],[Ref]])))^(12)-1</f>
        <v>6.4520715930882488E-3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14.95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idden="1">
      <c r="A271" s="4" t="s">
        <v>572</v>
      </c>
      <c r="B271" s="57" t="s">
        <v>570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165064069.35000002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1" s="19">
        <f>IF(Tabela3[[#This Row],[Lucro Líquido]]&gt;0,Tabela3[[#This Row],[Lucro Líquido]]/Tabela3[[#This Row],[Patrimônio Líquido]],0)</f>
        <v>2.3069804336329986E-3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2.2979292427324034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1.35</v>
      </c>
      <c r="AO271" s="44">
        <f>[Cotação]/[VPA]</f>
        <v>1.0911162701612904</v>
      </c>
      <c r="AP271" s="40">
        <f>IF(Tabela3[[#This Row],[Lucro/Ação]]&gt;0,Tabela3[[#This Row],[Cotação]]/(Tabela3[[#This Row],[Lucro/Ação]]/[Ref]*4),0)</f>
        <v>354.72221207020061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5.0215349910128697E-4</v>
      </c>
      <c r="AU271" s="42">
        <f>((1+Tabela3[[#This Row],[% Yield]])^(1/(3*Tabela3[[#This Row],[Ref]])))^(12)-1</f>
        <v>6.6959402769195542E-4</v>
      </c>
      <c r="AV271" s="14">
        <f>IF([Cotação]&gt;0,($BH$1/Tabela3[[#This Row],[Cotação]]-MOD($BH$1/Tabela3[[#This Row],[Cotação]],100)),)</f>
        <v>300</v>
      </c>
      <c r="AW271" s="17">
        <f>Tabela3[[#This Row],[Ativos]]*[Lucro]</f>
        <v>0.20337216713602124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1.35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idden="1">
      <c r="A272" s="4" t="s">
        <v>14</v>
      </c>
      <c r="B272" s="57" t="s">
        <v>543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2" s="19">
        <f>IF(Tabela3[[#This Row],[Lucro Líquido]]&gt;0,Tabela3[[#This Row],[Lucro Líquido]]/Tabela3[[#This Row],[Patrimônio Líquido]],0)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2.2979292427324034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idden="1">
      <c r="A273" s="4" t="s">
        <v>14</v>
      </c>
      <c r="B273" s="57" t="s">
        <v>544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398431306.25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3" s="19">
        <f>IF(Tabela3[[#This Row],[Lucro Líquido]]&gt;0,Tabela3[[#This Row],[Lucro Líquido]]/Tabela3[[#This Row],[Patrimônio Líquido]],0)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2.2979292427324034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4.45</v>
      </c>
      <c r="AO273" s="44">
        <f>[Cotação]/[VPA]</f>
        <v>0.59171853140881514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4.45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idden="1">
      <c r="A274" s="3" t="s">
        <v>889</v>
      </c>
      <c r="B274" s="58" t="s">
        <v>906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62774934.339999996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4" s="18">
        <f>IF(Tabela3[[#This Row],[Lucro Líquido]]&gt;0,Tabela3[[#This Row],[Lucro Líquido]]/Tabela3[[#This Row],[Patrimônio Líquido]],0)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2.2979292427324034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5.0199999999999996</v>
      </c>
      <c r="AO274" s="53">
        <f>[Cotação]/[VPA]</f>
        <v>-0.43151995779314511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5.0199999999999996</v>
      </c>
      <c r="BB274" s="7">
        <f>SUMPRODUCT(N(Tabela17683[Código]=Tabela3[[#This Row],[PAPEL]]),Tabela17683[Fechamento])</f>
        <v>0</v>
      </c>
    </row>
    <row r="275" spans="1:54" hidden="1">
      <c r="A275" s="3" t="s">
        <v>341</v>
      </c>
      <c r="B275" s="58" t="s">
        <v>350</v>
      </c>
      <c r="C275" s="83" t="str">
        <f>LEFT([PAPEL],LEN([PAPEL])-(LEN([PAPEL])-4))</f>
        <v>IGTA</v>
      </c>
      <c r="D275" s="16">
        <v>3</v>
      </c>
      <c r="E275" s="5">
        <v>1261727567.1199999</v>
      </c>
      <c r="F275" s="21">
        <v>176611578</v>
      </c>
      <c r="G275" s="86">
        <v>0.25</v>
      </c>
      <c r="H275" s="16"/>
      <c r="J275" s="18"/>
      <c r="K275" s="87"/>
      <c r="L275" s="87"/>
      <c r="M275" s="54"/>
      <c r="N275" s="54"/>
      <c r="O275" s="54"/>
      <c r="P275" s="5">
        <v>2302519000</v>
      </c>
      <c r="Q275" s="5">
        <v>128087000</v>
      </c>
      <c r="R275" s="5">
        <f>IF(Tabela3[[#This Row],[Ativo || Passivo]]&gt;0,Tabela3[[#This Row],[Ativo || Passivo]]-Tabela3[[#This Row],[Patrimônio Líquido]],0)</f>
        <v>0</v>
      </c>
      <c r="S275" s="5">
        <f>Tabela3[[#This Row],[Cotação]]*Tabela3[[#This Row],[Total Ações]]</f>
        <v>3664690243.5</v>
      </c>
      <c r="T275" s="130">
        <f>IF(Tabela3[[#This Row],[Passivo Circulante]]&gt;0,Tabela3[[#This Row],[Ativo Circulante]]/Tabela3[[#This Row],[Passivo Circulante]],0)</f>
        <v>0</v>
      </c>
      <c r="U275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5" s="18">
        <f>IF(Tabela3[[#This Row],[Lucro Líquido]]&gt;0,Tabela3[[#This Row],[Lucro Líquido]]/Tabela3[[#This Row],[Patrimônio Líquido]],0)</f>
        <v>5.5629074070615701E-2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2.2979292427324034</v>
      </c>
      <c r="Z275" s="5">
        <f>Tabela3[[#This Row],[Capital Social]]*20%</f>
        <v>252345513.42399999</v>
      </c>
      <c r="AA275" s="5">
        <f>IF(([Lucro Líquido]*5%)&gt;[Teto R. Legal],[Teto R. Legal],[Lucro Líquido]*5%)</f>
        <v>6404350</v>
      </c>
      <c r="AB275" s="5">
        <f>IF([Lucro Líquido]&lt;0,0,[Lucro Líquido]-[Reserva Legal])</f>
        <v>121682650</v>
      </c>
      <c r="AC275" s="5">
        <f>Tabela3[[#This Row],[Lucro Distribuir]]*[%Div]</f>
        <v>30420662.5</v>
      </c>
      <c r="AD275" s="56">
        <f>SUMPRODUCT(N([Nome]=Tabela3[[#This Row],[Nome]]),[Ações])</f>
        <v>176611578</v>
      </c>
      <c r="AE275" s="5">
        <f>[Capital Social]/[Total Ações]</f>
        <v>7.1440818399799353</v>
      </c>
      <c r="AF275" s="77">
        <f>Tabela3[[#This Row],[Lucro Líquido]]/Tabela3[[#This Row],[Total Ações]]</f>
        <v>0.72524690312205919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275" s="5">
        <f>[Div Base]*[Ações]</f>
        <v>30420662.5</v>
      </c>
      <c r="AL275" s="5">
        <f>SUMPRODUCT(N([Nome]=Tabela3[[#This Row],[Nome]]),[Div Base]*[Ações])</f>
        <v>30420662.5</v>
      </c>
      <c r="AM275" s="5">
        <f>[Patrimônio Líquido]/[Total Ações]</f>
        <v>13.037191706650173</v>
      </c>
      <c r="AN275" s="52">
        <f>MAX(Tabela3[[#This Row],[Cotação 1]:[Cotação 5]])</f>
        <v>20.75</v>
      </c>
      <c r="AO275" s="53">
        <f>[Cotação]/[VPA]</f>
        <v>1.5916004356532996</v>
      </c>
      <c r="AP275" s="37">
        <f>IF(Tabela3[[#This Row],[Lucro/Ação]]&gt;0,Tabela3[[#This Row],[Cotação]]/(Tabela3[[#This Row],[Lucro/Ação]]/[Ref]*4),0)</f>
        <v>21.458209518725553</v>
      </c>
      <c r="AQ275" s="77">
        <f>[Lucro Distribuir]/[Total Ações]</f>
        <v>0.68898455796595626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8.3010187706741723E-3</v>
      </c>
      <c r="AU275" s="18">
        <f>((1+Tabela3[[#This Row],[% Yield]])^(1/(3*Tabela3[[#This Row],[Ref]])))^(12)-1</f>
        <v>1.1083309525292018E-2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20.75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idden="1">
      <c r="A276" s="3" t="s">
        <v>273</v>
      </c>
      <c r="B276" s="58" t="s">
        <v>851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108949061.25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6" s="18">
        <f>IF(Tabela3[[#This Row],[Lucro Líquido]]&gt;0,Tabela3[[#This Row],[Lucro Líquido]]/Tabela3[[#This Row],[Patrimônio Líquido]],0)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2.2979292427324034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3.75</v>
      </c>
      <c r="AO276" s="53">
        <f>[Cotação]/[VPA]</f>
        <v>-0.72135931385856067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100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3.75</v>
      </c>
      <c r="BB276" s="7">
        <f>SUMPRODUCT(N(Tabela17683[Código]=Tabela3[[#This Row],[PAPEL]]),Tabela17683[Fechamento])</f>
        <v>0</v>
      </c>
    </row>
    <row r="277" spans="1:54" hidden="1">
      <c r="A277" s="3" t="s">
        <v>273</v>
      </c>
      <c r="B277" s="58" t="s">
        <v>852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7" s="18">
        <f>IF(Tabela3[[#This Row],[Lucro Líquido]]&gt;0,Tabela3[[#This Row],[Lucro Líquido]]/Tabela3[[#This Row],[Patrimônio Líquido]],0)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2.2979292427324034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100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idden="1">
      <c r="A278" s="3" t="s">
        <v>273</v>
      </c>
      <c r="B278" s="58" t="s">
        <v>853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8" s="18">
        <f>IF(Tabela3[[#This Row],[Lucro Líquido]]&gt;0,Tabela3[[#This Row],[Lucro Líquido]]/Tabela3[[#This Row],[Patrimônio Líquido]],0)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2.2979292427324034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100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idden="1">
      <c r="A279" s="3" t="s">
        <v>1219</v>
      </c>
      <c r="B279" s="57" t="s">
        <v>1220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176896019.74000001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79" s="18">
        <f>IF(Tabela3[[#This Row],[Lucro Líquido]]&gt;0,Tabela3[[#This Row],[Lucro Líquido]]/Tabela3[[#This Row],[Patrimônio Líquido]],0)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2.2979292427324034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1.01</v>
      </c>
      <c r="AO279" s="53">
        <f>[Cotação]/[VPA]</f>
        <v>2.9335990006633499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400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1.01</v>
      </c>
    </row>
    <row r="280" spans="1:54" hidden="1">
      <c r="A280" s="3" t="s">
        <v>1219</v>
      </c>
      <c r="B280" s="57" t="s">
        <v>1221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115595418.84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0" s="18">
        <f>IF(Tabela3[[#This Row],[Lucro Líquido]]&gt;0,Tabela3[[#This Row],[Lucro Líquido]]/Tabela3[[#This Row],[Patrimônio Líquido]],0)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2.2979292427324034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0.66</v>
      </c>
      <c r="AO280" s="53">
        <f>[Cotação]/[VPA]</f>
        <v>1.917005287562189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700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0.66</v>
      </c>
    </row>
    <row r="281" spans="1:54" hidden="1">
      <c r="A281" s="3" t="s">
        <v>1060</v>
      </c>
      <c r="B281" s="58" t="s">
        <v>1061</v>
      </c>
      <c r="C281" s="16" t="str">
        <f>LEFT([PAPEL],LEN([PAPEL])-(LEN([PAPEL])-4))</f>
        <v>IMCH</v>
      </c>
      <c r="D281" s="16">
        <v>3</v>
      </c>
      <c r="E281" s="5">
        <v>639606303.27999997</v>
      </c>
      <c r="F281" s="56">
        <v>84482793</v>
      </c>
      <c r="G281" s="81">
        <v>0.25</v>
      </c>
      <c r="H281" s="87"/>
      <c r="J281" s="18"/>
      <c r="K281" s="16"/>
      <c r="L281" s="87"/>
      <c r="M281" s="54"/>
      <c r="N281" s="54"/>
      <c r="O281" s="54"/>
      <c r="P281" s="91">
        <v>894106000</v>
      </c>
      <c r="Q281" s="73">
        <v>-12039000</v>
      </c>
      <c r="R281" s="73">
        <f>IF(Tabela3[[#This Row],[Ativo || Passivo]]&gt;0,Tabela3[[#This Row],[Ativo || Passivo]]-Tabela3[[#This Row],[Patrimônio Líquido]],0)</f>
        <v>0</v>
      </c>
      <c r="S281" s="73">
        <f>Tabela3[[#This Row],[Cotação]]*Tabela3[[#This Row],[Total Ações]]</f>
        <v>1306948807.71</v>
      </c>
      <c r="T281" s="37">
        <f>IF(Tabela3[[#This Row],[Passivo Circulante]]&gt;0,Tabela3[[#This Row],[Ativo Circulante]]/Tabela3[[#This Row],[Passivo Circulante]],0)</f>
        <v>0</v>
      </c>
      <c r="U28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1" s="18">
        <f>IF(Tabela3[[#This Row],[Lucro Líquido]]&gt;0,Tabela3[[#This Row],[Lucro Líquido]]/Tabela3[[#This Row],[Patrimônio Líquido]],0)</f>
        <v>0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1" s="18">
        <f>IF(Tabela3[[#This Row],[Dívida]]&gt;0,Tabela3[[#This Row],[Dívida]]/Tabela3[[#This Row],[Patrimônio Líquido]],0)</f>
        <v>0</v>
      </c>
      <c r="Y281" s="18">
        <f>SUMPRODUCT(N([Dívida / PL]&gt;0),N(RIGHT([PAPEL],LEN([PAPEL])-(LEN([PAPEL])-1))="3"),[Dívida / PL])/SUMPRODUCT(N([Dívida / PL]&gt;0),N(RIGHT([PAPEL],LEN([PAPEL])-(LEN([PAPEL])-1))="3"))</f>
        <v>2.2979292427324034</v>
      </c>
      <c r="Z281" s="7">
        <f>Tabela3[[#This Row],[Capital Social]]*20%</f>
        <v>127921260.656</v>
      </c>
      <c r="AA281" s="47">
        <f>IF(([Lucro Líquido]*5%)&gt;[Teto R. Legal],[Teto R. Legal],[Lucro Líquido]*5%)</f>
        <v>-601950</v>
      </c>
      <c r="AB281" s="47">
        <f>IF([Lucro Líquido]&lt;0,0,[Lucro Líquido]-[Reserva Legal])</f>
        <v>0</v>
      </c>
      <c r="AC281" s="47">
        <f>Tabela3[[#This Row],[Lucro Distribuir]]*[%Div]</f>
        <v>0</v>
      </c>
      <c r="AD281" s="56">
        <f>SUMPRODUCT(N([Nome]=Tabela3[[#This Row],[Nome]]),[Ações])</f>
        <v>84482793</v>
      </c>
      <c r="AE281" s="85">
        <f>[Capital Social]/[Total Ações]</f>
        <v>7.5708470395859191</v>
      </c>
      <c r="AF281" s="85">
        <f>Tabela3[[#This Row],[Lucro Líquido]]/Tabela3[[#This Row],[Total Ações]]</f>
        <v>-0.14250239098984335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1" s="7">
        <f>[Div Base]*[Ações]</f>
        <v>0</v>
      </c>
      <c r="AL281" s="120">
        <f>SUMPRODUCT(N([Nome]=Tabela3[[#This Row],[Nome]]),[Div Base]*[Ações])</f>
        <v>0</v>
      </c>
      <c r="AM281" s="5">
        <f>[Patrimônio Líquido]/[Total Ações]</f>
        <v>10.583291203452518</v>
      </c>
      <c r="AN281" s="52">
        <f>MAX(Tabela3[[#This Row],[Cotação 1]:[Cotação 5]])</f>
        <v>15.47</v>
      </c>
      <c r="AO281" s="53">
        <f>[Cotação]/[VPA]</f>
        <v>1.4617381023167277</v>
      </c>
      <c r="AP281" s="37">
        <f>IF(Tabela3[[#This Row],[Lucro/Ação]]&gt;0,Tabela3[[#This Row],[Cotação]]/(Tabela3[[#This Row],[Lucro/Ação]]/[Ref]*4),0)</f>
        <v>0</v>
      </c>
      <c r="AQ281" s="85">
        <f>[Lucro Distribuir]/[Total Ações]</f>
        <v>0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0</v>
      </c>
      <c r="AU281" s="22">
        <f>((1+Tabela3[[#This Row],[% Yield]])^(1/(3*Tabela3[[#This Row],[Ref]])))^(12)-1</f>
        <v>0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15.47</v>
      </c>
      <c r="BB281" s="7">
        <f>SUMPRODUCT(N(Tabela17683[Código]=Tabela3[[#This Row],[PAPEL]]),Tabela17683[Fechamento])</f>
        <v>0</v>
      </c>
    </row>
    <row r="282" spans="1:54" hidden="1">
      <c r="A282" s="3" t="s">
        <v>1310</v>
      </c>
      <c r="B282" s="57" t="s">
        <v>1297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105088788.48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2" s="18">
        <f>IF(Tabela3[[#This Row],[Lucro Líquido]]&gt;0,Tabela3[[#This Row],[Lucro Líquido]]/Tabela3[[#This Row],[Patrimônio Líquido]],0)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2.2979292427324034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1.02</v>
      </c>
      <c r="AO282" s="53">
        <f>[Cotação]/[VPA]</f>
        <v>0.26155478298094753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400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1.02</v>
      </c>
    </row>
    <row r="283" spans="1:54" hidden="1">
      <c r="A283" s="3" t="s">
        <v>1310</v>
      </c>
      <c r="B283" s="57" t="s">
        <v>1298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91695119.359999999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3" s="18">
        <f>IF(Tabela3[[#This Row],[Lucro Líquido]]&gt;0,Tabela3[[#This Row],[Lucro Líquido]]/Tabela3[[#This Row],[Patrimônio Líquido]],0)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2.2979292427324034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0.89</v>
      </c>
      <c r="AO283" s="53">
        <f>[Cotação]/[VPA]</f>
        <v>0.22821936946376795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500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0.89</v>
      </c>
    </row>
    <row r="284" spans="1:54" hidden="1">
      <c r="A284" s="4" t="s">
        <v>283</v>
      </c>
      <c r="B284" s="57" t="s">
        <v>524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62696982.800000004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4" s="19">
        <f>IF(Tabela3[[#This Row],[Lucro Líquido]]&gt;0,Tabela3[[#This Row],[Lucro Líquido]]/Tabela3[[#This Row],[Patrimônio Líquido]],0)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2.2979292427324034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0.2</v>
      </c>
      <c r="AO284" s="44">
        <f>[Cotação]/[VPA]</f>
        <v>-2.5617791452153305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2500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0.2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idden="1">
      <c r="A285" s="4" t="s">
        <v>583</v>
      </c>
      <c r="B285" s="57" t="s">
        <v>585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5" s="19">
        <f>IF(Tabela3[[#This Row],[Lucro Líquido]]&gt;0,Tabela3[[#This Row],[Lucro Líquido]]/Tabela3[[#This Row],[Patrimônio Líquido]],0)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2.2979292427324034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idden="1">
      <c r="A286" s="4" t="s">
        <v>14</v>
      </c>
      <c r="B286" s="57" t="s">
        <v>229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48881071896.800003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6" s="18">
        <f>IF(Tabela3[[#This Row],[Lucro Líquido]]&gt;0,Tabela3[[#This Row],[Lucro Líquido]]/Tabela3[[#This Row],[Patrimônio Líquido]],0)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2.2979292427324034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8.8000000000000007</v>
      </c>
      <c r="AO286" s="53">
        <f>[Cotação]/[VPA]</f>
        <v>1.4753877606109083</v>
      </c>
      <c r="AP286" s="37">
        <f>IF(Tabela3[[#This Row],[Lucro/Ação]]&gt;0,Tabela3[[#This Row],[Cotação]]/(Tabela3[[#This Row],[Lucro/Ação]]/[Ref]*4),0)</f>
        <v>8.5786366965250984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2.7685051646516613E-2</v>
      </c>
      <c r="AU286" s="18">
        <f>((1+Tabela3[[#This Row],[% Yield]])^(1/(3*Tabela3[[#This Row],[Ref]])))^(12)-1</f>
        <v>2.7685051646515912E-2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8.8000000000000007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idden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46103738266.300003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7" s="18">
        <f>IF(Tabela3[[#This Row],[Lucro Líquido]]&gt;0,Tabela3[[#This Row],[Lucro Líquido]]/Tabela3[[#This Row],[Patrimônio Líquido]],0)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2.2979292427324034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8.3000000000000007</v>
      </c>
      <c r="AO287" s="44">
        <f>[Cotação]/[VPA]</f>
        <v>1.3915589105761976</v>
      </c>
      <c r="AP287" s="40">
        <f>IF(Tabela3[[#This Row],[Lucro/Ação]]&gt;0,Tabela3[[#This Row],[Cotação]]/(Tabela3[[#This Row],[Lucro/Ação]]/[Ref]*4),0)</f>
        <v>8.0912141569498086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2.9352825842089904E-2</v>
      </c>
      <c r="AU287" s="19">
        <f>((1+Tabela3[[#This Row],[% Yield]])^(1/(3*Tabela3[[#This Row],[Ref]])))^(12)-1</f>
        <v>2.9352825842089425E-2</v>
      </c>
      <c r="AV287" s="14">
        <f>IF([Cotação]&gt;0,($BH$1/Tabela3[[#This Row],[Cotação]]-MOD($BH$1/Tabela3[[#This Row],[Cotação]],100)),)</f>
        <v>0</v>
      </c>
      <c r="AW287" s="17">
        <f>Tabela3[[#This Row],[Ativos]]*[Lucro]</f>
        <v>0</v>
      </c>
      <c r="AX287" s="5">
        <f>SUMPRODUCT(N(Tabela1[Código]=Tabela3[[#This Row],[PAPEL]]),Tabela1[Fechamento])</f>
        <v>8.3000000000000007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idden="1">
      <c r="A288" s="4" t="s">
        <v>14</v>
      </c>
      <c r="B288" s="60" t="s">
        <v>227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145963702481.30002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8" s="19">
        <f>IF(Tabela3[[#This Row],[Lucro Líquido]]&gt;0,Tabela3[[#This Row],[Lucro Líquido]]/Tabela3[[#This Row],[Patrimônio Líquido]],0)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2.2979292427324034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29.03</v>
      </c>
      <c r="AO288" s="44">
        <f>[Cotação]/[VPA]</f>
        <v>1.6358189090097581</v>
      </c>
      <c r="AP288" s="40">
        <f>IF(Tabela3[[#This Row],[Lucro/Ação]]&gt;0,Tabela3[[#This Row],[Cotação]]/(Tabela3[[#This Row],[Lucro/Ação]]/[Ref]*4),0)</f>
        <v>12.516836757722428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1.8974442552625863E-2</v>
      </c>
      <c r="AU288" s="19">
        <f>((1+Tabela3[[#This Row],[% Yield]])^(1/(3*Tabela3[[#This Row],[Ref]])))^(12)-1</f>
        <v>1.8974442552625259E-2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29.03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idden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155567239227.39999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89" s="19">
        <f>IF(Tabela3[[#This Row],[Lucro Líquido]]&gt;0,Tabela3[[#This Row],[Lucro Líquido]]/Tabela3[[#This Row],[Patrimônio Líquido]],0)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2.2979292427324034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30.94</v>
      </c>
      <c r="AO289" s="44">
        <f>[Cotação]/[VPA]</f>
        <v>1.7434459884520122</v>
      </c>
      <c r="AP289" s="40">
        <f>IF(Tabela3[[#This Row],[Lucro/Ação]]&gt;0,Tabela3[[#This Row],[Cotação]]/(Tabela3[[#This Row],[Lucro/Ação]]/[Ref]*4),0)</f>
        <v>13.340369592970443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1.7803104954839329E-2</v>
      </c>
      <c r="AU289" s="19">
        <f>((1+Tabela3[[#This Row],[% Yield]])^(1/(3*Tabela3[[#This Row],[Ref]])))^(12)-1</f>
        <v>1.7803104954838167E-2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30.94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idden="1">
      <c r="A290" s="4" t="s">
        <v>294</v>
      </c>
      <c r="B290" s="57" t="s">
        <v>718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72472010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0" s="19">
        <f>IF(Tabela3[[#This Row],[Lucro Líquido]]&gt;0,Tabela3[[#This Row],[Lucro Líquido]]/Tabela3[[#This Row],[Patrimônio Líquido]],0)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2.2979292427324034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0.26</v>
      </c>
      <c r="AO290" s="44">
        <f>[Cotação]/[VPA]</f>
        <v>1.7075943073914377</v>
      </c>
      <c r="AP290" s="40">
        <f>IF(Tabela3[[#This Row],[Lucro/Ação]]&gt;0,Tabela3[[#This Row],[Cotação]]/(Tabela3[[#This Row],[Lucro/Ação]]/[Ref]*4),0)</f>
        <v>30.799834254143647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7.7110804571309671E-3</v>
      </c>
      <c r="AU290" s="42">
        <f>((1+Tabela3[[#This Row],[% Yield]])^(1/(3*Tabela3[[#This Row],[Ref]])))^(12)-1</f>
        <v>7.7110804571300928E-3</v>
      </c>
      <c r="AV290" s="14">
        <f>IF([Cotação]&gt;0,($BH$1/Tabela3[[#This Row],[Cotação]]-MOD($BH$1/Tabela3[[#This Row],[Cotação]],100)),)</f>
        <v>1900</v>
      </c>
      <c r="AW290" s="17">
        <f>Tabela3[[#This Row],[Ativos]]*[Lucro]</f>
        <v>3.809273745822698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0.26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idden="1">
      <c r="A291" s="4" t="s">
        <v>294</v>
      </c>
      <c r="B291" s="57" t="s">
        <v>719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47385545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1" s="19">
        <f>IF(Tabela3[[#This Row],[Lucro Líquido]]&gt;0,Tabela3[[#This Row],[Lucro Líquido]]/Tabela3[[#This Row],[Patrimônio Líquido]],0)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2.2979292427324034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0.17</v>
      </c>
      <c r="AO291" s="44">
        <f>[Cotação]/[VPA]</f>
        <v>1.1165039702174786</v>
      </c>
      <c r="AP291" s="40">
        <f>IF(Tabela3[[#This Row],[Lucro/Ação]]&gt;0,Tabela3[[#This Row],[Cotação]]/(Tabela3[[#This Row],[Lucro/Ação]]/[Ref]*4),0)</f>
        <v>20.138353166170845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1.1793417169729713E-2</v>
      </c>
      <c r="AU291" s="42">
        <f>((1+Tabela3[[#This Row],[% Yield]])^(1/(3*Tabela3[[#This Row],[Ref]])))^(12)-1</f>
        <v>1.1793417169730036E-2</v>
      </c>
      <c r="AV291" s="14">
        <f>IF([Cotação]&gt;0,($BH$1/Tabela3[[#This Row],[Cotação]]-MOD($BH$1/Tabela3[[#This Row],[Cotação]],100)),)</f>
        <v>2900</v>
      </c>
      <c r="AW291" s="17">
        <f>Tabela3[[#This Row],[Ativos]]*[Lucro]</f>
        <v>5.8141546646767495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0.17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idden="1">
      <c r="A292" s="3" t="s">
        <v>275</v>
      </c>
      <c r="B292" s="58" t="s">
        <v>277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21518037698.48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2" s="18">
        <f>IF(Tabela3[[#This Row],[Lucro Líquido]]&gt;0,Tabela3[[#This Row],[Lucro Líquido]]/Tabela3[[#This Row],[Patrimônio Líquido]],0)</f>
        <v>3.587589644222236E-2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2.2979292427324034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7.31</v>
      </c>
      <c r="AO292" s="53">
        <f>[Cotação]/[VPA]</f>
        <v>0.98193157341093851</v>
      </c>
      <c r="AP292" s="37">
        <f>IF(Tabela3[[#This Row],[Lucro/Ação]]&gt;0,Tabela3[[#This Row],[Cotação]]/(Tabela3[[#This Row],[Lucro/Ação]]/[Ref]*4),0)</f>
        <v>20.527673259516856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8.6773107574390721E-3</v>
      </c>
      <c r="AU292" s="18">
        <f>((1+Tabela3[[#This Row],[% Yield]])^(1/(3*Tabela3[[#This Row],[Ref]])))^(12)-1</f>
        <v>1.1586447910457931E-2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7.31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idden="1">
      <c r="A293" s="3" t="s">
        <v>1093</v>
      </c>
      <c r="B293" s="58" t="s">
        <v>1118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963515367.46000004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3" s="18">
        <f>IF(Tabela3[[#This Row],[Lucro Líquido]]&gt;0,Tabela3[[#This Row],[Lucro Líquido]]/Tabela3[[#This Row],[Patrimônio Líquido]],0)</f>
        <v>2.5260160859015109E-2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2.2979292427324034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5.42</v>
      </c>
      <c r="AO293" s="53">
        <f>[Cotação]/[VPA]</f>
        <v>1.104390288237256</v>
      </c>
      <c r="AP293" s="37">
        <f>IF(Tabela3[[#This Row],[Lucro/Ação]]&gt;0,Tabela3[[#This Row],[Cotação]]/(Tabela3[[#This Row],[Lucro/Ação]]/[Ref]*4),0)</f>
        <v>32.790476703648245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5.4322174578261603E-3</v>
      </c>
      <c r="AU293" s="22">
        <f>((1+Tabela3[[#This Row],[% Yield]])^(1/(3*Tabela3[[#This Row],[Ref]])))^(12)-1</f>
        <v>7.2495062648456621E-3</v>
      </c>
      <c r="AV293" s="10">
        <f>IF([Cotação]&gt;0,($BH$1/Tabela3[[#This Row],[Cotação]]-MOD($BH$1/Tabela3[[#This Row],[Cotação]],100)),)</f>
        <v>0</v>
      </c>
      <c r="AW293" s="7">
        <f>Tabela3[[#This Row],[Ativos]]*[Lucro]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5.42</v>
      </c>
      <c r="BB293" s="7">
        <f>SUMPRODUCT(N(Tabela17683[Código]=Tabela3[[#This Row],[PAPEL]]),Tabela17683[Fechamento])</f>
        <v>0</v>
      </c>
    </row>
    <row r="294" spans="1:54" hidden="1">
      <c r="A294" s="3" t="s">
        <v>1093</v>
      </c>
      <c r="B294" s="58" t="s">
        <v>1109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1857785575.0999999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4" s="18">
        <f>IF(Tabela3[[#This Row],[Lucro Líquido]]&gt;0,Tabela3[[#This Row],[Lucro Líquido]]/Tabela3[[#This Row],[Patrimônio Líquido]],0)</f>
        <v>3.6447706455469853E-2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2.2979292427324034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4.3</v>
      </c>
      <c r="AO294" s="53">
        <f>[Cotação]/[VPA]</f>
        <v>1.4112257622486202</v>
      </c>
      <c r="AP294" s="37">
        <f>IF(Tabela3[[#This Row],[Lucro/Ação]]&gt;0,Tabela3[[#This Row],[Cotação]]/(Tabela3[[#This Row],[Lucro/Ação]]/[Ref]*4),0)</f>
        <v>29.039394371209436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6.1339089143194626E-3</v>
      </c>
      <c r="AU294" s="22">
        <f>((1+Tabela3[[#This Row],[% Yield]])^(1/(3*Tabela3[[#This Row],[Ref]])))^(12)-1</f>
        <v>8.1868949264582991E-3</v>
      </c>
      <c r="AV294" s="10">
        <f>IF([Cotação]&gt;0,($BH$1/Tabela3[[#This Row],[Cotação]]-MOD($BH$1/Tabela3[[#This Row],[Cotação]],100)),)</f>
        <v>100</v>
      </c>
      <c r="AW294" s="7">
        <f>Tabela3[[#This Row],[Ativos]]*[Lucro]</f>
        <v>2.6375808331573691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4.3</v>
      </c>
      <c r="BB294" s="7">
        <f>SUMPRODUCT(N(Tabela17683[Código]=Tabela3[[#This Row],[PAPEL]]),Tabela17683[Fechamento])</f>
        <v>0</v>
      </c>
    </row>
    <row r="295" spans="1:54" hidden="1">
      <c r="A295" s="4" t="s">
        <v>256</v>
      </c>
      <c r="B295" s="60" t="s">
        <v>251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5" s="18">
        <f>IF(Tabela3[[#This Row],[Lucro Líquido]]&gt;0,Tabela3[[#This Row],[Lucro Líquido]]/Tabela3[[#This Row],[Patrimônio Líquido]],0)</f>
        <v>3.6761964125710277E-2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2.2979292427324034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idden="1">
      <c r="A296" s="4" t="s">
        <v>256</v>
      </c>
      <c r="B296" s="60" t="s">
        <v>252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211647220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6" s="18">
        <f>IF(Tabela3[[#This Row],[Lucro Líquido]]&gt;0,Tabela3[[#This Row],[Lucro Líquido]]/Tabela3[[#This Row],[Patrimônio Líquido]],0)</f>
        <v>3.6761964125710277E-2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2.2979292427324034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20</v>
      </c>
      <c r="AO296" s="53">
        <f>[Cotação]/[VPA]</f>
        <v>0.58894614404256374</v>
      </c>
      <c r="AP296" s="37">
        <f>IF(Tabela3[[#This Row],[Lucro/Ação]]&gt;0,Tabela3[[#This Row],[Cotação]]/(Tabela3[[#This Row],[Lucro/Ação]]/[Ref]*4),0)</f>
        <v>12.015397396109302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1.7789673778847652E-2</v>
      </c>
      <c r="AU296" s="22">
        <f>((1+Tabela3[[#This Row],[% Yield]])^(1/(3*Tabela3[[#This Row],[Ref]])))^(12)-1</f>
        <v>2.3789616278773851E-2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20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20</v>
      </c>
      <c r="BB296" s="7">
        <f>SUMPRODUCT(N(Tabela17683[Código]=Tabela3[[#This Row],[PAPEL]]),Tabela17683[Fechamento])</f>
        <v>0</v>
      </c>
    </row>
    <row r="297" spans="1:54" hidden="1">
      <c r="A297" s="3" t="s">
        <v>1253</v>
      </c>
      <c r="B297" s="58" t="s">
        <v>1254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2937628265.7000003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7" s="18">
        <f>IF(Tabela3[[#This Row],[Lucro Líquido]]&gt;0,Tabela3[[#This Row],[Lucro Líquido]]/Tabela3[[#This Row],[Patrimônio Líquido]],0)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2.2979292427324034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13.55</v>
      </c>
      <c r="AO297" s="53">
        <f>[Cotação]/[VPA]</f>
        <v>2.8952504843604165</v>
      </c>
      <c r="AP297" s="37">
        <f>IF(Tabela3[[#This Row],[Lucro/Ação]]&gt;0,Tabela3[[#This Row],[Cotação]]/(Tabela3[[#This Row],[Lucro/Ação]]/[Ref]*4),0)</f>
        <v>31.389947808943742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7.5661164346482474E-3</v>
      </c>
      <c r="AU297" s="22">
        <f>((1+Tabela3[[#This Row],[% Yield]])^(1/(3*Tabela3[[#This Row],[Ref]])))^(12)-1</f>
        <v>7.5661164346494392E-3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13.55</v>
      </c>
    </row>
    <row r="298" spans="1:54" hidden="1">
      <c r="A298" s="3" t="s">
        <v>1310</v>
      </c>
      <c r="B298" s="57" t="s">
        <v>1299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947900837.20000005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8" s="18">
        <f>IF(Tabela3[[#This Row],[Lucro Líquido]]&gt;0,Tabela3[[#This Row],[Lucro Líquido]]/Tabela3[[#This Row],[Patrimônio Líquido]],0)</f>
        <v>0.10533647968612288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2.2979292427324034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36.200000000000003</v>
      </c>
      <c r="AO298" s="53">
        <f>[Cotação]/[VPA]</f>
        <v>2.6949672680749441</v>
      </c>
      <c r="AP298" s="37">
        <f>IF(Tabela3[[#This Row],[Lucro/Ação]]&gt;0,Tabela3[[#This Row],[Cotação]]/(Tabela3[[#This Row],[Lucro/Ação]]/[Ref]*4),0)</f>
        <v>19.188276056680163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9.283012161897055E-3</v>
      </c>
      <c r="AU298" s="22">
        <f>((1+Tabela3[[#This Row],[% Yield]])^(1/(3*Tabela3[[#This Row],[Ref]])))^(12)-1</f>
        <v>1.2396460044914903E-2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36.200000000000003</v>
      </c>
    </row>
    <row r="299" spans="1:54" hidden="1">
      <c r="A299" s="4" t="s">
        <v>19</v>
      </c>
      <c r="B299" s="58" t="s">
        <v>684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54912856501.349998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299" s="19">
        <f>IF(Tabela3[[#This Row],[Lucro Líquido]]&gt;0,Tabela3[[#This Row],[Lucro Líquido]]/Tabela3[[#This Row],[Patrimônio Líquido]],0)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2.2979292427324034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58.05</v>
      </c>
      <c r="AO299" s="53">
        <f>[Cotação]/[VPA]</f>
        <v>10.182875467991996</v>
      </c>
      <c r="AP299" s="37">
        <f>IF(Tabela3[[#This Row],[Lucro/Ação]]&gt;0,Tabela3[[#This Row],[Cotação]]/(Tabela3[[#This Row],[Lucro/Ação]]/[Ref]*4),0)</f>
        <v>189.29136289361833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6.2733976967949369E-3</v>
      </c>
      <c r="AU299" s="18">
        <f>((1+Tabela3[[#This Row],[% Yield]])^(1/(3*Tabela3[[#This Row],[Ref]])))^(12)-1</f>
        <v>6.2733976967948024E-3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58.05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idden="1">
      <c r="A300" s="4" t="s">
        <v>19</v>
      </c>
      <c r="B300" s="58" t="s">
        <v>186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0" s="19">
        <f>IF(Tabela3[[#This Row],[Lucro Líquido]]&gt;0,Tabela3[[#This Row],[Lucro Líquido]]/Tabela3[[#This Row],[Patrimônio Líquido]],0)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2.2979292427324034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idden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10916354246.779999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1" s="19">
        <f>IF(Tabela3[[#This Row],[Lucro Líquido]]&gt;0,Tabela3[[#This Row],[Lucro Líquido]]/Tabela3[[#This Row],[Patrimônio Líquido]],0)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2.2979292427324034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11.54</v>
      </c>
      <c r="AO301" s="44">
        <f>[Cotação]/[VPA]</f>
        <v>2.024296001733465</v>
      </c>
      <c r="AP301" s="40">
        <f>IF(Tabela3[[#This Row],[Lucro/Ação]]&gt;0,Tabela3[[#This Row],[Cotação]]/(Tabela3[[#This Row],[Lucro/Ação]]/[Ref]*4),0)</f>
        <v>37.630014259988897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6.3114512356836419E-3</v>
      </c>
      <c r="AU301" s="19">
        <f>((1+Tabela3[[#This Row],[% Yield]])^(1/(3*Tabela3[[#This Row],[Ref]])))^(12)-1</f>
        <v>6.3114512356825525E-3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11.54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idden="1">
      <c r="A302" s="3" t="s">
        <v>802</v>
      </c>
      <c r="B302" s="58" t="s">
        <v>803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12570701425.700001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2" s="18">
        <f>IF(Tabela3[[#This Row],[Lucro Líquido]]&gt;0,Tabela3[[#This Row],[Lucro Líquido]]/Tabela3[[#This Row],[Patrimônio Líquido]],0)</f>
        <v>0.19247819044642095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2.2979292427324034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12.65</v>
      </c>
      <c r="AO302" s="53">
        <f>[Cotação]/[VPA]</f>
        <v>12.757626164258721</v>
      </c>
      <c r="AP302" s="37">
        <f>IF(Tabela3[[#This Row],[Lucro/Ação]]&gt;0,Tabela3[[#This Row],[Cotação]]/(Tabela3[[#This Row],[Lucro/Ação]]/[Ref]*4),0)</f>
        <v>49.710669042566096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3.5832348151958225E-3</v>
      </c>
      <c r="AU302" s="22">
        <f>((1+Tabela3[[#This Row],[% Yield]])^(1/(3*Tabela3[[#This Row],[Ref]])))^(12)-1</f>
        <v>4.7804973898499803E-3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12.65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idden="1">
      <c r="A303" s="3" t="s">
        <v>802</v>
      </c>
      <c r="B303" s="58" t="s">
        <v>804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14379292460.860001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3" s="18">
        <f>IF(Tabela3[[#This Row],[Lucro Líquido]]&gt;0,Tabela3[[#This Row],[Lucro Líquido]]/Tabela3[[#This Row],[Patrimônio Líquido]],0)</f>
        <v>0.19247819044642095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2.2979292427324034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14.47</v>
      </c>
      <c r="AO303" s="53">
        <f>[Cotação]/[VPA]</f>
        <v>14.593110719116495</v>
      </c>
      <c r="AP303" s="37">
        <f>IF(Tabela3[[#This Row],[Lucro/Ação]]&gt;0,Tabela3[[#This Row],[Cotação]]/(Tabela3[[#This Row],[Lucro/Ação]]/[Ref]*4),0)</f>
        <v>56.862717869243589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3.1325446034711235E-3</v>
      </c>
      <c r="AU303" s="22">
        <f>((1+Tabela3[[#This Row],[% Yield]])^(1/(3*Tabela3[[#This Row],[Ref]])))^(12)-1</f>
        <v>4.1789052521115089E-3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14.47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idden="1">
      <c r="A304" s="3" t="s">
        <v>310</v>
      </c>
      <c r="B304" s="58" t="s">
        <v>311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237524925.29999998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4" s="18">
        <f>IF(Tabela3[[#This Row],[Lucro Líquido]]&gt;0,Tabela3[[#This Row],[Lucro Líquido]]/Tabela3[[#This Row],[Patrimônio Líquido]],0)</f>
        <v>7.1749235863474273E-2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2.2979292427324034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3.65</v>
      </c>
      <c r="AO304" s="53">
        <f>[Cotação]/[VPA]</f>
        <v>0.7562561299668874</v>
      </c>
      <c r="AP304" s="37">
        <f>IF(Tabela3[[#This Row],[Lucro/Ação]]&gt;0,Tabela3[[#This Row],[Cotação]]/(Tabela3[[#This Row],[Lucro/Ação]]/[Ref]*4),0)</f>
        <v>7.9052005313956073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2.2532635230766665E-2</v>
      </c>
      <c r="AU304" s="18">
        <f>((1+Tabela3[[#This Row],[% Yield]])^(1/(3*Tabela3[[#This Row],[Ref]])))^(12)-1</f>
        <v>3.0155780520038533E-2</v>
      </c>
      <c r="AV304" s="10">
        <f>IF([Cotação]&gt;0,($BH$1/Tabela3[[#This Row],[Cotação]]-MOD($BH$1/Tabela3[[#This Row],[Cotação]],100)),)</f>
        <v>100</v>
      </c>
      <c r="AW304" s="7">
        <f>Tabela3[[#This Row],[Ativos]]*[Lucro]</f>
        <v>8.2244118592298321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3.65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idden="1">
      <c r="A305" s="3" t="s">
        <v>1363</v>
      </c>
      <c r="B305" s="57" t="s">
        <v>1332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2951095500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5" s="18">
        <f>IF(Tabela3[[#This Row],[Lucro Líquido]]&gt;0,Tabela3[[#This Row],[Lucro Líquido]]/Tabela3[[#This Row],[Patrimônio Líquido]],0)</f>
        <v>0.11839604527949066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2.2979292427324034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23</v>
      </c>
      <c r="AO305" s="53">
        <f>[Cotação]/[VPA]</f>
        <v>2.0529759884018612</v>
      </c>
      <c r="AP305" s="37">
        <f>IF(Tabela3[[#This Row],[Lucro/Ação]]&gt;0,Tabela3[[#This Row],[Cotação]]/(Tabela3[[#This Row],[Lucro/Ação]]/[Ref]*4),0)</f>
        <v>13.004927551985709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1.3696731434140304E-2</v>
      </c>
      <c r="AU305" s="22">
        <f>((1+Tabela3[[#This Row],[% Yield]])^(1/(3*Tabela3[[#This Row],[Ref]])))^(12)-1</f>
        <v>1.8303871397558735E-2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23</v>
      </c>
    </row>
    <row r="306" spans="1:54" hidden="1">
      <c r="A306" s="4" t="s">
        <v>289</v>
      </c>
      <c r="B306" s="57" t="s">
        <v>535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6" s="18">
        <f>IF(Tabela3[[#This Row],[Lucro Líquido]]&gt;0,Tabela3[[#This Row],[Lucro Líquido]]/Tabela3[[#This Row],[Patrimônio Líquido]],0)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2.2979292427324034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200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idden="1">
      <c r="A307" s="4" t="s">
        <v>289</v>
      </c>
      <c r="B307" s="57" t="s">
        <v>536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2006627339.4300001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7" s="18">
        <f>IF(Tabela3[[#This Row],[Lucro Líquido]]&gt;0,Tabela3[[#This Row],[Lucro Líquido]]/Tabela3[[#This Row],[Patrimônio Líquido]],0)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2.2979292427324034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3.69</v>
      </c>
      <c r="AO307" s="44">
        <f>[Cotação]/[VPA]</f>
        <v>2.8314319651839925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100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3.69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idden="1">
      <c r="A308" s="3" t="s">
        <v>1067</v>
      </c>
      <c r="B308" s="58" t="s">
        <v>1078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8" s="18">
        <f>IF(Tabela3[[#This Row],[Lucro Líquido]]&gt;0,Tabela3[[#This Row],[Lucro Líquido]]/Tabela3[[#This Row],[Patrimônio Líquido]],0)</f>
        <v>3.2467532467532464E-2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2.2979292427324034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idden="1">
      <c r="A309" s="3" t="s">
        <v>1067</v>
      </c>
      <c r="B309" s="58" t="s">
        <v>1079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09" s="18">
        <f>IF(Tabela3[[#This Row],[Lucro Líquido]]&gt;0,Tabela3[[#This Row],[Lucro Líquido]]/Tabela3[[#This Row],[Patrimônio Líquido]],0)</f>
        <v>3.2467532467532464E-2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2.2979292427324034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 hidden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3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3488751000</v>
      </c>
      <c r="N310" s="54">
        <v>17106000</v>
      </c>
      <c r="O310" s="54">
        <v>95470000</v>
      </c>
      <c r="P310" s="89">
        <v>3392238000</v>
      </c>
      <c r="Q310" s="89">
        <v>458325000</v>
      </c>
      <c r="R310" s="89">
        <f>IF(Tabela3[[#This Row],[Ativo || Passivo]]&gt;0,Tabela3[[#This Row],[Ativo || Passivo]]-Tabela3[[#This Row],[Patrimônio Líquido]],0)</f>
        <v>96513000</v>
      </c>
      <c r="S310" s="89">
        <f>Tabela3[[#This Row],[Cotação]]*Tabela3[[#This Row],[Total Ações]]</f>
        <v>3211961445</v>
      </c>
      <c r="T310" s="132">
        <f>IF(Tabela3[[#This Row],[Passivo Circulante]]&gt;0,Tabela3[[#This Row],[Ativo Circulante]]/Tabela3[[#This Row],[Passivo Circulante]],0)</f>
        <v>0.17917670472399708</v>
      </c>
      <c r="U31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0" s="19">
        <f>IF(Tabela3[[#This Row],[Lucro Líquido]]&gt;0,Tabela3[[#This Row],[Lucro Líquido]]/Tabela3[[#This Row],[Patrimônio Líquido]],0)</f>
        <v>0.13510991858472193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0" s="19">
        <f>IF(Tabela3[[#This Row],[Dívida]]&gt;0,Tabela3[[#This Row],[Dívida]]/Tabela3[[#This Row],[Patrimônio Líquido]],0)</f>
        <v>2.8451128723869019E-2</v>
      </c>
      <c r="Y310" s="19">
        <f>SUMPRODUCT(N([Dívida / PL]&gt;0),N(RIGHT([PAPEL],LEN([PAPEL])-(LEN([PAPEL])-1))="3"),[Dívida / PL])/SUMPRODUCT(N([Dívida / PL]&gt;0),N(RIGHT([PAPEL],LEN([PAPEL])-(LEN([PAPEL])-1))="3"))</f>
        <v>2.2979292427324034</v>
      </c>
      <c r="Z310" s="6">
        <f>Tabela3[[#This Row],[Capital Social]]*20%</f>
        <v>445164439.57800001</v>
      </c>
      <c r="AA310" s="6">
        <f>IF(([Lucro Líquido]*5%)&gt;[Teto R. Legal],[Teto R. Legal],[Lucro Líquido]*5%)</f>
        <v>22916250</v>
      </c>
      <c r="AB310" s="89">
        <f>IF([Lucro Líquido]&lt;0,0,[Lucro Líquido]-[Reserva Legal])</f>
        <v>435408750</v>
      </c>
      <c r="AC310" s="89">
        <f>Tabela3[[#This Row],[Lucro Distribuir]]*[%Div]</f>
        <v>108852187.5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2.2474176211663712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310" s="6">
        <f>[Div Base]*[Ações]</f>
        <v>108852187.5</v>
      </c>
      <c r="AL310" s="6">
        <f>SUMPRODUCT(N([Nome]=Tabela3[[#This Row],[Nome]]),[Div Base]*[Ações])</f>
        <v>108852187.5</v>
      </c>
      <c r="AM310" s="6">
        <f>[Patrimônio Líquido]/[Total Ações]</f>
        <v>16.633994341112025</v>
      </c>
      <c r="AN310" s="39">
        <f>MAX(Tabela3[[#This Row],[Cotação 1]:[Cotação 5]])</f>
        <v>15.75</v>
      </c>
      <c r="AO310" s="44">
        <f>[Cotação]/[VPA]</f>
        <v>0.94685615956191749</v>
      </c>
      <c r="AP310" s="40">
        <f>IF(Tabela3[[#This Row],[Lucro/Ação]]&gt;0,Tabela3[[#This Row],[Cotação]]/(Tabela3[[#This Row],[Lucro/Ação]]/[Ref]*4),0)</f>
        <v>5.2560324742268039</v>
      </c>
      <c r="AQ310" s="78">
        <f>[Lucro Distribuir]/[Total Ações]</f>
        <v>2.1350467401080526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3.3889630795365916E-2</v>
      </c>
      <c r="AU310" s="19">
        <f>((1+Tabela3[[#This Row],[% Yield]])^(1/(3*Tabela3[[#This Row],[Ref]])))^(12)-1</f>
        <v>4.5439502751247085E-2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15.75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idden="1">
      <c r="A311" s="4" t="s">
        <v>572</v>
      </c>
      <c r="B311" s="57" t="s">
        <v>573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2113663420.2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1" s="19">
        <f>IF(Tabela3[[#This Row],[Lucro Líquido]]&gt;0,Tabela3[[#This Row],[Lucro Líquido]]/Tabela3[[#This Row],[Patrimônio Líquido]],0)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2.2979292427324034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45.4</v>
      </c>
      <c r="AO311" s="44">
        <f>[Cotação]/[VPA]</f>
        <v>3.6046581854460493</v>
      </c>
      <c r="AP311" s="40">
        <f>IF(Tabela3[[#This Row],[Lucro/Ação]]&gt;0,Tabela3[[#This Row],[Cotação]]/(Tabela3[[#This Row],[Lucro/Ação]]/[Ref]*4),0)</f>
        <v>33.867383755808362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7.0126467905649191E-3</v>
      </c>
      <c r="AU311" s="42">
        <f>((1+Tabela3[[#This Row],[% Yield]])^(1/(3*Tabela3[[#This Row],[Ref]])))^(12)-1</f>
        <v>7.0126467905653467E-3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45.4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idden="1">
      <c r="A312" s="4" t="s">
        <v>12</v>
      </c>
      <c r="B312" s="60" t="s">
        <v>164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2" s="19">
        <f>IF(Tabela3[[#This Row],[Lucro Líquido]]&gt;0,Tabela3[[#This Row],[Lucro Líquido]]/Tabela3[[#This Row],[Patrimônio Líquido]],0)</f>
        <v>3.4961123230967166E-2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2.2979292427324034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idden="1">
      <c r="A313" s="3" t="s">
        <v>1161</v>
      </c>
      <c r="B313" s="57" t="s">
        <v>1140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34780880.299999997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3" s="18">
        <f>IF(Tabela3[[#This Row],[Lucro Líquido]]&gt;0,Tabela3[[#This Row],[Lucro Líquido]]/Tabela3[[#This Row],[Patrimônio Líquido]],0)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2.2979292427324034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2.9</v>
      </c>
      <c r="AO313" s="53">
        <f>[Cotação]/[VPA]</f>
        <v>0.84999340892983699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100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2.9</v>
      </c>
    </row>
    <row r="314" spans="1:54" hidden="1">
      <c r="A314" s="3" t="s">
        <v>1161</v>
      </c>
      <c r="B314" s="57" t="s">
        <v>1141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37179561.700000003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4" s="18">
        <f>IF(Tabela3[[#This Row],[Lucro Líquido]]&gt;0,Tabela3[[#This Row],[Lucro Líquido]]/Tabela3[[#This Row],[Patrimônio Líquido]],0)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2.2979292427324034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3.1</v>
      </c>
      <c r="AO314" s="53">
        <f>[Cotação]/[VPA]</f>
        <v>0.90861364402844647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100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3.1</v>
      </c>
    </row>
    <row r="315" spans="1:54" hidden="1">
      <c r="A315" s="3" t="s">
        <v>1067</v>
      </c>
      <c r="B315" s="58" t="s">
        <v>1065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1033874374.16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5" s="18">
        <f>IF(Tabela3[[#This Row],[Lucro Líquido]]&gt;0,Tabela3[[#This Row],[Lucro Líquido]]/Tabela3[[#This Row],[Patrimônio Líquido]],0)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2.2979292427324034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6.04</v>
      </c>
      <c r="AO315" s="53">
        <f>[Cotação]/[VPA]</f>
        <v>6.6222633352335691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6.04</v>
      </c>
      <c r="BB315" s="7">
        <f>SUMPRODUCT(N(Tabela17683[Código]=Tabela3[[#This Row],[PAPEL]]),Tabela17683[Fechamento])</f>
        <v>0</v>
      </c>
    </row>
    <row r="316" spans="1:54" hidden="1">
      <c r="A316" s="3" t="s">
        <v>1219</v>
      </c>
      <c r="B316" s="57" t="s">
        <v>1222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1635276734.1200001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6" s="18">
        <f>IF(Tabela3[[#This Row],[Lucro Líquido]]&gt;0,Tabela3[[#This Row],[Lucro Líquido]]/Tabela3[[#This Row],[Patrimônio Líquido]],0)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2.2979292427324034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0.92</v>
      </c>
      <c r="AO316" s="53">
        <f>[Cotação]/[VPA]</f>
        <v>2.1132002058826189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500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0.92</v>
      </c>
    </row>
    <row r="317" spans="1:54" hidden="1">
      <c r="A317" s="3" t="s">
        <v>1245</v>
      </c>
      <c r="B317" s="57" t="s">
        <v>1246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842829787.79999995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7" s="18">
        <f>IF(Tabela3[[#This Row],[Lucro Líquido]]&gt;0,Tabela3[[#This Row],[Lucro Líquido]]/Tabela3[[#This Row],[Patrimônio Líquido]],0)</f>
        <v>4.7533117489711165E-3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2.2979292427324034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9.19</v>
      </c>
      <c r="AO317" s="53">
        <f>[Cotação]/[VPA]</f>
        <v>1.5809916072346379</v>
      </c>
      <c r="AP317" s="37">
        <f>IF(Tabela3[[#This Row],[Lucro/Ação]]&gt;0,Tabela3[[#This Row],[Cotação]]/(Tabela3[[#This Row],[Lucro/Ação]]/[Ref]*4),0)</f>
        <v>249.45633024861877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7.1405283571065548E-4</v>
      </c>
      <c r="AU317" s="22">
        <f>((1+Tabela3[[#This Row],[% Yield]])^(1/(3*Tabela3[[#This Row],[Ref]])))^(12)-1</f>
        <v>9.5218373440797421E-4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9.19</v>
      </c>
    </row>
    <row r="318" spans="1:54" hidden="1">
      <c r="A318" s="3" t="s">
        <v>1181</v>
      </c>
      <c r="B318" s="57" t="s">
        <v>1178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1458366879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8" s="18">
        <f>IF(Tabela3[[#This Row],[Lucro Líquido]]&gt;0,Tabela3[[#This Row],[Lucro Líquido]]/Tabela3[[#This Row],[Patrimônio Líquido]],0)</f>
        <v>0.16302684016922978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2.2979292427324034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12.75</v>
      </c>
      <c r="AO318" s="53">
        <f>[Cotação]/[VPA]</f>
        <v>2.4858893580246071</v>
      </c>
      <c r="AP318" s="37">
        <f>IF(Tabela3[[#This Row],[Lucro/Ação]]&gt;0,Tabela3[[#This Row],[Cotação]]/(Tabela3[[#This Row],[Lucro/Ação]]/[Ref]*4),0)</f>
        <v>11.436258082307797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1.5575461721659136E-2</v>
      </c>
      <c r="AU318" s="22">
        <f>((1+Tabela3[[#This Row],[% Yield]])^(1/(3*Tabela3[[#This Row],[Ref]])))^(12)-1</f>
        <v>2.0821006904239603E-2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12.75</v>
      </c>
    </row>
    <row r="319" spans="1:54" hidden="1">
      <c r="A319" s="3" t="s">
        <v>1067</v>
      </c>
      <c r="B319" s="58" t="s">
        <v>1082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7272946351.0500002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19" s="18">
        <f>IF(Tabela3[[#This Row],[Lucro Líquido]]&gt;0,Tabela3[[#This Row],[Lucro Líquido]]/Tabela3[[#This Row],[Patrimônio Líquido]],0)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2.2979292427324034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57.77</v>
      </c>
      <c r="AO319" s="53">
        <f>[Cotação]/[VPA]</f>
        <v>4.8705385832474475</v>
      </c>
      <c r="AP319" s="37">
        <f>IF(Tabela3[[#This Row],[Lucro/Ação]]&gt;0,Tabela3[[#This Row],[Cotação]]/(Tabela3[[#This Row],[Lucro/Ação]]/[Ref]*4),0)</f>
        <v>17.851926714146156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1.3303886118454719E-2</v>
      </c>
      <c r="AU319" s="22">
        <f>((1+Tabela3[[#This Row],[% Yield]])^(1/(3*Tabela3[[#This Row],[Ref]])))^(12)-1</f>
        <v>1.3303886118455566E-2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57.77</v>
      </c>
      <c r="BB319" s="7">
        <f>SUMPRODUCT(N(Tabela17683[Código]=Tabela3[[#This Row],[PAPEL]]),Tabela17683[Fechamento])</f>
        <v>0</v>
      </c>
    </row>
    <row r="320" spans="1:54" hidden="1">
      <c r="A320" s="3" t="s">
        <v>1245</v>
      </c>
      <c r="B320" s="57" t="s">
        <v>1247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0" s="18">
        <f>IF(Tabela3[[#This Row],[Lucro Líquido]]&gt;0,Tabela3[[#This Row],[Lucro Líquido]]/Tabela3[[#This Row],[Patrimônio Líquido]],0)</f>
        <v>6.2482223511610181E-2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2.2979292427324034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idden="1">
      <c r="A321" s="3" t="s">
        <v>1245</v>
      </c>
      <c r="B321" s="57" t="s">
        <v>1248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54319200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1" s="18">
        <f>IF(Tabela3[[#This Row],[Lucro Líquido]]&gt;0,Tabela3[[#This Row],[Lucro Líquido]]/Tabela3[[#This Row],[Patrimônio Líquido]],0)</f>
        <v>6.2482223511610181E-2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2.2979292427324034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31.2</v>
      </c>
      <c r="AO321" s="53">
        <f>[Cotação]/[VPA]</f>
        <v>0.61798696201235537</v>
      </c>
      <c r="AP321" s="37">
        <f>IF(Tabela3[[#This Row],[Lucro/Ação]]&gt;0,Tabela3[[#This Row],[Cotação]]/(Tabela3[[#This Row],[Lucro/Ação]]/[Ref]*4),0)</f>
        <v>7.4179533867443546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2.5592118157868857E-2</v>
      </c>
      <c r="AU321" s="22">
        <f>((1+Tabela3[[#This Row],[% Yield]])^(1/(3*Tabela3[[#This Row],[Ref]])))^(12)-1</f>
        <v>3.4267551070405577E-2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31.2</v>
      </c>
    </row>
    <row r="322" spans="1:54" hidden="1">
      <c r="A322" s="4" t="s">
        <v>320</v>
      </c>
      <c r="B322" s="57" t="s">
        <v>323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1556263708.22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2" s="19">
        <f>IF(Tabela3[[#This Row],[Lucro Líquido]]&gt;0,Tabela3[[#This Row],[Lucro Líquido]]/Tabela3[[#This Row],[Patrimônio Líquido]],0)</f>
        <v>8.6301138963134193E-3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2.2979292427324034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5.33</v>
      </c>
      <c r="AO322" s="44">
        <f>[Cotação]/[VPA]</f>
        <v>0.5353449081089634</v>
      </c>
      <c r="AP322" s="40">
        <f>IF(Tabela3[[#This Row],[Lucro/Ação]]&gt;0,Tabela3[[#This Row],[Cotação]]/(Tabela3[[#This Row],[Lucro/Ação]]/[Ref]*4),0)</f>
        <v>46.524146251793688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3.8286570383466757E-3</v>
      </c>
      <c r="AU322" s="19">
        <f>((1+Tabela3[[#This Row],[% Yield]])^(1/(3*Tabela3[[#This Row],[Ref]])))^(12)-1</f>
        <v>5.1081307539810883E-3</v>
      </c>
      <c r="AV322" s="14">
        <f>IF([Cotação]&gt;0,($BH$1/Tabela3[[#This Row],[Cotação]]-MOD($BH$1/Tabela3[[#This Row],[Cotação]],100)),)</f>
        <v>0</v>
      </c>
      <c r="AW322" s="17">
        <f>Tabela3[[#This Row],[Ativos]]*[Lucro]</f>
        <v>0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5.33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idden="1">
      <c r="A323" s="4" t="s">
        <v>256</v>
      </c>
      <c r="B323" s="58" t="s">
        <v>859</v>
      </c>
      <c r="C323" s="16" t="str">
        <f>LEFT([PAPEL],LEN([PAPEL])-(LEN([PAPEL])-4))</f>
        <v>MDIA</v>
      </c>
      <c r="D323" s="16">
        <v>3</v>
      </c>
      <c r="E323" s="5">
        <v>725607830.69000006</v>
      </c>
      <c r="F323" s="56">
        <v>113450000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2754410000</v>
      </c>
      <c r="Q323" s="73">
        <v>392611000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0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3" s="18">
        <f>IF(Tabela3[[#This Row],[Lucro Líquido]]&gt;0,Tabela3[[#This Row],[Lucro Líquido]]/Tabela3[[#This Row],[Patrimônio Líquido]],0)</f>
        <v>0.14253905555091653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2.2979292427324034</v>
      </c>
      <c r="Z323" s="7">
        <f>Tabela3[[#This Row],[Capital Social]]*20%</f>
        <v>145121566.13800001</v>
      </c>
      <c r="AA323" s="47">
        <f>IF(([Lucro Líquido]*5%)&gt;[Teto R. Legal],[Teto R. Legal],[Lucro Líquido]*5%)</f>
        <v>19630550</v>
      </c>
      <c r="AB323" s="47">
        <f>IF([Lucro Líquido]&lt;0,0,[Lucro Líquido]-[Reserva Legal])</f>
        <v>372980450</v>
      </c>
      <c r="AC323" s="47">
        <f>Tabela3[[#This Row],[Lucro Distribuir]]*[%Div]</f>
        <v>93245112.5</v>
      </c>
      <c r="AD323" s="56">
        <f>SUMPRODUCT(N([Nome]=Tabela3[[#This Row],[Nome]]),[Ações])</f>
        <v>113450000</v>
      </c>
      <c r="AE323" s="85">
        <f>[Capital Social]/[Total Ações]</f>
        <v>6.3958380845306309</v>
      </c>
      <c r="AF323" s="85">
        <f>Tabela3[[#This Row],[Lucro Líquido]]/Tabela3[[#This Row],[Total Ações]]</f>
        <v>3.4606522697223445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323" s="7">
        <f>[Div Base]*[Ações]</f>
        <v>93245112.5</v>
      </c>
      <c r="AL323" s="7">
        <f>SUMPRODUCT(N([Nome]=Tabela3[[#This Row],[Nome]]),[Div Base]*[Ações])</f>
        <v>93245112.5</v>
      </c>
      <c r="AM323" s="5">
        <f>[Patrimônio Líquido]/[Total Ações]</f>
        <v>24.278624944909652</v>
      </c>
      <c r="AN323" s="52">
        <f>MAX(Tabela3[[#This Row],[Cotação 1]:[Cotação 5]])</f>
        <v>0</v>
      </c>
      <c r="AO323" s="53">
        <f>[Cotação]/[VPA]</f>
        <v>0</v>
      </c>
      <c r="AP323" s="37">
        <f>IF(Tabela3[[#This Row],[Lucro/Ação]]&gt;0,Tabela3[[#This Row],[Cotação]]/(Tabela3[[#This Row],[Lucro/Ação]]/[Ref]*4),0)</f>
        <v>0</v>
      </c>
      <c r="AQ323" s="85">
        <f>[Lucro Distribuir]/[Total Ações]</f>
        <v>3.2876196562362274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0</v>
      </c>
      <c r="AU323" s="22">
        <f>((1+Tabela3[[#This Row],[% Yield]])^(1/(3*Tabela3[[#This Row],[Ref]])))^(12)-1</f>
        <v>0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idden="1">
      <c r="A324" s="3" t="s">
        <v>1161</v>
      </c>
      <c r="B324" s="57" t="s">
        <v>1144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4" s="18">
        <f>IF(Tabela3[[#This Row],[Lucro Líquido]]&gt;0,Tabela3[[#This Row],[Lucro Líquido]]/Tabela3[[#This Row],[Patrimônio Líquido]],0)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2.2979292427324034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idden="1">
      <c r="A325" s="3" t="s">
        <v>1161</v>
      </c>
      <c r="B325" s="57" t="s">
        <v>1145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115671333.36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5" s="18">
        <f>IF(Tabela3[[#This Row],[Lucro Líquido]]&gt;0,Tabela3[[#This Row],[Lucro Líquido]]/Tabela3[[#This Row],[Patrimônio Líquido]],0)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2.2979292427324034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11.22</v>
      </c>
      <c r="AO325" s="53">
        <f>[Cotação]/[VPA]</f>
        <v>3.2638426263034974E-2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11.22</v>
      </c>
    </row>
    <row r="326" spans="1:54" hidden="1">
      <c r="A326" s="3" t="s">
        <v>1161</v>
      </c>
      <c r="B326" s="57" t="s">
        <v>1146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6" s="18">
        <f>IF(Tabela3[[#This Row],[Lucro Líquido]]&gt;0,Tabela3[[#This Row],[Lucro Líquido]]/Tabela3[[#This Row],[Patrimônio Líquido]],0)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2.2979292427324034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idden="1">
      <c r="A327" s="4" t="s">
        <v>360</v>
      </c>
      <c r="B327" s="57" t="s">
        <v>358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7" s="18">
        <f>IF(Tabela3[[#This Row],[Lucro Líquido]]&gt;0,Tabela3[[#This Row],[Lucro Líquido]]/Tabela3[[#This Row],[Patrimônio Líquido]],0)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2.2979292427324034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 hidden="1">
      <c r="A328" s="4" t="s">
        <v>360</v>
      </c>
      <c r="B328" s="57" t="s">
        <v>359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8" s="18">
        <f>IF(Tabela3[[#This Row],[Lucro Líquido]]&gt;0,Tabela3[[#This Row],[Lucro Líquido]]/Tabela3[[#This Row],[Patrimônio Líquido]],0)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2.2979292427324034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idden="1">
      <c r="A329" s="4" t="s">
        <v>331</v>
      </c>
      <c r="B329" s="126" t="s">
        <v>619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29" s="19">
        <f>IF(Tabela3[[#This Row],[Lucro Líquido]]&gt;0,Tabela3[[#This Row],[Lucro Líquido]]/Tabela3[[#This Row],[Patrimônio Líquido]],0)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2.2979292427324034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idden="1">
      <c r="A330" s="4" t="s">
        <v>331</v>
      </c>
      <c r="B330" s="126" t="s">
        <v>620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10062790.039999999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0" s="19">
        <f>IF(Tabela3[[#This Row],[Lucro Líquido]]&gt;0,Tabela3[[#This Row],[Lucro Líquido]]/Tabela3[[#This Row],[Patrimônio Líquido]],0)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2.2979292427324034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0.57999999999999996</v>
      </c>
      <c r="AO330" s="44">
        <f>[Cotação]/[VPA]</f>
        <v>-0.15508653833705788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800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0.57999999999999996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idden="1">
      <c r="A331" s="3" t="s">
        <v>889</v>
      </c>
      <c r="B331" s="58" t="s">
        <v>898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1312921047.6800001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1" s="18">
        <f>IF(Tabela3[[#This Row],[Lucro Líquido]]&gt;0,Tabela3[[#This Row],[Lucro Líquido]]/Tabela3[[#This Row],[Patrimônio Líquido]],0)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2.2979292427324034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7.04</v>
      </c>
      <c r="AO331" s="53">
        <f>[Cotação]/[VPA]</f>
        <v>1.8901529743698271</v>
      </c>
      <c r="AP331" s="37">
        <f>IF(Tabela3[[#This Row],[Lucro/Ação]]&gt;0,Tabela3[[#This Row],[Cotação]]/(Tabela3[[#This Row],[Lucro/Ação]]/[Ref]*4),0)</f>
        <v>11.536483556930214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1.235211746255185E-2</v>
      </c>
      <c r="AU331" s="22">
        <f>((1+Tabela3[[#This Row],[% Yield]])^(1/(3*Tabela3[[#This Row],[Ref]])))^(12)-1</f>
        <v>1.2352117462550938E-2</v>
      </c>
      <c r="AV331" s="10">
        <f>IF([Cotação]&gt;0,($BH$1/Tabela3[[#This Row],[Cotação]]-MOD($BH$1/Tabela3[[#This Row],[Cotação]],100)),)</f>
        <v>0</v>
      </c>
      <c r="AW331" s="7">
        <f>Tabela3[[#This Row],[Ativos]]*[Lucro]</f>
        <v>0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7.04</v>
      </c>
      <c r="BB331" s="7">
        <f>SUMPRODUCT(N(Tabela17683[Código]=Tabela3[[#This Row],[PAPEL]]),Tabela17683[Fechamento])</f>
        <v>0</v>
      </c>
    </row>
    <row r="332" spans="1:54" hidden="1">
      <c r="A332" s="3" t="s">
        <v>1209</v>
      </c>
      <c r="B332" s="57" t="s">
        <v>1199</v>
      </c>
      <c r="C332" s="16" t="str">
        <f>LEFT([PAPEL],LEN([PAPEL])-(LEN([PAPEL])-4))</f>
        <v>MILS</v>
      </c>
      <c r="D332" s="16">
        <v>3</v>
      </c>
      <c r="E332" s="5">
        <v>527989915.31</v>
      </c>
      <c r="F332" s="56">
        <v>127490508</v>
      </c>
      <c r="G332" s="81">
        <v>0.25</v>
      </c>
      <c r="H332" s="18"/>
      <c r="J332" s="18"/>
      <c r="K332" s="16"/>
      <c r="L332" s="87"/>
      <c r="M332" s="54"/>
      <c r="N332" s="54"/>
      <c r="O332" s="54"/>
      <c r="P332" s="91">
        <v>984909000</v>
      </c>
      <c r="Q332" s="73">
        <v>126979000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3263757004.8000002</v>
      </c>
      <c r="T332" s="37">
        <f>IF(Tabela3[[#This Row],[Passivo Circulante]]&gt;0,Tabela3[[#This Row],[Ativo Circulante]]/Tabela3[[#This Row],[Passivo Circulante]],0)</f>
        <v>0</v>
      </c>
      <c r="U33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2" s="18">
        <f>IF(Tabela3[[#This Row],[Lucro Líquido]]&gt;0,Tabela3[[#This Row],[Lucro Líquido]]/Tabela3[[#This Row],[Patrimônio Líquido]],0)</f>
        <v>0.1289246011560459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2" s="18">
        <f>IF(Tabela3[[#This Row],[Dívida]]&gt;0,Tabela3[[#This Row],[Dívida]]/Tabela3[[#This Row],[Patrimônio Líquido]],0)</f>
        <v>0</v>
      </c>
      <c r="Y332" s="18">
        <f>SUMPRODUCT(N([Dívida / PL]&gt;0),N(RIGHT([PAPEL],LEN([PAPEL])-(LEN([PAPEL])-1))="3"),[Dívida / PL])/SUMPRODUCT(N([Dívida / PL]&gt;0),N(RIGHT([PAPEL],LEN([PAPEL])-(LEN([PAPEL])-1))="3"))</f>
        <v>2.2979292427324034</v>
      </c>
      <c r="Z332" s="7">
        <f>Tabela3[[#This Row],[Capital Social]]*20%</f>
        <v>105597983.06200001</v>
      </c>
      <c r="AA332" s="47">
        <f>IF(([Lucro Líquido]*5%)&gt;[Teto R. Legal],[Teto R. Legal],[Lucro Líquido]*5%)</f>
        <v>6348950</v>
      </c>
      <c r="AB332" s="47">
        <f>IF([Lucro Líquido]&lt;0,0,[Lucro Líquido]-[Reserva Legal])</f>
        <v>120630050</v>
      </c>
      <c r="AC332" s="47">
        <f>Tabela3[[#This Row],[Lucro Distribuir]]*[%Div]</f>
        <v>30157512.5</v>
      </c>
      <c r="AD332" s="56">
        <f>SUMPRODUCT(N([Nome]=Tabela3[[#This Row],[Nome]]),[Ações])</f>
        <v>127490508</v>
      </c>
      <c r="AE332" s="85">
        <f>[Capital Social]/[Total Ações]</f>
        <v>4.1414056904534418</v>
      </c>
      <c r="AF332" s="85">
        <f>Tabela3[[#This Row],[Lucro Líquido]]/Tabela3[[#This Row],[Total Ações]]</f>
        <v>0.99598787385802867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332" s="7">
        <f>[Div Base]*[Ações]</f>
        <v>30157512.5</v>
      </c>
      <c r="AL332" s="120">
        <f>SUMPRODUCT(N([Nome]=Tabela3[[#This Row],[Nome]]),[Div Base]*[Ações])</f>
        <v>30157512.5</v>
      </c>
      <c r="AM332" s="5">
        <f>[Patrimônio Líquido]/[Total Ações]</f>
        <v>7.725351600293255</v>
      </c>
      <c r="AN332" s="52">
        <f>MAX(Tabela3[[#This Row],[Cotação 1]:[Cotação 5]])</f>
        <v>25.6</v>
      </c>
      <c r="AO332" s="53">
        <f>[Cotação]/[VPA]</f>
        <v>3.3137650329116699</v>
      </c>
      <c r="AP332" s="37">
        <f>IF(Tabela3[[#This Row],[Lucro/Ação]]&gt;0,Tabela3[[#This Row],[Cotação]]/(Tabela3[[#This Row],[Lucro/Ação]]/[Ref]*4),0)</f>
        <v>19.277343132328969</v>
      </c>
      <c r="AQ332" s="85">
        <f>[Lucro Distribuir]/[Total Ações]</f>
        <v>0.94618848016512724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9.2401218766125694E-3</v>
      </c>
      <c r="AU332" s="22">
        <f>((1+Tabela3[[#This Row],[% Yield]])^(1/(3*Tabela3[[#This Row],[Ref]])))^(12)-1</f>
        <v>1.2339096992896481E-2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25.6</v>
      </c>
    </row>
    <row r="333" spans="1:54" hidden="1">
      <c r="A333" s="4" t="s">
        <v>289</v>
      </c>
      <c r="B333" s="57" t="s">
        <v>529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3" s="19">
        <f>IF(Tabela3[[#This Row],[Lucro Líquido]]&gt;0,Tabela3[[#This Row],[Lucro Líquido]]/Tabela3[[#This Row],[Patrimônio Líquido]],0)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2.2979292427324034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200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idden="1">
      <c r="A334" s="4" t="s">
        <v>289</v>
      </c>
      <c r="B334" s="57" t="s">
        <v>530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1532662614.0900002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4" s="19">
        <f>IF(Tabela3[[#This Row],[Lucro Líquido]]&gt;0,Tabela3[[#This Row],[Lucro Líquido]]/Tabela3[[#This Row],[Patrimônio Líquido]],0)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2.2979292427324034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1.59</v>
      </c>
      <c r="AO334" s="44">
        <f>[Cotação]/[VPA]</f>
        <v>0.89187471324251244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300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1.59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idden="1">
      <c r="A335" s="4" t="s">
        <v>325</v>
      </c>
      <c r="B335" s="57" t="s">
        <v>666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2948879140.1699996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5" s="19">
        <f>IF(Tabela3[[#This Row],[Lucro Líquido]]&gt;0,Tabela3[[#This Row],[Lucro Líquido]]/Tabela3[[#This Row],[Patrimônio Líquido]],0)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2.2979292427324034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3.03</v>
      </c>
      <c r="AO335" s="44">
        <f>[Cotação]/[VPA]</f>
        <v>1.6838354536806359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100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3.03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idden="1">
      <c r="A336" s="3" t="s">
        <v>1031</v>
      </c>
      <c r="B336" s="58" t="s">
        <v>1032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24455363.599999998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6" s="18">
        <f>IF(Tabela3[[#This Row],[Lucro Líquido]]&gt;0,Tabela3[[#This Row],[Lucro Líquido]]/Tabela3[[#This Row],[Patrimônio Líquido]],0)</f>
        <v>6.7820433980497238E-2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2.2979292427324034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9.86</v>
      </c>
      <c r="AO336" s="53">
        <f>[Cotação]/[VPA]</f>
        <v>0.71613703475943657</v>
      </c>
      <c r="AP336" s="37">
        <f>IF(Tabela3[[#This Row],[Lucro/Ação]]&gt;0,Tabela3[[#This Row],[Cotação]]/(Tabela3[[#This Row],[Lucro/Ação]]/[Ref]*4),0)</f>
        <v>7.9194830310880828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2.2491998442419399E-2</v>
      </c>
      <c r="AU336" s="22">
        <f>((1+Tabela3[[#This Row],[% Yield]])^(1/(3*Tabela3[[#This Row],[Ref]])))^(12)-1</f>
        <v>3.0101194558741273E-2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9.86</v>
      </c>
      <c r="BB336" s="7">
        <f>SUMPRODUCT(N(Tabela17683[Código]=Tabela3[[#This Row],[PAPEL]]),Tabela17683[Fechamento])</f>
        <v>0</v>
      </c>
    </row>
    <row r="337" spans="1:54" hidden="1">
      <c r="A337" s="3" t="s">
        <v>275</v>
      </c>
      <c r="B337" s="58" t="s">
        <v>836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42600600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7" s="18">
        <f>IF(Tabela3[[#This Row],[Lucro Líquido]]&gt;0,Tabela3[[#This Row],[Lucro Líquido]]/Tabela3[[#This Row],[Patrimônio Líquido]],0)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2.2979292427324034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0.06</v>
      </c>
      <c r="AO337" s="53">
        <f>[Cotação]/[VPA]</f>
        <v>-0.17114448247601602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8300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0.06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idden="1">
      <c r="A338" s="3" t="s">
        <v>294</v>
      </c>
      <c r="B338" s="58" t="s">
        <v>300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8" s="18">
        <f>IF(Tabela3[[#This Row],[Lucro Líquido]]&gt;0,Tabela3[[#This Row],[Lucro Líquido]]/Tabela3[[#This Row],[Patrimônio Líquido]],0)</f>
        <v>7.6311814983251625E-2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2.2979292427324034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idden="1">
      <c r="A339" s="3" t="s">
        <v>275</v>
      </c>
      <c r="B339" s="58" t="s">
        <v>842</v>
      </c>
      <c r="C339" s="16" t="str">
        <f>LEFT([PAPEL],LEN([PAPEL])-(LEN([PAPEL])-4))</f>
        <v>MRFG</v>
      </c>
      <c r="D339" s="16">
        <v>3</v>
      </c>
      <c r="E339" s="5">
        <v>5276678051</v>
      </c>
      <c r="F339" s="56">
        <v>520747405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3143650000</v>
      </c>
      <c r="Q339" s="73">
        <v>-830207000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1984047613.05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39" s="18">
        <f>IF(Tabela3[[#This Row],[Lucro Líquido]]&gt;0,Tabela3[[#This Row],[Lucro Líquido]]/Tabela3[[#This Row],[Patrimônio Líquido]],0)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2.2979292427324034</v>
      </c>
      <c r="Z339" s="7">
        <f>Tabela3[[#This Row],[Capital Social]]*20%</f>
        <v>1055335610.2</v>
      </c>
      <c r="AA339" s="47">
        <f>IF(([Lucro Líquido]*5%)&gt;[Teto R. Legal],[Teto R. Legal],[Lucro Líquido]*5%)</f>
        <v>-41510350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10.132893607026231</v>
      </c>
      <c r="AF339" s="85">
        <f>Tabela3[[#This Row],[Lucro Líquido]]/Tabela3[[#This Row],[Total Ações]]</f>
        <v>-1.5942604649177272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6.0368039664067075</v>
      </c>
      <c r="AN339" s="52">
        <f>MAX(Tabela3[[#This Row],[Cotação 1]:[Cotação 5]])</f>
        <v>3.81</v>
      </c>
      <c r="AO339" s="53">
        <f>[Cotação]/[VPA]</f>
        <v>0.63112866033114368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100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3.81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idden="1">
      <c r="A340" s="3" t="s">
        <v>1093</v>
      </c>
      <c r="B340" s="57" t="s">
        <v>1119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3722326475.4000001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0" s="18">
        <f>IF(Tabela3[[#This Row],[Lucro Líquido]]&gt;0,Tabela3[[#This Row],[Lucro Líquido]]/Tabela3[[#This Row],[Patrimônio Líquido]],0)</f>
        <v>8.4933217286350768E-2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2.2979292427324034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7.8</v>
      </c>
      <c r="AO340" s="53">
        <f>[Cotação]/[VPA]</f>
        <v>0.90142895570792769</v>
      </c>
      <c r="AP340" s="37">
        <f>IF(Tabela3[[#This Row],[Lucro/Ação]]&gt;0,Tabela3[[#This Row],[Cotação]]/(Tabela3[[#This Row],[Lucro/Ação]]/[Ref]*4),0)</f>
        <v>7.9600389386119978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2.2377403097359708E-2</v>
      </c>
      <c r="AU340" s="22">
        <f>((1+Tabela3[[#This Row],[% Yield]])^(1/(3*Tabela3[[#This Row],[Ref]])))^(12)-1</f>
        <v>2.9947266577571074E-2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7.8</v>
      </c>
      <c r="BB340" s="7">
        <f>SUMPRODUCT(N(Tabela17683[Código]=Tabela3[[#This Row],[PAPEL]]),Tabela17683[Fechamento])</f>
        <v>0</v>
      </c>
    </row>
    <row r="341" spans="1:54" hidden="1">
      <c r="A341" s="4" t="s">
        <v>19</v>
      </c>
      <c r="B341" s="57" t="s">
        <v>678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1" s="19">
        <f>IF(Tabela3[[#This Row],[Lucro Líquido]]&gt;0,Tabela3[[#This Row],[Lucro Líquido]]/Tabela3[[#This Row],[Patrimônio Líquido]],0)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2.2979292427324034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idden="1">
      <c r="A342" s="4" t="s">
        <v>19</v>
      </c>
      <c r="B342" s="57" t="s">
        <v>679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2" s="19">
        <f>IF(Tabela3[[#This Row],[Lucro Líquido]]&gt;0,Tabela3[[#This Row],[Lucro Líquido]]/Tabela3[[#This Row],[Patrimônio Líquido]],0)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2.2979292427324034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idden="1">
      <c r="A343" s="4" t="s">
        <v>314</v>
      </c>
      <c r="B343" s="57" t="s">
        <v>692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3" s="19">
        <f>IF(Tabela3[[#This Row],[Lucro Líquido]]&gt;0,Tabela3[[#This Row],[Lucro Líquido]]/Tabela3[[#This Row],[Patrimônio Líquido]],0)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2.2979292427324034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800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idden="1">
      <c r="A344" s="4" t="s">
        <v>314</v>
      </c>
      <c r="B344" s="57" t="s">
        <v>693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34376760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4" s="19">
        <f>IF(Tabela3[[#This Row],[Lucro Líquido]]&gt;0,Tabela3[[#This Row],[Lucro Líquido]]/Tabela3[[#This Row],[Patrimônio Líquido]],0)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2.2979292427324034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0.11</v>
      </c>
      <c r="AO344" s="44">
        <f>[Cotação]/[VPA]</f>
        <v>1.3050170829853467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4500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idden="1">
      <c r="A345" s="3" t="s">
        <v>1281</v>
      </c>
      <c r="B345" s="58" t="s">
        <v>1275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5" s="18">
        <f>IF(Tabela3[[#This Row],[Lucro Líquido]]&gt;0,Tabela3[[#This Row],[Lucro Líquido]]/Tabela3[[#This Row],[Patrimônio Líquido]],0)</f>
        <v>8.2920967785341207E-2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2.2979292427324034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idden="1">
      <c r="A346" s="3" t="s">
        <v>1281</v>
      </c>
      <c r="B346" s="58" t="s">
        <v>1276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165996211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6" s="18">
        <f>IF(Tabela3[[#This Row],[Lucro Líquido]]&gt;0,Tabela3[[#This Row],[Lucro Líquido]]/Tabela3[[#This Row],[Patrimônio Líquido]],0)</f>
        <v>8.2920967785341207E-2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2.2979292427324034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</v>
      </c>
      <c r="AO346" s="53">
        <f>[Cotação]/[VPA]</f>
        <v>0.88652801860187591</v>
      </c>
      <c r="AP346" s="37">
        <f>IF(Tabela3[[#This Row],[Lucro/Ação]]&gt;0,Tabela3[[#This Row],[Cotação]]/(Tabela3[[#This Row],[Lucro/Ação]]/[Ref]*4),0)</f>
        <v>8.0184304610702757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2.3675598421013879E-2</v>
      </c>
      <c r="AU346" s="22">
        <f>((1+Tabela3[[#This Row],[% Yield]])^(1/(3*Tabela3[[#This Row],[Ref]])))^(12)-1</f>
        <v>3.1691378691335537E-2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</v>
      </c>
    </row>
    <row r="347" spans="1:54" hidden="1">
      <c r="A347" s="3" t="s">
        <v>341</v>
      </c>
      <c r="B347" s="58" t="s">
        <v>352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8549874630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7" s="18">
        <f>IF(Tabela3[[#This Row],[Lucro Líquido]]&gt;0,Tabela3[[#This Row],[Lucro Líquido]]/Tabela3[[#This Row],[Patrimônio Líquido]],0)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2.2979292427324034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45</v>
      </c>
      <c r="AO347" s="53">
        <f>[Cotação]/[VPA]</f>
        <v>2.2381941068924824</v>
      </c>
      <c r="AP347" s="37">
        <f>IF(Tabela3[[#This Row],[Lucro/Ação]]&gt;0,Tabela3[[#This Row],[Cotação]]/(Tabela3[[#This Row],[Lucro/Ação]]/[Ref]*4),0)</f>
        <v>30.111341858548577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7.8873934318730472E-3</v>
      </c>
      <c r="AU347" s="18">
        <f>((1+Tabela3[[#This Row],[% Yield]])^(1/(3*Tabela3[[#This Row],[Ref]])))^(12)-1</f>
        <v>7.8873934318746119E-3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45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idden="1">
      <c r="A348" s="3" t="s">
        <v>341</v>
      </c>
      <c r="B348" s="58" t="s">
        <v>740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8" s="18">
        <f>IF(Tabela3[[#This Row],[Lucro Líquido]]&gt;0,Tabela3[[#This Row],[Lucro Líquido]]/Tabela3[[#This Row],[Patrimônio Líquido]],0)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2.2979292427324034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idden="1">
      <c r="A349" s="3" t="s">
        <v>1363</v>
      </c>
      <c r="B349" s="58" t="s">
        <v>1343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49" s="18">
        <f>IF(Tabela3[[#This Row],[Lucro Líquido]]&gt;0,Tabela3[[#This Row],[Lucro Líquido]]/Tabela3[[#This Row],[Patrimônio Líquido]],0)</f>
        <v>-0.41376590079873782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2.2979292427324034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100</v>
      </c>
      <c r="AW349" s="7">
        <f>Tabela3[[#This Row],[Ativos]]*[Lucro]</f>
        <v>4.6916513655222465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idden="1">
      <c r="A350" s="3" t="s">
        <v>1363</v>
      </c>
      <c r="B350" s="58" t="s">
        <v>1344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31281654.719999999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0" s="18">
        <f>IF(Tabela3[[#This Row],[Lucro Líquido]]&gt;0,Tabela3[[#This Row],[Lucro Líquido]]/Tabela3[[#This Row],[Patrimônio Líquido]],0)</f>
        <v>-0.41376590079873782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2.2979292427324034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1.52</v>
      </c>
      <c r="AO350" s="53">
        <f>[Cotação]/[VPA]</f>
        <v>-3.0846716024060745</v>
      </c>
      <c r="AP350" s="37">
        <f>IF(Tabela3[[#This Row],[Lucro/Ação]]&gt;0,Tabela3[[#This Row],[Cotação]]/(Tabela3[[#This Row],[Lucro/Ação]]/[Ref]*4),0)</f>
        <v>5.5913348522402284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3.3952740191738481E-2</v>
      </c>
      <c r="AU350" s="22">
        <f>((1+Tabela3[[#This Row],[% Yield]])^(1/(3*Tabela3[[#This Row],[Ref]])))^(12)-1</f>
        <v>4.5524589495782086E-2</v>
      </c>
      <c r="AV350" s="10">
        <f>IF([Cotação]&gt;0,($BH$1/Tabela3[[#This Row],[Cotação]]-MOD($BH$1/Tabela3[[#This Row],[Cotação]],100)),)</f>
        <v>300</v>
      </c>
      <c r="AW350" s="7">
        <f>Tabela3[[#This Row],[Ativos]]*[Lucro]</f>
        <v>15.482449527432749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1.52</v>
      </c>
    </row>
    <row r="351" spans="1:54" hidden="1">
      <c r="A351" s="3" t="s">
        <v>1363</v>
      </c>
      <c r="B351" s="57" t="s">
        <v>1361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2219802904.7999997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1" s="18">
        <f>IF(Tabela3[[#This Row],[Lucro Líquido]]&gt;0,Tabela3[[#This Row],[Lucro Líquido]]/Tabela3[[#This Row],[Patrimônio Líquido]],0)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2.2979292427324034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23.4</v>
      </c>
      <c r="AO351" s="53">
        <f>[Cotação]/[VPA]</f>
        <v>1.8178997992762151</v>
      </c>
      <c r="AP351" s="37">
        <f>IF(Tabela3[[#This Row],[Lucro/Ação]]&gt;0,Tabela3[[#This Row],[Cotação]]/(Tabela3[[#This Row],[Lucro/Ação]]/[Ref]*4),0)</f>
        <v>13.032442536502884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2.6971152876022673E-2</v>
      </c>
      <c r="AU351" s="22">
        <f>((1+Tabela3[[#This Row],[% Yield]])^(1/(3*Tabela3[[#This Row],[Ref]])))^(12)-1</f>
        <v>2.697115287602192E-2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23.4</v>
      </c>
    </row>
    <row r="352" spans="1:54" hidden="1">
      <c r="A352" s="3" t="s">
        <v>969</v>
      </c>
      <c r="B352" s="58" t="s">
        <v>965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2" s="18">
        <f>IF(Tabela3[[#This Row],[Lucro Líquido]]&gt;0,Tabela3[[#This Row],[Lucro Líquido]]/Tabela3[[#This Row],[Patrimônio Líquido]],0)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2.2979292427324034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idden="1">
      <c r="A353" s="3" t="s">
        <v>969</v>
      </c>
      <c r="B353" s="58" t="s">
        <v>966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3" s="18">
        <f>IF(Tabela3[[#This Row],[Lucro Líquido]]&gt;0,Tabela3[[#This Row],[Lucro Líquido]]/Tabela3[[#This Row],[Patrimônio Líquido]],0)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2.2979292427324034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idden="1">
      <c r="A354" s="3" t="s">
        <v>790</v>
      </c>
      <c r="B354" s="58" t="s">
        <v>791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14942440497.599998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4" s="18">
        <f>IF(Tabela3[[#This Row],[Lucro Líquido]]&gt;0,Tabela3[[#This Row],[Lucro Líquido]]/Tabela3[[#This Row],[Patrimônio Líquido]],0)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2.2979292427324034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34.65</v>
      </c>
      <c r="AO354" s="53">
        <f>[Cotação]/[VPA]</f>
        <v>13.04291018673454</v>
      </c>
      <c r="AP354" s="37">
        <f>IF(Tabela3[[#This Row],[Lucro/Ação]]&gt;0,Tabela3[[#This Row],[Cotação]]/(Tabela3[[#This Row],[Lucro/Ação]]/[Ref]*4),0)</f>
        <v>17.733561154890527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1.6071222103147806E-2</v>
      </c>
      <c r="AU354" s="22">
        <f>((1+Tabela3[[#This Row],[% Yield]])^(1/(3*Tabela3[[#This Row],[Ref]])))^(12)-1</f>
        <v>1.6071222103147376E-2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34.65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idden="1">
      <c r="A355" s="3" t="s">
        <v>1036</v>
      </c>
      <c r="B355" s="58" t="s">
        <v>1037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5" s="18">
        <f>IF(Tabela3[[#This Row],[Lucro Líquido]]&gt;0,Tabela3[[#This Row],[Lucro Líquido]]/Tabela3[[#This Row],[Patrimônio Líquido]],0)</f>
        <v>3.513448748893018E-2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2.2979292427324034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idden="1">
      <c r="A356" s="3" t="s">
        <v>1036</v>
      </c>
      <c r="B356" s="58" t="s">
        <v>1038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9993959333.1399994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6" s="18">
        <f>IF(Tabela3[[#This Row],[Lucro Líquido]]&gt;0,Tabela3[[#This Row],[Lucro Líquido]]/Tabela3[[#This Row],[Patrimônio Líquido]],0)</f>
        <v>3.513448748893018E-2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2.2979292427324034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29.14</v>
      </c>
      <c r="AO356" s="53">
        <f>[Cotação]/[VPA]</f>
        <v>1.7353937962353922</v>
      </c>
      <c r="AP356" s="37">
        <f>IF(Tabela3[[#This Row],[Lucro/Ação]]&gt;0,Tabela3[[#This Row],[Cotação]]/(Tabela3[[#This Row],[Lucro/Ação]]/[Ref]*4),0)</f>
        <v>37.04466580269947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5.1246552087747853E-3</v>
      </c>
      <c r="AU356" s="22">
        <f>((1+Tabela3[[#This Row],[% Yield]])^(1/(3*Tabela3[[#This Row],[Ref]])))^(12)-1</f>
        <v>6.8387029999443794E-3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29.14</v>
      </c>
      <c r="BB356" s="7">
        <f>SUMPRODUCT(N(Tabela17683[Código]=Tabela3[[#This Row],[PAPEL]]),Tabela17683[Fechamento])</f>
        <v>0</v>
      </c>
    </row>
    <row r="357" spans="1:54" hidden="1">
      <c r="A357" s="4" t="s">
        <v>660</v>
      </c>
      <c r="B357" s="57" t="s">
        <v>328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30416000</v>
      </c>
      <c r="Q357" s="93">
        <v>-2203000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</v>
      </c>
      <c r="U357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7" s="19">
        <f>IF(Tabela3[[#This Row],[Lucro Líquido]]&gt;0,Tabela3[[#This Row],[Lucro Líquido]]/Tabela3[[#This Row],[Patrimônio Líquido]],0)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7" s="19">
        <f>IF(Tabela3[[#This Row],[Dívida]]&gt;0,Tabela3[[#This Row],[Dívida]]/Tabela3[[#This Row],[Patrimônio Líquido]],0)</f>
        <v>0</v>
      </c>
      <c r="Y357" s="19">
        <f>SUMPRODUCT(N([Dívida / PL]&gt;0),N(RIGHT([PAPEL],LEN([PAPEL])-(LEN([PAPEL])-1))="3"),[Dívida / PL])/SUMPRODUCT(N([Dívida / PL]&gt;0),N(RIGHT([PAPEL],LEN([PAPEL])-(LEN([PAPEL])-1))="3"))</f>
        <v>2.2979292427324034</v>
      </c>
      <c r="Z357" s="13">
        <f>Tabela3[[#This Row],[Capital Social]]*20%</f>
        <v>4575592.2</v>
      </c>
      <c r="AA357" s="13">
        <f>IF(([Lucro Líquido]*5%)&gt;[Teto R. Legal],[Teto R. Legal],[Lucro Líquido]*5%)</f>
        <v>-110150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-0.177451239573028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2.450003133387753</v>
      </c>
      <c r="AN357" s="48">
        <f>MAX(Tabela3[[#This Row],[Cotação 1]:[Cotação 5]])</f>
        <v>1.51</v>
      </c>
      <c r="AO357" s="44">
        <f>[Cotação]/[VPA]</f>
        <v>0.61632574237243554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300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idden="1">
      <c r="A358" s="4" t="s">
        <v>743</v>
      </c>
      <c r="B358" s="57" t="s">
        <v>749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4675394169.6000004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8" s="19">
        <f>IF(Tabela3[[#This Row],[Lucro Líquido]]&gt;0,Tabela3[[#This Row],[Lucro Líquido]]/Tabela3[[#This Row],[Patrimônio Líquido]],0)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2.2979292427324034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8.8000000000000007</v>
      </c>
      <c r="AO358" s="44">
        <f>[Cotação]/[VPA]</f>
        <v>6.7204653901494193</v>
      </c>
      <c r="AP358" s="40">
        <f>IF(Tabela3[[#This Row],[Lucro/Ação]]&gt;0,Tabela3[[#This Row],[Cotação]]/(Tabela3[[#This Row],[Lucro/Ação]]/[Ref]*4),0)</f>
        <v>24.857086036014486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1.9109239084251089E-2</v>
      </c>
      <c r="AU358" s="42">
        <f>((1+Tabela3[[#This Row],[% Yield]])^(1/(3*Tabela3[[#This Row],[Ref]])))^(12)-1</f>
        <v>1.9109239084250884E-2</v>
      </c>
      <c r="AV358" s="14">
        <f>IF([Cotação]&gt;0,($BH$1/Tabela3[[#This Row],[Cotação]]-MOD($BH$1/Tabela3[[#This Row],[Cotação]],100)),)</f>
        <v>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8.8000000000000007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idden="1">
      <c r="A359" s="4" t="s">
        <v>242</v>
      </c>
      <c r="B359" s="127" t="s">
        <v>590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59" s="19">
        <f>IF(Tabela3[[#This Row],[Lucro Líquido]]&gt;0,Tabela3[[#This Row],[Lucro Líquido]]/Tabela3[[#This Row],[Patrimônio Líquido]],0)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2.2979292427324034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idden="1">
      <c r="A360" s="3" t="s">
        <v>289</v>
      </c>
      <c r="B360" s="57" t="s">
        <v>285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7224608944.079999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0" s="18">
        <f>IF(Tabela3[[#This Row],[Lucro Líquido]]&gt;0,Tabela3[[#This Row],[Lucro Líquido]]/Tabela3[[#This Row],[Patrimônio Líquido]],0)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2.2979292427324034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4.0199999999999996</v>
      </c>
      <c r="AO360" s="53">
        <f>[Cotação]/[VPA]</f>
        <v>0.62691100575852166</v>
      </c>
      <c r="AP360" s="37">
        <f>IF(Tabela3[[#This Row],[Lucro/Ação]]&gt;0,Tabela3[[#This Row],[Cotação]]/(Tabela3[[#This Row],[Lucro/Ação]]/[Ref]*4),0)</f>
        <v>4.8389392900138306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2.314916764134952E-2</v>
      </c>
      <c r="AU360" s="18">
        <f>((1+Tabela3[[#This Row],[% Yield]])^(1/(3*Tabela3[[#This Row],[Ref]])))^(12)-1</f>
        <v>2.3149167641349111E-2</v>
      </c>
      <c r="AV360" s="10">
        <f>IF([Cotação]&gt;0,($BH$1/Tabela3[[#This Row],[Cotação]]-MOD($BH$1/Tabela3[[#This Row],[Cotação]],100)),)</f>
        <v>100</v>
      </c>
      <c r="AW360" s="7">
        <f>Tabela3[[#This Row],[Ativos]]*[Lucro]</f>
        <v>9.3059653918225056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4.0199999999999996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 hidden="1">
      <c r="A361" s="3" t="s">
        <v>289</v>
      </c>
      <c r="B361" s="58" t="s">
        <v>286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6523714046.5199995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1" s="18">
        <f>IF(Tabela3[[#This Row],[Lucro Líquido]]&gt;0,Tabela3[[#This Row],[Lucro Líquido]]/Tabela3[[#This Row],[Patrimônio Líquido]],0)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2.2979292427324034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3.63</v>
      </c>
      <c r="AO361" s="53">
        <f>[Cotação]/[VPA]</f>
        <v>0.56609128131926223</v>
      </c>
      <c r="AP361" s="37">
        <f>IF(Tabela3[[#This Row],[Lucro/Ação]]&gt;0,Tabela3[[#This Row],[Cotação]]/(Tabela3[[#This Row],[Lucro/Ação]]/[Ref]*4),0)</f>
        <v>4.369489955908012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6.8714313196625437E-2</v>
      </c>
      <c r="AU361" s="18">
        <f>((1+Tabela3[[#This Row],[% Yield]])^(1/(3*Tabela3[[#This Row],[Ref]])))^(12)-1</f>
        <v>6.8714313196627019E-2</v>
      </c>
      <c r="AV361" s="14">
        <f>IF([Cotação]&gt;0,($BH$1/Tabela3[[#This Row],[Cotação]]-MOD($BH$1/Tabela3[[#This Row],[Cotação]],100)),)</f>
        <v>100</v>
      </c>
      <c r="AW361" s="7">
        <f>Tabela3[[#This Row],[Ativos]]*[Lucro]</f>
        <v>24.943295690375034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3.63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idden="1">
      <c r="A362" s="4" t="s">
        <v>595</v>
      </c>
      <c r="B362" s="126" t="s">
        <v>596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2" s="19">
        <f>IF(Tabela3[[#This Row],[Lucro Líquido]]&gt;0,Tabela3[[#This Row],[Lucro Líquido]]/Tabela3[[#This Row],[Patrimônio Líquido]],0)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2.2979292427324034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12</v>
      </c>
      <c r="B363" s="60" t="s">
        <v>56</v>
      </c>
      <c r="C363" s="14" t="str">
        <f>LEFT([PAPEL],LEN([PAPEL])-(LEN([PAPEL])-4))</f>
        <v>TAEE</v>
      </c>
      <c r="D363" s="15">
        <v>3</v>
      </c>
      <c r="E363" s="6"/>
      <c r="F363" s="8"/>
      <c r="G363" s="81">
        <v>0.5</v>
      </c>
      <c r="H363" s="15"/>
      <c r="I363" s="19"/>
      <c r="J363" s="19"/>
      <c r="K363" s="88">
        <v>1</v>
      </c>
      <c r="L363" s="88">
        <v>2</v>
      </c>
      <c r="M363" s="55">
        <v>9101836000</v>
      </c>
      <c r="N363" s="55">
        <v>1859239000</v>
      </c>
      <c r="O363" s="55">
        <v>923506000</v>
      </c>
      <c r="P363" s="89">
        <v>4589097000</v>
      </c>
      <c r="Q363" s="89">
        <v>751496000</v>
      </c>
      <c r="R363" s="89">
        <f>IF(Tabela3[[#This Row],[Ativo || Passivo]]&gt;0,Tabela3[[#This Row],[Ativo || Passivo]]-Tabela3[[#This Row],[Patrimônio Líquido]],0)</f>
        <v>4512739000</v>
      </c>
      <c r="S363" s="89">
        <f>Tabela3[[#This Row],[Cotação]]*Tabela3[[#This Row],[Total Ações]]</f>
        <v>18137867453.549999</v>
      </c>
      <c r="T363" s="132">
        <f>IF(Tabela3[[#This Row],[Passivo Circulante]]&gt;0,Tabela3[[#This Row],[Ativo Circulante]]/Tabela3[[#This Row],[Passivo Circulante]],0)</f>
        <v>2.0132397623837854</v>
      </c>
      <c r="U36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3" s="19">
        <f>IF(Tabela3[[#This Row],[Lucro Líquido]]&gt;0,Tabela3[[#This Row],[Lucro Líquido]]/Tabela3[[#This Row],[Patrimônio Líquido]],0)</f>
        <v>0.16375683495031812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3" s="19">
        <f>IF(Tabela3[[#This Row],[Dívida]]&gt;0,Tabela3[[#This Row],[Dívida]]/Tabela3[[#This Row],[Patrimônio Líquido]],0)</f>
        <v>0.98336099672767863</v>
      </c>
      <c r="Y363" s="19">
        <f>SUMPRODUCT(N([Dívida / PL]&gt;0),N(RIGHT([PAPEL],LEN([PAPEL])-(LEN([PAPEL])-1))="3"),[Dívida / PL])/SUMPRODUCT(N([Dívida / PL]&gt;0),N(RIGHT([PAPEL],LEN([PAPEL])-(LEN([PAPEL])-1))="3"))</f>
        <v>2.2979292427324034</v>
      </c>
      <c r="Z363" s="6">
        <f>Tabela3[[#This Row],[Capital Social]]*20%</f>
        <v>0</v>
      </c>
      <c r="AA363" s="6">
        <f>IF(([Lucro Líquido]*5%)&gt;[Teto R. Legal],[Teto R. Legal],[Lucro Líquido]*5%)</f>
        <v>0</v>
      </c>
      <c r="AB363" s="89">
        <f>IF([Lucro Líquido]&lt;0,0,[Lucro Líquido]-[Reserva Legal])</f>
        <v>751496000</v>
      </c>
      <c r="AC363" s="89">
        <f>Tabela3[[#This Row],[Lucro Distribuir]]*[%Div]</f>
        <v>375748000</v>
      </c>
      <c r="AD363" s="56">
        <f>SUMPRODUCT(N([Nome]=Tabela3[[#This Row],[Nome]]),[Ações])</f>
        <v>1033496721</v>
      </c>
      <c r="AE363" s="6">
        <f>[Capital Social]/[Total Ações]</f>
        <v>0</v>
      </c>
      <c r="AF363" s="78">
        <f>Tabela3[[#This Row],[Lucro Líquido]]/Tabela3[[#This Row],[Total Ações]]</f>
        <v>0.72713922040590584</v>
      </c>
      <c r="AG3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6">
        <f>[Div Base]*[Ações]</f>
        <v>0</v>
      </c>
      <c r="AL363" s="6">
        <f>SUMPRODUCT(N([Nome]=Tabela3[[#This Row],[Nome]]),[Div Base]*[Ações])</f>
        <v>356960600</v>
      </c>
      <c r="AM363" s="6">
        <f>[Patrimônio Líquido]/[Total Ações]</f>
        <v>4.4403595161478986</v>
      </c>
      <c r="AN363" s="48">
        <f>MAX(Tabela3[[#This Row],[Cotação 1]:[Cotação 5]])</f>
        <v>17.55</v>
      </c>
      <c r="AO363" s="44">
        <f>[Cotação]/[VPA]</f>
        <v>3.9523826699566391</v>
      </c>
      <c r="AP363" s="40">
        <f>IF(Tabela3[[#This Row],[Lucro/Ação]]&gt;0,Tabela3[[#This Row],[Cotação]]/(Tabela3[[#This Row],[Lucro/Ação]]/[Ref]*4),0)</f>
        <v>18.101760475321893</v>
      </c>
      <c r="AQ363" s="78">
        <f>[Lucro Distribuir]/[Total Ações]</f>
        <v>0.72713922040590584</v>
      </c>
      <c r="AR363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63" s="15" t="str">
        <f>IF(AND([% A.A.]&gt;=5%,SUMPRODUCT(N([Nome]=Tabela3[[#This Row],[Nome]]),[PL])&gt;0,[Rentabilidade s/ PL]&gt;=[Rentabilidade s/ PL Média]),"Sim","Não")</f>
        <v>Sim</v>
      </c>
      <c r="AT363" s="42">
        <f>IF([Cotação]&gt;0,Tabela3[[#This Row],[Lucro]]/Tabela3[[#This Row],[Cotação]],0)</f>
        <v>5.9041218750906892E-2</v>
      </c>
      <c r="AU363" s="19">
        <f>((1+Tabela3[[#This Row],[% Yield]])^(1/(3*Tabela3[[#This Row],[Ref]])))^(12)-1</f>
        <v>7.9486340763452068E-2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5">
        <f>SUMPRODUCT(N(Tabela1[Código]=Tabela3[[#This Row],[PAPEL]]),Tabela1[Fechamento])</f>
        <v>17.55</v>
      </c>
      <c r="AY363" s="5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3" t="s">
        <v>1093</v>
      </c>
      <c r="B364" s="57" t="s">
        <v>1108</v>
      </c>
      <c r="C364" s="16" t="str">
        <f>LEFT([PAPEL],LEN([PAPEL])-(LEN([PAPEL])-4))</f>
        <v>HBOR</v>
      </c>
      <c r="D364" s="16">
        <v>3</v>
      </c>
      <c r="E364" s="5">
        <v>806376305</v>
      </c>
      <c r="F364" s="56">
        <v>257699937</v>
      </c>
      <c r="G364" s="81">
        <v>0.5</v>
      </c>
      <c r="H364" s="87"/>
      <c r="J364" s="18"/>
      <c r="K364" s="16"/>
      <c r="L364" s="87"/>
      <c r="M364" s="47">
        <v>1551852000</v>
      </c>
      <c r="N364" s="47">
        <v>117228000</v>
      </c>
      <c r="O364" s="47">
        <v>74274000</v>
      </c>
      <c r="P364" s="91">
        <v>1247354000</v>
      </c>
      <c r="Q364" s="73">
        <v>211777000</v>
      </c>
      <c r="R364" s="73">
        <f>IF(Tabela3[[#This Row],[Ativo || Passivo]]&gt;0,Tabela3[[#This Row],[Ativo || Passivo]]-Tabela3[[#This Row],[Patrimônio Líquido]],0)</f>
        <v>304498000</v>
      </c>
      <c r="S364" s="7">
        <f>Tabela3[[#This Row],[Cotação]]*Tabela3[[#This Row],[Total Ações]]</f>
        <v>1783283564.04</v>
      </c>
      <c r="T364" s="37">
        <f>IF(Tabela3[[#This Row],[Passivo Circulante]]&gt;0,Tabela3[[#This Row],[Ativo Circulante]]/Tabela3[[#This Row],[Passivo Circulante]],0)</f>
        <v>1.578318119395751</v>
      </c>
      <c r="U36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4" s="18">
        <f>IF(Tabela3[[#This Row],[Lucro Líquido]]&gt;0,Tabela3[[#This Row],[Lucro Líquido]]/Tabela3[[#This Row],[Patrimônio Líquido]],0)</f>
        <v>0.1697809924047223</v>
      </c>
      <c r="W36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4" s="18">
        <f>IF(Tabela3[[#This Row],[Dívida]]&gt;0,Tabela3[[#This Row],[Dívida]]/Tabela3[[#This Row],[Patrimônio Líquido]],0)</f>
        <v>0.24411514293456388</v>
      </c>
      <c r="Y364" s="18">
        <f>SUMPRODUCT(N([Dívida / PL]&gt;0),N(RIGHT([PAPEL],LEN([PAPEL])-(LEN([PAPEL])-1))="3"),[Dívida / PL])/SUMPRODUCT(N([Dívida / PL]&gt;0),N(RIGHT([PAPEL],LEN([PAPEL])-(LEN([PAPEL])-1))="3"))</f>
        <v>2.2979292427324034</v>
      </c>
      <c r="Z364" s="7">
        <f>Tabela3[[#This Row],[Capital Social]]*20%</f>
        <v>161275261</v>
      </c>
      <c r="AA364" s="47">
        <f>IF(([Lucro Líquido]*5%)&gt;[Teto R. Legal],[Teto R. Legal],[Lucro Líquido]*5%)</f>
        <v>10588850</v>
      </c>
      <c r="AB364" s="47">
        <f>IF([Lucro Líquido]&lt;0,0,[Lucro Líquido]-[Reserva Legal])</f>
        <v>201188150</v>
      </c>
      <c r="AC364" s="47">
        <f>Tabela3[[#This Row],[Lucro Distribuir]]*[%Div]</f>
        <v>100594075</v>
      </c>
      <c r="AD364" s="56">
        <f>SUMPRODUCT(N([Nome]=Tabela3[[#This Row],[Nome]]),[Ações])</f>
        <v>257699937</v>
      </c>
      <c r="AE364" s="85">
        <f>[Capital Social]/[Total Ações]</f>
        <v>3.1291288402604458</v>
      </c>
      <c r="AF364" s="85">
        <f>Tabela3[[#This Row],[Lucro Líquido]]/Tabela3[[#This Row],[Total Ações]]</f>
        <v>0.82179686369112304</v>
      </c>
      <c r="AG3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3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364" s="7">
        <f>[Div Base]*[Ações]</f>
        <v>100594075</v>
      </c>
      <c r="AL364" s="120">
        <f>SUMPRODUCT(N([Nome]=Tabela3[[#This Row],[Nome]]),[Div Base]*[Ações])</f>
        <v>100594075</v>
      </c>
      <c r="AM364" s="5">
        <f>[Patrimônio Líquido]/[Total Ações]</f>
        <v>4.8403349046996471</v>
      </c>
      <c r="AN364" s="52">
        <f>MAX(Tabela3[[#This Row],[Cotação 1]:[Cotação 5]])</f>
        <v>6.92</v>
      </c>
      <c r="AO364" s="53">
        <f>[Cotação]/[VPA]</f>
        <v>1.4296531410008706</v>
      </c>
      <c r="AP364" s="37">
        <f>IF(Tabela3[[#This Row],[Lucro/Ação]]&gt;0,Tabela3[[#This Row],[Cotação]]/(Tabela3[[#This Row],[Lucro/Ação]]/[Ref]*4),0)</f>
        <v>6.3154293102178238</v>
      </c>
      <c r="AQ364" s="85">
        <f>[Lucro Distribuir]/[Total Ações]</f>
        <v>0.78070702050656693</v>
      </c>
      <c r="AR364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364" s="10" t="str">
        <f>IF(AND([% A.A.]&gt;=5%,SUMPRODUCT(N([Nome]=Tabela3[[#This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5.6409466799607434E-2</v>
      </c>
      <c r="AU364" s="22">
        <f>((1+Tabela3[[#This Row],[% Yield]])^(1/(3*Tabela3[[#This Row],[Ref]])))^(12)-1</f>
        <v>7.5911077975720165E-2</v>
      </c>
      <c r="AV364" s="14">
        <f>IF([Cotação]&gt;0,($BH$1/Tabela3[[#This Row],[Cotação]]-MOD($BH$1/Tabela3[[#This Row],[Cotação]],100)),)</f>
        <v>0</v>
      </c>
      <c r="AW364" s="7">
        <f>Tabela3[[#This Row],[Ativos]]*[Lucro]</f>
        <v>0</v>
      </c>
      <c r="AX364" s="7">
        <f>SUMPRODUCT(N(Tabela1[Código]=Tabela3[[#This Row],[PAPEL]]),Tabela1[Fechamento])</f>
        <v>0</v>
      </c>
      <c r="AY364" s="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6.92</v>
      </c>
      <c r="BB364" s="7">
        <f>SUMPRODUCT(N(Tabela17683[Código]=Tabela3[[#This Row],[PAPEL]]),Tabela17683[Fechamento])</f>
        <v>0</v>
      </c>
    </row>
    <row r="365" spans="1:54" hidden="1">
      <c r="A365" s="3" t="s">
        <v>822</v>
      </c>
      <c r="B365" s="58" t="s">
        <v>823</v>
      </c>
      <c r="C365" s="16" t="str">
        <f>LEFT([PAPEL],LEN([PAPEL])-(LEN([PAPEL])-4))</f>
        <v>PCAR</v>
      </c>
      <c r="D365" s="16">
        <v>4</v>
      </c>
      <c r="E365" s="5">
        <v>6779822380.8500004</v>
      </c>
      <c r="F365" s="56">
        <v>99679851</v>
      </c>
      <c r="G365" s="81">
        <v>0.25</v>
      </c>
      <c r="H365" s="87"/>
      <c r="J365" s="18"/>
      <c r="K365" s="16"/>
      <c r="L365" s="87"/>
      <c r="M365" s="54"/>
      <c r="N365" s="54"/>
      <c r="O365" s="54"/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</v>
      </c>
      <c r="U36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5" s="18">
        <f>IF(Tabela3[[#This Row],[Lucro Líquido]]&gt;0,Tabela3[[#This Row],[Lucro Líquido]]/Tabela3[[#This Row],[Patrimônio Líquido]],0)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5" s="18">
        <f>IF(Tabela3[[#This Row],[Dívida]]&gt;0,Tabela3[[#This Row],[Dívida]]/Tabela3[[#This Row],[Patrimônio Líquido]],0)</f>
        <v>0</v>
      </c>
      <c r="Y365" s="18">
        <f>SUMPRODUCT(N([Dívida / PL]&gt;0),N(RIGHT([PAPEL],LEN([PAPEL])-(LEN([PAPEL])-1))="3"),[Dívida / PL])/SUMPRODUCT(N([Dívida / PL]&gt;0),N(RIGHT([PAPEL],LEN([PAPEL])-(LEN([PAPEL])-1))="3"))</f>
        <v>2.2979292427324034</v>
      </c>
      <c r="Z365" s="7">
        <f>Tabela3[[#This Row],[Capital Social]]*20%</f>
        <v>1355964476.1700001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25.591630608102179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idden="1">
      <c r="A366" s="3" t="s">
        <v>822</v>
      </c>
      <c r="B366" s="58" t="s">
        <v>824</v>
      </c>
      <c r="C366" s="16" t="str">
        <f>LEFT([PAPEL],LEN([PAPEL])-(LEN([PAPEL])-4))</f>
        <v>PCAR</v>
      </c>
      <c r="D366" s="16">
        <v>4</v>
      </c>
      <c r="E366" s="5">
        <v>6779822380.8500004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/>
      <c r="N366" s="54"/>
      <c r="O366" s="54"/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0</v>
      </c>
      <c r="S366" s="73">
        <f>Tabela3[[#This Row],[Cotação]]*Tabela3[[#This Row],[Total Ações]]</f>
        <v>25745258247.140003</v>
      </c>
      <c r="T366" s="37">
        <f>IF(Tabela3[[#This Row],[Passivo Circulante]]&gt;0,Tabela3[[#This Row],[Ativo Circulante]]/Tabela3[[#This Row],[Passivo Circulante]],0)</f>
        <v>0</v>
      </c>
      <c r="U36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6" s="18">
        <f>IF(Tabela3[[#This Row],[Lucro Líquido]]&gt;0,Tabela3[[#This Row],[Lucro Líquido]]/Tabela3[[#This Row],[Patrimônio Líquido]],0)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6" s="18">
        <f>IF(Tabela3[[#This Row],[Dívida]]&gt;0,Tabela3[[#This Row],[Dívida]]/Tabela3[[#This Row],[Patrimônio Líquido]],0)</f>
        <v>0</v>
      </c>
      <c r="Y366" s="18">
        <f>SUMPRODUCT(N([Dívida / PL]&gt;0),N(RIGHT([PAPEL],LEN([PAPEL])-(LEN([PAPEL])-1))="3"),[Dívida / PL])/SUMPRODUCT(N([Dívida / PL]&gt;0),N(RIGHT([PAPEL],LEN([PAPEL])-(LEN([PAPEL])-1))="3"))</f>
        <v>2.2979292427324034</v>
      </c>
      <c r="Z366" s="7">
        <f>Tabela3[[#This Row],[Capital Social]]*20%</f>
        <v>1355964476.1700001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25.591630608102179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97.18</v>
      </c>
      <c r="AO366" s="53">
        <f>[Cotação]/[VPA]</f>
        <v>2.7148310059315484</v>
      </c>
      <c r="AP366" s="37">
        <f>IF(Tabela3[[#This Row],[Lucro/Ação]]&gt;0,Tabela3[[#This Row],[Cotação]]/(Tabela3[[#This Row],[Lucro/Ação]]/[Ref]*4),0)</f>
        <v>24.461169171483004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1.0347891290191917E-2</v>
      </c>
      <c r="AU366" s="22">
        <f>((1+Tabela3[[#This Row],[% Yield]])^(1/(3*Tabela3[[#This Row],[Ref]])))^(12)-1</f>
        <v>1.0347891290190647E-2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97.18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idden="1">
      <c r="A367" s="3" t="s">
        <v>1093</v>
      </c>
      <c r="B367" s="57" t="s">
        <v>1120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2009321884.5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7" s="18">
        <f>IF(Tabela3[[#This Row],[Lucro Líquido]]&gt;0,Tabela3[[#This Row],[Lucro Líquido]]/Tabela3[[#This Row],[Patrimônio Líquido]],0)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2.2979292427324034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1.5</v>
      </c>
      <c r="AO367" s="53">
        <f>[Cotação]/[VPA]</f>
        <v>0.42718545287053888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300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1.5</v>
      </c>
      <c r="BB367" s="7">
        <f>SUMPRODUCT(N(Tabela17683[Código]=Tabela3[[#This Row],[PAPEL]]),Tabela17683[Fechamento])</f>
        <v>0</v>
      </c>
    </row>
    <row r="368" spans="1:54" hidden="1">
      <c r="A368" s="4" t="s">
        <v>26</v>
      </c>
      <c r="B368" s="57" t="s">
        <v>696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8" s="19">
        <f>IF(Tabela3[[#This Row],[Lucro Líquido]]&gt;0,Tabela3[[#This Row],[Lucro Líquido]]/Tabela3[[#This Row],[Patrimônio Líquido]],0)</f>
        <v>1.59739548469543E-4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2.2979292427324034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idden="1">
      <c r="A369" s="4" t="s">
        <v>26</v>
      </c>
      <c r="B369" s="57" t="s">
        <v>697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69" s="19">
        <f>IF(Tabela3[[#This Row],[Lucro Líquido]]&gt;0,Tabela3[[#This Row],[Lucro Líquido]]/Tabela3[[#This Row],[Patrimônio Líquido]],0)</f>
        <v>1.59739548469543E-4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2.2979292427324034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5.5153690400238815E-5</v>
      </c>
      <c r="AU369" s="42">
        <f>((1+Tabela3[[#This Row],[% Yield]])^(1/(3*Tabela3[[#This Row],[Ref]])))^(12)-1</f>
        <v>7.3538929842520417E-5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idden="1">
      <c r="A370" s="4" t="s">
        <v>242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168274010397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0" s="19">
        <f>IF(Tabela3[[#This Row],[Lucro Líquido]]&gt;0,Tabela3[[#This Row],[Lucro Líquido]]/Tabela3[[#This Row],[Patrimônio Líquido]],0)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2.2979292427324034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12.9</v>
      </c>
      <c r="AO370" s="44">
        <f>[Cotação]/[VPA]</f>
        <v>0.48335181751735945</v>
      </c>
      <c r="AP370" s="40">
        <f>IF(Tabela3[[#This Row],[Lucro/Ação]]&gt;0,Tabela3[[#This Row],[Cotação]]/(Tabela3[[#This Row],[Lucro/Ação]]/[Ref]*4),0)</f>
        <v>7.188872623364599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1.1186302919074855E-2</v>
      </c>
      <c r="AU370" s="19">
        <f>((1+Tabela3[[#This Row],[% Yield]])^(1/(3*Tabela3[[#This Row],[Ref]])))^(12)-1</f>
        <v>1.1186302919074187E-2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12.9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242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178448718002.39999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1" s="19">
        <f>IF(Tabela3[[#This Row],[Lucro Líquido]]&gt;0,Tabela3[[#This Row],[Lucro Líquido]]/Tabela3[[#This Row],[Patrimônio Líquido]],0)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2.2979292427324034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13.68</v>
      </c>
      <c r="AO371" s="44">
        <f>[Cotação]/[VPA]</f>
        <v>0.51257774136724621</v>
      </c>
      <c r="AP371" s="40">
        <f>IF(Tabela3[[#This Row],[Lucro/Ação]]&gt;0,Tabela3[[#This Row],[Cotação]]/(Tabela3[[#This Row],[Lucro/Ação]]/[Ref]*4),0)</f>
        <v>7.6235486424517607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5.8527707270273212E-2</v>
      </c>
      <c r="AU371" s="19">
        <f>((1+Tabela3[[#This Row],[% Yield]])^(1/(3*Tabela3[[#This Row],[Ref]])))^(12)-1</f>
        <v>5.8527707270273233E-2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13.68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idden="1">
      <c r="A372" s="3" t="s">
        <v>812</v>
      </c>
      <c r="B372" s="58" t="s">
        <v>820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587123468.88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2" s="18">
        <f>IF(Tabela3[[#This Row],[Lucro Líquido]]&gt;0,Tabela3[[#This Row],[Lucro Líquido]]/Tabela3[[#This Row],[Patrimônio Líquido]],0)</f>
        <v>4.3160341464089542E-2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2.2979292427324034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17.68</v>
      </c>
      <c r="AO372" s="53">
        <f>[Cotação]/[VPA]</f>
        <v>1.0154050888941157</v>
      </c>
      <c r="AP372" s="37">
        <f>IF(Tabela3[[#This Row],[Lucro/Ação]]&gt;0,Tabela3[[#This Row],[Cotação]]/(Tabela3[[#This Row],[Lucro/Ação]]/[Ref]*4),0)</f>
        <v>17.644758841961853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1.0095065713020251E-2</v>
      </c>
      <c r="AU372" s="22">
        <f>((1+Tabela3[[#This Row],[% Yield]])^(1/(3*Tabela3[[#This Row],[Ref]])))^(12)-1</f>
        <v>1.3482683770220216E-2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17.68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idden="1">
      <c r="A373" s="4" t="s">
        <v>14</v>
      </c>
      <c r="B373" s="57" t="s">
        <v>428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/>
      <c r="N373" s="55"/>
      <c r="O373" s="55"/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0</v>
      </c>
      <c r="U37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3" s="19">
        <f>IF(Tabela3[[#This Row],[Lucro Líquido]]&gt;0,Tabela3[[#This Row],[Lucro Líquido]]/Tabela3[[#This Row],[Patrimônio Líquido]],0)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3" s="19">
        <f>IF(Tabela3[[#This Row],[Dívida]]&gt;0,Tabela3[[#This Row],[Dívida]]/Tabela3[[#This Row],[Patrimônio Líquido]],0)</f>
        <v>0</v>
      </c>
      <c r="Y373" s="19">
        <f>SUMPRODUCT(N([Dívida / PL]&gt;0),N(RIGHT([PAPEL],LEN([PAPEL])-(LEN([PAPEL])-1))="3"),[Dívida / PL])/SUMPRODUCT(N([Dívida / PL]&gt;0),N(RIGHT([PAPEL],LEN([PAPEL])-(LEN([PAPEL])-1))="3"))</f>
        <v>2.2979292427324034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idden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/>
      <c r="N374" s="55"/>
      <c r="O374" s="55"/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0</v>
      </c>
      <c r="S374" s="6">
        <f>Tabela3[[#This Row],[Cotação]]*Tabela3[[#This Row],[Total Ações]]</f>
        <v>892484098.31999993</v>
      </c>
      <c r="T374" s="132">
        <f>IF(Tabela3[[#This Row],[Passivo Circulante]]&gt;0,Tabela3[[#This Row],[Ativo Circulante]]/Tabela3[[#This Row],[Passivo Circulante]],0)</f>
        <v>0</v>
      </c>
      <c r="U37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4" s="19">
        <f>IF(Tabela3[[#This Row],[Lucro Líquido]]&gt;0,Tabela3[[#This Row],[Lucro Líquido]]/Tabela3[[#This Row],[Patrimônio Líquido]],0)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4" s="19">
        <f>IF(Tabela3[[#This Row],[Dívida]]&gt;0,Tabela3[[#This Row],[Dívida]]/Tabela3[[#This Row],[Patrimônio Líquido]],0)</f>
        <v>0</v>
      </c>
      <c r="Y374" s="19">
        <f>SUMPRODUCT(N([Dívida / PL]&gt;0),N(RIGHT([PAPEL],LEN([PAPEL])-(LEN([PAPEL])-1))="3"),[Dívida / PL])/SUMPRODUCT(N([Dívida / PL]&gt;0),N(RIGHT([PAPEL],LEN([PAPEL])-(LEN([PAPEL])-1))="3"))</f>
        <v>2.2979292427324034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7.22</v>
      </c>
      <c r="AO374" s="44">
        <f>[Cotação]/[VPA]</f>
        <v>0.70141346039949448</v>
      </c>
      <c r="AP374" s="40">
        <f>IF(Tabela3[[#This Row],[Lucro/Ação]]&gt;0,Tabela3[[#This Row],[Cotação]]/(Tabela3[[#This Row],[Lucro/Ação]]/[Ref]*4),0)</f>
        <v>5.5229343444144661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4.3002502870632883E-2</v>
      </c>
      <c r="AU374" s="19">
        <f>((1+Tabela3[[#This Row],[% Yield]])^(1/(3*Tabela3[[#This Row],[Ref]])))^(12)-1</f>
        <v>4.3002502870632453E-2</v>
      </c>
      <c r="AV374" s="14">
        <f>IF([Cotação]&gt;0,($BH$1/Tabela3[[#This Row],[Cotação]]-MOD($BH$1/Tabela3[[#This Row],[Cotação]],100)),)</f>
        <v>0</v>
      </c>
      <c r="AW374" s="17">
        <f>Tabela3[[#This Row],[Ativos]]*[Lucro]</f>
        <v>0</v>
      </c>
      <c r="AX374" s="5">
        <f>SUMPRODUCT(N(Tabela1[Código]=Tabela3[[#This Row],[PAPEL]]),Tabela1[Fechamento])</f>
        <v>7.22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idden="1">
      <c r="A375" s="3" t="s">
        <v>1363</v>
      </c>
      <c r="B375" s="57" t="s">
        <v>1337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101647381.08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5" s="18">
        <f>IF(Tabela3[[#This Row],[Lucro Líquido]]&gt;0,Tabela3[[#This Row],[Lucro Líquido]]/Tabela3[[#This Row],[Patrimônio Líquido]],0)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2.2979292427324034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0.42</v>
      </c>
      <c r="AO375" s="53">
        <f>[Cotação]/[VPA]</f>
        <v>0.27621120601294541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1100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0.42</v>
      </c>
    </row>
    <row r="376" spans="1:54" hidden="1">
      <c r="A376" s="4" t="s">
        <v>632</v>
      </c>
      <c r="B376" s="57" t="s">
        <v>630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1110735758.1600001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6" s="19">
        <f>IF(Tabela3[[#This Row],[Lucro Líquido]]&gt;0,Tabela3[[#This Row],[Lucro Líquido]]/Tabela3[[#This Row],[Patrimônio Líquido]],0)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2.2979292427324034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3.48</v>
      </c>
      <c r="AO376" s="44">
        <f>[Cotação]/[VPA]</f>
        <v>0.8063762862873981</v>
      </c>
      <c r="AP376" s="40">
        <f>IF(Tabela3[[#This Row],[Lucro/Ação]]&gt;0,Tabela3[[#This Row],[Cotação]]/(Tabela3[[#This Row],[Lucro/Ação]]/[Ref]*4),0)</f>
        <v>188.10089045893312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1.2626202854252404E-3</v>
      </c>
      <c r="AU376" s="42">
        <f>((1+Tabela3[[#This Row],[% Yield]])^(1/(3*Tabela3[[#This Row],[Ref]])))^(12)-1</f>
        <v>1.2626202854255641E-3</v>
      </c>
      <c r="AV376" s="14">
        <f>IF([Cotação]&gt;0,($BH$1/Tabela3[[#This Row],[Cotação]]-MOD($BH$1/Tabela3[[#This Row],[Cotação]],100)),)</f>
        <v>100</v>
      </c>
      <c r="AW376" s="17">
        <f>Tabela3[[#This Row],[Ativos]]*[Lucro]</f>
        <v>0.43939185932798369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3.48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idden="1">
      <c r="A377" s="3" t="s">
        <v>812</v>
      </c>
      <c r="B377" s="58" t="s">
        <v>816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808637775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7" s="18">
        <f>IF(Tabela3[[#This Row],[Lucro Líquido]]&gt;0,Tabela3[[#This Row],[Lucro Líquido]]/Tabela3[[#This Row],[Patrimônio Líquido]],0)</f>
        <v>0.15810294264856908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2.2979292427324034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177</v>
      </c>
      <c r="AO377" s="53">
        <f>[Cotação]/[VPA]</f>
        <v>2.998030479417773</v>
      </c>
      <c r="AP377" s="37">
        <f>IF(Tabela3[[#This Row],[Lucro/Ação]]&gt;0,Tabela3[[#This Row],[Cotação]]/(Tabela3[[#This Row],[Lucro/Ação]]/[Ref]*4),0)</f>
        <v>14.221891268408216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1.2135014299767693E-2</v>
      </c>
      <c r="AU377" s="22">
        <f>((1+Tabela3[[#This Row],[% Yield]])^(1/(3*Tabela3[[#This Row],[Ref]])))^(12)-1</f>
        <v>1.6212655390642317E-2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177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idden="1">
      <c r="A378" s="3" t="s">
        <v>812</v>
      </c>
      <c r="B378" s="58" t="s">
        <v>817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730972000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8" s="18">
        <f>IF(Tabela3[[#This Row],[Lucro Líquido]]&gt;0,Tabela3[[#This Row],[Lucro Líquido]]/Tabela3[[#This Row],[Patrimônio Líquido]],0)</f>
        <v>0.15810294264856908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2.2979292427324034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160</v>
      </c>
      <c r="AO378" s="53">
        <f>[Cotação]/[VPA]</f>
        <v>2.7100840491912073</v>
      </c>
      <c r="AP378" s="37">
        <f>IF(Tabela3[[#This Row],[Lucro/Ação]]&gt;0,Tabela3[[#This Row],[Cotação]]/(Tabela3[[#This Row],[Lucro/Ação]]/[Ref]*4),0)</f>
        <v>12.855946909295563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1.4766795546258777E-2</v>
      </c>
      <c r="AU378" s="22">
        <f>((1+Tabela3[[#This Row],[% Yield]])^(1/(3*Tabela3[[#This Row],[Ref]])))^(12)-1</f>
        <v>1.9737360074722821E-2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160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idden="1">
      <c r="A379" s="3" t="s">
        <v>1363</v>
      </c>
      <c r="B379" s="57" t="s">
        <v>1333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4009143375.4799995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79" s="18">
        <f>IF(Tabela3[[#This Row],[Lucro Líquido]]&gt;0,Tabela3[[#This Row],[Lucro Líquido]]/Tabela3[[#This Row],[Patrimônio Líquido]],0)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2.2979292427324034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4.47</v>
      </c>
      <c r="AO379" s="53">
        <f>[Cotação]/[VPA]</f>
        <v>2.6447351107727708</v>
      </c>
      <c r="AP379" s="37">
        <f>IF(Tabela3[[#This Row],[Lucro/Ação]]&gt;0,Tabela3[[#This Row],[Cotação]]/(Tabela3[[#This Row],[Lucro/Ação]]/[Ref]*4),0)</f>
        <v>13.886450978251457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1.7103002082531051E-2</v>
      </c>
      <c r="AU379" s="22">
        <f>((1+Tabela3[[#This Row],[% Yield]])^(1/(3*Tabela3[[#This Row],[Ref]])))^(12)-1</f>
        <v>1.7103002082532015E-2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7.6450419308913791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4.47</v>
      </c>
    </row>
    <row r="380" spans="1:54" hidden="1">
      <c r="A380" s="3" t="s">
        <v>1363</v>
      </c>
      <c r="B380" s="57" t="s">
        <v>1334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4197492393.1199999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0" s="18">
        <f>IF(Tabela3[[#This Row],[Lucro Líquido]]&gt;0,Tabela3[[#This Row],[Lucro Líquido]]/Tabela3[[#This Row],[Patrimônio Líquido]],0)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2.2979292427324034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4.68</v>
      </c>
      <c r="AO380" s="53">
        <f>[Cotação]/[VPA]</f>
        <v>2.7689844112788742</v>
      </c>
      <c r="AP380" s="37">
        <f>IF(Tabela3[[#This Row],[Lucro/Ação]]&gt;0,Tabela3[[#This Row],[Cotação]]/(Tabela3[[#This Row],[Lucro/Ação]]/[Ref]*4),0)</f>
        <v>14.538834581256557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1.6335559681391835E-2</v>
      </c>
      <c r="AU380" s="22">
        <f>((1+Tabela3[[#This Row],[% Yield]])^(1/(3*Tabela3[[#This Row],[Ref]])))^(12)-1</f>
        <v>1.6335559681390777E-2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4.68</v>
      </c>
    </row>
    <row r="381" spans="1:54" hidden="1">
      <c r="A381" s="4" t="s">
        <v>583</v>
      </c>
      <c r="B381" s="57" t="s">
        <v>586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217744000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1" s="19">
        <f>IF(Tabela3[[#This Row],[Lucro Líquido]]&gt;0,Tabela3[[#This Row],[Lucro Líquido]]/Tabela3[[#This Row],[Patrimônio Líquido]],0)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2.2979292427324034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2.48</v>
      </c>
      <c r="AO381" s="44">
        <f>[Cotação]/[VPA]</f>
        <v>0.33720699737350707</v>
      </c>
      <c r="AP381" s="40">
        <f>IF(Tabela3[[#This Row],[Lucro/Ação]]&gt;0,Tabela3[[#This Row],[Cotação]]/(Tabela3[[#This Row],[Lucro/Ação]]/[Ref]*4),0)</f>
        <v>13.966901860166773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1.7004486920420309E-2</v>
      </c>
      <c r="AU381" s="42">
        <f>((1+Tabela3[[#This Row],[% Yield]])^(1/(3*Tabela3[[#This Row],[Ref]])))^(12)-1</f>
        <v>1.7004486920418893E-2</v>
      </c>
      <c r="AV381" s="14">
        <f>IF([Cotação]&gt;0,($BH$1/Tabela3[[#This Row],[Cotação]]-MOD($BH$1/Tabela3[[#This Row],[Cotação]],100)),)</f>
        <v>200</v>
      </c>
      <c r="AW381" s="17">
        <f>Tabela3[[#This Row],[Ativos]]*[Lucro]</f>
        <v>8.4342255125284726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2.48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idden="1">
      <c r="A382" s="4" t="s">
        <v>14</v>
      </c>
      <c r="B382" s="57" t="s">
        <v>569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2" s="19">
        <f>IF(Tabela3[[#This Row],[Lucro Líquido]]&gt;0,Tabela3[[#This Row],[Lucro Líquido]]/Tabela3[[#This Row],[Patrimônio Líquido]],0)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2.2979292427324034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idden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917417185.31999993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3" s="19">
        <f>IF(Tabela3[[#This Row],[Lucro Líquido]]&gt;0,Tabela3[[#This Row],[Lucro Líquido]]/Tabela3[[#This Row],[Patrimônio Líquido]],0)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2.2979292427324034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10.51</v>
      </c>
      <c r="AO383" s="44">
        <f>[Cotação]/[VPA]</f>
        <v>0.71688283343921499</v>
      </c>
      <c r="AP383" s="40">
        <f>IF(Tabela3[[#This Row],[Lucro/Ação]]&gt;0,Tabela3[[#This Row],[Cotação]]/(Tabela3[[#This Row],[Lucro/Ação]]/[Ref]*4),0)</f>
        <v>8.8951315756711935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2.6699998530609607E-2</v>
      </c>
      <c r="AU383" s="19">
        <f>((1+Tabela3[[#This Row],[% Yield]])^(1/(3*Tabela3[[#This Row],[Ref]])))^(12)-1</f>
        <v>2.6699998530607782E-2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10.51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idden="1">
      <c r="A384" s="4" t="s">
        <v>320</v>
      </c>
      <c r="B384" s="57" t="s">
        <v>321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655536871.07999992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4" s="19">
        <f>IF(Tabela3[[#This Row],[Lucro Líquido]]&gt;0,Tabela3[[#This Row],[Lucro Líquido]]/Tabela3[[#This Row],[Patrimônio Líquido]],0)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2.2979292427324034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8.19</v>
      </c>
      <c r="AO384" s="44">
        <f>[Cotação]/[VPA]</f>
        <v>0.98495510642325901</v>
      </c>
      <c r="AP384" s="40">
        <f>IF(Tabela3[[#This Row],[Lucro/Ação]]&gt;0,Tabela3[[#This Row],[Cotação]]/(Tabela3[[#This Row],[Lucro/Ação]]/[Ref]*4),0)</f>
        <v>24.351295359583951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9.7530745897887929E-3</v>
      </c>
      <c r="AU384" s="19">
        <f>((1+Tabela3[[#This Row],[% Yield]])^(1/(3*Tabela3[[#This Row],[Ref]])))^(12)-1</f>
        <v>9.7530745897880244E-3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8.19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idden="1">
      <c r="A385" s="4" t="s">
        <v>26</v>
      </c>
      <c r="B385" s="57" t="s">
        <v>231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10212826817.700001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5" s="19">
        <f>IF(Tabela3[[#This Row],[Lucro Líquido]]&gt;0,Tabela3[[#This Row],[Lucro Líquido]]/Tabela3[[#This Row],[Patrimônio Líquido]],0)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2.2979292427324034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31.59</v>
      </c>
      <c r="AO385" s="44">
        <f>[Cotação]/[VPA]</f>
        <v>1.7341728897128506</v>
      </c>
      <c r="AP385" s="40">
        <f>IF(Tabela3[[#This Row],[Lucro/Ação]]&gt;0,Tabela3[[#This Row],[Cotação]]/(Tabela3[[#This Row],[Lucro/Ação]]/[Ref]*4),0)</f>
        <v>7.2678451058811984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3.2678186799525097E-2</v>
      </c>
      <c r="AU385" s="19">
        <f>((1+Tabela3[[#This Row],[% Yield]])^(1/(3*Tabela3[[#This Row],[Ref]])))^(12)-1</f>
        <v>3.2678186799524278E-2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31.59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idden="1">
      <c r="A386" s="4" t="s">
        <v>336</v>
      </c>
      <c r="B386" s="57" t="s">
        <v>1186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699639265.60000002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6" s="18">
        <f>IF(Tabela3[[#This Row],[Lucro Líquido]]&gt;0,Tabela3[[#This Row],[Lucro Líquido]]/Tabela3[[#This Row],[Patrimônio Líquido]],0)</f>
        <v>0.29954931226221831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2.2979292427324034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4.4000000000000004</v>
      </c>
      <c r="AO386" s="53">
        <f>[Cotação]/[VPA]</f>
        <v>4.0950498425519459</v>
      </c>
      <c r="AP386" s="37">
        <f>IF(Tabela3[[#This Row],[Lucro/Ação]]&gt;0,Tabela3[[#This Row],[Cotação]]/(Tabela3[[#This Row],[Lucro/Ação]]/[Ref]*4),0)</f>
        <v>10.253027652506937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1.7372917155494765E-2</v>
      </c>
      <c r="AU386" s="22">
        <f>((1+Tabela3[[#This Row],[% Yield]])^(1/(3*Tabela3[[#This Row],[Ref]])))^(12)-1</f>
        <v>2.323070318370557E-2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4.4000000000000004</v>
      </c>
    </row>
    <row r="387" spans="1:54" hidden="1">
      <c r="A387" s="3" t="s">
        <v>910</v>
      </c>
      <c r="B387" s="58" t="s">
        <v>1001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7" s="18">
        <f>IF(Tabela3[[#This Row],[Lucro Líquido]]&gt;0,Tabela3[[#This Row],[Lucro Líquido]]/Tabela3[[#This Row],[Patrimônio Líquido]],0)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2.2979292427324034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200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idden="1">
      <c r="A388" s="3" t="s">
        <v>910</v>
      </c>
      <c r="B388" s="58" t="s">
        <v>1002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61019039.759999998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8" s="18">
        <f>IF(Tabela3[[#This Row],[Lucro Líquido]]&gt;0,Tabela3[[#This Row],[Lucro Líquido]]/Tabela3[[#This Row],[Patrimônio Líquido]],0)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2.2979292427324034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1.27</v>
      </c>
      <c r="AO388" s="53">
        <f>[Cotação]/[VPA]</f>
        <v>0.51374629974971775</v>
      </c>
      <c r="AP388" s="37">
        <f>IF(Tabela3[[#This Row],[Lucro/Ação]]&gt;0,Tabela3[[#This Row],[Cotação]]/(Tabela3[[#This Row],[Lucro/Ação]]/[Ref]*4),0)</f>
        <v>38.619694303410512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3.6899917454903085E-2</v>
      </c>
      <c r="AU388" s="22">
        <f>((1+Tabela3[[#This Row],[% Yield]])^(1/(3*Tabela3[[#This Row],[Ref]])))^(12)-1</f>
        <v>3.6899917454901843E-2</v>
      </c>
      <c r="AV388" s="10">
        <f>IF([Cotação]&gt;0,($BH$1/Tabela3[[#This Row],[Cotação]]-MOD($BH$1/Tabela3[[#This Row],[Cotação]],100)),)</f>
        <v>300</v>
      </c>
      <c r="AW388" s="7">
        <f>Tabela3[[#This Row],[Ativos]]*[Lucro]</f>
        <v>14.058868550318076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1.27</v>
      </c>
      <c r="BB388" s="7">
        <f>SUMPRODUCT(N(Tabela17683[Código]=Tabela3[[#This Row],[PAPEL]]),Tabela17683[Fechamento])</f>
        <v>0</v>
      </c>
    </row>
    <row r="389" spans="1:54" hidden="1">
      <c r="A389" s="4" t="s">
        <v>314</v>
      </c>
      <c r="B389" s="57" t="s">
        <v>691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89" s="19">
        <f>IF(Tabela3[[#This Row],[Lucro Líquido]]&gt;0,Tabela3[[#This Row],[Lucro Líquido]]/Tabela3[[#This Row],[Patrimônio Líquido]],0)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2.2979292427324034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idden="1">
      <c r="A390" s="4" t="s">
        <v>314</v>
      </c>
      <c r="B390" s="57" t="s">
        <v>313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992748591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0" s="19">
        <f>IF(Tabela3[[#This Row],[Lucro Líquido]]&gt;0,Tabela3[[#This Row],[Lucro Líquido]]/Tabela3[[#This Row],[Patrimônio Líquido]],0)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2.2979292427324034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55.5</v>
      </c>
      <c r="AO390" s="44">
        <f>[Cotação]/[VPA]</f>
        <v>1.3297354736825187</v>
      </c>
      <c r="AP390" s="40">
        <f>IF(Tabela3[[#This Row],[Lucro/Ação]]&gt;0,Tabela3[[#This Row],[Cotação]]/(Tabela3[[#This Row],[Lucro/Ação]]/[Ref]*4),0)</f>
        <v>10.435375642521523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2.7310947853060211E-2</v>
      </c>
      <c r="AU390" s="19">
        <f>((1+Tabela3[[#This Row],[% Yield]])^(1/(3*Tabela3[[#This Row],[Ref]])))^(12)-1</f>
        <v>2.7310947853059098E-2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55.5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idden="1">
      <c r="A391" s="4" t="s">
        <v>242</v>
      </c>
      <c r="B391" s="57" t="s">
        <v>243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2232778002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1" s="19">
        <f>IF(Tabela3[[#This Row],[Lucro Líquido]]&gt;0,Tabela3[[#This Row],[Lucro Líquido]]/Tabela3[[#This Row],[Patrimônio Líquido]],0)</f>
        <v>7.1746793097316033E-2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2.2979292427324034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8.4</v>
      </c>
      <c r="AO391" s="44">
        <f>[Cotação]/[VPA]</f>
        <v>0.93647682020877177</v>
      </c>
      <c r="AP391" s="40">
        <f>IF(Tabela3[[#This Row],[Lucro/Ação]]&gt;0,Tabela3[[#This Row],[Cotação]]/(Tabela3[[#This Row],[Lucro/Ação]]/[Ref]*4),0)</f>
        <v>9.7893938507316101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7.2782851611057755E-7</v>
      </c>
      <c r="AU391" s="19">
        <f>((1+Tabela3[[#This Row],[% Yield]])^(1/(3*Tabela3[[#This Row],[Ref]])))^(12)-1</f>
        <v>9.704381400688078E-7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8.4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idden="1">
      <c r="A392" s="4" t="s">
        <v>743</v>
      </c>
      <c r="B392" s="57" t="s">
        <v>751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5529338691.3799992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2" s="19">
        <f>IF(Tabela3[[#This Row],[Lucro Líquido]]&gt;0,Tabela3[[#This Row],[Lucro Líquido]]/Tabela3[[#This Row],[Patrimônio Líquido]],0)</f>
        <v>9.7007729305074644E-3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2.2979292427324034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20.74</v>
      </c>
      <c r="AO392" s="44">
        <f>[Cotação]/[VPA]</f>
        <v>2.6969108100430725</v>
      </c>
      <c r="AP392" s="40">
        <f>IF(Tabela3[[#This Row],[Lucro/Ação]]&gt;0,Tabela3[[#This Row],[Cotação]]/(Tabela3[[#This Row],[Lucro/Ação]]/[Ref]*4),0)</f>
        <v>208.50741709160843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8.5428615674491913E-4</v>
      </c>
      <c r="AU392" s="42">
        <f>((1+Tabela3[[#This Row],[% Yield]])^(1/(3*Tabela3[[#This Row],[Ref]])))^(12)-1</f>
        <v>1.1392103570693202E-3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20.74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idden="1">
      <c r="A393" s="3" t="s">
        <v>812</v>
      </c>
      <c r="B393" s="58" t="s">
        <v>811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5401811100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3" s="18">
        <f>IF(Tabela3[[#This Row],[Lucro Líquido]]&gt;0,Tabela3[[#This Row],[Lucro Líquido]]/Tabela3[[#This Row],[Patrimônio Líquido]],0)</f>
        <v>3.1744564870771284E-2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2.2979292427324034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16.350000000000001</v>
      </c>
      <c r="AO393" s="53">
        <f>[Cotação]/[VPA]</f>
        <v>2.343654145770667</v>
      </c>
      <c r="AP393" s="37">
        <f>IF(Tabela3[[#This Row],[Lucro/Ação]]&gt;0,Tabela3[[#This Row],[Cotação]]/(Tabela3[[#This Row],[Lucro/Ação]]/[Ref]*4),0)</f>
        <v>55.371387715773501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3.2169141382970608E-3</v>
      </c>
      <c r="AU393" s="22">
        <f>((1+Tabela3[[#This Row],[% Yield]])^(1/(3*Tabela3[[#This Row],[Ref]])))^(12)-1</f>
        <v>4.2915168840897966E-3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16.350000000000001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idden="1">
      <c r="A394" s="4" t="s">
        <v>19</v>
      </c>
      <c r="B394" s="57" t="s">
        <v>184</v>
      </c>
      <c r="C394" s="14" t="str">
        <f>LEFT([PAPEL],LEN([PAPEL])-(LEN([PAPEL])-4))</f>
        <v>RANI</v>
      </c>
      <c r="D394" s="15">
        <v>3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/>
      <c r="N394" s="55"/>
      <c r="O394" s="55"/>
      <c r="P394" s="6">
        <v>460223000</v>
      </c>
      <c r="Q394" s="6">
        <v>24584000</v>
      </c>
      <c r="R394" s="6">
        <f>IF(Tabela3[[#This Row],[Ativo || Passivo]]&gt;0,Tabela3[[#This Row],[Ativo || Passivo]]-Tabela3[[#This Row],[Patrimônio Líquido]],0)</f>
        <v>0</v>
      </c>
      <c r="S394" s="6">
        <f>Tabela3[[#This Row],[Cotação]]*Tabela3[[#This Row],[Total Ações]]</f>
        <v>511831121.44999999</v>
      </c>
      <c r="T394" s="132">
        <f>IF(Tabela3[[#This Row],[Passivo Circulante]]&gt;0,Tabela3[[#This Row],[Ativo Circulante]]/Tabela3[[#This Row],[Passivo Circulante]],0)</f>
        <v>0</v>
      </c>
      <c r="U39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4" s="19">
        <f>IF(Tabela3[[#This Row],[Lucro Líquido]]&gt;0,Tabela3[[#This Row],[Lucro Líquido]]/Tabela3[[#This Row],[Patrimônio Líquido]],0)</f>
        <v>5.3417582345949684E-2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4" s="19">
        <f>IF(Tabela3[[#This Row],[Dívida]]&gt;0,Tabela3[[#This Row],[Dívida]]/Tabela3[[#This Row],[Patrimônio Líquido]],0)</f>
        <v>0</v>
      </c>
      <c r="Y394" s="19">
        <f>SUMPRODUCT(N([Dívida / PL]&gt;0),N(RIGHT([PAPEL],LEN([PAPEL])-(LEN([PAPEL])-1))="3"),[Dívida / PL])/SUMPRODUCT(N([Dívida / PL]&gt;0),N(RIGHT([PAPEL],LEN([PAPEL])-(LEN([PAPEL])-1))="3"))</f>
        <v>2.2979292427324034</v>
      </c>
      <c r="Z394" s="6">
        <f>Tabela3[[#This Row],[Capital Social]]*20%</f>
        <v>23378969.562000003</v>
      </c>
      <c r="AA394" s="6">
        <f>IF(([Lucro Líquido]*5%)&gt;[Teto R. Legal],[Teto R. Legal],[Lucro Líquido]*5%)</f>
        <v>1229200</v>
      </c>
      <c r="AB394" s="6">
        <f>IF([Lucro Líquido]&lt;0,0,[Lucro Líquido]-[Reserva Legal])</f>
        <v>23354800</v>
      </c>
      <c r="AC394" s="6">
        <f>Tabela3[[#This Row],[Lucro Distribuir]]*[%Div]</f>
        <v>5838700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0.14745660597227445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394" s="6">
        <f>[Div Base]*[Ações]</f>
        <v>5390072.6029596832</v>
      </c>
      <c r="AL394" s="6">
        <f>SUMPRODUCT(N([Nome]=Tabela3[[#This Row],[Nome]]),[Div Base]*[Ações])</f>
        <v>5838700</v>
      </c>
      <c r="AM394" s="6">
        <f>[Patrimônio Líquido]/[Total Ações]</f>
        <v>2.760450763520097</v>
      </c>
      <c r="AN394" s="48">
        <f>MAX(Tabela3[[#This Row],[Cotação 1]:[Cotação 5]])</f>
        <v>3.07</v>
      </c>
      <c r="AO394" s="44">
        <f>[Cotação]/[VPA]</f>
        <v>1.1121372062022106</v>
      </c>
      <c r="AP394" s="40">
        <f>IF(Tabela3[[#This Row],[Lucro/Ação]]&gt;0,Tabela3[[#This Row],[Cotação]]/(Tabela3[[#This Row],[Lucro/Ação]]/[Ref]*4),0)</f>
        <v>15.614763304893426</v>
      </c>
      <c r="AQ394" s="78">
        <f>[Lucro Distribuir]/[Total Ações]</f>
        <v>0.14008377567366073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1.1407473589060321E-2</v>
      </c>
      <c r="AU394" s="19">
        <f>((1+Tabela3[[#This Row],[% Yield]])^(1/(3*Tabela3[[#This Row],[Ref]])))^(12)-1</f>
        <v>1.5238809703685963E-2</v>
      </c>
      <c r="AV394" s="14">
        <f>IF([Cotação]&gt;0,($BH$1/Tabela3[[#This Row],[Cotação]]-MOD($BH$1/Tabela3[[#This Row],[Cotação]],100)),)</f>
        <v>100</v>
      </c>
      <c r="AW394" s="17">
        <f>Tabela3[[#This Row],[Ativos]]*[Lucro]</f>
        <v>3.5020943918415184</v>
      </c>
      <c r="AX394" s="5">
        <f>SUMPRODUCT(N(Tabela1[Código]=Tabela3[[#This Row],[PAPEL]]),Tabela1[Fechamento])</f>
        <v>3.07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idden="1">
      <c r="A395" s="4" t="s">
        <v>19</v>
      </c>
      <c r="B395" s="57" t="s">
        <v>185</v>
      </c>
      <c r="C395" s="14" t="str">
        <f>LEFT([PAPEL],LEN([PAPEL])-(LEN([PAPEL])-4))</f>
        <v>RANI</v>
      </c>
      <c r="D395" s="15">
        <v>3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/>
      <c r="N395" s="55"/>
      <c r="O395" s="55"/>
      <c r="P395" s="6">
        <v>460223000</v>
      </c>
      <c r="Q395" s="6">
        <v>24584000</v>
      </c>
      <c r="R395" s="6">
        <f>IF(Tabela3[[#This Row],[Ativo || Passivo]]&gt;0,Tabela3[[#This Row],[Ativo || Passivo]]-Tabela3[[#This Row],[Patrimônio Líquido]],0)</f>
        <v>0</v>
      </c>
      <c r="S395" s="6">
        <f>Tabela3[[#This Row],[Cotação]]*Tabela3[[#This Row],[Total Ações]]</f>
        <v>596858441.29999995</v>
      </c>
      <c r="T395" s="132">
        <f>IF(Tabela3[[#This Row],[Passivo Circulante]]&gt;0,Tabela3[[#This Row],[Ativo Circulante]]/Tabela3[[#This Row],[Passivo Circulante]],0)</f>
        <v>0</v>
      </c>
      <c r="U39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5" s="19">
        <f>IF(Tabela3[[#This Row],[Lucro Líquido]]&gt;0,Tabela3[[#This Row],[Lucro Líquido]]/Tabela3[[#This Row],[Patrimônio Líquido]],0)</f>
        <v>5.3417582345949684E-2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5" s="19">
        <f>IF(Tabela3[[#This Row],[Dívida]]&gt;0,Tabela3[[#This Row],[Dívida]]/Tabela3[[#This Row],[Patrimônio Líquido]],0)</f>
        <v>0</v>
      </c>
      <c r="Y395" s="19">
        <f>SUMPRODUCT(N([Dívida / PL]&gt;0),N(RIGHT([PAPEL],LEN([PAPEL])-(LEN([PAPEL])-1))="3"),[Dívida / PL])/SUMPRODUCT(N([Dívida / PL]&gt;0),N(RIGHT([PAPEL],LEN([PAPEL])-(LEN([PAPEL])-1))="3"))</f>
        <v>2.2979292427324034</v>
      </c>
      <c r="Z395" s="6">
        <f>Tabela3[[#This Row],[Capital Social]]*20%</f>
        <v>23378969.562000003</v>
      </c>
      <c r="AA395" s="6">
        <f>IF(([Lucro Líquido]*5%)&gt;[Teto R. Legal],[Teto R. Legal],[Lucro Líquido]*5%)</f>
        <v>1229200</v>
      </c>
      <c r="AB395" s="6">
        <f>IF([Lucro Líquido]&lt;0,0,[Lucro Líquido]-[Reserva Legal])</f>
        <v>23354800</v>
      </c>
      <c r="AC395" s="6">
        <f>Tabela3[[#This Row],[Lucro Distribuir]]*[%Div]</f>
        <v>5838700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0.14745660597227445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395" s="6">
        <f>[Div Base]*[Ações]</f>
        <v>448627.3970403173</v>
      </c>
      <c r="AL395" s="6">
        <f>SUMPRODUCT(N([Nome]=Tabela3[[#This Row],[Nome]]),[Div Base]*[Ações])</f>
        <v>5838700</v>
      </c>
      <c r="AM395" s="6">
        <f>[Patrimônio Líquido]/[Total Ações]</f>
        <v>2.760450763520097</v>
      </c>
      <c r="AN395" s="48">
        <f>MAX(Tabela3[[#This Row],[Cotação 1]:[Cotação 5]])</f>
        <v>3.58</v>
      </c>
      <c r="AO395" s="44">
        <f>[Cotação]/[VPA]</f>
        <v>1.2968896411087669</v>
      </c>
      <c r="AP395" s="40">
        <f>IF(Tabela3[[#This Row],[Lucro/Ação]]&gt;0,Tabela3[[#This Row],[Cotação]]/(Tabela3[[#This Row],[Lucro/Ação]]/[Ref]*4),0)</f>
        <v>18.208746785510904</v>
      </c>
      <c r="AQ395" s="78">
        <f>[Lucro Distribuir]/[Total Ações]</f>
        <v>0.14008377567366073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9.7823865693897165E-3</v>
      </c>
      <c r="AU395" s="19">
        <f>((1+Tabela3[[#This Row],[% Yield]])^(1/(3*Tabela3[[#This Row],[Ref]])))^(12)-1</f>
        <v>1.3064401626395439E-2</v>
      </c>
      <c r="AV395" s="14">
        <f>IF([Cotação]&gt;0,($BH$1/Tabela3[[#This Row],[Cotação]]-MOD($BH$1/Tabela3[[#This Row],[Cotação]],100)),)</f>
        <v>100</v>
      </c>
      <c r="AW395" s="17">
        <f>Tabela3[[#This Row],[Ativos]]*[Lucro]</f>
        <v>3.5020943918415184</v>
      </c>
      <c r="AX395" s="5">
        <f>SUMPRODUCT(N(Tabela1[Código]=Tabela3[[#This Row],[PAPEL]]),Tabela1[Fechamento])</f>
        <v>3.58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idden="1">
      <c r="A396" s="3" t="s">
        <v>1363</v>
      </c>
      <c r="B396" s="58" t="s">
        <v>1338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1830828744.52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6" s="18">
        <f>IF(Tabela3[[#This Row],[Lucro Líquido]]&gt;0,Tabela3[[#This Row],[Lucro Líquido]]/Tabela3[[#This Row],[Patrimônio Líquido]],0)</f>
        <v>0.15238086712521851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2.2979292427324034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7.51</v>
      </c>
      <c r="AO396" s="53">
        <f>[Cotação]/[VPA]</f>
        <v>1.48993709657258</v>
      </c>
      <c r="AP396" s="37">
        <f>IF(Tabela3[[#This Row],[Lucro/Ação]]&gt;0,Tabela3[[#This Row],[Cotação]]/(Tabela3[[#This Row],[Lucro/Ação]]/[Ref]*4),0)</f>
        <v>7.3332882501001357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2.9147906465708782E-2</v>
      </c>
      <c r="AU396" s="22">
        <f>((1+Tabela3[[#This Row],[% Yield]])^(1/(3*Tabela3[[#This Row],[Ref]])))^(12)-1</f>
        <v>3.9051467096079095E-2</v>
      </c>
      <c r="AV396" s="10">
        <f>IF([Cotação]&gt;0,($BH$1/Tabela3[[#This Row],[Cotação]]-MOD($BH$1/Tabela3[[#This Row],[Cotação]],100)),)</f>
        <v>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7.51</v>
      </c>
    </row>
    <row r="397" spans="1:54" hidden="1">
      <c r="A397" s="3" t="s">
        <v>1363</v>
      </c>
      <c r="B397" s="58" t="s">
        <v>1339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2067300632.96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7" s="18">
        <f>IF(Tabela3[[#This Row],[Lucro Líquido]]&gt;0,Tabela3[[#This Row],[Lucro Líquido]]/Tabela3[[#This Row],[Patrimônio Líquido]],0)</f>
        <v>0.15238086712521851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2.2979292427324034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8.48</v>
      </c>
      <c r="AO397" s="53">
        <f>[Cotação]/[VPA]</f>
        <v>1.6823790384734327</v>
      </c>
      <c r="AP397" s="37">
        <f>IF(Tabela3[[#This Row],[Lucro/Ação]]&gt;0,Tabela3[[#This Row],[Cotação]]/(Tabela3[[#This Row],[Lucro/Ação]]/[Ref]*4),0)</f>
        <v>8.2804639628294492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2.5813770938381244E-2</v>
      </c>
      <c r="AU397" s="22">
        <f>((1+Tabela3[[#This Row],[% Yield]])^(1/(3*Tabela3[[#This Row],[Ref]])))^(12)-1</f>
        <v>3.4565598779139783E-2</v>
      </c>
      <c r="AV397" s="10">
        <f>IF([Cotação]&gt;0,($BH$1/Tabela3[[#This Row],[Cotação]]-MOD($BH$1/Tabela3[[#This Row],[Cotação]],100)),)</f>
        <v>0</v>
      </c>
      <c r="AW397" s="7">
        <f>Tabela3[[#This Row],[Ativos]]*[Lucro]</f>
        <v>0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8.48</v>
      </c>
    </row>
    <row r="398" spans="1:54" hidden="1">
      <c r="A398" s="3" t="s">
        <v>1363</v>
      </c>
      <c r="B398" s="58" t="s">
        <v>1340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8" s="18">
        <f>IF(Tabela3[[#This Row],[Lucro Líquido]]&gt;0,Tabela3[[#This Row],[Lucro Líquido]]/Tabela3[[#This Row],[Patrimônio Líquido]],0)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2.2979292427324034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7100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idden="1">
      <c r="A399" s="3" t="s">
        <v>1363</v>
      </c>
      <c r="B399" s="58" t="s">
        <v>1341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18664304.800000001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399" s="18">
        <f>IF(Tabela3[[#This Row],[Lucro Líquido]]&gt;0,Tabela3[[#This Row],[Lucro Líquido]]/Tabela3[[#This Row],[Patrimônio Líquido]],0)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2.2979292427324034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0.08</v>
      </c>
      <c r="AO399" s="53">
        <f>[Cotação]/[VPA]</f>
        <v>-0.44407101594099452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6200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0.08</v>
      </c>
    </row>
    <row r="400" spans="1:54" hidden="1">
      <c r="A400" s="3" t="s">
        <v>1093</v>
      </c>
      <c r="B400" s="57" t="s">
        <v>1121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514897120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0" s="18">
        <f>IF(Tabela3[[#This Row],[Lucro Líquido]]&gt;0,Tabela3[[#This Row],[Lucro Líquido]]/Tabela3[[#This Row],[Patrimônio Líquido]],0)</f>
        <v>6.2130631244072615E-2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2.2979292427324034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10.6</v>
      </c>
      <c r="AO400" s="53">
        <f>[Cotação]/[VPA]</f>
        <v>0.63171902394018697</v>
      </c>
      <c r="AP400" s="37">
        <f>IF(Tabela3[[#This Row],[Lucro/Ação]]&gt;0,Tabela3[[#This Row],[Cotação]]/(Tabela3[[#This Row],[Lucro/Ação]]/[Ref]*4),0)</f>
        <v>7.6256953851622207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2.3358525485634878E-2</v>
      </c>
      <c r="AU400" s="22">
        <f>((1+Tabela3[[#This Row],[% Yield]])^(1/(3*Tabela3[[#This Row],[Ref]])))^(12)-1</f>
        <v>3.126532636758439E-2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10.6</v>
      </c>
      <c r="BB400" s="7">
        <f>SUMPRODUCT(N(Tabela17683[Código]=Tabela3[[#This Row],[PAPEL]]),Tabela17683[Fechamento])</f>
        <v>0</v>
      </c>
    </row>
    <row r="401" spans="1:54" hidden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540234523.44000006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1" s="19">
        <f>IF(Tabela3[[#This Row],[Lucro Líquido]]&gt;0,Tabela3[[#This Row],[Lucro Líquido]]/Tabela3[[#This Row],[Patrimônio Líquido]],0)</f>
        <v>0.12943088307971867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2.2979292427324034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4.9800000000000004</v>
      </c>
      <c r="AO401" s="44">
        <f>[Cotação]/[VPA]</f>
        <v>1.1658890759160667</v>
      </c>
      <c r="AP401" s="40">
        <f>IF(Tabela3[[#This Row],[Lucro/Ação]]&gt;0,Tabela3[[#This Row],[Cotação]]/(Tabela3[[#This Row],[Lucro/Ação]]/[Ref]*4),0)</f>
        <v>6.7558590819355056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2.6366002878344293E-2</v>
      </c>
      <c r="AU401" s="19">
        <f>((1+Tabela3[[#This Row],[% Yield]])^(1/(3*Tabela3[[#This Row],[Ref]])))^(12)-1</f>
        <v>3.5308256544134276E-2</v>
      </c>
      <c r="AV401" s="14">
        <f>IF([Cotação]&gt;0,($BH$1/Tabela3[[#This Row],[Cotação]]-MOD($BH$1/Tabela3[[#This Row],[Cotação]],100)),)</f>
        <v>100</v>
      </c>
      <c r="AW401" s="17">
        <f>Tabela3[[#This Row],[Ativos]]*[Lucro]</f>
        <v>13.130269433415458</v>
      </c>
      <c r="AX401" s="5">
        <f>SUMPRODUCT(N(Tabela1[Código]=Tabela3[[#This Row],[PAPEL]]),Tabela1[Fechamento])</f>
        <v>4.9800000000000004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idden="1">
      <c r="A402" s="4" t="s">
        <v>12</v>
      </c>
      <c r="B402" s="126" t="s">
        <v>500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422325767.15999997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2" s="19">
        <f>IF(Tabela3[[#This Row],[Lucro Líquido]]&gt;0,Tabela3[[#This Row],[Lucro Líquido]]/Tabela3[[#This Row],[Patrimônio Líquido]],0)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2.2979292427324034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0.99</v>
      </c>
      <c r="AO402" s="44">
        <f>[Cotação]/[VPA]</f>
        <v>-2.49036328403623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500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0.99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idden="1">
      <c r="A403" s="4" t="s">
        <v>12</v>
      </c>
      <c r="B403" s="126" t="s">
        <v>501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366868848.24000001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3" s="19">
        <f>IF(Tabela3[[#This Row],[Lucro Líquido]]&gt;0,Tabela3[[#This Row],[Lucro Líquido]]/Tabela3[[#This Row],[Patrimônio Líquido]],0)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2.2979292427324034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0.86</v>
      </c>
      <c r="AO403" s="44">
        <f>[Cotação]/[VPA]</f>
        <v>-2.1633458831021795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500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0.86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idden="1">
      <c r="A404" s="3" t="s">
        <v>310</v>
      </c>
      <c r="B404" s="58" t="s">
        <v>1062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6671492100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4" s="18">
        <f>IF(Tabela3[[#This Row],[Lucro Líquido]]&gt;0,Tabela3[[#This Row],[Lucro Líquido]]/Tabela3[[#This Row],[Patrimônio Líquido]],0)</f>
        <v>0.18939804868193053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2.2979292427324034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31.5</v>
      </c>
      <c r="AO404" s="53">
        <f>[Cotação]/[VPA]</f>
        <v>4.2927531112282189</v>
      </c>
      <c r="AP404" s="37">
        <f>IF(Tabela3[[#This Row],[Lucro/Ação]]&gt;0,Tabela3[[#This Row],[Cotação]]/(Tabela3[[#This Row],[Lucro/Ação]]/[Ref]*4),0)</f>
        <v>16.998933493913686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1.0478598558184607E-2</v>
      </c>
      <c r="AU404" s="22">
        <f>((1+Tabela3[[#This Row],[% Yield]])^(1/(3*Tabela3[[#This Row],[Ref]])))^(12)-1</f>
        <v>1.399580840150394E-2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31.5</v>
      </c>
      <c r="BB404" s="7">
        <f>SUMPRODUCT(N(Tabela17683[Código]=Tabela3[[#This Row],[PAPEL]]),Tabela17683[Fechamento])</f>
        <v>0</v>
      </c>
    </row>
    <row r="405" spans="1:54" hidden="1">
      <c r="A405" s="4" t="s">
        <v>40</v>
      </c>
      <c r="B405" s="57" t="s">
        <v>658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641996838.15999997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5" s="19">
        <f>IF(Tabela3[[#This Row],[Lucro Líquido]]&gt;0,Tabela3[[#This Row],[Lucro Líquido]]/Tabela3[[#This Row],[Patrimônio Líquido]],0)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2.2979292427324034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0.08</v>
      </c>
      <c r="AO405" s="44">
        <f>[Cotação]/[VPA]</f>
        <v>2.4060595452450109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6200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0.08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 hidden="1">
      <c r="A406" s="3" t="s">
        <v>863</v>
      </c>
      <c r="B406" s="58" t="s">
        <v>865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6" s="18">
        <f>IF(Tabela3[[#This Row],[Lucro Líquido]]&gt;0,Tabela3[[#This Row],[Lucro Líquido]]/Tabela3[[#This Row],[Patrimônio Líquido]],0)</f>
        <v>0.10447416308021143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2.2979292427324034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3100</v>
      </c>
      <c r="AW406" s="7">
        <f>Tabela3[[#This Row],[Ativos]]*[Lucro]</f>
        <v>21.304129999999997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 hidden="1">
      <c r="A407" s="4" t="s">
        <v>12</v>
      </c>
      <c r="B407" s="58" t="s">
        <v>504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/>
      <c r="Q407" s="73"/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9431306465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7" s="18">
        <f>IF(Tabela3[[#This Row],[Lucro Líquido]]&gt;0,Tabela3[[#This Row],[Lucro Líquido]]/Tabela3[[#This Row],[Patrimônio Líquido]],0)</f>
        <v>0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2.2979292427324034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0</v>
      </c>
      <c r="AC407" s="47">
        <f>Tabela3[[#This Row],[Lucro Distribuir]]*[%Div]</f>
        <v>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0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0</v>
      </c>
      <c r="AN407" s="52">
        <f>MAX(Tabela3[[#This Row],[Cotação 1]:[Cotação 5]])</f>
        <v>41</v>
      </c>
      <c r="AO407" s="53" t="e">
        <f>[Cotação]/[VPA]</f>
        <v>#DIV/0!</v>
      </c>
      <c r="AP407" s="37">
        <f>IF(Tabela3[[#This Row],[Lucro/Ação]]&gt;0,Tabela3[[#This Row],[Cotação]]/(Tabela3[[#This Row],[Lucro/Ação]]/[Ref]*4),0)</f>
        <v>0</v>
      </c>
      <c r="AQ407" s="77">
        <f>[Lucro Distribuir]/[Total Ações]</f>
        <v>0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4.176197661073459E-4</v>
      </c>
      <c r="AU407" s="22">
        <f>((1+Tabela3[[#This Row],[% Yield]])^(1/(3*Tabela3[[#This Row],[Ref]])))^(12)-1</f>
        <v>4.1761976610676932E-4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41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idden="1">
      <c r="A408" s="4" t="s">
        <v>12</v>
      </c>
      <c r="B408" s="57" t="s">
        <v>505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8" s="18">
        <f>IF(Tabela3[[#This Row],[Lucro Líquido]]&gt;0,Tabela3[[#This Row],[Lucro Líquido]]/Tabela3[[#This Row],[Patrimônio Líquido]],0)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2.2979292427324034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idden="1">
      <c r="A409" s="4" t="s">
        <v>12</v>
      </c>
      <c r="B409" s="57" t="s">
        <v>506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09" s="18">
        <f>IF(Tabela3[[#This Row],[Lucro Líquido]]&gt;0,Tabela3[[#This Row],[Lucro Líquido]]/Tabela3[[#This Row],[Patrimônio Líquido]],0)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2.2979292427324034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idden="1">
      <c r="A410" s="3" t="s">
        <v>1310</v>
      </c>
      <c r="B410" s="57" t="s">
        <v>1296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396819787.91000003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0" s="18">
        <f>IF(Tabela3[[#This Row],[Lucro Líquido]]&gt;0,Tabela3[[#This Row],[Lucro Líquido]]/Tabela3[[#This Row],[Patrimônio Líquido]],0)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2.2979292427324034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5.53</v>
      </c>
      <c r="AO410" s="53">
        <f>[Cotação]/[VPA]</f>
        <v>0.61215421553911775</v>
      </c>
      <c r="AP410" s="37">
        <f>IF(Tabela3[[#This Row],[Lucro/Ação]]&gt;0,Tabela3[[#This Row],[Cotação]]/(Tabela3[[#This Row],[Lucro/Ação]]/[Ref]*4),0)</f>
        <v>290.71046733333333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8.1696404735120401E-4</v>
      </c>
      <c r="AU410" s="22">
        <f>((1+Tabela3[[#This Row],[% Yield]])^(1/(3*Tabela3[[#This Row],[Ref]])))^(12)-1</f>
        <v>8.1696404734965533E-4</v>
      </c>
      <c r="AV410" s="10">
        <f>IF([Cotação]&gt;0,($BH$1/Tabela3[[#This Row],[Cotação]]-MOD($BH$1/Tabela3[[#This Row],[Cotação]],100)),)</f>
        <v>0</v>
      </c>
      <c r="AW410" s="7">
        <f>Tabela3[[#This Row],[Ativos]]*[Lucro]</f>
        <v>0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5.53</v>
      </c>
    </row>
    <row r="411" spans="1:54" hidden="1">
      <c r="A411" s="4" t="s">
        <v>14</v>
      </c>
      <c r="B411" s="57" t="s">
        <v>191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257434097.75999999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1" s="19">
        <f>IF(Tabela3[[#This Row],[Lucro Líquido]]&gt;0,Tabela3[[#This Row],[Lucro Líquido]]/Tabela3[[#This Row],[Patrimônio Líquido]],0)</f>
        <v>4.2773179866881422E-2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2.2979292427324034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3.04</v>
      </c>
      <c r="AO411" s="44">
        <f>[Cotação]/[VPA]</f>
        <v>0.35409444535990015</v>
      </c>
      <c r="AP411" s="40">
        <f>IF(Tabela3[[#This Row],[Lucro/Ação]]&gt;0,Tabela3[[#This Row],[Cotação]]/(Tabela3[[#This Row],[Lucro/Ação]]/[Ref]*4),0)</f>
        <v>6.2088167128661933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9.1467832494762334E-3</v>
      </c>
      <c r="AU411" s="19">
        <f>((1+Tabela3[[#This Row],[% Yield]])^(1/(3*Tabela3[[#This Row],[Ref]])))^(12)-1</f>
        <v>1.2214265273191804E-2</v>
      </c>
      <c r="AV411" s="14">
        <f>IF([Cotação]&gt;0,($BH$1/Tabela3[[#This Row],[Cotação]]-MOD($BH$1/Tabela3[[#This Row],[Cotação]],100)),)</f>
        <v>100</v>
      </c>
      <c r="AW411" s="17">
        <f>Tabela3[[#This Row],[Ativos]]*[Lucro]</f>
        <v>2.7806221078407751</v>
      </c>
      <c r="AX411" s="5">
        <f>SUMPRODUCT(N(Tabela1[Código]=Tabela3[[#This Row],[PAPEL]]),Tabela1[Fechamento])</f>
        <v>3.04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2" s="19">
        <f>IF(Tabela3[[#This Row],[Lucro Líquido]]&gt;0,Tabela3[[#This Row],[Lucro Líquido]]/Tabela3[[#This Row],[Patrimônio Líquido]],0)</f>
        <v>4.2773179866881422E-2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2.2979292427324034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0</v>
      </c>
      <c r="AW412" s="17">
        <f>Tabela3[[#This Row],[Ativos]]*[Lucro]</f>
        <v>0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idden="1">
      <c r="A413" s="4" t="s">
        <v>14</v>
      </c>
      <c r="B413" s="57" t="s">
        <v>192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197309686.77000001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3" s="19">
        <f>IF(Tabela3[[#This Row],[Lucro Líquido]]&gt;0,Tabela3[[#This Row],[Lucro Líquido]]/Tabela3[[#This Row],[Patrimônio Líquido]],0)</f>
        <v>4.2773179866881422E-2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2.2979292427324034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2.33</v>
      </c>
      <c r="AO413" s="44">
        <f>[Cotação]/[VPA]</f>
        <v>0.27139475581860772</v>
      </c>
      <c r="AP413" s="40">
        <f>IF(Tabela3[[#This Row],[Lucro/Ação]]&gt;0,Tabela3[[#This Row],[Cotação]]/(Tabela3[[#This Row],[Lucro/Ação]]/[Ref]*4),0)</f>
        <v>4.7587312305849441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1.1934000462835945E-2</v>
      </c>
      <c r="AU413" s="19">
        <f>((1+Tabela3[[#This Row],[% Yield]])^(1/(3*Tabela3[[#This Row],[Ref]])))^(12)-1</f>
        <v>1.5943566069217097E-2</v>
      </c>
      <c r="AV413" s="14">
        <f>IF([Cotação]&gt;0,($BH$1/Tabela3[[#This Row],[Cotação]]-MOD($BH$1/Tabela3[[#This Row],[Cotação]],100)),)</f>
        <v>200</v>
      </c>
      <c r="AW413" s="17">
        <f>Tabela3[[#This Row],[Ativos]]*[Lucro]</f>
        <v>5.5612442156815503</v>
      </c>
      <c r="AX413" s="5">
        <f>SUMPRODUCT(N(Tabela1[Código]=Tabela3[[#This Row],[PAPEL]]),Tabela1[Fechamento])</f>
        <v>2.33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idden="1">
      <c r="A414" s="4" t="s">
        <v>242</v>
      </c>
      <c r="B414" s="126" t="s">
        <v>591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342638952.59999996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4" s="19">
        <f>IF(Tabela3[[#This Row],[Lucro Líquido]]&gt;0,Tabela3[[#This Row],[Lucro Líquido]]/Tabela3[[#This Row],[Patrimônio Líquido]],0)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2.2979292427324034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0.3</v>
      </c>
      <c r="AO414" s="44">
        <f>[Cotação]/[VPA]</f>
        <v>-0.59616651198722204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1600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0.3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idden="1">
      <c r="A415" s="4" t="s">
        <v>242</v>
      </c>
      <c r="B415" s="126" t="s">
        <v>592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342638952.59999996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5" s="19">
        <f>IF(Tabela3[[#This Row],[Lucro Líquido]]&gt;0,Tabela3[[#This Row],[Lucro Líquido]]/Tabela3[[#This Row],[Patrimônio Líquido]],0)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2.2979292427324034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0.3</v>
      </c>
      <c r="AO415" s="44">
        <f>[Cotação]/[VPA]</f>
        <v>-0.59616651198722204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1600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0.3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idden="1">
      <c r="A416" s="3" t="s">
        <v>1093</v>
      </c>
      <c r="B416" s="57" t="s">
        <v>1122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707575143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6" s="18">
        <f>IF(Tabela3[[#This Row],[Lucro Líquido]]&gt;0,Tabela3[[#This Row],[Lucro Líquido]]/Tabela3[[#This Row],[Patrimônio Líquido]],0)</f>
        <v>1.6145825259233592E-2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2.2979292427324034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1.65</v>
      </c>
      <c r="AO416" s="53">
        <f>[Cotação]/[VPA]</f>
        <v>0.29646005336971198</v>
      </c>
      <c r="AP416" s="37">
        <f>IF(Tabela3[[#This Row],[Lucro/Ação]]&gt;0,Tabela3[[#This Row],[Cotação]]/(Tabela3[[#This Row],[Lucro/Ação]]/[Ref]*4),0)</f>
        <v>13.771054526935851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1.2934739286057708E-2</v>
      </c>
      <c r="AU416" s="22">
        <f>((1+Tabela3[[#This Row],[% Yield]])^(1/(3*Tabela3[[#This Row],[Ref]])))^(12)-1</f>
        <v>1.7283392192106062E-2</v>
      </c>
      <c r="AV416" s="10">
        <f>IF([Cotação]&gt;0,($BH$1/Tabela3[[#This Row],[Cotação]]-MOD($BH$1/Tabela3[[#This Row],[Cotação]],100)),)</f>
        <v>300</v>
      </c>
      <c r="AW416" s="7">
        <f>Tabela3[[#This Row],[Ativos]]*[Lucro]</f>
        <v>6.4026959465985653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1.65</v>
      </c>
      <c r="BB416" s="7">
        <f>SUMPRODUCT(N(Tabela17683[Código]=Tabela3[[#This Row],[PAPEL]]),Tabela17683[Fechamento])</f>
        <v>0</v>
      </c>
    </row>
    <row r="417" spans="1:54" hidden="1">
      <c r="A417" s="3" t="s">
        <v>1363</v>
      </c>
      <c r="B417" s="57" t="s">
        <v>1335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7" s="18">
        <f>IF(Tabela3[[#This Row],[Lucro Líquido]]&gt;0,Tabela3[[#This Row],[Lucro Líquido]]/Tabela3[[#This Row],[Patrimônio Líquido]],0)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2.2979292427324034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idden="1">
      <c r="A418" s="3" t="s">
        <v>1363</v>
      </c>
      <c r="B418" s="57" t="s">
        <v>1336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8" s="18">
        <f>IF(Tabela3[[#This Row],[Lucro Líquido]]&gt;0,Tabela3[[#This Row],[Lucro Líquido]]/Tabela3[[#This Row],[Patrimônio Líquido]],0)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2.2979292427324034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idden="1">
      <c r="A419" s="4" t="s">
        <v>14</v>
      </c>
      <c r="B419" s="57" t="s">
        <v>560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4612949991421.7998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19" s="19">
        <f>IF(Tabela3[[#This Row],[Lucro Líquido]]&gt;0,Tabela3[[#This Row],[Lucro Líquido]]/Tabela3[[#This Row],[Patrimônio Líquido]],0)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2.2979292427324034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11.56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8.9197522484439577E-3</v>
      </c>
      <c r="AU419" s="42">
        <f>((1+Tabela3[[#This Row],[% Yield]])^(1/(3*Tabela3[[#This Row],[Ref]])))^(12)-1</f>
        <v>8.9197522484452119E-3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11.56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idden="1">
      <c r="A420" s="4" t="s">
        <v>14</v>
      </c>
      <c r="B420" s="57" t="s">
        <v>561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0" s="19">
        <f>IF(Tabela3[[#This Row],[Lucro Líquido]]&gt;0,Tabela3[[#This Row],[Lucro Líquido]]/Tabela3[[#This Row],[Patrimônio Líquido]],0)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2.2979292427324034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4500</v>
      </c>
      <c r="AW420" s="17">
        <f>Tabela3[[#This Row],[Ativos]]*[Lucro]</f>
        <v>4.2182319240566839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idden="1">
      <c r="A421" s="4" t="s">
        <v>14</v>
      </c>
      <c r="B421" s="57" t="s">
        <v>562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1" s="19">
        <f>IF(Tabela3[[#This Row],[Lucro Líquido]]&gt;0,Tabela3[[#This Row],[Lucro Líquido]]/Tabela3[[#This Row],[Patrimônio Líquido]],0)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2.2979292427324034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4500</v>
      </c>
      <c r="AW421" s="17">
        <f>Tabela3[[#This Row],[Ativos]]*[Lucro]</f>
        <v>4.6400551228187421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idden="1">
      <c r="A422" s="4" t="s">
        <v>37</v>
      </c>
      <c r="B422" s="57" t="s">
        <v>182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2" s="19">
        <f>IF(Tabela3[[#This Row],[Lucro Líquido]]&gt;0,Tabela3[[#This Row],[Lucro Líquido]]/Tabela3[[#This Row],[Patrimônio Líquido]],0)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2.2979292427324034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0</v>
      </c>
      <c r="AW422" s="17">
        <f>Tabela3[[#This Row],[Ativos]]*[Lucro]</f>
        <v>0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idden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2430763050.5999999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3" s="19">
        <f>IF(Tabela3[[#This Row],[Lucro Líquido]]&gt;0,Tabela3[[#This Row],[Lucro Líquido]]/Tabela3[[#This Row],[Patrimônio Líquido]],0)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2.2979292427324034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5.0999999999999996</v>
      </c>
      <c r="AO423" s="44">
        <f>[Cotação]/[VPA]</f>
        <v>0.68148884940796361</v>
      </c>
      <c r="AP423" s="40">
        <f>IF(Tabela3[[#This Row],[Lucro/Ação]]&gt;0,Tabela3[[#This Row],[Cotação]]/(Tabela3[[#This Row],[Lucro/Ação]]/[Ref]*4),0)</f>
        <v>6.0331072677362343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4.19554150431138E-2</v>
      </c>
      <c r="AU423" s="19">
        <f>((1+Tabela3[[#This Row],[% Yield]])^(1/(3*Tabela3[[#This Row],[Ref]])))^(12)-1</f>
        <v>4.1955415043112732E-2</v>
      </c>
      <c r="AV423" s="14">
        <f>IF([Cotação]&gt;0,($BH$1/Tabela3[[#This Row],[Cotação]]-MOD($BH$1/Tabela3[[#This Row],[Cotação]],100)),)</f>
        <v>0</v>
      </c>
      <c r="AW423" s="17">
        <f>Tabela3[[#This Row],[Ativos]]*[Lucro]</f>
        <v>0</v>
      </c>
      <c r="AX423" s="5">
        <f>SUMPRODUCT(N(Tabela1[Código]=Tabela3[[#This Row],[PAPEL]]),Tabela1[Fechamento])</f>
        <v>5.0999999999999996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idden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14695462183.5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4" s="19">
        <f>IF(Tabela3[[#This Row],[Lucro Líquido]]&gt;0,Tabela3[[#This Row],[Lucro Líquido]]/Tabela3[[#This Row],[Patrimônio Líquido]],0)</f>
        <v>0.10654663954571744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2.2979292427324034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21.5</v>
      </c>
      <c r="AO424" s="44">
        <f>[Cotação]/[VPA]</f>
        <v>1.1747540295513892</v>
      </c>
      <c r="AP424" s="40">
        <f>IF(Tabela3[[#This Row],[Lucro/Ação]]&gt;0,Tabela3[[#This Row],[Cotação]]/(Tabela3[[#This Row],[Lucro/Ação]]/[Ref]*4),0)</f>
        <v>8.2692943289449392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2.1540532107620188E-2</v>
      </c>
      <c r="AU424" s="19">
        <f>((1+Tabela3[[#This Row],[% Yield]])^(1/(3*Tabela3[[#This Row],[Ref]])))^(12)-1</f>
        <v>2.882333018566996E-2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21.5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idden="1">
      <c r="A425" s="3" t="s">
        <v>341</v>
      </c>
      <c r="B425" s="57" t="s">
        <v>355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2091245621.74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5" s="18">
        <f>IF(Tabela3[[#This Row],[Lucro Líquido]]&gt;0,Tabela3[[#This Row],[Lucro Líquido]]/Tabela3[[#This Row],[Patrimônio Líquido]],0)</f>
        <v>9.6063145664829111E-2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2.2979292427324034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36.22</v>
      </c>
      <c r="AO425" s="53">
        <f>[Cotação]/[VPA]</f>
        <v>2.1238596099097746</v>
      </c>
      <c r="AP425" s="37">
        <f>IF(Tabela3[[#This Row],[Lucro/Ação]]&gt;0,Tabela3[[#This Row],[Cotação]]/(Tabela3[[#This Row],[Lucro/Ação]]/[Ref]*4),0)</f>
        <v>16.581746271250054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1.0742234085974326E-2</v>
      </c>
      <c r="AU425" s="18">
        <f>((1+Tabela3[[#This Row],[% Yield]])^(1/(3*Tabela3[[#This Row],[Ref]])))^(12)-1</f>
        <v>1.4348561303745511E-2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36.22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idden="1">
      <c r="A426" s="4" t="s">
        <v>14</v>
      </c>
      <c r="B426" s="57" t="s">
        <v>567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6" s="19">
        <f>IF(Tabela3[[#This Row],[Lucro Líquido]]&gt;0,Tabela3[[#This Row],[Lucro Líquido]]/Tabela3[[#This Row],[Patrimônio Líquido]],0)</f>
        <v>9.638368306827582E-3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2.2979292427324034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idden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417374685.63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7" s="19">
        <f>IF(Tabela3[[#This Row],[Lucro Líquido]]&gt;0,Tabela3[[#This Row],[Lucro Líquido]]/Tabela3[[#This Row],[Patrimônio Líquido]],0)</f>
        <v>9.638368306827582E-3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2.2979292427324034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3.03</v>
      </c>
      <c r="AO427" s="44">
        <f>[Cotação]/[VPA]</f>
        <v>0.59632536941125369</v>
      </c>
      <c r="AP427" s="40">
        <f>IF(Tabela3[[#This Row],[Lucro/Ação]]&gt;0,Tabela3[[#This Row],[Cotação]]/(Tabela3[[#This Row],[Lucro/Ação]]/[Ref]*4),0)</f>
        <v>46.402462825748586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3.8386971111619311E-3</v>
      </c>
      <c r="AU427" s="19">
        <f>((1+Tabela3[[#This Row],[% Yield]])^(1/(3*Tabela3[[#This Row],[Ref]])))^(12)-1</f>
        <v>5.1215346027650988E-3</v>
      </c>
      <c r="AV427" s="14">
        <f>IF([Cotação]&gt;0,($BH$1/Tabela3[[#This Row],[Cotação]]-MOD($BH$1/Tabela3[[#This Row],[Cotação]],100)),)</f>
        <v>100</v>
      </c>
      <c r="AW427" s="17">
        <f>Tabela3[[#This Row],[Ativos]]*[Lucro]</f>
        <v>1.1631252246820651</v>
      </c>
      <c r="AX427" s="5">
        <f>SUMPRODUCT(N(Tabela1[Código]=Tabela3[[#This Row],[PAPEL]]),Tabela1[Fechamento])</f>
        <v>3.03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idden="1">
      <c r="A428" s="3" t="s">
        <v>1263</v>
      </c>
      <c r="B428" s="57" t="s">
        <v>1258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501794152.60000002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8" s="18">
        <f>IF(Tabela3[[#This Row],[Lucro Líquido]]&gt;0,Tabela3[[#This Row],[Lucro Líquido]]/Tabela3[[#This Row],[Patrimônio Líquido]],0)</f>
        <v>3.109577116945687E-2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2.2979292427324034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68.900000000000006</v>
      </c>
      <c r="AO428" s="53">
        <f>[Cotação]/[VPA]</f>
        <v>1.0157981995586955</v>
      </c>
      <c r="AP428" s="37">
        <f>IF(Tabela3[[#This Row],[Lucro/Ação]]&gt;0,Tabela3[[#This Row],[Cotação]]/(Tabela3[[#This Row],[Lucro/Ação]]/[Ref]*4),0)</f>
        <v>24.500072550615197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7.0441772592849516E-3</v>
      </c>
      <c r="AU428" s="22">
        <f>((1+Tabela3[[#This Row],[% Yield]])^(1/(3*Tabela3[[#This Row],[Ref]])))^(12)-1</f>
        <v>9.4032458981394562E-3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68.900000000000006</v>
      </c>
    </row>
    <row r="429" spans="1:54" hidden="1">
      <c r="A429" s="3" t="s">
        <v>1263</v>
      </c>
      <c r="B429" s="57" t="s">
        <v>1259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619049390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29" s="18">
        <f>IF(Tabela3[[#This Row],[Lucro Líquido]]&gt;0,Tabela3[[#This Row],[Lucro Líquido]]/Tabela3[[#This Row],[Patrimônio Líquido]],0)</f>
        <v>3.109577116945687E-2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2.2979292427324034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85</v>
      </c>
      <c r="AO429" s="53">
        <f>[Cotação]/[VPA]</f>
        <v>1.2531617846515111</v>
      </c>
      <c r="AP429" s="37">
        <f>IF(Tabela3[[#This Row],[Lucro/Ação]]&gt;0,Tabela3[[#This Row],[Cotação]]/(Tabela3[[#This Row],[Lucro/Ação]]/[Ref]*4),0)</f>
        <v>30.225053219191459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6.2809199436772208E-3</v>
      </c>
      <c r="AU429" s="22">
        <f>((1+Tabela3[[#This Row],[% Yield]])^(1/(3*Tabela3[[#This Row],[Ref]])))^(12)-1</f>
        <v>8.3833143774125762E-3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85</v>
      </c>
    </row>
    <row r="430" spans="1:54" hidden="1">
      <c r="A430" s="3" t="s">
        <v>1093</v>
      </c>
      <c r="B430" s="57" t="s">
        <v>1123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0" s="18">
        <f>IF(Tabela3[[#This Row],[Lucro Líquido]]&gt;0,Tabela3[[#This Row],[Lucro Líquido]]/Tabela3[[#This Row],[Patrimônio Líquido]],0)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2.2979292427324034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idden="1">
      <c r="A431" s="3" t="s">
        <v>1093</v>
      </c>
      <c r="B431" s="57" t="s">
        <v>1124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1" s="19">
        <f>IF(Tabela3[[#This Row],[Lucro Líquido]]&gt;0,Tabela3[[#This Row],[Lucro Líquido]]/Tabela3[[#This Row],[Patrimônio Líquido]],0)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2.2979292427324034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800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idden="1">
      <c r="A432" s="3" t="s">
        <v>910</v>
      </c>
      <c r="B432" s="58" t="s">
        <v>1009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272000000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2" s="18">
        <f>IF(Tabela3[[#This Row],[Lucro Líquido]]&gt;0,Tabela3[[#This Row],[Lucro Líquido]]/Tabela3[[#This Row],[Patrimônio Líquido]],0)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2.2979292427324034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1.36</v>
      </c>
      <c r="AO432" s="53">
        <f>[Cotação]/[VPA]</f>
        <v>0.2370130775451022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300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1.36</v>
      </c>
      <c r="BB432" s="7">
        <f>SUMPRODUCT(N(Tabela17683[Código]=Tabela3[[#This Row],[PAPEL]]),Tabela17683[Fechamento])</f>
        <v>0</v>
      </c>
    </row>
    <row r="433" spans="1:54" hidden="1">
      <c r="A433" s="3" t="s">
        <v>880</v>
      </c>
      <c r="B433" s="58" t="s">
        <v>881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294579867.64999998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3" s="18">
        <f>IF(Tabela3[[#This Row],[Lucro Líquido]]&gt;0,Tabela3[[#This Row],[Lucro Líquido]]/Tabela3[[#This Row],[Patrimônio Líquido]],0)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2.2979292427324034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4.21</v>
      </c>
      <c r="AO433" s="53">
        <f>[Cotação]/[VPA]</f>
        <v>0.90609012814085033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4.21</v>
      </c>
      <c r="BB433" s="7">
        <f>SUMPRODUCT(N(Tabela17683[Código]=Tabela3[[#This Row],[PAPEL]]),Tabela17683[Fechamento])</f>
        <v>0</v>
      </c>
    </row>
    <row r="434" spans="1:54" hidden="1">
      <c r="A434" s="3" t="s">
        <v>1311</v>
      </c>
      <c r="B434" s="57" t="s">
        <v>1312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4" s="18">
        <f>IF(Tabela3[[#This Row],[Lucro Líquido]]&gt;0,Tabela3[[#This Row],[Lucro Líquido]]/Tabela3[[#This Row],[Patrimônio Líquido]],0)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2.2979292427324034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idden="1">
      <c r="A435" s="3" t="s">
        <v>1311</v>
      </c>
      <c r="B435" s="57" t="s">
        <v>1313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656043797.19999993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5" s="18">
        <f>IF(Tabela3[[#This Row],[Lucro Líquido]]&gt;0,Tabela3[[#This Row],[Lucro Líquido]]/Tabela3[[#This Row],[Patrimônio Líquido]],0)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2.2979292427324034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10.28</v>
      </c>
      <c r="AO435" s="53">
        <f>[Cotação]/[VPA]</f>
        <v>1.8288413480114072</v>
      </c>
      <c r="AP435" s="37">
        <f>IF(Tabela3[[#This Row],[Lucro/Ação]]&gt;0,Tabela3[[#This Row],[Cotação]]/(Tabela3[[#This Row],[Lucro/Ação]]/[Ref]*4),0)</f>
        <v>10.667899201587069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2.3727400740704691E-2</v>
      </c>
      <c r="AU435" s="22">
        <f>((1+Tabela3[[#This Row],[% Yield]])^(1/(3*Tabela3[[#This Row],[Ref]])))^(12)-1</f>
        <v>2.3727400740705562E-2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10.28</v>
      </c>
    </row>
    <row r="436" spans="1:54" hidden="1">
      <c r="A436" s="3" t="s">
        <v>863</v>
      </c>
      <c r="B436" s="58" t="s">
        <v>867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1760375500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6" s="18">
        <f>IF(Tabela3[[#This Row],[Lucro Líquido]]&gt;0,Tabela3[[#This Row],[Lucro Líquido]]/Tabela3[[#This Row],[Patrimônio Líquido]],0)</f>
        <v>4.8226417559446039E-2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2.2979292427324034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17.8</v>
      </c>
      <c r="AO436" s="53">
        <f>[Cotação]/[VPA]</f>
        <v>0.87119009866102892</v>
      </c>
      <c r="AP436" s="37">
        <f>IF(Tabela3[[#This Row],[Lucro/Ação]]&gt;0,Tabela3[[#This Row],[Cotação]]/(Tabela3[[#This Row],[Lucro/Ação]]/[Ref]*4),0)</f>
        <v>13.548436874672905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1.3147273124398742E-2</v>
      </c>
      <c r="AU436" s="22">
        <f>((1+Tabela3[[#This Row],[% Yield]])^(1/(3*Tabela3[[#This Row],[Ref]])))^(12)-1</f>
        <v>1.756799717344526E-2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17.8</v>
      </c>
      <c r="BB436" s="7">
        <f>SUMPRODUCT(N(Tabela17683[Código]=Tabela3[[#This Row],[PAPEL]]),Tabela17683[Fechamento])</f>
        <v>0</v>
      </c>
    </row>
    <row r="437" spans="1:54" hidden="1">
      <c r="A437" s="3" t="s">
        <v>1041</v>
      </c>
      <c r="B437" s="58" t="s">
        <v>1048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714617113.76999998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7" s="18">
        <f>IF(Tabela3[[#This Row],[Lucro Líquido]]&gt;0,Tabela3[[#This Row],[Lucro Líquido]]/Tabela3[[#This Row],[Patrimônio Líquido]],0)</f>
        <v>2.0413931723249896E-3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2.2979292427324034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24.99</v>
      </c>
      <c r="AO437" s="53">
        <f>[Cotação]/[VPA]</f>
        <v>1.4027062469967966</v>
      </c>
      <c r="AP437" s="37">
        <f>IF(Tabela3[[#This Row],[Lucro/Ação]]&gt;0,Tabela3[[#This Row],[Cotação]]/(Tabela3[[#This Row],[Lucro/Ação]]/[Ref]*4),0)</f>
        <v>515.34888012259614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3.4563963728343779E-4</v>
      </c>
      <c r="AU437" s="22">
        <f>((1+Tabela3[[#This Row],[% Yield]])^(1/(3*Tabela3[[#This Row],[Ref]])))^(12)-1</f>
        <v>4.6087939584138482E-4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24.99</v>
      </c>
      <c r="BB437" s="7">
        <f>SUMPRODUCT(N(Tabela17683[Código]=Tabela3[[#This Row],[PAPEL]]),Tabela17683[Fechamento])</f>
        <v>0</v>
      </c>
    </row>
    <row r="438" spans="1:54" hidden="1">
      <c r="A438" s="3" t="s">
        <v>1041</v>
      </c>
      <c r="B438" s="58" t="s">
        <v>1049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591367823.63999999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8" s="18">
        <f>IF(Tabela3[[#This Row],[Lucro Líquido]]&gt;0,Tabela3[[#This Row],[Lucro Líquido]]/Tabela3[[#This Row],[Patrimônio Líquido]],0)</f>
        <v>2.0413931723249896E-3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2.2979292427324034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20.68</v>
      </c>
      <c r="AO438" s="53">
        <f>[Cotação]/[VPA]</f>
        <v>1.1607829206840239</v>
      </c>
      <c r="AP438" s="37">
        <f>IF(Tabela3[[#This Row],[Lucro/Ação]]&gt;0,Tabela3[[#This Row],[Cotação]]/(Tabela3[[#This Row],[Lucro/Ação]]/[Ref]*4),0)</f>
        <v>426.46718050961539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4.1767575124338055E-4</v>
      </c>
      <c r="AU438" s="22">
        <f>((1+Tabela3[[#This Row],[% Yield]])^(1/(3*Tabela3[[#This Row],[Ref]])))^(12)-1</f>
        <v>5.5693976540172052E-4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20.68</v>
      </c>
      <c r="BB438" s="7">
        <f>SUMPRODUCT(N(Tabela17683[Código]=Tabela3[[#This Row],[PAPEL]]),Tabela17683[Fechamento])</f>
        <v>0</v>
      </c>
    </row>
    <row r="439" spans="1:54" hidden="1">
      <c r="A439" s="3" t="s">
        <v>265</v>
      </c>
      <c r="B439" s="58" t="s">
        <v>268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3327850000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39" s="18">
        <f>IF(Tabela3[[#This Row],[Lucro Líquido]]&gt;0,Tabela3[[#This Row],[Lucro Líquido]]/Tabela3[[#This Row],[Patrimônio Líquido]],0)</f>
        <v>4.6070215219191885E-2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2.2979292427324034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29.45</v>
      </c>
      <c r="AO439" s="53">
        <f>[Cotação]/[VPA]</f>
        <v>1.6034593496542144</v>
      </c>
      <c r="AP439" s="37">
        <f>IF(Tabela3[[#This Row],[Lucro/Ação]]&gt;0,Tabela3[[#This Row],[Cotação]]/(Tabela3[[#This Row],[Lucro/Ação]]/[Ref]*4),0)</f>
        <v>26.103514092977044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6.8237938909506144E-3</v>
      </c>
      <c r="AU439" s="18">
        <f>((1+Tabela3[[#This Row],[% Yield]])^(1/(3*Tabela3[[#This Row],[Ref]])))^(12)-1</f>
        <v>9.1087237997713455E-3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29.45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29.45</v>
      </c>
      <c r="BB439" s="7">
        <f>SUMPRODUCT(N(Tabela17683[Código]=Tabela3[[#This Row],[PAPEL]]),Tabela17683[Fechamento])</f>
        <v>0</v>
      </c>
    </row>
    <row r="440" spans="1:54" hidden="1">
      <c r="A440" s="4" t="s">
        <v>572</v>
      </c>
      <c r="B440" s="57" t="s">
        <v>579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0" s="19">
        <f>IF(Tabela3[[#This Row],[Lucro Líquido]]&gt;0,Tabela3[[#This Row],[Lucro Líquido]]/Tabela3[[#This Row],[Patrimônio Líquido]],0)</f>
        <v>7.7414681580267278E-2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2.2979292427324034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idden="1">
      <c r="A441" s="4" t="s">
        <v>320</v>
      </c>
      <c r="B441" s="126" t="s">
        <v>668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1" s="19">
        <f>IF(Tabela3[[#This Row],[Lucro Líquido]]&gt;0,Tabela3[[#This Row],[Lucro Líquido]]/Tabela3[[#This Row],[Patrimônio Líquido]],0)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2.2979292427324034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200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idden="1">
      <c r="A442" s="4" t="s">
        <v>320</v>
      </c>
      <c r="B442" s="126" t="s">
        <v>669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14854163.939999999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2" s="19">
        <f>IF(Tabela3[[#This Row],[Lucro Líquido]]&gt;0,Tabela3[[#This Row],[Lucro Líquido]]/Tabela3[[#This Row],[Patrimônio Líquido]],0)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2.2979292427324034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0.77</v>
      </c>
      <c r="AO442" s="44">
        <f>[Cotação]/[VPA]</f>
        <v>-4.2356481548016224E-2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600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0.77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idden="1">
      <c r="A443" s="4" t="s">
        <v>320</v>
      </c>
      <c r="B443" s="126" t="s">
        <v>670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3" s="19">
        <f>IF(Tabela3[[#This Row],[Lucro Líquido]]&gt;0,Tabela3[[#This Row],[Lucro Líquido]]/Tabela3[[#This Row],[Patrimônio Líquido]],0)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2.2979292427324034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100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idden="1">
      <c r="A444" s="3" t="s">
        <v>1176</v>
      </c>
      <c r="B444" s="57" t="s">
        <v>1163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4" s="18">
        <f>IF(Tabela3[[#This Row],[Lucro Líquido]]&gt;0,Tabela3[[#This Row],[Lucro Líquido]]/Tabela3[[#This Row],[Patrimônio Líquido]],0)</f>
        <v>5.3876551455446092E-2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2.2979292427324034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idden="1">
      <c r="A445" s="3" t="s">
        <v>1176</v>
      </c>
      <c r="B445" s="57" t="s">
        <v>1164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98316000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5" s="18">
        <f>IF(Tabela3[[#This Row],[Lucro Líquido]]&gt;0,Tabela3[[#This Row],[Lucro Líquido]]/Tabela3[[#This Row],[Patrimônio Líquido]],0)</f>
        <v>5.3876551455446092E-2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2.2979292427324034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40</v>
      </c>
      <c r="AO445" s="53">
        <f>[Cotação]/[VPA]</f>
        <v>1.094406411754884</v>
      </c>
      <c r="AP445" s="37">
        <f>IF(Tabela3[[#This Row],[Lucro/Ação]]&gt;0,Tabela3[[#This Row],[Cotação]]/(Tabela3[[#This Row],[Lucro/Ação]]/[Ref]*4),0)</f>
        <v>15.234917355371902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3.4785792749908458E-2</v>
      </c>
      <c r="AU445" s="22">
        <f>((1+Tabela3[[#This Row],[% Yield]])^(1/(3*Tabela3[[#This Row],[Ref]])))^(12)-1</f>
        <v>4.6647908239930924E-2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40</v>
      </c>
    </row>
    <row r="446" spans="1:54" hidden="1">
      <c r="A446" s="3" t="s">
        <v>1176</v>
      </c>
      <c r="B446" s="57" t="s">
        <v>1165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6" s="18">
        <f>IF(Tabela3[[#This Row],[Lucro Líquido]]&gt;0,Tabela3[[#This Row],[Lucro Líquido]]/Tabela3[[#This Row],[Patrimônio Líquido]],0)</f>
        <v>5.3876551455446092E-2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2.2979292427324034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idden="1">
      <c r="A447" s="3" t="s">
        <v>889</v>
      </c>
      <c r="B447" s="58" t="s">
        <v>1086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7" s="18">
        <f>IF(Tabela3[[#This Row],[Lucro Líquido]]&gt;0,Tabela3[[#This Row],[Lucro Líquido]]/Tabela3[[#This Row],[Patrimônio Líquido]],0)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2.2979292427324034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1300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idden="1">
      <c r="A448" s="3" t="s">
        <v>889</v>
      </c>
      <c r="B448" s="58" t="s">
        <v>1087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8" s="18">
        <f>IF(Tabela3[[#This Row],[Lucro Líquido]]&gt;0,Tabela3[[#This Row],[Lucro Líquido]]/Tabela3[[#This Row],[Patrimônio Líquido]],0)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2.2979292427324034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1300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idden="1">
      <c r="A449" s="3" t="s">
        <v>889</v>
      </c>
      <c r="B449" s="58" t="s">
        <v>1088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48058991.399999999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49" s="18">
        <f>IF(Tabela3[[#This Row],[Lucro Líquido]]&gt;0,Tabela3[[#This Row],[Lucro Líquido]]/Tabela3[[#This Row],[Patrimônio Líquido]],0)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2.2979292427324034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0.38</v>
      </c>
      <c r="AO449" s="53">
        <f>[Cotação]/[VPA]</f>
        <v>0.44854161556768862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1300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0.38</v>
      </c>
      <c r="BB449" s="7">
        <f>SUMPRODUCT(N(Tabela17683[Código]=Tabela3[[#This Row],[PAPEL]]),Tabela17683[Fechamento])</f>
        <v>0</v>
      </c>
    </row>
    <row r="450" spans="1:54" hidden="1">
      <c r="A450" s="3" t="s">
        <v>341</v>
      </c>
      <c r="B450" s="57" t="s">
        <v>354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1188390572.05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0" s="18">
        <f>IF(Tabela3[[#This Row],[Lucro Líquido]]&gt;0,Tabela3[[#This Row],[Lucro Líquido]]/Tabela3[[#This Row],[Patrimônio Líquido]],0)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2.2979292427324034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15.55</v>
      </c>
      <c r="AO450" s="53">
        <f>[Cotação]/[VPA]</f>
        <v>0.53276459770439577</v>
      </c>
      <c r="AP450" s="37">
        <f>IF(Tabela3[[#This Row],[Lucro/Ação]]&gt;0,Tabela3[[#This Row],[Cotação]]/(Tabela3[[#This Row],[Lucro/Ação]]/[Ref]*4),0)</f>
        <v>5.2595056983593791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4.5156334762425379E-2</v>
      </c>
      <c r="AU450" s="18">
        <f>((1+Tabela3[[#This Row],[% Yield]])^(1/(3*Tabela3[[#This Row],[Ref]])))^(12)-1</f>
        <v>4.5156334762426642E-2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15.55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idden="1">
      <c r="A451" s="3" t="s">
        <v>1219</v>
      </c>
      <c r="B451" s="57" t="s">
        <v>1223</v>
      </c>
      <c r="C451" s="16" t="str">
        <f>LEFT([PAPEL],LEN([PAPEL])-(LEN([PAPEL])-4))</f>
        <v>STBP</v>
      </c>
      <c r="D451" s="16">
        <v>4</v>
      </c>
      <c r="E451" s="5"/>
      <c r="F451" s="56"/>
      <c r="G451" s="81">
        <v>0.25</v>
      </c>
      <c r="H451" s="87"/>
      <c r="J451" s="18"/>
      <c r="K451" s="16">
        <v>1</v>
      </c>
      <c r="L451" s="87">
        <v>4</v>
      </c>
      <c r="M451" s="54"/>
      <c r="N451" s="54"/>
      <c r="O451" s="54"/>
      <c r="P451" s="91"/>
      <c r="Q451" s="73"/>
      <c r="R451" s="73">
        <f>IF(Tabela3[[#This Row],[Ativo || Passivo]]&gt;0,Tabela3[[#This Row],[Ativo || Passivo]]-Tabela3[[#This Row],[Patrimônio Líquido]],0)</f>
        <v>0</v>
      </c>
      <c r="S451" s="73">
        <f>Tabela3[[#This Row],[Cotação]]*Tabela3[[#This Row],[Total Ações]]</f>
        <v>9764828881.6399994</v>
      </c>
      <c r="T451" s="37">
        <f>IF(Tabela3[[#This Row],[Passivo Circulante]]&gt;0,Tabela3[[#This Row],[Ativo Circulante]]/Tabela3[[#This Row],[Passivo Circulante]],0)</f>
        <v>0</v>
      </c>
      <c r="U45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1" s="18">
        <f>IF(Tabela3[[#This Row],[Lucro Líquido]]&gt;0,Tabela3[[#This Row],[Lucro Líquido]]/Tabela3[[#This Row],[Patrimônio Líquido]],0)</f>
        <v>0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1" s="18">
        <f>IF(Tabela3[[#This Row],[Dívida]]&gt;0,Tabela3[[#This Row],[Dívida]]/Tabela3[[#This Row],[Patrimônio Líquido]],0)</f>
        <v>0</v>
      </c>
      <c r="Y451" s="18">
        <f>SUMPRODUCT(N([Dívida / PL]&gt;0),N(RIGHT([PAPEL],LEN([PAPEL])-(LEN([PAPEL])-1))="3"),[Dívida / PL])/SUMPRODUCT(N([Dívida / PL]&gt;0),N(RIGHT([PAPEL],LEN([PAPEL])-(LEN([PAPEL])-1))="3"))</f>
        <v>2.2979292427324034</v>
      </c>
      <c r="Z451" s="7">
        <f>Tabela3[[#This Row],[Capital Social]]*20%</f>
        <v>0</v>
      </c>
      <c r="AA451" s="47">
        <f>IF(([Lucro Líquido]*5%)&gt;[Teto R. Legal],[Teto R. Legal],[Lucro Líquido]*5%)</f>
        <v>0</v>
      </c>
      <c r="AB451" s="47">
        <f>IF([Lucro Líquido]&lt;0,0,[Lucro Líquido]-[Reserva Legal])</f>
        <v>0</v>
      </c>
      <c r="AC451" s="47">
        <f>Tabela3[[#This Row],[Lucro Distribuir]]*[%Div]</f>
        <v>0</v>
      </c>
      <c r="AD451" s="56">
        <f>SUMPRODUCT(N([Nome]=Tabela3[[#This Row],[Nome]]),[Ações])</f>
        <v>666086554</v>
      </c>
      <c r="AE451" s="85">
        <f>[Capital Social]/[Total Ações]</f>
        <v>0</v>
      </c>
      <c r="AF451" s="85">
        <f>Tabela3[[#This Row],[Lucro Líquido]]/Tabela3[[#This Row],[Total Ações]]</f>
        <v>0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0</v>
      </c>
      <c r="AN451" s="52">
        <f>MAX(Tabela3[[#This Row],[Cotação 1]:[Cotação 5]])</f>
        <v>14.66</v>
      </c>
      <c r="AO451" s="53" t="e">
        <f>[Cotação]/[VPA]</f>
        <v>#DIV/0!</v>
      </c>
      <c r="AP451" s="37">
        <f>IF(Tabela3[[#This Row],[Lucro/Ação]]&gt;0,Tabela3[[#This Row],[Cotação]]/(Tabela3[[#This Row],[Lucro/Ação]]/[Ref]*4),0)</f>
        <v>0</v>
      </c>
      <c r="AQ451" s="85">
        <f>[Lucro Distribuir]/[Total Ações]</f>
        <v>0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3.1017824651232474E-2</v>
      </c>
      <c r="AU451" s="22">
        <f>((1+Tabela3[[#This Row],[% Yield]])^(1/(3*Tabela3[[#This Row],[Ref]])))^(12)-1</f>
        <v>3.1017824651231374E-2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14.66</v>
      </c>
    </row>
    <row r="452" spans="1:54" hidden="1">
      <c r="A452" s="3" t="s">
        <v>1219</v>
      </c>
      <c r="B452" s="57" t="s">
        <v>1224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/>
      <c r="N452" s="54"/>
      <c r="O452" s="54"/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</v>
      </c>
      <c r="U45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2" s="18">
        <f>IF(Tabela3[[#This Row],[Lucro Líquido]]&gt;0,Tabela3[[#This Row],[Lucro Líquido]]/Tabela3[[#This Row],[Patrimônio Líquido]],0)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2" s="18">
        <f>IF(Tabela3[[#This Row],[Dívida]]&gt;0,Tabela3[[#This Row],[Dívida]]/Tabela3[[#This Row],[Patrimônio Líquido]],0)</f>
        <v>0</v>
      </c>
      <c r="Y452" s="18">
        <f>SUMPRODUCT(N([Dívida / PL]&gt;0),N(RIGHT([PAPEL],LEN([PAPEL])-(LEN([PAPEL])-1))="3"),[Dívida / PL])/SUMPRODUCT(N([Dívida / PL]&gt;0),N(RIGHT([PAPEL],LEN([PAPEL])-(LEN([PAPEL])-1))="3"))</f>
        <v>2.2979292427324034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idden="1">
      <c r="A453" s="3" t="s">
        <v>1219</v>
      </c>
      <c r="B453" s="57" t="s">
        <v>1225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/>
      <c r="N453" s="54"/>
      <c r="O453" s="54"/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</v>
      </c>
      <c r="U45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3" s="18">
        <f>IF(Tabela3[[#This Row],[Lucro Líquido]]&gt;0,Tabela3[[#This Row],[Lucro Líquido]]/Tabela3[[#This Row],[Patrimônio Líquido]],0)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3" s="18">
        <f>IF(Tabela3[[#This Row],[Dívida]]&gt;0,Tabela3[[#This Row],[Dívida]]/Tabela3[[#This Row],[Patrimônio Líquido]],0)</f>
        <v>0</v>
      </c>
      <c r="Y453" s="18">
        <f>SUMPRODUCT(N([Dívida / PL]&gt;0),N(RIGHT([PAPEL],LEN([PAPEL])-(LEN([PAPEL])-1))="3"),[Dívida / PL])/SUMPRODUCT(N([Dívida / PL]&gt;0),N(RIGHT([PAPEL],LEN([PAPEL])-(LEN([PAPEL])-1))="3"))</f>
        <v>2.2979292427324034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idden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14719759099.200001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4" s="19">
        <f>IF(Tabela3[[#This Row],[Lucro Líquido]]&gt;0,Tabela3[[#This Row],[Lucro Líquido]]/Tabela3[[#This Row],[Patrimônio Líquido]],0)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2.2979292427324034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14.4</v>
      </c>
      <c r="AO454" s="53">
        <f>[Cotação]/[VPA]</f>
        <v>4.1154029020775296</v>
      </c>
      <c r="AP454" s="37">
        <f>IF(Tabela3[[#This Row],[Lucro/Ação]]&gt;0,Tabela3[[#This Row],[Cotação]]/(Tabela3[[#This Row],[Lucro/Ação]]/[Ref]*4),0)</f>
        <v>30.63878137914239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2.325484134578017E-2</v>
      </c>
      <c r="AU454" s="18">
        <f>((1+Tabela3[[#This Row],[% Yield]])^(1/(3*Tabela3[[#This Row],[Ref]])))^(12)-1</f>
        <v>2.325484134578093E-2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14.4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idden="1">
      <c r="A455" s="4" t="s">
        <v>26</v>
      </c>
      <c r="B455" s="57" t="s">
        <v>701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5" s="19">
        <f>IF(Tabela3[[#This Row],[Lucro Líquido]]&gt;0,Tabela3[[#This Row],[Lucro Líquido]]/Tabela3[[#This Row],[Patrimônio Líquido]],0)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2.2979292427324034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idden="1">
      <c r="A456" s="4" t="s">
        <v>26</v>
      </c>
      <c r="B456" s="57" t="s">
        <v>702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6" s="19">
        <f>IF(Tabela3[[#This Row],[Lucro Líquido]]&gt;0,Tabela3[[#This Row],[Lucro Líquido]]/Tabela3[[#This Row],[Patrimônio Líquido]],0)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2.2979292427324034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idden="1">
      <c r="A457" s="3" t="s">
        <v>1161</v>
      </c>
      <c r="B457" s="57" t="s">
        <v>1142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7" s="18">
        <f>IF(Tabela3[[#This Row],[Lucro Líquido]]&gt;0,Tabela3[[#This Row],[Lucro Líquido]]/Tabela3[[#This Row],[Patrimônio Líquido]],0)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2.2979292427324034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400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idden="1">
      <c r="A458" s="3" t="s">
        <v>1161</v>
      </c>
      <c r="B458" s="57" t="s">
        <v>1143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13734000.000000002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8" s="18">
        <f>IF(Tabela3[[#This Row],[Lucro Líquido]]&gt;0,Tabela3[[#This Row],[Lucro Líquido]]/Tabela3[[#This Row],[Patrimônio Líquido]],0)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2.2979292427324034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1.0900000000000001</v>
      </c>
      <c r="AO458" s="53">
        <f>[Cotação]/[VPA]</f>
        <v>6.91380646980055E-2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400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1.0900000000000001</v>
      </c>
    </row>
    <row r="459" spans="1:54" hidden="1">
      <c r="A459" s="4" t="s">
        <v>19</v>
      </c>
      <c r="B459" s="57" t="s">
        <v>686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59" s="19">
        <f>IF(Tabela3[[#This Row],[Lucro Líquido]]&gt;0,Tabela3[[#This Row],[Lucro Líquido]]/Tabela3[[#This Row],[Patrimônio Líquido]],0)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2.2979292427324034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100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idden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9692713423.75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0" s="19">
        <f>IF(Tabela3[[#This Row],[Lucro Líquido]]&gt;0,Tabela3[[#This Row],[Lucro Líquido]]/Tabela3[[#This Row],[Patrimônio Líquido]],0)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2.2979292427324034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8.75</v>
      </c>
      <c r="AO460" s="44">
        <f>[Cotação]/[VPA]</f>
        <v>0.90567747750479377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0</v>
      </c>
      <c r="AW460" s="17">
        <f>Tabela3[[#This Row],[Ativos]]*[Lucro]</f>
        <v>0</v>
      </c>
      <c r="AX460" s="5">
        <f>SUMPRODUCT(N(Tabela1[Código]=Tabela3[[#This Row],[PAPEL]]),Tabela1[Fechamento])</f>
        <v>8.75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idden="1">
      <c r="A461" s="4" t="s">
        <v>19</v>
      </c>
      <c r="B461" s="57" t="s">
        <v>188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1" s="19">
        <f>IF(Tabela3[[#This Row],[Lucro Líquido]]&gt;0,Tabela3[[#This Row],[Lucro Líquido]]/Tabela3[[#This Row],[Patrimônio Líquido]],0)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2.2979292427324034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331</v>
      </c>
      <c r="B462" s="57" t="s">
        <v>414</v>
      </c>
      <c r="C462" s="82" t="str">
        <f>LEFT([PAPEL],LEN([PAPEL])-(LEN([PAPEL])-4))</f>
        <v>PATI</v>
      </c>
      <c r="D462" s="16">
        <v>3</v>
      </c>
      <c r="E462" s="5">
        <v>140000000</v>
      </c>
      <c r="F462" s="8">
        <v>11841369</v>
      </c>
      <c r="G462" s="86">
        <v>0.25</v>
      </c>
      <c r="J462" s="18"/>
      <c r="K462" s="87"/>
      <c r="L462" s="87"/>
      <c r="M462" s="13">
        <v>510692000</v>
      </c>
      <c r="N462" s="13">
        <v>218703000</v>
      </c>
      <c r="O462" s="13">
        <v>135960000</v>
      </c>
      <c r="P462" s="6">
        <v>241884000</v>
      </c>
      <c r="Q462" s="6">
        <v>56208000</v>
      </c>
      <c r="R462" s="6">
        <f>IF(Tabela3[[#This Row],[Ativo || Passivo]]&gt;0,Tabela3[[#This Row],[Ativo || Passivo]]-Tabela3[[#This Row],[Patrimônio Líquido]],0)</f>
        <v>268808000</v>
      </c>
      <c r="S462" s="13">
        <f>Tabela3[[#This Row],[Cotação]]*Tabela3[[#This Row],[Total Ações]]</f>
        <v>251745240</v>
      </c>
      <c r="T462" s="132">
        <f>IF(Tabela3[[#This Row],[Passivo Circulante]]&gt;0,Tabela3[[#This Row],[Ativo Circulante]]/Tabela3[[#This Row],[Passivo Circulante]],0)</f>
        <v>1.6085834068843778</v>
      </c>
      <c r="U46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2" s="19">
        <f>IF(Tabela3[[#This Row],[Lucro Líquido]]&gt;0,Tabela3[[#This Row],[Lucro Líquido]]/Tabela3[[#This Row],[Patrimônio Líquido]],0)</f>
        <v>0.2323758495807908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2" s="19">
        <f>IF(Tabela3[[#This Row],[Dívida]]&gt;0,Tabela3[[#This Row],[Dívida]]/Tabela3[[#This Row],[Patrimônio Líquido]],0)</f>
        <v>1.1113095533396173</v>
      </c>
      <c r="Y462" s="19">
        <f>SUMPRODUCT(N([Dívida / PL]&gt;0),N(RIGHT([PAPEL],LEN([PAPEL])-(LEN([PAPEL])-1))="3"),[Dívida / PL])/SUMPRODUCT(N([Dívida / PL]&gt;0),N(RIGHT([PAPEL],LEN([PAPEL])-(LEN([PAPEL])-1))="3"))</f>
        <v>2.2979292427324034</v>
      </c>
      <c r="Z462" s="6">
        <f>Tabela3[[#This Row],[Capital Social]]*20%</f>
        <v>28000000</v>
      </c>
      <c r="AA462" s="6">
        <f>IF(([Lucro Líquido]*5%)&gt;[Teto R. Legal],[Teto R. Legal],[Lucro Líquido]*5%)</f>
        <v>2810400</v>
      </c>
      <c r="AB462" s="6">
        <f>IF([Lucro Líquido]&lt;0,0,[Lucro Líquido]-[Reserva Legal])</f>
        <v>53397600</v>
      </c>
      <c r="AC462" s="6">
        <f>Tabela3[[#This Row],[Lucro Distribuir]]*[%Div]</f>
        <v>13349400</v>
      </c>
      <c r="AD462" s="21">
        <f>SUMPRODUCT(N([Nome]=Tabela3[[#This Row],[Nome]]),[Ações])</f>
        <v>12587262</v>
      </c>
      <c r="AE462" s="5">
        <f>[Capital Social]/[Total Ações]</f>
        <v>11.12235528266592</v>
      </c>
      <c r="AF462" s="77">
        <f>Tabela3[[#This Row],[Lucro Líquido]]/Tabela3[[#This Row],[Total Ações]]</f>
        <v>4.4654667552006151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462" s="5">
        <f>[Div Base]*[Ações]</f>
        <v>12489389.701912936</v>
      </c>
      <c r="AL462" s="5">
        <f>SUMPRODUCT(N([Nome]=Tabela3[[#This Row],[Nome]]),[Div Base]*[Ações])</f>
        <v>13349400.000000002</v>
      </c>
      <c r="AM462" s="5">
        <f>[Patrimônio Líquido]/[Total Ações]</f>
        <v>19.216569894231167</v>
      </c>
      <c r="AN462" s="80">
        <f>MAX(Tabela3[[#This Row],[Cotação 1]:[Cotação 5]])</f>
        <v>20</v>
      </c>
      <c r="AO462" s="81">
        <f>[Cotação]/[VPA]</f>
        <v>1.0407684675298905</v>
      </c>
      <c r="AP462" s="34">
        <f>IF(Tabela3[[#This Row],[Lucro/Ação]]&gt;0,Tabela3[[#This Row],[Cotação]]/(Tabela3[[#This Row],[Lucro/Ação]]/[Ref]*4),0)</f>
        <v>3.3591113364645597</v>
      </c>
      <c r="AQ462" s="77">
        <f>[Lucro Distribuir]/[Total Ações]</f>
        <v>4.2421934174405838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462" s="10" t="str">
        <f>IF(AND([% A.A.]&gt;=5%,SUMPRODUCT(N([Nome]=Tabela3[[#This Row],[Nome]]),[PL])&gt;0,[Rentabilidade s/ PL]&gt;=[Rentabilidade s/ PL Média]),"Sim","Não")</f>
        <v>Sim</v>
      </c>
      <c r="AT462" s="22">
        <f>IF([Cotação]&gt;0,Tabela3[[#This Row],[Lucro]]/Tabela3[[#This Row],[Cotação]],0)</f>
        <v>5.2736257530328359E-2</v>
      </c>
      <c r="AU462" s="18">
        <f>((1+Tabela3[[#This Row],[% Yield]])^(1/(3*Tabela3[[#This Row],[Ref]])))^(12)-1</f>
        <v>7.0925947191203154E-2</v>
      </c>
      <c r="AV462" s="14">
        <f>IF([Cotação]&gt;0,($BH$1/Tabela3[[#This Row],[Cotação]]-MOD($BH$1/Tabela3[[#This Row],[Cotação]],100)),)</f>
        <v>0</v>
      </c>
      <c r="AW462" s="47">
        <f>Tabela3[[#This Row],[Ativos]]*[Lucro]</f>
        <v>0</v>
      </c>
      <c r="AX462" s="47">
        <f>SUMPRODUCT(N(Tabela1[Código]=Tabela3[[#This Row],[PAPEL]]),Tabela1[Fechamento])</f>
        <v>20</v>
      </c>
      <c r="AY462" s="47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idden="1">
      <c r="A463" s="4" t="s">
        <v>12</v>
      </c>
      <c r="B463" s="60" t="s">
        <v>510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3" s="19">
        <f>IF(Tabela3[[#This Row],[Lucro Líquido]]&gt;0,Tabela3[[#This Row],[Lucro Líquido]]/Tabela3[[#This Row],[Patrimônio Líquido]],0)</f>
        <v>0.16375683495031812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2.2979292427324034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idden="1">
      <c r="A464" s="4" t="s">
        <v>12</v>
      </c>
      <c r="B464" s="60" t="s">
        <v>511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4" s="19">
        <f>IF(Tabela3[[#This Row],[Lucro Líquido]]&gt;0,Tabela3[[#This Row],[Lucro Líquido]]/Tabela3[[#This Row],[Patrimônio Líquido]],0)</f>
        <v>0.16375683495031812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2.2979292427324034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idden="1">
      <c r="A465" s="4" t="s">
        <v>12</v>
      </c>
      <c r="B465" s="60" t="s">
        <v>176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21599239133.280003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5" s="19">
        <f>IF(Tabela3[[#This Row],[Lucro Líquido]]&gt;0,Tabela3[[#This Row],[Lucro Líquido]]/Tabela3[[#This Row],[Patrimônio Líquido]],0)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2.2979292427324034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33.090000000000003</v>
      </c>
      <c r="AO465" s="44">
        <f>[Cotação]/[VPA]</f>
        <v>4.0286768208964387</v>
      </c>
      <c r="AP465" s="40">
        <f>IF(Tabela3[[#This Row],[Lucro/Ação]]&gt;0,Tabela3[[#This Row],[Cotação]]/(Tabela3[[#This Row],[Lucro/Ação]]/[Ref]*4),0)</f>
        <v>15.040079835890239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1.8949367497365453E-2</v>
      </c>
      <c r="AU465" s="19">
        <f>((1+Tabela3[[#This Row],[% Yield]])^(1/(3*Tabela3[[#This Row],[Ref]])))^(12)-1</f>
        <v>1.894936749736531E-2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33.090000000000003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idden="1">
      <c r="A466" s="3" t="s">
        <v>1176</v>
      </c>
      <c r="B466" s="125" t="s">
        <v>1166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8937457.6500000004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6" s="18">
        <f>IF(Tabela3[[#This Row],[Lucro Líquido]]&gt;0,Tabela3[[#This Row],[Lucro Líquido]]/Tabela3[[#This Row],[Patrimônio Líquido]],0)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2.2979292427324034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0.09</v>
      </c>
      <c r="AO466" s="53">
        <f>[Cotação]/[VPA]</f>
        <v>1.6859946519524618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5500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0.09</v>
      </c>
    </row>
    <row r="467" spans="1:54" hidden="1">
      <c r="A467" s="3" t="s">
        <v>1176</v>
      </c>
      <c r="B467" s="125" t="s">
        <v>1167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5958305.0999999996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7" s="18">
        <f>IF(Tabela3[[#This Row],[Lucro Líquido]]&gt;0,Tabela3[[#This Row],[Lucro Líquido]]/Tabela3[[#This Row],[Patrimônio Líquido]],0)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2.2979292427324034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0.06</v>
      </c>
      <c r="AO467" s="53">
        <f>[Cotação]/[VPA]</f>
        <v>1.1239964346349745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8300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0.06</v>
      </c>
    </row>
    <row r="468" spans="1:54" hidden="1">
      <c r="A468" s="3" t="s">
        <v>1093</v>
      </c>
      <c r="B468" s="57" t="s">
        <v>1125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1372433279.22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8" s="18">
        <f>IF(Tabela3[[#This Row],[Lucro Líquido]]&gt;0,Tabela3[[#This Row],[Lucro Líquido]]/Tabela3[[#This Row],[Patrimônio Líquido]],0)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2.2979292427324034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7.38</v>
      </c>
      <c r="AO468" s="53">
        <f>[Cotação]/[VPA]</f>
        <v>0.97168233414753302</v>
      </c>
      <c r="AP468" s="37">
        <f>IF(Tabela3[[#This Row],[Lucro/Ação]]&gt;0,Tabela3[[#This Row],[Cotação]]/(Tabela3[[#This Row],[Lucro/Ação]]/[Ref]*4),0)</f>
        <v>6.2060054408399887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3.8269383142508842E-2</v>
      </c>
      <c r="AU468" s="22">
        <f>((1+Tabela3[[#This Row],[% Yield]])^(1/(3*Tabela3[[#This Row],[Ref]])))^(12)-1</f>
        <v>3.8269383142507607E-2</v>
      </c>
      <c r="AV468" s="10">
        <f>IF([Cotação]&gt;0,($BH$1/Tabela3[[#This Row],[Cotação]]-MOD($BH$1/Tabela3[[#This Row],[Cotação]],100)),)</f>
        <v>0</v>
      </c>
      <c r="AW468" s="7">
        <f>Tabela3[[#This Row],[Ativos]]*[Lucro]</f>
        <v>0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7.38</v>
      </c>
      <c r="BB468" s="7">
        <f>SUMPRODUCT(N(Tabela17683[Código]=Tabela3[[#This Row],[PAPEL]]),Tabela17683[Fechamento])</f>
        <v>0</v>
      </c>
    </row>
    <row r="469" spans="1:54" hidden="1">
      <c r="A469" s="3" t="s">
        <v>1031</v>
      </c>
      <c r="B469" s="58" t="s">
        <v>1033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1115632136.52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69" s="18">
        <f>IF(Tabela3[[#This Row],[Lucro Líquido]]&gt;0,Tabela3[[#This Row],[Lucro Líquido]]/Tabela3[[#This Row],[Patrimônio Líquido]],0)</f>
        <v>6.0299100781876745E-3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2.2979292427324034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14.37</v>
      </c>
      <c r="AO469" s="53">
        <f>[Cotação]/[VPA]</f>
        <v>2.6716288576457488</v>
      </c>
      <c r="AP469" s="37">
        <f>IF(Tabela3[[#This Row],[Lucro/Ação]]&gt;0,Tabela3[[#This Row],[Cotação]]/(Tabela3[[#This Row],[Lucro/Ação]]/[Ref]*4),0)</f>
        <v>332.29710182287522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5.3604138893437051E-4</v>
      </c>
      <c r="AU469" s="22">
        <f>((1+Tabela3[[#This Row],[% Yield]])^(1/(3*Tabela3[[#This Row],[Ref]])))^(12)-1</f>
        <v>7.1478569772387424E-4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14.37</v>
      </c>
      <c r="BB469" s="7">
        <f>SUMPRODUCT(N(Tabela17683[Código]=Tabela3[[#This Row],[PAPEL]]),Tabela17683[Fechamento])</f>
        <v>0</v>
      </c>
    </row>
    <row r="470" spans="1:54" hidden="1">
      <c r="A470" s="4" t="s">
        <v>572</v>
      </c>
      <c r="B470" s="57" t="s">
        <v>574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509303687.39999998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0" s="19">
        <f>IF(Tabela3[[#This Row],[Lucro Líquido]]&gt;0,Tabela3[[#This Row],[Lucro Líquido]]/Tabela3[[#This Row],[Patrimônio Líquido]],0)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2.2979292427324034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4.3</v>
      </c>
      <c r="AO470" s="44">
        <f>[Cotação]/[VPA]</f>
        <v>3.81632388238644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100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4.3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idden="1">
      <c r="A471" s="4" t="s">
        <v>572</v>
      </c>
      <c r="B471" s="57" t="s">
        <v>575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300844503.72000003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1" s="19">
        <f>IF(Tabela3[[#This Row],[Lucro Líquido]]&gt;0,Tabela3[[#This Row],[Lucro Líquido]]/Tabela3[[#This Row],[Patrimônio Líquido]],0)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2.2979292427324034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2.54</v>
      </c>
      <c r="AO471" s="44">
        <f>[Cotação]/[VPA]</f>
        <v>2.2542936421538506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100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2.54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idden="1">
      <c r="A472" s="4" t="s">
        <v>743</v>
      </c>
      <c r="B472" s="57" t="s">
        <v>742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531890100.30000001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2" s="19">
        <f>IF(Tabela3[[#This Row],[Lucro Líquido]]&gt;0,Tabela3[[#This Row],[Lucro Líquido]]/Tabela3[[#This Row],[Patrimônio Líquido]],0)</f>
        <v>6.229907723072009E-2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2.2979292427324034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3.38</v>
      </c>
      <c r="AO472" s="44">
        <f>[Cotação]/[VPA]</f>
        <v>1.8465456916603598</v>
      </c>
      <c r="AP472" s="40">
        <f>IF(Tabela3[[#This Row],[Lucro/Ação]]&gt;0,Tabela3[[#This Row],[Cotação]]/(Tabela3[[#This Row],[Lucro/Ação]]/[Ref]*4),0)</f>
        <v>22.230012550849818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8.0128159888596447E-3</v>
      </c>
      <c r="AU472" s="42">
        <f>((1+Tabela3[[#This Row],[% Yield]])^(1/(3*Tabela3[[#This Row],[Ref]])))^(12)-1</f>
        <v>1.0697997157294248E-2</v>
      </c>
      <c r="AV472" s="14">
        <f>IF([Cotação]&gt;0,($BH$1/Tabela3[[#This Row],[Cotação]]-MOD($BH$1/Tabela3[[#This Row],[Cotação]],100)),)</f>
        <v>100</v>
      </c>
      <c r="AW472" s="17">
        <f>Tabela3[[#This Row],[Ativos]]*[Lucro]</f>
        <v>2.7083318042345597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3.38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idden="1">
      <c r="A473" s="3" t="s">
        <v>910</v>
      </c>
      <c r="B473" s="58" t="s">
        <v>1011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3" s="18">
        <f>IF(Tabela3[[#This Row],[Lucro Líquido]]&gt;0,Tabela3[[#This Row],[Lucro Líquido]]/Tabela3[[#This Row],[Patrimônio Líquido]],0)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2.2979292427324034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idden="1">
      <c r="A474" s="3" t="s">
        <v>910</v>
      </c>
      <c r="B474" s="58" t="s">
        <v>1012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4" s="18">
        <f>IF(Tabela3[[#This Row],[Lucro Líquido]]&gt;0,Tabela3[[#This Row],[Lucro Líquido]]/Tabela3[[#This Row],[Patrimônio Líquido]],0)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2.2979292427324034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900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idden="1">
      <c r="A475" s="3" t="s">
        <v>910</v>
      </c>
      <c r="B475" s="58" t="s">
        <v>1013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5" s="18">
        <f>IF(Tabela3[[#This Row],[Lucro Líquido]]&gt;0,Tabela3[[#This Row],[Lucro Líquido]]/Tabela3[[#This Row],[Patrimônio Líquido]],0)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2.2979292427324034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idden="1">
      <c r="A476" s="3" t="s">
        <v>910</v>
      </c>
      <c r="B476" s="58" t="s">
        <v>1014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6" s="18">
        <f>IF(Tabela3[[#This Row],[Lucro Líquido]]&gt;0,Tabela3[[#This Row],[Lucro Líquido]]/Tabela3[[#This Row],[Patrimônio Líquido]],0)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2.2979292427324034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600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idden="1">
      <c r="A477" s="4" t="s">
        <v>256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1651794559.5799999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7" s="19">
        <f>IF(Tabela3[[#This Row],[Lucro Líquido]]&gt;0,Tabela3[[#This Row],[Lucro Líquido]]/Tabela3[[#This Row],[Patrimônio Líquido]],0)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2.2979292427324034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2.02</v>
      </c>
      <c r="AO477" s="44">
        <f>[Cotação]/[VPA]</f>
        <v>0.43709832219634825</v>
      </c>
      <c r="AP477" s="40">
        <f>IF(Tabela3[[#This Row],[Lucro/Ação]]&gt;0,Tabela3[[#This Row],[Cotação]]/(Tabela3[[#This Row],[Lucro/Ação]]/[Ref]*4),0)</f>
        <v>40.287672184878048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5.8951035669205397E-3</v>
      </c>
      <c r="AU477" s="19">
        <f>((1+Tabela3[[#This Row],[% Yield]])^(1/(3*Tabela3[[#This Row],[Ref]])))^(12)-1</f>
        <v>5.8951035669210228E-3</v>
      </c>
      <c r="AV477" s="14">
        <f>IF([Cotação]&gt;0,($BH$1/Tabela3[[#This Row],[Cotação]]-MOD($BH$1/Tabela3[[#This Row],[Cotação]],100)),)</f>
        <v>200</v>
      </c>
      <c r="AW477" s="17">
        <f>Tabela3[[#This Row],[Ativos]]*[Lucro]</f>
        <v>2.3816218410358978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2.02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idden="1">
      <c r="A478" s="3" t="s">
        <v>1253</v>
      </c>
      <c r="B478" s="58" t="s">
        <v>1255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1235574568.8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8" s="18">
        <f>IF(Tabela3[[#This Row],[Lucro Líquido]]&gt;0,Tabela3[[#This Row],[Lucro Líquido]]/Tabela3[[#This Row],[Patrimônio Líquido]],0)</f>
        <v>0.10226667833797426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2.2979292427324034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18.72</v>
      </c>
      <c r="AO478" s="53">
        <f>[Cotação]/[VPA]</f>
        <v>2.9231292245599008</v>
      </c>
      <c r="AP478" s="37">
        <f>IF(Tabela3[[#This Row],[Lucro/Ação]]&gt;0,Tabela3[[#This Row],[Cotação]]/(Tabela3[[#This Row],[Lucro/Ação]]/[Ref]*4),0)</f>
        <v>21.437548906933166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8.30901894490336E-3</v>
      </c>
      <c r="AU478" s="22">
        <f>((1+Tabela3[[#This Row],[% Yield]])^(1/(3*Tabela3[[#This Row],[Ref]])))^(12)-1</f>
        <v>1.1094005872489987E-2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18.72</v>
      </c>
    </row>
    <row r="479" spans="1:54" hidden="1">
      <c r="A479" s="4" t="s">
        <v>636</v>
      </c>
      <c r="B479" s="57" t="s">
        <v>633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79" s="19">
        <f>IF(Tabela3[[#This Row],[Lucro Líquido]]&gt;0,Tabela3[[#This Row],[Lucro Líquido]]/Tabela3[[#This Row],[Patrimônio Líquido]],0)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2.2979292427324034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2700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idden="1">
      <c r="A480" s="4" t="s">
        <v>636</v>
      </c>
      <c r="B480" s="57" t="s">
        <v>634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0" s="19">
        <f>IF(Tabela3[[#This Row],[Lucro Líquido]]&gt;0,Tabela3[[#This Row],[Lucro Líquido]]/Tabela3[[#This Row],[Patrimônio Líquido]],0)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2.2979292427324034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2000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idden="1">
      <c r="A481" s="4" t="s">
        <v>636</v>
      </c>
      <c r="B481" s="57" t="s">
        <v>635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533944908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1" s="19">
        <f>IF(Tabela3[[#This Row],[Lucro Líquido]]&gt;0,Tabela3[[#This Row],[Lucro Líquido]]/Tabela3[[#This Row],[Patrimônio Líquido]],0)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2.2979292427324034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0.23</v>
      </c>
      <c r="AO481" s="44">
        <f>[Cotação]/[VPA]</f>
        <v>1.3606638584151982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2100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0.23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idden="1">
      <c r="A482" s="3" t="s">
        <v>283</v>
      </c>
      <c r="B482" s="58" t="s">
        <v>282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27222543605.220001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2" s="18">
        <f>IF(Tabela3[[#This Row],[Lucro Líquido]]&gt;0,Tabela3[[#This Row],[Lucro Líquido]]/Tabela3[[#This Row],[Patrimônio Líquido]],0)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2.2979292427324034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11.26</v>
      </c>
      <c r="AO482" s="53">
        <f>[Cotação]/[VPA]</f>
        <v>1.8652425551586063</v>
      </c>
      <c r="AP482" s="37">
        <f>IF(Tabela3[[#This Row],[Lucro/Ação]]&gt;0,Tabela3[[#This Row],[Cotação]]/(Tabela3[[#This Row],[Lucro/Ação]]/[Ref]*4),0)</f>
        <v>18.08069239872902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1.3135558902417643E-2</v>
      </c>
      <c r="AU482" s="18">
        <f>((1+Tabela3[[#This Row],[% Yield]])^(1/(3*Tabela3[[#This Row],[Ref]])))^(12)-1</f>
        <v>1.3135558902416911E-2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11.26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idden="1">
      <c r="A483" s="4" t="s">
        <v>331</v>
      </c>
      <c r="B483" s="57" t="s">
        <v>629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3" s="19">
        <f>IF(Tabela3[[#This Row],[Lucro Líquido]]&gt;0,Tabela3[[#This Row],[Lucro Líquido]]/Tabela3[[#This Row],[Patrimônio Líquido]],0)</f>
        <v>8.1531395772512782E-2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2.2979292427324034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idden="1">
      <c r="A484" s="4" t="s">
        <v>331</v>
      </c>
      <c r="B484" s="57" t="s">
        <v>333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4" s="19">
        <f>IF(Tabela3[[#This Row],[Lucro Líquido]]&gt;0,Tabela3[[#This Row],[Lucro Líquido]]/Tabela3[[#This Row],[Patrimônio Líquido]],0)</f>
        <v>8.1531395772512782E-2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2.2979292427324034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idden="1">
      <c r="A485" s="4" t="s">
        <v>572</v>
      </c>
      <c r="B485" s="57" t="s">
        <v>581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5279986393.2999992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5" s="19">
        <f>IF(Tabela3[[#This Row],[Lucro Líquido]]&gt;0,Tabela3[[#This Row],[Lucro Líquido]]/Tabela3[[#This Row],[Patrimônio Líquido]],0)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2.2979292427324034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32.299999999999997</v>
      </c>
      <c r="AO485" s="44">
        <f>[Cotação]/[VPA]</f>
        <v>4.9455625107599035</v>
      </c>
      <c r="AP485" s="40">
        <f>IF(Tabela3[[#This Row],[Lucro/Ação]]&gt;0,Tabela3[[#This Row],[Cotação]]/(Tabela3[[#This Row],[Lucro/Ação]]/[Ref]*4),0)</f>
        <v>23.728996158858845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1.0008851550651591E-2</v>
      </c>
      <c r="AU485" s="42">
        <f>((1+Tabela3[[#This Row],[% Yield]])^(1/(3*Tabela3[[#This Row],[Ref]])))^(12)-1</f>
        <v>1.0008851550650455E-2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32.299999999999997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idden="1">
      <c r="A486" s="3" t="s">
        <v>954</v>
      </c>
      <c r="B486" s="58" t="s">
        <v>955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26452814699.080002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6" s="18">
        <f>IF(Tabela3[[#This Row],[Lucro Líquido]]&gt;0,Tabela3[[#This Row],[Lucro Líquido]]/Tabela3[[#This Row],[Patrimônio Líquido]],0)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2.2979292427324034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0.02</v>
      </c>
      <c r="AO486" s="53">
        <f>[Cotação]/[VPA]</f>
        <v>11436.582230471249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25000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0.02</v>
      </c>
      <c r="BB486" s="7">
        <f>SUMPRODUCT(N(Tabela17683[Código]=Tabela3[[#This Row],[PAPEL]]),Tabela17683[Fechamento])</f>
        <v>0</v>
      </c>
    </row>
    <row r="487" spans="1:54" hidden="1">
      <c r="A487" s="3" t="s">
        <v>954</v>
      </c>
      <c r="B487" s="58" t="s">
        <v>956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13226407349.540001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7" s="18">
        <f>IF(Tabela3[[#This Row],[Lucro Líquido]]&gt;0,Tabela3[[#This Row],[Lucro Líquido]]/Tabela3[[#This Row],[Patrimônio Líquido]],0)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2.2979292427324034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0.01</v>
      </c>
      <c r="AO487" s="53">
        <f>[Cotação]/[VPA]</f>
        <v>5718.2911152356246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50000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0.01</v>
      </c>
      <c r="BB487" s="7">
        <f>SUMPRODUCT(N(Tabela17683[Código]=Tabela3[[#This Row],[PAPEL]]),Tabela17683[Fechamento])</f>
        <v>0</v>
      </c>
    </row>
    <row r="488" spans="1:54" hidden="1">
      <c r="A488" s="3" t="s">
        <v>1218</v>
      </c>
      <c r="B488" s="57" t="s">
        <v>1213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1555840000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8" s="18">
        <f>IF(Tabela3[[#This Row],[Lucro Líquido]]&gt;0,Tabela3[[#This Row],[Lucro Líquido]]/Tabela3[[#This Row],[Patrimônio Líquido]],0)</f>
        <v>8.1543524093029786E-5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2.2979292427324034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8.84</v>
      </c>
      <c r="AO488" s="53">
        <f>[Cotação]/[VPA]</f>
        <v>0.73760858444708977</v>
      </c>
      <c r="AP488" s="37">
        <f>IF(Tabela3[[#This Row],[Lucro/Ação]]&gt;0,Tabela3[[#This Row],[Cotação]]/(Tabela3[[#This Row],[Lucro/Ação]]/[Ref]*4),0)</f>
        <v>6784.1860465116279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2.6255913204442619E-5</v>
      </c>
      <c r="AU488" s="22">
        <f>((1+Tabela3[[#This Row],[% Yield]])^(1/(3*Tabela3[[#This Row],[Ref]])))^(12)-1</f>
        <v>3.5008037464034913E-5</v>
      </c>
      <c r="AV488" s="10">
        <f>IF([Cotação]&gt;0,($BH$1/Tabela3[[#This Row],[Cotação]]-MOD($BH$1/Tabela3[[#This Row],[Cotação]],100)),)</f>
        <v>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8.84</v>
      </c>
    </row>
    <row r="489" spans="1:54" hidden="1">
      <c r="A489" s="3" t="s">
        <v>1093</v>
      </c>
      <c r="B489" s="57" t="s">
        <v>1126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296929531.46999997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89" s="18">
        <f>IF(Tabela3[[#This Row],[Lucro Líquido]]&gt;0,Tabela3[[#This Row],[Lucro Líquido]]/Tabela3[[#This Row],[Patrimônio Líquido]],0)</f>
        <v>4.4195703053610626E-2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2.2979292427324034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3.63</v>
      </c>
      <c r="AO489" s="53">
        <f>[Cotação]/[VPA]</f>
        <v>0.58350419745201654</v>
      </c>
      <c r="AP489" s="37">
        <f>IF(Tabela3[[#This Row],[Lucro/Ação]]&gt;0,Tabela3[[#This Row],[Cotação]]/(Tabela3[[#This Row],[Lucro/Ação]]/[Ref]*4),0)</f>
        <v>9.9020519609826572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1.7988695747292692E-2</v>
      </c>
      <c r="AU489" s="22">
        <f>((1+Tabela3[[#This Row],[% Yield]])^(1/(3*Tabela3[[#This Row],[Ref]])))^(12)-1</f>
        <v>2.4056551933827164E-2</v>
      </c>
      <c r="AV489" s="10">
        <f>IF([Cotação]&gt;0,($BH$1/Tabela3[[#This Row],[Cotação]]-MOD($BH$1/Tabela3[[#This Row],[Cotação]],100)),)</f>
        <v>100</v>
      </c>
      <c r="AW489" s="7">
        <f>Tabela3[[#This Row],[Ativos]]*[Lucro]</f>
        <v>6.5298965562672464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3.63</v>
      </c>
      <c r="BB489" s="7">
        <f>SUMPRODUCT(N(Tabela17683[Código]=Tabela3[[#This Row],[PAPEL]]),Tabela17683[Fechamento])</f>
        <v>0</v>
      </c>
    </row>
    <row r="490" spans="1:54" hidden="1">
      <c r="A490" s="4" t="s">
        <v>12</v>
      </c>
      <c r="B490" s="60" t="s">
        <v>157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6991899677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0" s="19">
        <f>IF(Tabela3[[#This Row],[Lucro Líquido]]&gt;0,Tabela3[[#This Row],[Lucro Líquido]]/Tabela3[[#This Row],[Patrimônio Líquido]],0)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2.2979292427324034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45.8</v>
      </c>
      <c r="AO490" s="44">
        <f>[Cotação]/[VPA]</f>
        <v>1.4116388948840883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45.8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idden="1">
      <c r="A491" s="4" t="s">
        <v>12</v>
      </c>
      <c r="B491" s="60" t="s">
        <v>158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3758527730.3000002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1" s="19">
        <f>IF(Tabela3[[#This Row],[Lucro Líquido]]&gt;0,Tabela3[[#This Row],[Lucro Líquido]]/Tabela3[[#This Row],[Patrimônio Líquido]],0)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2.2979292427324034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24.62</v>
      </c>
      <c r="AO491" s="44">
        <f>[Cotação]/[VPA]</f>
        <v>0.75883296052502747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24.62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idden="1">
      <c r="A492" s="4" t="s">
        <v>370</v>
      </c>
      <c r="B492" s="57" t="s">
        <v>369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648035612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2" s="19">
        <f>IF(Tabela3[[#This Row],[Lucro Líquido]]&gt;0,Tabela3[[#This Row],[Lucro Líquido]]/Tabela3[[#This Row],[Patrimônio Líquido]],0)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2.2979292427324034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14</v>
      </c>
      <c r="AO492" s="44">
        <f>[Cotação]/[VPA]</f>
        <v>9.1103246358882082</v>
      </c>
      <c r="AP492" s="40">
        <f>IF(Tabela3[[#This Row],[Lucro/Ação]]&gt;0,Tabela3[[#This Row],[Cotação]]/(Tabela3[[#This Row],[Lucro/Ação]]/[Ref]*4),0)</f>
        <v>8.7525069151809838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2.8053217316087866E-2</v>
      </c>
      <c r="AU492" s="19">
        <f>((1+Tabela3[[#This Row],[% Yield]])^(1/(3*Tabela3[[#This Row],[Ref]])))^(12)-1</f>
        <v>2.8053217316087897E-2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14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idden="1">
      <c r="A493" s="3" t="s">
        <v>1363</v>
      </c>
      <c r="B493" s="58" t="s">
        <v>1342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2592311450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3" s="18">
        <f>IF(Tabela3[[#This Row],[Lucro Líquido]]&gt;0,Tabela3[[#This Row],[Lucro Líquido]]/Tabela3[[#This Row],[Patrimônio Líquido]],0)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2.2979292427324034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17.98</v>
      </c>
      <c r="AO493" s="53">
        <f>[Cotação]/[VPA]</f>
        <v>1.3630107192750831</v>
      </c>
      <c r="AP493" s="37">
        <f>IF(Tabela3[[#This Row],[Lucro/Ação]]&gt;0,Tabela3[[#This Row],[Cotação]]/(Tabela3[[#This Row],[Lucro/Ação]]/[Ref]*4),0)</f>
        <v>30.03106370408128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7.9084777795507544E-3</v>
      </c>
      <c r="AU493" s="22">
        <f>((1+Tabela3[[#This Row],[% Yield]])^(1/(3*Tabela3[[#This Row],[Ref]])))^(12)-1</f>
        <v>7.9084777795508376E-3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17.98</v>
      </c>
    </row>
    <row r="494" spans="1:54" hidden="1">
      <c r="A494" s="3" t="s">
        <v>886</v>
      </c>
      <c r="B494" s="58" t="s">
        <v>887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303997274.39999998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4" s="18">
        <f>IF(Tabela3[[#This Row],[Lucro Líquido]]&gt;0,Tabela3[[#This Row],[Lucro Líquido]]/Tabela3[[#This Row],[Patrimônio Líquido]],0)</f>
        <v>6.2892933000931919E-2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2.2979292427324034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4.5999999999999996</v>
      </c>
      <c r="AO494" s="53">
        <f>[Cotação]/[VPA]</f>
        <v>1.4380804972775567</v>
      </c>
      <c r="AP494" s="37">
        <f>IF(Tabela3[[#This Row],[Lucro/Ação]]&gt;0,Tabela3[[#This Row],[Cotação]]/(Tabela3[[#This Row],[Lucro/Ação]]/[Ref]*4),0)</f>
        <v>17.149150492666415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1.0386811875968583E-2</v>
      </c>
      <c r="AU494" s="22">
        <f>((1+Tabela3[[#This Row],[% Yield]])^(1/(3*Tabela3[[#This Row],[Ref]])))^(12)-1</f>
        <v>1.387300203744668E-2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4.5999999999999996</v>
      </c>
      <c r="BB494" s="7">
        <f>SUMPRODUCT(N(Tabela17683[Código]=Tabela3[[#This Row],[PAPEL]]),Tabela17683[Fechamento])</f>
        <v>0</v>
      </c>
    </row>
    <row r="495" spans="1:54" hidden="1">
      <c r="A495" s="3" t="s">
        <v>294</v>
      </c>
      <c r="B495" s="58" t="s">
        <v>301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28634598189.600002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5" s="18">
        <f>IF(Tabela3[[#This Row],[Lucro Líquido]]&gt;0,Tabela3[[#This Row],[Lucro Líquido]]/Tabela3[[#This Row],[Patrimônio Líquido]],0)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2.2979292427324034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52.6</v>
      </c>
      <c r="AO495" s="53">
        <f>[Cotação]/[VPA]</f>
        <v>4.3918358084657259</v>
      </c>
      <c r="AP495" s="37">
        <f>IF(Tabela3[[#This Row],[Lucro/Ação]]&gt;0,Tabela3[[#This Row],[Cotação]]/(Tabela3[[#This Row],[Lucro/Ação]]/[Ref]*4),0)</f>
        <v>23.372453819350071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2.0323069356403958E-2</v>
      </c>
      <c r="AU495" s="18">
        <f>((1+Tabela3[[#This Row],[% Yield]])^(1/(3*Tabela3[[#This Row],[Ref]])))^(12)-1</f>
        <v>2.0323069356404488E-2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52.6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4" t="s">
        <v>14</v>
      </c>
      <c r="B496" s="57" t="s">
        <v>24</v>
      </c>
      <c r="C496" s="14" t="str">
        <f>LEFT([PAPEL],LEN([PAPEL])-(LEN([PAPEL])-4))</f>
        <v>BBAS</v>
      </c>
      <c r="D496" s="15">
        <v>4</v>
      </c>
      <c r="E496" s="6">
        <v>54000000000</v>
      </c>
      <c r="F496" s="8">
        <v>2865417020</v>
      </c>
      <c r="G496" s="81">
        <v>0.25</v>
      </c>
      <c r="H496" s="19"/>
      <c r="I496" s="19"/>
      <c r="J496" s="19"/>
      <c r="K496" s="88"/>
      <c r="L496" s="88"/>
      <c r="M496" s="55">
        <v>1224458597000</v>
      </c>
      <c r="N496" s="55">
        <v>650448226000</v>
      </c>
      <c r="O496" s="55">
        <v>783736092000</v>
      </c>
      <c r="P496" s="6">
        <v>69859729000</v>
      </c>
      <c r="Q496" s="6">
        <v>15810371000</v>
      </c>
      <c r="R496" s="6">
        <f>IF(Tabela3[[#This Row],[Ativo || Passivo]]&gt;0,Tabela3[[#This Row],[Ativo || Passivo]]-Tabela3[[#This Row],[Patrimônio Líquido]],0)</f>
        <v>1154598868000</v>
      </c>
      <c r="S496" s="6">
        <f>Tabela3[[#This Row],[Cotação]]*Tabela3[[#This Row],[Total Ações]]</f>
        <v>55875631890</v>
      </c>
      <c r="T496" s="132">
        <f>IF(Tabela3[[#This Row],[Passivo Circulante]]&gt;0,Tabela3[[#This Row],[Ativo Circulante]]/Tabela3[[#This Row],[Passivo Circulante]],0)</f>
        <v>0.8299327192398841</v>
      </c>
      <c r="U496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6" s="19">
        <f>IF(Tabela3[[#This Row],[Lucro Líquido]]&gt;0,Tabela3[[#This Row],[Lucro Líquido]]/Tabela3[[#This Row],[Patrimônio Líquido]],0)</f>
        <v>0.22631595092503151</v>
      </c>
      <c r="W496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6" s="19">
        <f>IF(Tabela3[[#This Row],[Dívida]]&gt;0,Tabela3[[#This Row],[Dívida]]/Tabela3[[#This Row],[Patrimônio Líquido]],0)</f>
        <v>16.527388304068573</v>
      </c>
      <c r="Y496" s="19">
        <f>SUMPRODUCT(N([Dívida / PL]&gt;0),N(RIGHT([PAPEL],LEN([PAPEL])-(LEN([PAPEL])-1))="3"),[Dívida / PL])/SUMPRODUCT(N([Dívida / PL]&gt;0),N(RIGHT([PAPEL],LEN([PAPEL])-(LEN([PAPEL])-1))="3"))</f>
        <v>2.2979292427324034</v>
      </c>
      <c r="Z496" s="6">
        <f>Tabela3[[#This Row],[Capital Social]]*20%</f>
        <v>10800000000</v>
      </c>
      <c r="AA496" s="6">
        <f>IF(([Lucro Líquido]*5%)&gt;[Teto R. Legal],[Teto R. Legal],[Lucro Líquido]*5%)</f>
        <v>790518550</v>
      </c>
      <c r="AB496" s="6">
        <f>IF([Lucro Líquido]&lt;0,0,[Lucro Líquido]-[Reserva Legal])</f>
        <v>15019852450</v>
      </c>
      <c r="AC496" s="6">
        <f>Tabela3[[#This Row],[Lucro Distribuir]]*[%Div]</f>
        <v>3754963112.5</v>
      </c>
      <c r="AD496" s="21">
        <f>SUMPRODUCT(N([Nome]=Tabela3[[#This Row],[Nome]]),[Ações])</f>
        <v>2865417020</v>
      </c>
      <c r="AE496" s="6">
        <f>[Capital Social]/[Total Ações]</f>
        <v>18.845424461113865</v>
      </c>
      <c r="AF496" s="78">
        <f>Tabela3[[#This Row],[Lucro Líquido]]/Tabela3[[#This Row],[Total Ações]]</f>
        <v>5.5176509700497274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96" s="6">
        <f>[Div Base]*[Ações]</f>
        <v>3754963112.5</v>
      </c>
      <c r="AL496" s="6">
        <f>SUMPRODUCT(N([Nome]=Tabela3[[#This Row],[Nome]]),[Div Base]*[Ações])</f>
        <v>3754963112.5</v>
      </c>
      <c r="AM496" s="6">
        <f>[Patrimônio Líquido]/[Total Ações]</f>
        <v>24.380300847099736</v>
      </c>
      <c r="AN496" s="48">
        <f>MAX(Tabela3[[#This Row],[Cotação 1]:[Cotação 5]])</f>
        <v>19.5</v>
      </c>
      <c r="AO496" s="44">
        <f>[Cotação]/[VPA]</f>
        <v>0.79982606130636436</v>
      </c>
      <c r="AP496" s="40">
        <f>IF(Tabela3[[#This Row],[Lucro/Ação]]&gt;0,Tabela3[[#This Row],[Cotação]]/(Tabela3[[#This Row],[Lucro/Ação]]/[Ref]*4),0)</f>
        <v>3.5341126334100577</v>
      </c>
      <c r="AQ496" s="78">
        <f>[Lucro Distribuir]/[Total Ações]</f>
        <v>5.2417684215472411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96" s="15" t="str">
        <f>IF(AND([% A.A.]&gt;=5%,SUMPRODUCT(N([Nome]=Tabela3[[#This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6.7202159250605659E-2</v>
      </c>
      <c r="AU496" s="19">
        <f>((1+Tabela3[[#This Row],[% Yield]])^(1/(3*Tabela3[[#This Row],[Ref]])))^(12)-1</f>
        <v>6.7202159250605575E-2</v>
      </c>
      <c r="AV496" s="14">
        <f>IF([Cotação]&gt;0,($BH$1/Tabela3[[#This Row],[Cotação]]-MOD($BH$1/Tabela3[[#This Row],[Cotação]],100)),)</f>
        <v>0</v>
      </c>
      <c r="AW496" s="17">
        <f>Tabela3[[#This Row],[Ativos]]*[Lucro]</f>
        <v>0</v>
      </c>
      <c r="AX496" s="5">
        <f>SUMPRODUCT(N(Tabela1[Código]=Tabela3[[#This Row],[PAPEL]]),Tabela1[Fechamento])</f>
        <v>19.5</v>
      </c>
      <c r="AY496" s="5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3" t="s">
        <v>273</v>
      </c>
      <c r="B497" s="58" t="s">
        <v>270</v>
      </c>
      <c r="C497" s="83" t="str">
        <f>LEFT([PAPEL],LEN([PAPEL])-(LEN([PAPEL])-4))</f>
        <v>CIQU</v>
      </c>
      <c r="D497" s="16">
        <v>3</v>
      </c>
      <c r="E497" s="5">
        <v>173000000</v>
      </c>
      <c r="F497" s="56">
        <v>8316000</v>
      </c>
      <c r="G497" s="86">
        <v>0.25</v>
      </c>
      <c r="H497" s="16"/>
      <c r="J497" s="18"/>
      <c r="K497" s="87"/>
      <c r="L497" s="87"/>
      <c r="M497" s="54">
        <v>571642000</v>
      </c>
      <c r="N497" s="54">
        <v>361717000</v>
      </c>
      <c r="O497" s="54">
        <v>263730000</v>
      </c>
      <c r="P497" s="5">
        <v>264517000</v>
      </c>
      <c r="Q497" s="5">
        <v>37183000</v>
      </c>
      <c r="R497" s="5">
        <f>IF(Tabela3[[#This Row],[Ativo || Passivo]]&gt;0,Tabela3[[#This Row],[Ativo || Passivo]]-Tabela3[[#This Row],[Patrimônio Líquido]],0)</f>
        <v>307125000</v>
      </c>
      <c r="S497" s="5">
        <f>Tabela3[[#This Row],[Cotação]]*Tabela3[[#This Row],[Total Ações]]</f>
        <v>176631840</v>
      </c>
      <c r="T497" s="130">
        <f>IF(Tabela3[[#This Row],[Passivo Circulante]]&gt;0,Tabela3[[#This Row],[Ativo Circulante]]/Tabela3[[#This Row],[Passivo Circulante]],0)</f>
        <v>1.3715428658097297</v>
      </c>
      <c r="U49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7" s="18">
        <f>IF(Tabela3[[#This Row],[Lucro Líquido]]&gt;0,Tabela3[[#This Row],[Lucro Líquido]]/Tabela3[[#This Row],[Patrimônio Líquido]],0)</f>
        <v>0.14056941519826702</v>
      </c>
      <c r="W49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7" s="18">
        <f>IF(Tabela3[[#This Row],[Dívida]]&gt;0,Tabela3[[#This Row],[Dívida]]/Tabela3[[#This Row],[Patrimônio Líquido]],0)</f>
        <v>1.1610784940098369</v>
      </c>
      <c r="Y497" s="18">
        <f>SUMPRODUCT(N([Dívida / PL]&gt;0),N(RIGHT([PAPEL],LEN([PAPEL])-(LEN([PAPEL])-1))="3"),[Dívida / PL])/SUMPRODUCT(N([Dívida / PL]&gt;0),N(RIGHT([PAPEL],LEN([PAPEL])-(LEN([PAPEL])-1))="3"))</f>
        <v>2.2979292427324034</v>
      </c>
      <c r="Z497" s="5">
        <f>Tabela3[[#This Row],[Capital Social]]*20%</f>
        <v>34600000</v>
      </c>
      <c r="AA497" s="5">
        <f>IF(([Lucro Líquido]*5%)&gt;[Teto R. Legal],[Teto R. Legal],[Lucro Líquido]*5%)</f>
        <v>1859150</v>
      </c>
      <c r="AB497" s="5">
        <f>IF([Lucro Líquido]&lt;0,0,[Lucro Líquido]-[Reserva Legal])</f>
        <v>35323850</v>
      </c>
      <c r="AC497" s="5">
        <f>Tabela3[[#This Row],[Lucro Distribuir]]*[%Div]</f>
        <v>8830962.5</v>
      </c>
      <c r="AD497" s="56">
        <f>SUMPRODUCT(N([Nome]=Tabela3[[#This Row],[Nome]]),[Ações])</f>
        <v>24948000</v>
      </c>
      <c r="AE497" s="5">
        <f>[Capital Social]/[Total Ações]</f>
        <v>6.934423601090268</v>
      </c>
      <c r="AF497" s="77">
        <f>Tabela3[[#This Row],[Lucro Líquido]]/Tabela3[[#This Row],[Total Ações]]</f>
        <v>1.490420073753407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497" s="5">
        <f>[Div Base]*[Ações]</f>
        <v>2852065.892002333</v>
      </c>
      <c r="AL497" s="5">
        <f>SUMPRODUCT(N([Nome]=Tabela3[[#This Row],[Nome]]),[Div Base]*[Ações])</f>
        <v>9126610.8630029354</v>
      </c>
      <c r="AM497" s="5">
        <f>[Patrimônio Líquido]/[Total Ações]</f>
        <v>10.602733686067019</v>
      </c>
      <c r="AN497" s="52">
        <f>MAX(Tabela3[[#This Row],[Cotação 1]:[Cotação 5]])</f>
        <v>7.08</v>
      </c>
      <c r="AO497" s="53">
        <f>[Cotação]/[VPA]</f>
        <v>0.66775231837651272</v>
      </c>
      <c r="AP497" s="37">
        <f>IF(Tabela3[[#This Row],[Lucro/Ação]]&gt;0,Tabela3[[#This Row],[Cotação]]/(Tabela3[[#This Row],[Lucro/Ação]]/[Ref]*4),0)</f>
        <v>3.5627539466960707</v>
      </c>
      <c r="AQ497" s="77">
        <f>[Lucro Distribuir]/[Total Ações]</f>
        <v>1.4158990700657368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497" s="16" t="str">
        <f>IF(AND([% A.A.]&gt;=5%,SUMPRODUCT(N([Nome]=Tabela3[[#This Row],[Nome]]),[PL])&gt;0,[Rentabilidade s/ PL]&gt;=[Rentabilidade s/ PL Média]),"Sim","Não")</f>
        <v>Sim</v>
      </c>
      <c r="AT497" s="22">
        <f>IF([Cotação]&gt;0,Tabela3[[#This Row],[Lucro]]/Tabela3[[#This Row],[Cotação]],0)</f>
        <v>4.8440856846687426E-2</v>
      </c>
      <c r="AU497" s="18">
        <f>((1+Tabela3[[#This Row],[% Yield]])^(1/(3*Tabela3[[#This Row],[Ref]])))^(12)-1</f>
        <v>6.510375451816186E-2</v>
      </c>
      <c r="AV497" s="14">
        <f>IF([Cotação]&gt;0,($BH$1/Tabela3[[#This Row],[Cotação]]-MOD($BH$1/Tabela3[[#This Row],[Cotação]],100)),)</f>
        <v>0</v>
      </c>
      <c r="AW497" s="7">
        <f>Tabela3[[#This Row],[Ativos]]*[Lucro]</f>
        <v>0</v>
      </c>
      <c r="AX497" s="47">
        <f>SUMPRODUCT(N(Tabela1[Código]=Tabela3[[#This Row],[PAPEL]]),Tabela1[Fechamento])</f>
        <v>0</v>
      </c>
      <c r="AY497" s="54">
        <f>SUMPRODUCT(N(Tabela17[Código]=Tabela3[[#This Row],[PAPEL]]),Tabela17[Fechamento])</f>
        <v>7.08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4" t="s">
        <v>14</v>
      </c>
      <c r="B498" s="57" t="s">
        <v>204</v>
      </c>
      <c r="C498" s="14" t="str">
        <f>LEFT([PAPEL],LEN([PAPEL])-(LEN([PAPEL])-4))</f>
        <v>BRSR</v>
      </c>
      <c r="D498" s="15">
        <v>4</v>
      </c>
      <c r="E498" s="6">
        <v>3750000000</v>
      </c>
      <c r="F498" s="8">
        <v>3542377</v>
      </c>
      <c r="G498" s="86">
        <v>0.25</v>
      </c>
      <c r="H498" s="15"/>
      <c r="I498" s="19">
        <v>0.06</v>
      </c>
      <c r="J498" s="19"/>
      <c r="K498" s="88"/>
      <c r="L498" s="88"/>
      <c r="M498" s="55"/>
      <c r="N498" s="55"/>
      <c r="O498" s="55"/>
      <c r="P498" s="6">
        <v>5147862000</v>
      </c>
      <c r="Q498" s="6">
        <v>791614000</v>
      </c>
      <c r="R498" s="6">
        <f>IF(Tabela3[[#This Row],[Ativo || Passivo]]&gt;0,Tabela3[[#This Row],[Ativo || Passivo]]-Tabela3[[#This Row],[Patrimônio Líquido]],0)</f>
        <v>0</v>
      </c>
      <c r="S498" s="6">
        <f>Tabela3[[#This Row],[Cotação]]*Tabela3[[#This Row],[Total Ações]]</f>
        <v>4461911544.0699997</v>
      </c>
      <c r="T498" s="132">
        <f>IF(Tabela3[[#This Row],[Passivo Circulante]]&gt;0,Tabela3[[#This Row],[Ativo Circulante]]/Tabela3[[#This Row],[Passivo Circulante]],0)</f>
        <v>0</v>
      </c>
      <c r="U498" s="132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8" s="19">
        <f>IF(Tabela3[[#This Row],[Lucro Líquido]]&gt;0,Tabela3[[#This Row],[Lucro Líquido]]/Tabela3[[#This Row],[Patrimônio Líquido]],0)</f>
        <v>0.15377529545275301</v>
      </c>
      <c r="W498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8" s="19">
        <f>IF(Tabela3[[#This Row],[Dívida]]&gt;0,Tabela3[[#This Row],[Dívida]]/Tabela3[[#This Row],[Patrimônio Líquido]],0)</f>
        <v>0</v>
      </c>
      <c r="Y498" s="19">
        <f>SUMPRODUCT(N([Dívida / PL]&gt;0),N(RIGHT([PAPEL],LEN([PAPEL])-(LEN([PAPEL])-1))="3"),[Dívida / PL])/SUMPRODUCT(N([Dívida / PL]&gt;0),N(RIGHT([PAPEL],LEN([PAPEL])-(LEN([PAPEL])-1))="3"))</f>
        <v>2.2979292427324034</v>
      </c>
      <c r="Z498" s="6">
        <f>Tabela3[[#This Row],[Capital Social]]*20%</f>
        <v>750000000</v>
      </c>
      <c r="AA498" s="6">
        <f>IF(([Lucro Líquido]*5%)&gt;[Teto R. Legal],[Teto R. Legal],[Lucro Líquido]*5%)</f>
        <v>39580700</v>
      </c>
      <c r="AB498" s="6">
        <f>IF([Lucro Líquido]&lt;0,0,[Lucro Líquido]-[Reserva Legal])</f>
        <v>752033300</v>
      </c>
      <c r="AC498" s="6">
        <f>Tabela3[[#This Row],[Lucro Distribuir]]*[%Div]</f>
        <v>188008325</v>
      </c>
      <c r="AD498" s="21">
        <f>SUMPRODUCT(N([Nome]=Tabela3[[#This Row],[Nome]]),[Ações])</f>
        <v>408974477</v>
      </c>
      <c r="AE498" s="6">
        <f>[Capital Social]/[Total Ações]</f>
        <v>9.1692763507097776</v>
      </c>
      <c r="AF498" s="78">
        <f>Tabela3[[#This Row],[Lucro Líquido]]/Tabela3[[#This Row],[Total Ações]]</f>
        <v>1.9356073410908721</v>
      </c>
      <c r="AG4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49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49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498" s="6">
        <f>[Div Base]*[Ações]</f>
        <v>1948862.019083895</v>
      </c>
      <c r="AL498" s="6">
        <f>SUMPRODUCT(N([Nome]=Tabela3[[#This Row],[Nome]]),[Div Base]*[Ações])</f>
        <v>188008325</v>
      </c>
      <c r="AM498" s="6">
        <f>[Patrimônio Líquido]/[Total Ações]</f>
        <v>12.587245144884678</v>
      </c>
      <c r="AN498" s="48">
        <f>MAX(Tabela3[[#This Row],[Cotação 1]:[Cotação 5]])</f>
        <v>10.91</v>
      </c>
      <c r="AO498" s="44">
        <f>[Cotação]/[VPA]</f>
        <v>0.86675041873111591</v>
      </c>
      <c r="AP498" s="40">
        <f>IF(Tabela3[[#This Row],[Lucro/Ação]]&gt;0,Tabela3[[#This Row],[Cotação]]/(Tabela3[[#This Row],[Lucro/Ação]]/[Ref]*4),0)</f>
        <v>5.6364737663431921</v>
      </c>
      <c r="AQ498" s="78">
        <f>[Lucro Distribuir]/[Total Ações]</f>
        <v>1.8388269740363283</v>
      </c>
      <c r="AR498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498" s="15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5.0426817694095939E-2</v>
      </c>
      <c r="AU498" s="19">
        <f>((1+Tabela3[[#This Row],[% Yield]])^(1/(3*Tabela3[[#This Row],[Ref]])))^(12)-1</f>
        <v>5.0426817694095627E-2</v>
      </c>
      <c r="AV498" s="14">
        <f>IF([Cotação]&gt;0,($BH$1/Tabela3[[#This Row],[Cotação]]-MOD($BH$1/Tabela3[[#This Row],[Cotação]],100)),)</f>
        <v>0</v>
      </c>
      <c r="AW498" s="17">
        <f>Tabela3[[#This Row],[Ativos]]*[Lucro]</f>
        <v>0</v>
      </c>
      <c r="AX498" s="5">
        <f>SUMPRODUCT(N(Tabela1[Código]=Tabela3[[#This Row],[PAPEL]]),Tabela1[Fechamento])</f>
        <v>10.91</v>
      </c>
      <c r="AY498" s="5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idden="1">
      <c r="A499" s="4" t="s">
        <v>237</v>
      </c>
      <c r="B499" s="57" t="s">
        <v>599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9433103367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499" s="19">
        <f>IF(Tabela3[[#This Row],[Lucro Líquido]]&gt;0,Tabela3[[#This Row],[Lucro Líquido]]/Tabela3[[#This Row],[Patrimônio Líquido]],0)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2.2979292427324034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9.3000000000000007</v>
      </c>
      <c r="AO499" s="44">
        <f>[Cotação]/[VPA]</f>
        <v>0.56445400291815884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9.3000000000000007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idden="1">
      <c r="A500" s="4" t="s">
        <v>237</v>
      </c>
      <c r="B500" s="57" t="s">
        <v>600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10092406290.5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0" s="19">
        <f>IF(Tabela3[[#This Row],[Lucro Líquido]]&gt;0,Tabela3[[#This Row],[Lucro Líquido]]/Tabela3[[#This Row],[Patrimônio Líquido]],0)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2.2979292427324034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9.9499999999999993</v>
      </c>
      <c r="AO500" s="44">
        <f>[Cotação]/[VPA]</f>
        <v>0.6039050891436214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9.9499999999999993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idden="1">
      <c r="A501" s="4" t="s">
        <v>237</v>
      </c>
      <c r="B501" s="57" t="s">
        <v>601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1" s="19">
        <f>IF(Tabela3[[#This Row],[Lucro Líquido]]&gt;0,Tabela3[[#This Row],[Lucro Líquido]]/Tabela3[[#This Row],[Patrimônio Líquido]],0)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2.2979292427324034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idden="1">
      <c r="A502" s="3" t="s">
        <v>863</v>
      </c>
      <c r="B502" s="58" t="s">
        <v>862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1181641845.8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2" s="18">
        <f>IF(Tabela3[[#This Row],[Lucro Líquido]]&gt;0,Tabela3[[#This Row],[Lucro Líquido]]/Tabela3[[#This Row],[Patrimônio Líquido]],0)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2.2979292427324034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3.05</v>
      </c>
      <c r="AO502" s="53">
        <f>[Cotação]/[VPA]</f>
        <v>0.88278081483999415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100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3.05</v>
      </c>
      <c r="BB502" s="7">
        <f>SUMPRODUCT(N(Tabela17683[Código]=Tabela3[[#This Row],[PAPEL]]),Tabela17683[Fechamento])</f>
        <v>0</v>
      </c>
    </row>
    <row r="503" spans="1:54" hidden="1">
      <c r="A503" s="4" t="s">
        <v>325</v>
      </c>
      <c r="B503" s="57" t="s">
        <v>665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3" s="18">
        <f>IF(Tabela3[[#This Row],[Lucro Líquido]]&gt;0,Tabela3[[#This Row],[Lucro Líquido]]/Tabela3[[#This Row],[Patrimônio Líquido]],0)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2.2979292427324034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idden="1">
      <c r="A504" s="4" t="s">
        <v>325</v>
      </c>
      <c r="B504" s="57" t="s">
        <v>326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155701124982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4" s="18">
        <f>IF(Tabela3[[#This Row],[Lucro Líquido]]&gt;0,Tabela3[[#This Row],[Lucro Líquido]]/Tabela3[[#This Row],[Patrimônio Líquido]],0)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2.2979292427324034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29.02</v>
      </c>
      <c r="AO504" s="44">
        <f>[Cotação]/[VPA]</f>
        <v>1.0495815363614986</v>
      </c>
      <c r="AP504" s="40">
        <f>IF(Tabela3[[#This Row],[Lucro/Ação]]&gt;0,Tabela3[[#This Row],[Cotação]]/(Tabela3[[#This Row],[Lucro/Ação]]/[Ref]*4),0)</f>
        <v>1352.8523080171342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2.8582819876956513E-2</v>
      </c>
      <c r="AU504" s="19">
        <f>((1+Tabela3[[#This Row],[% Yield]])^(1/(3*Tabela3[[#This Row],[Ref]])))^(12)-1</f>
        <v>2.8582819876955545E-2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29.02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idden="1">
      <c r="A505" s="3" t="s">
        <v>281</v>
      </c>
      <c r="B505" s="58" t="s">
        <v>279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5" s="18">
        <f>IF(Tabela3[[#This Row],[Lucro Líquido]]&gt;0,Tabela3[[#This Row],[Lucro Líquido]]/Tabela3[[#This Row],[Patrimônio Líquido]],0)</f>
        <v>8.04558190654307E-2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2.2979292427324034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idden="1">
      <c r="A506" s="3" t="s">
        <v>1093</v>
      </c>
      <c r="B506" s="57" t="s">
        <v>1127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57002606.840000004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6" s="18">
        <f>IF(Tabela3[[#This Row],[Lucro Líquido]]&gt;0,Tabela3[[#This Row],[Lucro Líquido]]/Tabela3[[#This Row],[Patrimônio Líquido]],0)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2.2979292427324034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0.17</v>
      </c>
      <c r="AO506" s="53">
        <f>[Cotação]/[VPA]</f>
        <v>0.1324453091875665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2900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0.17</v>
      </c>
      <c r="BB506" s="7">
        <f>SUMPRODUCT(N(Tabela17683[Código]=Tabela3[[#This Row],[PAPEL]]),Tabela17683[Fechamento])</f>
        <v>0</v>
      </c>
    </row>
    <row r="507" spans="1:54" hidden="1">
      <c r="A507" s="3" t="s">
        <v>289</v>
      </c>
      <c r="B507" s="58" t="s">
        <v>290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42210072375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7" s="18">
        <f>IF(Tabela3[[#This Row],[Lucro Líquido]]&gt;0,Tabela3[[#This Row],[Lucro Líquido]]/Tabela3[[#This Row],[Patrimônio Líquido]],0)</f>
        <v>5.694631635823779E-2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2.2979292427324034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37.5</v>
      </c>
      <c r="AO507" s="53">
        <f>[Cotação]/[VPA]</f>
        <v>0.96743140926507076</v>
      </c>
      <c r="AP507" s="37">
        <f>IF(Tabela3[[#This Row],[Lucro/Ação]]&gt;0,Tabela3[[#This Row],[Cotação]]/(Tabela3[[#This Row],[Lucro/Ação]]/[Ref]*4),0)</f>
        <v>12.741360694594647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1.3545088161980297E-2</v>
      </c>
      <c r="AU507" s="18">
        <f>((1+Tabela3[[#This Row],[% Yield]])^(1/(3*Tabela3[[#This Row],[Ref]])))^(12)-1</f>
        <v>1.810076649624337E-2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37.5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idden="1">
      <c r="A508" s="3" t="s">
        <v>289</v>
      </c>
      <c r="B508" s="58" t="s">
        <v>291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48963683955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8" s="18">
        <f>IF(Tabela3[[#This Row],[Lucro Líquido]]&gt;0,Tabela3[[#This Row],[Lucro Líquido]]/Tabela3[[#This Row],[Patrimônio Líquido]],0)</f>
        <v>5.694631635823779E-2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2.2979292427324034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43.5</v>
      </c>
      <c r="AO508" s="53">
        <f>[Cotação]/[VPA]</f>
        <v>1.122220434747482</v>
      </c>
      <c r="AP508" s="37">
        <f>IF(Tabela3[[#This Row],[Lucro/Ação]]&gt;0,Tabela3[[#This Row],[Cotação]]/(Tabela3[[#This Row],[Lucro/Ação]]/[Ref]*4),0)</f>
        <v>14.779978405729789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1.2844480171197598E-2</v>
      </c>
      <c r="AU508" s="18">
        <f>((1+Tabela3[[#This Row],[% Yield]])^(1/(3*Tabela3[[#This Row],[Ref]])))^(12)-1</f>
        <v>1.7162531842680462E-2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43.5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idden="1">
      <c r="A509" s="3" t="s">
        <v>1209</v>
      </c>
      <c r="B509" s="57" t="s">
        <v>1200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1700932500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09" s="18">
        <f>IF(Tabela3[[#This Row],[Lucro Líquido]]&gt;0,Tabela3[[#This Row],[Lucro Líquido]]/Tabela3[[#This Row],[Patrimônio Líquido]],0)</f>
        <v>0.12470746494186154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2.2979292427324034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30.51</v>
      </c>
      <c r="AO509" s="53">
        <f>[Cotação]/[VPA]</f>
        <v>3.1343772458400134</v>
      </c>
      <c r="AP509" s="37">
        <f>IF(Tabela3[[#This Row],[Lucro/Ação]]&gt;0,Tabela3[[#This Row],[Cotação]]/(Tabela3[[#This Row],[Lucro/Ação]]/[Ref]*4),0)</f>
        <v>18.850378647949761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9.4494123076606512E-3</v>
      </c>
      <c r="AU509" s="22">
        <f>((1+Tabela3[[#This Row],[% Yield]])^(1/(3*Tabela3[[#This Row],[Ref]])))^(12)-1</f>
        <v>1.2619017438487479E-2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30.51</v>
      </c>
    </row>
    <row r="510" spans="1:54" hidden="1">
      <c r="A510" s="3" t="s">
        <v>1238</v>
      </c>
      <c r="B510" s="57" t="s">
        <v>1240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0" s="18">
        <f>IF(Tabela3[[#This Row],[Lucro Líquido]]&gt;0,Tabela3[[#This Row],[Lucro Líquido]]/Tabela3[[#This Row],[Patrimônio Líquido]],0)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2.2979292427324034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100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idden="1">
      <c r="A511" s="3" t="s">
        <v>1238</v>
      </c>
      <c r="B511" s="57" t="s">
        <v>1241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1" s="18">
        <f>IF(Tabela3[[#This Row],[Lucro Líquido]]&gt;0,Tabela3[[#This Row],[Lucro Líquido]]/Tabela3[[#This Row],[Patrimônio Líquido]],0)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2.2979292427324034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idden="1">
      <c r="A512" s="3" t="s">
        <v>1024</v>
      </c>
      <c r="B512" s="58" t="s">
        <v>1030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2" s="18">
        <f>IF(Tabela3[[#This Row],[Lucro Líquido]]&gt;0,Tabela3[[#This Row],[Lucro Líquido]]/Tabela3[[#This Row],[Patrimônio Líquido]],0)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2.2979292427324034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idden="1">
      <c r="A513" s="3" t="s">
        <v>889</v>
      </c>
      <c r="B513" s="58" t="s">
        <v>900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30719877227.200001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3" s="19">
        <f>IF(Tabela3[[#This Row],[Lucro Líquido]]&gt;0,Tabela3[[#This Row],[Lucro Líquido]]/Tabela3[[#This Row],[Patrimônio Líquido]],0)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2.2979292427324034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23.8</v>
      </c>
      <c r="AO513" s="53">
        <f>[Cotação]/[VPA]</f>
        <v>7.7756033968790659</v>
      </c>
      <c r="AP513" s="37">
        <f>IF(Tabela3[[#This Row],[Lucro/Ação]]&gt;0,Tabela3[[#This Row],[Cotação]]/(Tabela3[[#This Row],[Lucro/Ação]]/[Ref]*4),0)</f>
        <v>26.493112993923464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2.6893781797685347E-2</v>
      </c>
      <c r="AU513" s="22">
        <f>((1+Tabela3[[#This Row],[% Yield]])^(1/(3*Tabela3[[#This Row],[Ref]])))^(12)-1</f>
        <v>2.6893781797684868E-2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23.8</v>
      </c>
      <c r="BB513" s="7">
        <f>SUMPRODUCT(N(Tabela17683[Código]=Tabela3[[#This Row],[PAPEL]]),Tabela17683[Fechamento])</f>
        <v>0</v>
      </c>
    </row>
    <row r="514" spans="1:54" hidden="1">
      <c r="A514" s="3" t="s">
        <v>889</v>
      </c>
      <c r="B514" s="58" t="s">
        <v>901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7912304512.7200003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4" s="18">
        <f>IF(Tabela3[[#This Row],[Lucro Líquido]]&gt;0,Tabela3[[#This Row],[Lucro Líquido]]/Tabela3[[#This Row],[Patrimônio Líquido]],0)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2.2979292427324034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6.13</v>
      </c>
      <c r="AO514" s="53">
        <f>[Cotação]/[VPA]</f>
        <v>2.0027079337339777</v>
      </c>
      <c r="AP514" s="37">
        <f>IF(Tabela3[[#This Row],[Lucro/Ação]]&gt;0,Tabela3[[#This Row],[Cotação]]/(Tabela3[[#This Row],[Lucro/Ação]]/[Ref]*4),0)</f>
        <v>6.8236463299475139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3.4805438106846727E-2</v>
      </c>
      <c r="AU514" s="22">
        <f>((1+Tabela3[[#This Row],[% Yield]])^(1/(3*Tabela3[[#This Row],[Ref]])))^(12)-1</f>
        <v>3.4805438106844999E-2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6.13</v>
      </c>
      <c r="BB514" s="7">
        <f>SUMPRODUCT(N(Tabela17683[Código]=Tabela3[[#This Row],[PAPEL]]),Tabela17683[Fechamento])</f>
        <v>0</v>
      </c>
    </row>
    <row r="515" spans="1:54" hidden="1">
      <c r="A515" s="3" t="s">
        <v>889</v>
      </c>
      <c r="B515" s="58" t="s">
        <v>902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5" s="18">
        <f>IF(Tabela3[[#This Row],[Lucro Líquido]]&gt;0,Tabela3[[#This Row],[Lucro Líquido]]/Tabela3[[#This Row],[Patrimônio Líquido]],0)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2.2979292427324034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idden="1">
      <c r="A516" s="3" t="s">
        <v>1311</v>
      </c>
      <c r="B516" s="57" t="s">
        <v>1314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18571269417.389999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6" s="18">
        <f>IF(Tabela3[[#This Row],[Lucro Líquido]]&gt;0,Tabela3[[#This Row],[Lucro Líquido]]/Tabela3[[#This Row],[Patrimônio Líquido]],0)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2.2979292427324034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29.91</v>
      </c>
      <c r="AO516" s="53">
        <f>[Cotação]/[VPA]</f>
        <v>4.0746376557208217</v>
      </c>
      <c r="AP516" s="37">
        <f>IF(Tabela3[[#This Row],[Lucro/Ação]]&gt;0,Tabela3[[#This Row],[Cotação]]/(Tabela3[[#This Row],[Lucro/Ação]]/[Ref]*4),0)</f>
        <v>22.017778309512998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1.0786737729000831E-2</v>
      </c>
      <c r="AU516" s="22">
        <f>((1+Tabela3[[#This Row],[% Yield]])^(1/(3*Tabela3[[#This Row],[Ref]])))^(12)-1</f>
        <v>1.0786737729001405E-2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29.91</v>
      </c>
    </row>
    <row r="517" spans="1:54" hidden="1">
      <c r="A517" s="3" t="s">
        <v>889</v>
      </c>
      <c r="B517" s="57" t="s">
        <v>890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5635447522.5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7" s="18">
        <f>IF(Tabela3[[#This Row],[Lucro Líquido]]&gt;0,Tabela3[[#This Row],[Lucro Líquido]]/Tabela3[[#This Row],[Patrimônio Líquido]],0)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2.2979292427324034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3.75</v>
      </c>
      <c r="AO517" s="53">
        <f>[Cotação]/[VPA]</f>
        <v>2.3968908488998357</v>
      </c>
      <c r="AP517" s="37">
        <f>IF(Tabela3[[#This Row],[Lucro/Ação]]&gt;0,Tabela3[[#This Row],[Cotação]]/(Tabela3[[#This Row],[Lucro/Ação]]/[Ref]*4),0)</f>
        <v>6.9338275287389548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3.3186644883904381E-2</v>
      </c>
      <c r="AU517" s="22">
        <f>((1+Tabela3[[#This Row],[% Yield]])^(1/(3*Tabela3[[#This Row],[Ref]])))^(12)-1</f>
        <v>3.3186644883903771E-2</v>
      </c>
      <c r="AV517" s="10">
        <f>IF([Cotação]&gt;0,($BH$1/Tabela3[[#This Row],[Cotação]]-MOD($BH$1/Tabela3[[#This Row],[Cotação]],100)),)</f>
        <v>100</v>
      </c>
      <c r="AW517" s="7">
        <f>Tabela3[[#This Row],[Ativos]]*[Lucro]</f>
        <v>12.444991831464144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3.75</v>
      </c>
      <c r="BB517" s="7">
        <f>SUMPRODUCT(N(Tabela17683[Código]=Tabela3[[#This Row],[PAPEL]]),Tabela17683[Fechamento])</f>
        <v>0</v>
      </c>
    </row>
    <row r="518" spans="1:54" hidden="1">
      <c r="A518" s="3" t="s">
        <v>889</v>
      </c>
      <c r="B518" s="57" t="s">
        <v>891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6011144024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8" s="18">
        <f>IF(Tabela3[[#This Row],[Lucro Líquido]]&gt;0,Tabela3[[#This Row],[Lucro Líquido]]/Tabela3[[#This Row],[Patrimônio Líquido]],0)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2.2979292427324034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</v>
      </c>
      <c r="AO518" s="53">
        <f>[Cotação]/[VPA]</f>
        <v>2.5566835721598249</v>
      </c>
      <c r="AP518" s="37">
        <f>IF(Tabela3[[#This Row],[Lucro/Ação]]&gt;0,Tabela3[[#This Row],[Cotação]]/(Tabela3[[#This Row],[Lucro/Ação]]/[Ref]*4),0)</f>
        <v>7.3960826973215523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3.4223727583409316E-2</v>
      </c>
      <c r="AU518" s="22">
        <f>((1+Tabela3[[#This Row],[% Yield]])^(1/(3*Tabela3[[#This Row],[Ref]])))^(12)-1</f>
        <v>3.4223727583409858E-2</v>
      </c>
      <c r="AV518" s="10">
        <f>IF([Cotação]&gt;0,($BH$1/Tabela3[[#This Row],[Cotação]]-MOD($BH$1/Tabela3[[#This Row],[Cotação]],100)),)</f>
        <v>100</v>
      </c>
      <c r="AW518" s="7">
        <f>Tabela3[[#This Row],[Ativos]]*[Lucro]</f>
        <v>13.689491033363726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</v>
      </c>
      <c r="BB518" s="7">
        <f>SUMPRODUCT(N(Tabela17683[Código]=Tabela3[[#This Row],[PAPEL]]),Tabela17683[Fechamento])</f>
        <v>0</v>
      </c>
    </row>
    <row r="519" spans="1:54" hidden="1">
      <c r="A519" s="3" t="s">
        <v>910</v>
      </c>
      <c r="B519" s="58" t="s">
        <v>1006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2.3799738011938363</v>
      </c>
      <c r="V519" s="18">
        <f>IF(Tabela3[[#This Row],[Lucro Líquido]]&gt;0,Tabela3[[#This Row],[Lucro Líquido]]/Tabela3[[#This Row],[Patrimônio Líquido]],0)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0.13161838798533668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2.2979292427324034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14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498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496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143" r:id="rId34" display="CMIG4"/>
    <hyperlink ref="B130" r:id="rId35" display="CESP3"/>
    <hyperlink ref="B129" r:id="rId36" display="CESP3"/>
    <hyperlink ref="B210" r:id="rId37" display="ELPL4"/>
    <hyperlink ref="B462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263" r:id="rId52"/>
    <hyperlink ref="B322" r:id="rId53"/>
    <hyperlink ref="B228" r:id="rId54"/>
    <hyperlink ref="B191" r:id="rId55"/>
    <hyperlink ref="B258" r:id="rId56"/>
    <hyperlink ref="B142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497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31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363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174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136" r:id="rId369"/>
    <hyperlink ref="B364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246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416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1520</v>
      </c>
      <c r="E7" s="3" t="s">
        <v>915</v>
      </c>
      <c r="F7" s="3" t="s">
        <v>1521</v>
      </c>
      <c r="G7" s="3" t="s">
        <v>136</v>
      </c>
      <c r="H7" s="20">
        <v>41696</v>
      </c>
      <c r="J7" s="3">
        <f>IF($A7="",0,VALUE(CONCATENATE(LEFT(D7,LEN(D7)-3),",",RIGHT(D7,2))))</f>
        <v>11.27</v>
      </c>
      <c r="K7" s="3">
        <f t="shared" ref="K7:M22" si="0">IF($A7="",0,VALUE(CONCATENATE(LEFT(E7,LEN(E7)-3),",",RIGHT(E7,2))))</f>
        <v>11.1</v>
      </c>
      <c r="L7" s="3">
        <f t="shared" si="0"/>
        <v>11.31</v>
      </c>
      <c r="M7" s="3">
        <f t="shared" si="0"/>
        <v>11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41696</v>
      </c>
      <c r="S7" s="5">
        <f t="shared" ref="S7:S38" si="3">J7</f>
        <v>11.27</v>
      </c>
      <c r="T7" s="5">
        <f t="shared" ref="T7:T38" si="4">K7</f>
        <v>11.1</v>
      </c>
      <c r="U7" s="5">
        <f t="shared" ref="U7:U38" si="5">L7</f>
        <v>11.31</v>
      </c>
      <c r="V7" s="5">
        <f t="shared" ref="V7:V38" si="6">M7</f>
        <v>11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1441</v>
      </c>
      <c r="E8" s="3" t="s">
        <v>1522</v>
      </c>
      <c r="F8" s="3" t="s">
        <v>1522</v>
      </c>
      <c r="G8" s="3" t="s">
        <v>1441</v>
      </c>
      <c r="H8" s="20">
        <v>41696</v>
      </c>
      <c r="J8" s="3">
        <f t="shared" ref="J8:M71" si="7">IF($A8="",0,VALUE(CONCATENATE(LEFT(D8,LEN(D8)-3),",",RIGHT(D8,2))))</f>
        <v>7.19</v>
      </c>
      <c r="K8" s="3">
        <f t="shared" si="0"/>
        <v>7.44</v>
      </c>
      <c r="L8" s="3">
        <f t="shared" si="0"/>
        <v>7.44</v>
      </c>
      <c r="M8" s="3">
        <f t="shared" si="0"/>
        <v>7.19</v>
      </c>
      <c r="P8" s="14" t="s">
        <v>67</v>
      </c>
      <c r="Q8" s="10" t="str">
        <f t="shared" si="1"/>
        <v>AES ELPA    -ON</v>
      </c>
      <c r="R8" s="20">
        <f t="shared" si="2"/>
        <v>41696</v>
      </c>
      <c r="S8" s="5">
        <f t="shared" si="3"/>
        <v>7.19</v>
      </c>
      <c r="T8" s="5">
        <f t="shared" si="4"/>
        <v>7.44</v>
      </c>
      <c r="U8" s="5">
        <f t="shared" si="5"/>
        <v>7.44</v>
      </c>
      <c r="V8" s="5">
        <f t="shared" si="6"/>
        <v>7.19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974</v>
      </c>
      <c r="E9" s="3" t="s">
        <v>974</v>
      </c>
      <c r="F9" s="3" t="s">
        <v>974</v>
      </c>
      <c r="G9" s="3" t="s">
        <v>974</v>
      </c>
      <c r="H9" s="20">
        <v>41696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41696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1523</v>
      </c>
      <c r="E10" s="3" t="s">
        <v>397</v>
      </c>
      <c r="F10" s="3" t="s">
        <v>1523</v>
      </c>
      <c r="G10" s="3" t="s">
        <v>1414</v>
      </c>
      <c r="H10" s="20">
        <v>41696</v>
      </c>
      <c r="J10" s="3">
        <f t="shared" si="7"/>
        <v>19.87</v>
      </c>
      <c r="K10" s="3">
        <f t="shared" si="0"/>
        <v>19.5</v>
      </c>
      <c r="L10" s="3">
        <f t="shared" si="0"/>
        <v>19.87</v>
      </c>
      <c r="M10" s="3">
        <f t="shared" si="0"/>
        <v>19.350000000000001</v>
      </c>
      <c r="P10" s="15" t="s">
        <v>24</v>
      </c>
      <c r="Q10" s="10" t="str">
        <f t="shared" si="1"/>
        <v xml:space="preserve">BRASIL      -ON  </v>
      </c>
      <c r="R10" s="20">
        <f t="shared" si="2"/>
        <v>41696</v>
      </c>
      <c r="S10" s="5">
        <f t="shared" si="3"/>
        <v>19.87</v>
      </c>
      <c r="T10" s="5">
        <f t="shared" si="4"/>
        <v>19.5</v>
      </c>
      <c r="U10" s="5">
        <f t="shared" si="5"/>
        <v>19.87</v>
      </c>
      <c r="V10" s="5">
        <f t="shared" si="6"/>
        <v>19.350000000000001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199</v>
      </c>
      <c r="D11" s="3" t="s">
        <v>1524</v>
      </c>
      <c r="E11" s="3" t="s">
        <v>1816</v>
      </c>
      <c r="F11" s="3" t="s">
        <v>1817</v>
      </c>
      <c r="G11" s="3" t="s">
        <v>1526</v>
      </c>
      <c r="H11" s="20">
        <v>41696</v>
      </c>
      <c r="J11" s="3">
        <f t="shared" si="7"/>
        <v>28.59</v>
      </c>
      <c r="K11" s="3">
        <f t="shared" si="0"/>
        <v>28.45</v>
      </c>
      <c r="L11" s="3">
        <f t="shared" si="0"/>
        <v>28.96</v>
      </c>
      <c r="M11" s="3">
        <f t="shared" si="0"/>
        <v>28.06</v>
      </c>
      <c r="P11" s="14" t="s">
        <v>197</v>
      </c>
      <c r="Q11" s="10" t="str">
        <f t="shared" si="1"/>
        <v xml:space="preserve">BRADESCO    -ON  </v>
      </c>
      <c r="R11" s="20">
        <f t="shared" si="2"/>
        <v>41696</v>
      </c>
      <c r="S11" s="5">
        <f t="shared" si="3"/>
        <v>28.59</v>
      </c>
      <c r="T11" s="5">
        <f t="shared" si="4"/>
        <v>28.45</v>
      </c>
      <c r="U11" s="5">
        <f t="shared" si="5"/>
        <v>28.96</v>
      </c>
      <c r="V11" s="5">
        <f t="shared" si="6"/>
        <v>28.06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200</v>
      </c>
      <c r="D12" s="3" t="s">
        <v>1443</v>
      </c>
      <c r="E12" s="3" t="s">
        <v>1052</v>
      </c>
      <c r="F12" s="3" t="s">
        <v>1818</v>
      </c>
      <c r="G12" s="3" t="s">
        <v>1527</v>
      </c>
      <c r="H12" s="20">
        <v>41696</v>
      </c>
      <c r="J12" s="3">
        <f t="shared" si="7"/>
        <v>26.99</v>
      </c>
      <c r="K12" s="3">
        <f t="shared" si="0"/>
        <v>26.75</v>
      </c>
      <c r="L12" s="3">
        <f t="shared" si="0"/>
        <v>27.13</v>
      </c>
      <c r="M12" s="3">
        <f t="shared" si="0"/>
        <v>26.56</v>
      </c>
      <c r="P12" s="14" t="s">
        <v>198</v>
      </c>
      <c r="Q12" s="10" t="str">
        <f t="shared" si="1"/>
        <v xml:space="preserve">BRADESCO    -PN  </v>
      </c>
      <c r="R12" s="51">
        <f t="shared" si="2"/>
        <v>41696</v>
      </c>
      <c r="S12" s="5">
        <f t="shared" si="3"/>
        <v>26.99</v>
      </c>
      <c r="T12" s="5">
        <f t="shared" si="4"/>
        <v>26.75</v>
      </c>
      <c r="U12" s="5">
        <f t="shared" si="5"/>
        <v>27.13</v>
      </c>
      <c r="V12" s="5">
        <f t="shared" si="6"/>
        <v>26.56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647</v>
      </c>
      <c r="D13" s="3" t="s">
        <v>1288</v>
      </c>
      <c r="E13" s="3" t="s">
        <v>1819</v>
      </c>
      <c r="F13" s="3" t="s">
        <v>1819</v>
      </c>
      <c r="G13" s="3" t="s">
        <v>1288</v>
      </c>
      <c r="H13" s="20">
        <v>41696</v>
      </c>
      <c r="J13" s="3">
        <f t="shared" si="7"/>
        <v>0.44</v>
      </c>
      <c r="K13" s="3">
        <f t="shared" si="0"/>
        <v>0.45</v>
      </c>
      <c r="L13" s="3">
        <f t="shared" si="0"/>
        <v>0.45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1">
        <f t="shared" si="2"/>
        <v>41696</v>
      </c>
      <c r="S13" s="5">
        <f t="shared" si="3"/>
        <v>0.44</v>
      </c>
      <c r="T13" s="5">
        <f t="shared" si="4"/>
        <v>0.45</v>
      </c>
      <c r="U13" s="5">
        <f t="shared" si="5"/>
        <v>0.45</v>
      </c>
      <c r="V13" s="5">
        <f t="shared" si="6"/>
        <v>0.44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648</v>
      </c>
      <c r="D14" s="3" t="s">
        <v>734</v>
      </c>
      <c r="E14" s="3" t="s">
        <v>734</v>
      </c>
      <c r="F14" s="3" t="s">
        <v>734</v>
      </c>
      <c r="G14" s="3" t="s">
        <v>734</v>
      </c>
      <c r="H14" s="20">
        <v>41696</v>
      </c>
      <c r="J14" s="3">
        <f t="shared" si="7"/>
        <v>0.43</v>
      </c>
      <c r="K14" s="3">
        <f t="shared" si="0"/>
        <v>0.43</v>
      </c>
      <c r="L14" s="3">
        <f t="shared" si="0"/>
        <v>0.43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41696</v>
      </c>
      <c r="S14" s="5">
        <f t="shared" si="3"/>
        <v>0.43</v>
      </c>
      <c r="T14" s="5">
        <f t="shared" si="4"/>
        <v>0.43</v>
      </c>
      <c r="U14" s="5">
        <f t="shared" si="5"/>
        <v>0.43</v>
      </c>
      <c r="V14" s="5">
        <f t="shared" si="6"/>
        <v>0.43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398</v>
      </c>
      <c r="D15" s="3" t="s">
        <v>1820</v>
      </c>
      <c r="E15" s="3" t="s">
        <v>396</v>
      </c>
      <c r="F15" s="3" t="s">
        <v>396</v>
      </c>
      <c r="G15" s="3" t="s">
        <v>1820</v>
      </c>
      <c r="H15" s="20">
        <v>41648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201</v>
      </c>
      <c r="Q15" s="10" t="str">
        <f t="shared" si="1"/>
        <v>BANESE      -ON</v>
      </c>
      <c r="R15" s="51">
        <f t="shared" si="2"/>
        <v>41648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399</v>
      </c>
      <c r="D16" s="3" t="s">
        <v>1475</v>
      </c>
      <c r="E16" s="3" t="s">
        <v>1821</v>
      </c>
      <c r="F16" s="3" t="s">
        <v>1821</v>
      </c>
      <c r="G16" s="3" t="s">
        <v>1475</v>
      </c>
      <c r="H16" s="20">
        <v>41696</v>
      </c>
      <c r="J16" s="3">
        <f t="shared" si="7"/>
        <v>43</v>
      </c>
      <c r="K16" s="3">
        <f t="shared" si="0"/>
        <v>43.59</v>
      </c>
      <c r="L16" s="3">
        <f t="shared" si="0"/>
        <v>43.59</v>
      </c>
      <c r="M16" s="3">
        <f t="shared" si="0"/>
        <v>43</v>
      </c>
      <c r="P16" s="15" t="s">
        <v>202</v>
      </c>
      <c r="Q16" s="10" t="str">
        <f t="shared" si="1"/>
        <v>BANESE      -PN</v>
      </c>
      <c r="R16" s="51">
        <f t="shared" si="2"/>
        <v>41696</v>
      </c>
      <c r="S16" s="5">
        <f t="shared" si="3"/>
        <v>43</v>
      </c>
      <c r="T16" s="5">
        <f t="shared" si="4"/>
        <v>43.59</v>
      </c>
      <c r="U16" s="5">
        <f t="shared" si="5"/>
        <v>43.59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208</v>
      </c>
      <c r="D17" s="3" t="s">
        <v>764</v>
      </c>
      <c r="E17" s="3" t="s">
        <v>764</v>
      </c>
      <c r="F17" s="3" t="s">
        <v>764</v>
      </c>
      <c r="G17" s="3" t="s">
        <v>764</v>
      </c>
      <c r="H17" s="20">
        <v>41680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207</v>
      </c>
      <c r="Q17" s="10" t="str">
        <f t="shared" si="1"/>
        <v xml:space="preserve">BICBANCO    -ON  </v>
      </c>
      <c r="R17" s="51">
        <f t="shared" si="2"/>
        <v>41680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1528</v>
      </c>
      <c r="E18" s="3" t="s">
        <v>1822</v>
      </c>
      <c r="F18" s="3" t="s">
        <v>1823</v>
      </c>
      <c r="G18" s="3" t="s">
        <v>1530</v>
      </c>
      <c r="H18" s="20">
        <v>41696</v>
      </c>
      <c r="J18" s="3">
        <f t="shared" si="7"/>
        <v>7.06</v>
      </c>
      <c r="K18" s="3">
        <f t="shared" si="0"/>
        <v>7.15</v>
      </c>
      <c r="L18" s="3">
        <f t="shared" si="0"/>
        <v>7.2</v>
      </c>
      <c r="M18" s="3">
        <f t="shared" si="0"/>
        <v>7.04</v>
      </c>
      <c r="P18" s="14" t="s">
        <v>10</v>
      </c>
      <c r="Q18" s="10" t="str">
        <f t="shared" si="1"/>
        <v xml:space="preserve">BICBANCO    -PN  </v>
      </c>
      <c r="R18" s="51">
        <f t="shared" si="2"/>
        <v>41696</v>
      </c>
      <c r="S18" s="5">
        <f t="shared" si="3"/>
        <v>7.06</v>
      </c>
      <c r="T18" s="5">
        <f t="shared" si="4"/>
        <v>7.15</v>
      </c>
      <c r="U18" s="5">
        <f t="shared" si="5"/>
        <v>7.2</v>
      </c>
      <c r="V18" s="5">
        <f t="shared" si="6"/>
        <v>7.04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210</v>
      </c>
      <c r="D19" s="3" t="s">
        <v>471</v>
      </c>
      <c r="E19" s="3" t="s">
        <v>471</v>
      </c>
      <c r="F19" s="3" t="s">
        <v>471</v>
      </c>
      <c r="G19" s="3" t="s">
        <v>471</v>
      </c>
      <c r="H19" s="20">
        <v>41684</v>
      </c>
      <c r="J19" s="3">
        <f t="shared" si="7"/>
        <v>1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209</v>
      </c>
      <c r="Q19" s="10" t="str">
        <f t="shared" si="1"/>
        <v>MERC INVEST -ON</v>
      </c>
      <c r="R19" s="51">
        <f t="shared" si="2"/>
        <v>41684</v>
      </c>
      <c r="S19" s="5">
        <f t="shared" si="3"/>
        <v>1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108</v>
      </c>
      <c r="D20" s="3" t="s">
        <v>729</v>
      </c>
      <c r="E20" s="3" t="s">
        <v>729</v>
      </c>
      <c r="F20" s="3" t="s">
        <v>729</v>
      </c>
      <c r="G20" s="3" t="s">
        <v>729</v>
      </c>
      <c r="H20" s="20">
        <v>41695</v>
      </c>
      <c r="J20" s="3">
        <f t="shared" si="7"/>
        <v>0.23</v>
      </c>
      <c r="K20" s="3">
        <f t="shared" si="0"/>
        <v>0.23</v>
      </c>
      <c r="L20" s="3">
        <f t="shared" si="0"/>
        <v>0.23</v>
      </c>
      <c r="M20" s="3">
        <f t="shared" si="0"/>
        <v>0.23</v>
      </c>
      <c r="P20" s="14" t="s">
        <v>61</v>
      </c>
      <c r="Q20" s="10" t="str">
        <f t="shared" si="1"/>
        <v>MERC INVEST -PN</v>
      </c>
      <c r="R20" s="20">
        <f t="shared" si="2"/>
        <v>41695</v>
      </c>
      <c r="S20" s="5">
        <f t="shared" si="3"/>
        <v>0.23</v>
      </c>
      <c r="T20" s="5">
        <f t="shared" si="4"/>
        <v>0.23</v>
      </c>
      <c r="U20" s="5">
        <f t="shared" si="5"/>
        <v>0.23</v>
      </c>
      <c r="V20" s="5">
        <f t="shared" si="6"/>
        <v>0.23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213</v>
      </c>
      <c r="D21" s="3" t="s">
        <v>1444</v>
      </c>
      <c r="E21" s="3" t="s">
        <v>1444</v>
      </c>
      <c r="F21" s="3" t="s">
        <v>1444</v>
      </c>
      <c r="G21" s="3" t="s">
        <v>1444</v>
      </c>
      <c r="H21" s="20">
        <v>41694</v>
      </c>
      <c r="J21" s="3">
        <f t="shared" si="7"/>
        <v>28.08</v>
      </c>
      <c r="K21" s="3">
        <f t="shared" si="0"/>
        <v>28.08</v>
      </c>
      <c r="L21" s="3">
        <f t="shared" si="0"/>
        <v>28.08</v>
      </c>
      <c r="M21" s="3">
        <f t="shared" si="0"/>
        <v>28.08</v>
      </c>
      <c r="P21" s="15" t="s">
        <v>211</v>
      </c>
      <c r="Q21" s="10" t="str">
        <f t="shared" si="1"/>
        <v>NORD BRASIL -ON</v>
      </c>
      <c r="R21" s="51">
        <f t="shared" si="2"/>
        <v>41694</v>
      </c>
      <c r="S21" s="5">
        <f t="shared" si="3"/>
        <v>28.08</v>
      </c>
      <c r="T21" s="5">
        <f t="shared" si="4"/>
        <v>28.08</v>
      </c>
      <c r="U21" s="5">
        <f t="shared" si="5"/>
        <v>28.08</v>
      </c>
      <c r="V21" s="5">
        <f t="shared" si="6"/>
        <v>28.08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214</v>
      </c>
      <c r="D22" s="3" t="s">
        <v>1371</v>
      </c>
      <c r="E22" s="3" t="s">
        <v>1371</v>
      </c>
      <c r="F22" s="3" t="s">
        <v>1371</v>
      </c>
      <c r="G22" s="3" t="s">
        <v>1371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212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765</v>
      </c>
      <c r="D23" s="3" t="s">
        <v>935</v>
      </c>
      <c r="E23" s="3" t="s">
        <v>935</v>
      </c>
      <c r="F23" s="3" t="s">
        <v>935</v>
      </c>
      <c r="G23" s="3" t="s">
        <v>935</v>
      </c>
      <c r="H23" s="20">
        <v>41688</v>
      </c>
      <c r="J23" s="3">
        <f t="shared" si="7"/>
        <v>3.87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221</v>
      </c>
      <c r="Q23" s="10" t="str">
        <f t="shared" si="1"/>
        <v>ALFA CONSORC-PNE</v>
      </c>
      <c r="R23" s="51">
        <f t="shared" si="2"/>
        <v>41688</v>
      </c>
      <c r="S23" s="5">
        <f t="shared" si="3"/>
        <v>3.87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226</v>
      </c>
      <c r="D24" s="3" t="s">
        <v>935</v>
      </c>
      <c r="E24" s="3" t="s">
        <v>935</v>
      </c>
      <c r="F24" s="3" t="s">
        <v>935</v>
      </c>
      <c r="G24" s="3" t="s">
        <v>935</v>
      </c>
      <c r="H24" s="20">
        <v>41691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222</v>
      </c>
      <c r="Q24" s="10" t="str">
        <f t="shared" si="1"/>
        <v>ALFA CONSORC-PNF</v>
      </c>
      <c r="R24" s="51">
        <f t="shared" si="2"/>
        <v>41691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223</v>
      </c>
      <c r="D25" s="3" t="s">
        <v>935</v>
      </c>
      <c r="E25" s="3" t="s">
        <v>935</v>
      </c>
      <c r="F25" s="3" t="s">
        <v>935</v>
      </c>
      <c r="G25" s="3" t="s">
        <v>935</v>
      </c>
      <c r="H25" s="20">
        <v>41695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217</v>
      </c>
      <c r="Q25" s="10" t="str">
        <f t="shared" si="1"/>
        <v>ALFA CONSORC-ON</v>
      </c>
      <c r="R25" s="20">
        <f t="shared" si="2"/>
        <v>41695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766</v>
      </c>
      <c r="D26" s="3" t="s">
        <v>435</v>
      </c>
      <c r="E26" s="3" t="s">
        <v>224</v>
      </c>
      <c r="F26" s="3" t="s">
        <v>224</v>
      </c>
      <c r="G26" s="3" t="s">
        <v>224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218</v>
      </c>
      <c r="Q26" s="10" t="str">
        <f t="shared" si="1"/>
        <v>ALFA CONSORC-PNA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767</v>
      </c>
      <c r="D27" s="3" t="s">
        <v>768</v>
      </c>
      <c r="E27" s="3" t="s">
        <v>768</v>
      </c>
      <c r="F27" s="3" t="s">
        <v>768</v>
      </c>
      <c r="G27" s="3" t="s">
        <v>768</v>
      </c>
      <c r="H27" s="20">
        <v>41670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41670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769</v>
      </c>
      <c r="D28" s="3" t="s">
        <v>435</v>
      </c>
      <c r="E28" s="3" t="s">
        <v>225</v>
      </c>
      <c r="F28" s="3" t="s">
        <v>225</v>
      </c>
      <c r="G28" s="3" t="s">
        <v>225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219</v>
      </c>
      <c r="Q28" s="10" t="str">
        <f t="shared" si="1"/>
        <v>ALFA CONSORC-PNC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770</v>
      </c>
      <c r="D29" s="3" t="s">
        <v>771</v>
      </c>
      <c r="E29" s="3" t="s">
        <v>771</v>
      </c>
      <c r="F29" s="3" t="s">
        <v>771</v>
      </c>
      <c r="G29" s="3" t="s">
        <v>771</v>
      </c>
      <c r="H29" s="20">
        <v>41674</v>
      </c>
      <c r="J29" s="3">
        <f>IF($A29="",0,VALUE(CONCATENATE(LEFT(D29,LEN(D29)-3),",",RIGHT(D29,2))))</f>
        <v>3.78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220</v>
      </c>
      <c r="Q29" s="10" t="str">
        <f t="shared" si="1"/>
        <v>ALFA CONSORC-PND</v>
      </c>
      <c r="R29" s="20">
        <f t="shared" si="2"/>
        <v>41674</v>
      </c>
      <c r="S29" s="5">
        <f t="shared" si="3"/>
        <v>3.78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772</v>
      </c>
      <c r="D30" s="3" t="s">
        <v>1420</v>
      </c>
      <c r="E30" s="3" t="s">
        <v>1420</v>
      </c>
      <c r="F30" s="3" t="s">
        <v>1420</v>
      </c>
      <c r="G30" s="3" t="s">
        <v>1420</v>
      </c>
      <c r="H30" s="20">
        <v>41695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195</v>
      </c>
      <c r="Q30" s="10" t="str">
        <f t="shared" si="1"/>
        <v>ALFA INVEST -ON</v>
      </c>
      <c r="R30" s="20">
        <f t="shared" si="2"/>
        <v>41695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773</v>
      </c>
      <c r="D31" s="3" t="s">
        <v>1531</v>
      </c>
      <c r="E31" s="3" t="s">
        <v>1824</v>
      </c>
      <c r="F31" s="3" t="s">
        <v>1824</v>
      </c>
      <c r="G31" s="3" t="s">
        <v>1531</v>
      </c>
      <c r="H31" s="20">
        <v>41696</v>
      </c>
      <c r="J31" s="3">
        <f t="shared" si="7"/>
        <v>5.72</v>
      </c>
      <c r="K31" s="3">
        <f t="shared" si="7"/>
        <v>5.73</v>
      </c>
      <c r="L31" s="3">
        <f t="shared" si="7"/>
        <v>5.73</v>
      </c>
      <c r="M31" s="3">
        <f t="shared" si="7"/>
        <v>5.72</v>
      </c>
      <c r="P31" s="10" t="s">
        <v>196</v>
      </c>
      <c r="Q31" s="10" t="str">
        <f t="shared" si="1"/>
        <v>ALFA INVEST -PN</v>
      </c>
      <c r="R31" s="20">
        <f t="shared" si="2"/>
        <v>41696</v>
      </c>
      <c r="S31" s="5">
        <f t="shared" si="3"/>
        <v>5.72</v>
      </c>
      <c r="T31" s="5">
        <f t="shared" si="4"/>
        <v>5.73</v>
      </c>
      <c r="U31" s="5">
        <f t="shared" si="5"/>
        <v>5.73</v>
      </c>
      <c r="V31" s="5">
        <f t="shared" si="6"/>
        <v>5.72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205</v>
      </c>
      <c r="D32" s="3" t="s">
        <v>404</v>
      </c>
      <c r="E32" s="3" t="s">
        <v>404</v>
      </c>
      <c r="F32" s="3" t="s">
        <v>404</v>
      </c>
      <c r="G32" s="3" t="s">
        <v>404</v>
      </c>
      <c r="H32" s="20">
        <v>41653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203</v>
      </c>
      <c r="Q32" s="10" t="str">
        <f t="shared" si="1"/>
        <v xml:space="preserve">BANRISUL    -ON  </v>
      </c>
      <c r="R32" s="20">
        <f t="shared" si="2"/>
        <v>41653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206</v>
      </c>
      <c r="D33" s="3" t="s">
        <v>940</v>
      </c>
      <c r="E33" s="3" t="s">
        <v>1368</v>
      </c>
      <c r="F33" s="3" t="s">
        <v>1368</v>
      </c>
      <c r="G33" s="3" t="s">
        <v>940</v>
      </c>
      <c r="H33" s="20">
        <v>41689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204</v>
      </c>
      <c r="Q33" s="10" t="str">
        <f t="shared" si="1"/>
        <v xml:space="preserve">BANRISUL    -PNA </v>
      </c>
      <c r="R33" s="51">
        <f t="shared" si="2"/>
        <v>41689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109</v>
      </c>
      <c r="D34" s="3" t="s">
        <v>1532</v>
      </c>
      <c r="E34" s="3" t="s">
        <v>1825</v>
      </c>
      <c r="F34" s="3" t="s">
        <v>1532</v>
      </c>
      <c r="G34" s="3" t="s">
        <v>1533</v>
      </c>
      <c r="H34" s="20">
        <v>41696</v>
      </c>
      <c r="J34" s="3">
        <f t="shared" si="7"/>
        <v>10.83</v>
      </c>
      <c r="K34" s="3">
        <f t="shared" si="7"/>
        <v>10.73</v>
      </c>
      <c r="L34" s="3">
        <f t="shared" si="7"/>
        <v>10.83</v>
      </c>
      <c r="M34" s="3">
        <f t="shared" si="7"/>
        <v>10.62</v>
      </c>
      <c r="P34" s="10" t="s">
        <v>23</v>
      </c>
      <c r="Q34" s="10" t="str">
        <f t="shared" si="1"/>
        <v xml:space="preserve">BANRISUL    -PNB </v>
      </c>
      <c r="R34" s="20">
        <f t="shared" si="2"/>
        <v>41696</v>
      </c>
      <c r="S34" s="5">
        <f t="shared" si="3"/>
        <v>10.83</v>
      </c>
      <c r="T34" s="5">
        <f t="shared" si="4"/>
        <v>10.73</v>
      </c>
      <c r="U34" s="5">
        <f t="shared" si="5"/>
        <v>10.83</v>
      </c>
      <c r="V34" s="5">
        <f t="shared" si="6"/>
        <v>10.62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946</v>
      </c>
      <c r="D35" s="3" t="s">
        <v>1052</v>
      </c>
      <c r="E35" s="3" t="s">
        <v>1052</v>
      </c>
      <c r="F35" s="3" t="s">
        <v>1052</v>
      </c>
      <c r="G35" s="3" t="s">
        <v>1052</v>
      </c>
      <c r="H35" s="20">
        <v>41688</v>
      </c>
      <c r="J35" s="3">
        <f t="shared" si="7"/>
        <v>26.75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215</v>
      </c>
      <c r="Q35" s="10" t="str">
        <f t="shared" si="1"/>
        <v>BRB BANCO   -ON</v>
      </c>
      <c r="R35" s="20">
        <f t="shared" si="2"/>
        <v>41688</v>
      </c>
      <c r="S35" s="5">
        <f t="shared" si="3"/>
        <v>26.75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947</v>
      </c>
      <c r="D36" s="3" t="s">
        <v>627</v>
      </c>
      <c r="E36" s="3" t="s">
        <v>627</v>
      </c>
      <c r="F36" s="3" t="s">
        <v>627</v>
      </c>
      <c r="G36" s="3" t="s">
        <v>627</v>
      </c>
      <c r="H36" s="20">
        <v>41688</v>
      </c>
      <c r="J36" s="3">
        <f t="shared" si="7"/>
        <v>28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216</v>
      </c>
      <c r="Q36" s="10" t="str">
        <f t="shared" si="1"/>
        <v>BRB BANCO   -PN</v>
      </c>
      <c r="R36" s="51">
        <f t="shared" si="2"/>
        <v>41688</v>
      </c>
      <c r="S36" s="5">
        <f t="shared" si="3"/>
        <v>28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179</v>
      </c>
      <c r="D37" s="3" t="s">
        <v>435</v>
      </c>
      <c r="E37" s="3" t="s">
        <v>159</v>
      </c>
      <c r="F37" s="3" t="s">
        <v>159</v>
      </c>
      <c r="G37" s="3" t="s">
        <v>159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178</v>
      </c>
      <c r="Q37" s="10" t="str">
        <f t="shared" si="1"/>
        <v>CASAN       -ON</v>
      </c>
      <c r="R37" s="51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110</v>
      </c>
      <c r="D38" s="3" t="s">
        <v>761</v>
      </c>
      <c r="E38" s="3" t="s">
        <v>761</v>
      </c>
      <c r="F38" s="3" t="s">
        <v>761</v>
      </c>
      <c r="G38" s="3" t="s">
        <v>761</v>
      </c>
      <c r="H38" s="20">
        <v>41682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41682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111</v>
      </c>
      <c r="D39" s="3" t="s">
        <v>760</v>
      </c>
      <c r="E39" s="3" t="s">
        <v>760</v>
      </c>
      <c r="F39" s="3" t="s">
        <v>760</v>
      </c>
      <c r="G39" s="3" t="s">
        <v>760</v>
      </c>
      <c r="H39" s="20">
        <v>41682</v>
      </c>
      <c r="J39" s="3">
        <f t="shared" si="7"/>
        <v>23</v>
      </c>
      <c r="K39" s="3">
        <f t="shared" si="7"/>
        <v>23</v>
      </c>
      <c r="L39" s="3">
        <f t="shared" si="7"/>
        <v>23</v>
      </c>
      <c r="M39" s="3">
        <f t="shared" si="7"/>
        <v>23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41682</v>
      </c>
      <c r="S39" s="5">
        <f t="shared" ref="S39:S70" si="10">J39</f>
        <v>23</v>
      </c>
      <c r="T39" s="5">
        <f t="shared" ref="T39:T70" si="11">K39</f>
        <v>23</v>
      </c>
      <c r="U39" s="5">
        <f t="shared" ref="U39:U70" si="12">L39</f>
        <v>23</v>
      </c>
      <c r="V39" s="5">
        <f t="shared" ref="V39:V70" si="13">M39</f>
        <v>23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112</v>
      </c>
      <c r="D40" s="3" t="s">
        <v>1826</v>
      </c>
      <c r="E40" s="3" t="s">
        <v>774</v>
      </c>
      <c r="F40" s="3" t="s">
        <v>774</v>
      </c>
      <c r="G40" s="3" t="s">
        <v>1826</v>
      </c>
      <c r="H40" s="20">
        <v>41675</v>
      </c>
      <c r="J40" s="3">
        <f t="shared" si="7"/>
        <v>17.09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17.09</v>
      </c>
      <c r="P40" s="14" t="s">
        <v>69</v>
      </c>
      <c r="Q40" s="10" t="str">
        <f t="shared" si="8"/>
        <v>CEB         -PNB</v>
      </c>
      <c r="R40" s="20">
        <f t="shared" si="9"/>
        <v>41675</v>
      </c>
      <c r="S40" s="5">
        <f t="shared" si="10"/>
        <v>17.09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17.09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649</v>
      </c>
      <c r="D41" s="3" t="s">
        <v>1827</v>
      </c>
      <c r="E41" s="3" t="s">
        <v>1827</v>
      </c>
      <c r="F41" s="3" t="s">
        <v>1827</v>
      </c>
      <c r="G41" s="3" t="s">
        <v>1827</v>
      </c>
      <c r="H41" s="20">
        <v>41696</v>
      </c>
      <c r="J41" s="3">
        <f t="shared" si="7"/>
        <v>29.99</v>
      </c>
      <c r="K41" s="3">
        <f t="shared" si="7"/>
        <v>29.99</v>
      </c>
      <c r="L41" s="3">
        <f t="shared" si="7"/>
        <v>29.99</v>
      </c>
      <c r="M41" s="3">
        <f t="shared" si="7"/>
        <v>29.99</v>
      </c>
      <c r="P41" s="14" t="s">
        <v>88</v>
      </c>
      <c r="Q41" s="10" t="str">
        <f t="shared" si="8"/>
        <v>COELBA      -ON</v>
      </c>
      <c r="R41" s="46">
        <f t="shared" si="9"/>
        <v>41696</v>
      </c>
      <c r="S41" s="6">
        <f t="shared" si="10"/>
        <v>29.99</v>
      </c>
      <c r="T41" s="6">
        <f t="shared" si="11"/>
        <v>29.99</v>
      </c>
      <c r="U41" s="6">
        <f t="shared" si="12"/>
        <v>29.99</v>
      </c>
      <c r="V41" s="6">
        <f t="shared" si="13"/>
        <v>29.99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650</v>
      </c>
      <c r="D42" s="3" t="s">
        <v>113</v>
      </c>
      <c r="E42" s="3" t="s">
        <v>113</v>
      </c>
      <c r="F42" s="3" t="s">
        <v>113</v>
      </c>
      <c r="G42" s="3" t="s">
        <v>113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114</v>
      </c>
      <c r="D43" s="3" t="s">
        <v>1053</v>
      </c>
      <c r="E43" s="3" t="s">
        <v>1053</v>
      </c>
      <c r="F43" s="3" t="s">
        <v>1053</v>
      </c>
      <c r="G43" s="3" t="s">
        <v>1053</v>
      </c>
      <c r="H43" s="20">
        <v>41687</v>
      </c>
      <c r="J43" s="3">
        <f t="shared" si="7"/>
        <v>17.899999999999999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41687</v>
      </c>
      <c r="S43" s="5">
        <f t="shared" si="10"/>
        <v>17.899999999999999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115</v>
      </c>
      <c r="D44" s="3" t="s">
        <v>775</v>
      </c>
      <c r="E44" s="3" t="s">
        <v>775</v>
      </c>
      <c r="F44" s="3" t="s">
        <v>775</v>
      </c>
      <c r="G44" s="3" t="s">
        <v>775</v>
      </c>
      <c r="H44" s="20">
        <v>41676</v>
      </c>
      <c r="J44" s="3">
        <f t="shared" si="7"/>
        <v>18.11</v>
      </c>
      <c r="K44" s="3">
        <f t="shared" si="7"/>
        <v>18.11</v>
      </c>
      <c r="L44" s="3">
        <f t="shared" si="7"/>
        <v>18.11</v>
      </c>
      <c r="M44" s="3">
        <f t="shared" si="7"/>
        <v>18.11</v>
      </c>
      <c r="P44" s="14" t="s">
        <v>92</v>
      </c>
      <c r="Q44" s="10" t="str">
        <f t="shared" si="8"/>
        <v>CELPE       -PNB</v>
      </c>
      <c r="R44" s="20">
        <f t="shared" si="9"/>
        <v>41676</v>
      </c>
      <c r="S44" s="5">
        <f t="shared" si="10"/>
        <v>18.11</v>
      </c>
      <c r="T44" s="5">
        <f t="shared" si="11"/>
        <v>18.11</v>
      </c>
      <c r="U44" s="5">
        <f t="shared" si="12"/>
        <v>18.11</v>
      </c>
      <c r="V44" s="5">
        <f t="shared" si="13"/>
        <v>18.11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116</v>
      </c>
      <c r="D45" s="3" t="s">
        <v>1534</v>
      </c>
      <c r="E45" s="3" t="s">
        <v>1828</v>
      </c>
      <c r="F45" s="3" t="s">
        <v>1534</v>
      </c>
      <c r="G45" s="3" t="s">
        <v>1828</v>
      </c>
      <c r="H45" s="20">
        <v>41696</v>
      </c>
      <c r="J45" s="3">
        <f t="shared" si="7"/>
        <v>19.07</v>
      </c>
      <c r="K45" s="3">
        <f t="shared" si="7"/>
        <v>18.98</v>
      </c>
      <c r="L45" s="3">
        <f t="shared" si="7"/>
        <v>19.07</v>
      </c>
      <c r="M45" s="3">
        <f t="shared" si="7"/>
        <v>18.98</v>
      </c>
      <c r="P45" s="14" t="s">
        <v>72</v>
      </c>
      <c r="Q45" s="10" t="str">
        <f t="shared" si="8"/>
        <v xml:space="preserve">CESP        -ON  </v>
      </c>
      <c r="R45" s="46">
        <f t="shared" si="9"/>
        <v>41696</v>
      </c>
      <c r="S45" s="6">
        <f t="shared" si="10"/>
        <v>19.07</v>
      </c>
      <c r="T45" s="6">
        <f t="shared" si="11"/>
        <v>18.98</v>
      </c>
      <c r="U45" s="6">
        <f t="shared" si="12"/>
        <v>19.07</v>
      </c>
      <c r="V45" s="6">
        <f t="shared" si="13"/>
        <v>18.98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117</v>
      </c>
      <c r="D46" s="3" t="s">
        <v>760</v>
      </c>
      <c r="E46" s="3" t="s">
        <v>760</v>
      </c>
      <c r="F46" s="3" t="s">
        <v>760</v>
      </c>
      <c r="G46" s="3" t="s">
        <v>760</v>
      </c>
      <c r="H46" s="20">
        <v>41696</v>
      </c>
      <c r="J46" s="3">
        <f t="shared" si="7"/>
        <v>23</v>
      </c>
      <c r="K46" s="3">
        <f t="shared" si="7"/>
        <v>23</v>
      </c>
      <c r="L46" s="3">
        <f t="shared" si="7"/>
        <v>23</v>
      </c>
      <c r="M46" s="3">
        <f t="shared" si="7"/>
        <v>23</v>
      </c>
      <c r="P46" s="14" t="s">
        <v>86</v>
      </c>
      <c r="Q46" s="10" t="str">
        <f t="shared" si="8"/>
        <v xml:space="preserve">CESP        -PNA </v>
      </c>
      <c r="R46" s="46">
        <f t="shared" si="9"/>
        <v>41696</v>
      </c>
      <c r="S46" s="6">
        <f t="shared" si="10"/>
        <v>23</v>
      </c>
      <c r="T46" s="6">
        <f t="shared" si="11"/>
        <v>23</v>
      </c>
      <c r="U46" s="6">
        <f t="shared" si="12"/>
        <v>23</v>
      </c>
      <c r="V46" s="6">
        <f t="shared" si="13"/>
        <v>23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118</v>
      </c>
      <c r="D47" s="3" t="s">
        <v>1535</v>
      </c>
      <c r="E47" s="3" t="s">
        <v>1829</v>
      </c>
      <c r="F47" s="3" t="s">
        <v>1712</v>
      </c>
      <c r="G47" s="3" t="s">
        <v>1458</v>
      </c>
      <c r="H47" s="20">
        <v>41696</v>
      </c>
      <c r="J47" s="3">
        <f t="shared" si="7"/>
        <v>22.36</v>
      </c>
      <c r="K47" s="3">
        <f t="shared" si="7"/>
        <v>22.15</v>
      </c>
      <c r="L47" s="3">
        <f t="shared" si="7"/>
        <v>22.8</v>
      </c>
      <c r="M47" s="3">
        <f t="shared" si="7"/>
        <v>22.1</v>
      </c>
      <c r="P47" s="14" t="s">
        <v>87</v>
      </c>
      <c r="Q47" s="10" t="str">
        <f t="shared" si="8"/>
        <v xml:space="preserve">CESP        -PNB </v>
      </c>
      <c r="R47" s="20">
        <f t="shared" si="9"/>
        <v>41696</v>
      </c>
      <c r="S47" s="5">
        <f t="shared" si="10"/>
        <v>22.36</v>
      </c>
      <c r="T47" s="5">
        <f t="shared" si="11"/>
        <v>22.15</v>
      </c>
      <c r="U47" s="5">
        <f t="shared" si="12"/>
        <v>22.8</v>
      </c>
      <c r="V47" s="5">
        <f t="shared" si="13"/>
        <v>22.1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119</v>
      </c>
      <c r="D48" s="3" t="s">
        <v>1537</v>
      </c>
      <c r="E48" s="3" t="s">
        <v>1537</v>
      </c>
      <c r="F48" s="3" t="s">
        <v>1537</v>
      </c>
      <c r="G48" s="3" t="s">
        <v>1537</v>
      </c>
      <c r="H48" s="20">
        <v>41696</v>
      </c>
      <c r="J48" s="3">
        <f t="shared" si="7"/>
        <v>15.51</v>
      </c>
      <c r="K48" s="3">
        <f t="shared" si="7"/>
        <v>15.51</v>
      </c>
      <c r="L48" s="3">
        <f t="shared" si="7"/>
        <v>15.51</v>
      </c>
      <c r="M48" s="3">
        <f t="shared" si="7"/>
        <v>15.51</v>
      </c>
      <c r="P48" s="14" t="s">
        <v>71</v>
      </c>
      <c r="Q48" s="10" t="str">
        <f t="shared" si="8"/>
        <v xml:space="preserve">CELESC      -PN  </v>
      </c>
      <c r="R48" s="20">
        <f t="shared" si="9"/>
        <v>41696</v>
      </c>
      <c r="S48" s="5">
        <f t="shared" si="10"/>
        <v>15.51</v>
      </c>
      <c r="T48" s="5">
        <f t="shared" si="11"/>
        <v>15.51</v>
      </c>
      <c r="U48" s="5">
        <f t="shared" si="12"/>
        <v>15.51</v>
      </c>
      <c r="V48" s="5">
        <f t="shared" si="13"/>
        <v>15.51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120</v>
      </c>
      <c r="D49" s="3" t="s">
        <v>1445</v>
      </c>
      <c r="E49" s="3" t="s">
        <v>1830</v>
      </c>
      <c r="F49" s="3" t="s">
        <v>1445</v>
      </c>
      <c r="G49" s="3" t="s">
        <v>1446</v>
      </c>
      <c r="H49" s="20">
        <v>41696</v>
      </c>
      <c r="J49" s="3">
        <f t="shared" si="7"/>
        <v>13.3</v>
      </c>
      <c r="K49" s="3">
        <f t="shared" si="7"/>
        <v>13.12</v>
      </c>
      <c r="L49" s="3">
        <f t="shared" si="7"/>
        <v>13.3</v>
      </c>
      <c r="M49" s="3">
        <f t="shared" si="7"/>
        <v>12.95</v>
      </c>
      <c r="P49" s="26" t="s">
        <v>31</v>
      </c>
      <c r="Q49" s="10" t="str">
        <f t="shared" si="8"/>
        <v xml:space="preserve">CEMIG       -ON  </v>
      </c>
      <c r="R49" s="20">
        <f t="shared" si="9"/>
        <v>41696</v>
      </c>
      <c r="S49" s="5">
        <f t="shared" si="10"/>
        <v>13.3</v>
      </c>
      <c r="T49" s="5">
        <f t="shared" si="11"/>
        <v>13.12</v>
      </c>
      <c r="U49" s="5">
        <f t="shared" si="12"/>
        <v>13.3</v>
      </c>
      <c r="V49" s="5">
        <f t="shared" si="13"/>
        <v>12.95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121</v>
      </c>
      <c r="D50" s="3" t="s">
        <v>1446</v>
      </c>
      <c r="E50" s="3" t="s">
        <v>1831</v>
      </c>
      <c r="F50" s="3" t="s">
        <v>1832</v>
      </c>
      <c r="G50" s="3" t="s">
        <v>1538</v>
      </c>
      <c r="H50" s="20">
        <v>41696</v>
      </c>
      <c r="J50" s="3">
        <f t="shared" si="7"/>
        <v>12.95</v>
      </c>
      <c r="K50" s="3">
        <f t="shared" si="7"/>
        <v>12.92</v>
      </c>
      <c r="L50" s="3">
        <f t="shared" si="7"/>
        <v>13.05</v>
      </c>
      <c r="M50" s="3">
        <f t="shared" si="7"/>
        <v>12.76</v>
      </c>
      <c r="P50" s="26" t="s">
        <v>30</v>
      </c>
      <c r="Q50" s="10" t="str">
        <f t="shared" si="8"/>
        <v xml:space="preserve">CEMIG       -PN  </v>
      </c>
      <c r="R50" s="46">
        <f t="shared" si="9"/>
        <v>41696</v>
      </c>
      <c r="S50" s="6">
        <f t="shared" si="10"/>
        <v>12.95</v>
      </c>
      <c r="T50" s="6">
        <f t="shared" si="11"/>
        <v>12.92</v>
      </c>
      <c r="U50" s="6">
        <f t="shared" si="12"/>
        <v>13.05</v>
      </c>
      <c r="V50" s="6">
        <f t="shared" si="13"/>
        <v>12.76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122</v>
      </c>
      <c r="D51" s="3" t="s">
        <v>1833</v>
      </c>
      <c r="E51" s="3" t="s">
        <v>1833</v>
      </c>
      <c r="F51" s="3" t="s">
        <v>1833</v>
      </c>
      <c r="G51" s="3" t="s">
        <v>1833</v>
      </c>
      <c r="H51" s="20">
        <v>41696</v>
      </c>
      <c r="J51" s="3">
        <f t="shared" si="7"/>
        <v>48.2</v>
      </c>
      <c r="K51" s="3">
        <f t="shared" si="7"/>
        <v>48.2</v>
      </c>
      <c r="L51" s="3">
        <f t="shared" si="7"/>
        <v>48.2</v>
      </c>
      <c r="M51" s="3">
        <f t="shared" si="7"/>
        <v>48.2</v>
      </c>
      <c r="P51" s="14" t="s">
        <v>93</v>
      </c>
      <c r="Q51" s="10" t="str">
        <f t="shared" si="8"/>
        <v>COELCE      -ON</v>
      </c>
      <c r="R51" s="46">
        <f t="shared" si="9"/>
        <v>41696</v>
      </c>
      <c r="S51" s="6">
        <f t="shared" si="10"/>
        <v>48.2</v>
      </c>
      <c r="T51" s="6">
        <f t="shared" si="11"/>
        <v>48.2</v>
      </c>
      <c r="U51" s="6">
        <f t="shared" si="12"/>
        <v>48.2</v>
      </c>
      <c r="V51" s="6">
        <f t="shared" si="13"/>
        <v>48.2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123</v>
      </c>
      <c r="D52" s="3" t="s">
        <v>1539</v>
      </c>
      <c r="E52" s="3" t="s">
        <v>1834</v>
      </c>
      <c r="F52" s="3" t="s">
        <v>1540</v>
      </c>
      <c r="G52" s="3" t="s">
        <v>1541</v>
      </c>
      <c r="H52" s="20">
        <v>41696</v>
      </c>
      <c r="J52" s="3">
        <f t="shared" si="7"/>
        <v>38.590000000000003</v>
      </c>
      <c r="K52" s="3">
        <f t="shared" si="7"/>
        <v>38.1</v>
      </c>
      <c r="L52" s="3">
        <f t="shared" si="7"/>
        <v>38.799999999999997</v>
      </c>
      <c r="M52" s="3">
        <f t="shared" si="7"/>
        <v>37.99</v>
      </c>
      <c r="P52" s="10" t="s">
        <v>81</v>
      </c>
      <c r="Q52" s="10" t="str">
        <f t="shared" si="8"/>
        <v>COELCE      -PNA</v>
      </c>
      <c r="R52" s="51">
        <f t="shared" si="9"/>
        <v>41696</v>
      </c>
      <c r="S52" s="5">
        <f t="shared" si="10"/>
        <v>38.590000000000003</v>
      </c>
      <c r="T52" s="5">
        <f t="shared" si="11"/>
        <v>38.1</v>
      </c>
      <c r="U52" s="5">
        <f t="shared" si="12"/>
        <v>38.799999999999997</v>
      </c>
      <c r="V52" s="5">
        <f t="shared" si="13"/>
        <v>37.99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124</v>
      </c>
      <c r="D53" s="3" t="s">
        <v>1542</v>
      </c>
      <c r="E53" s="3" t="s">
        <v>1835</v>
      </c>
      <c r="F53" s="3" t="s">
        <v>1544</v>
      </c>
      <c r="G53" s="3" t="s">
        <v>1545</v>
      </c>
      <c r="H53" s="20">
        <v>41696</v>
      </c>
      <c r="J53" s="3">
        <f t="shared" si="7"/>
        <v>16.16</v>
      </c>
      <c r="K53" s="3">
        <f t="shared" si="7"/>
        <v>16.48</v>
      </c>
      <c r="L53" s="3">
        <f t="shared" si="7"/>
        <v>16.53</v>
      </c>
      <c r="M53" s="3">
        <f t="shared" si="7"/>
        <v>16.14</v>
      </c>
      <c r="P53" s="26" t="s">
        <v>32</v>
      </c>
      <c r="Q53" s="10" t="str">
        <f t="shared" si="8"/>
        <v xml:space="preserve">CPFL ENERGIA-ON  </v>
      </c>
      <c r="R53" s="51">
        <f t="shared" si="9"/>
        <v>41696</v>
      </c>
      <c r="S53" s="5">
        <f t="shared" si="10"/>
        <v>16.16</v>
      </c>
      <c r="T53" s="5">
        <f t="shared" si="11"/>
        <v>16.48</v>
      </c>
      <c r="U53" s="5">
        <f t="shared" si="12"/>
        <v>16.53</v>
      </c>
      <c r="V53" s="5">
        <f t="shared" si="13"/>
        <v>16.14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125</v>
      </c>
      <c r="D54" s="3" t="s">
        <v>1546</v>
      </c>
      <c r="E54" s="3" t="s">
        <v>1836</v>
      </c>
      <c r="F54" s="3" t="s">
        <v>1836</v>
      </c>
      <c r="G54" s="3" t="s">
        <v>1547</v>
      </c>
      <c r="H54" s="20">
        <v>41696</v>
      </c>
      <c r="J54" s="3">
        <f t="shared" si="7"/>
        <v>17.440000000000001</v>
      </c>
      <c r="K54" s="3">
        <f t="shared" si="7"/>
        <v>18</v>
      </c>
      <c r="L54" s="3">
        <f t="shared" si="7"/>
        <v>18</v>
      </c>
      <c r="M54" s="3">
        <f t="shared" si="7"/>
        <v>17.41</v>
      </c>
      <c r="P54" s="26" t="s">
        <v>34</v>
      </c>
      <c r="Q54" s="10" t="str">
        <f t="shared" si="8"/>
        <v xml:space="preserve">COPEL       -ON  </v>
      </c>
      <c r="R54" s="51">
        <f t="shared" si="9"/>
        <v>41696</v>
      </c>
      <c r="S54" s="5">
        <f t="shared" si="10"/>
        <v>17.440000000000001</v>
      </c>
      <c r="T54" s="5">
        <f t="shared" si="11"/>
        <v>18</v>
      </c>
      <c r="U54" s="5">
        <f t="shared" si="12"/>
        <v>18</v>
      </c>
      <c r="V54" s="5">
        <f t="shared" si="13"/>
        <v>17.41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126</v>
      </c>
      <c r="D55" s="3" t="s">
        <v>435</v>
      </c>
      <c r="E55" s="3" t="s">
        <v>127</v>
      </c>
      <c r="F55" s="3" t="s">
        <v>127</v>
      </c>
      <c r="G55" s="3" t="s">
        <v>127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128</v>
      </c>
      <c r="D56" s="3" t="s">
        <v>1548</v>
      </c>
      <c r="E56" s="3" t="s">
        <v>1837</v>
      </c>
      <c r="F56" s="3" t="s">
        <v>1838</v>
      </c>
      <c r="G56" s="3" t="s">
        <v>1548</v>
      </c>
      <c r="H56" s="20">
        <v>41696</v>
      </c>
      <c r="J56" s="3">
        <f t="shared" si="7"/>
        <v>23.95</v>
      </c>
      <c r="K56" s="3">
        <f t="shared" si="7"/>
        <v>24.51</v>
      </c>
      <c r="L56" s="3">
        <f t="shared" si="7"/>
        <v>24.69</v>
      </c>
      <c r="M56" s="3">
        <f t="shared" si="7"/>
        <v>23.95</v>
      </c>
      <c r="P56" s="14" t="s">
        <v>100</v>
      </c>
      <c r="Q56" s="10" t="str">
        <f t="shared" si="8"/>
        <v xml:space="preserve">COPEL       -PNB </v>
      </c>
      <c r="R56" s="51">
        <f t="shared" si="9"/>
        <v>41696</v>
      </c>
      <c r="S56" s="5">
        <f t="shared" si="10"/>
        <v>23.95</v>
      </c>
      <c r="T56" s="5">
        <f t="shared" si="11"/>
        <v>24.51</v>
      </c>
      <c r="U56" s="5">
        <f t="shared" si="12"/>
        <v>24.69</v>
      </c>
      <c r="V56" s="5">
        <f t="shared" si="13"/>
        <v>23.95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181</v>
      </c>
      <c r="D57" s="3" t="s">
        <v>1549</v>
      </c>
      <c r="E57" s="3" t="s">
        <v>1549</v>
      </c>
      <c r="F57" s="3" t="s">
        <v>1839</v>
      </c>
      <c r="G57" s="3" t="s">
        <v>1550</v>
      </c>
      <c r="H57" s="20">
        <v>41696</v>
      </c>
      <c r="J57" s="3">
        <f t="shared" si="7"/>
        <v>33</v>
      </c>
      <c r="K57" s="3">
        <f t="shared" si="7"/>
        <v>33</v>
      </c>
      <c r="L57" s="3">
        <f t="shared" si="7"/>
        <v>34.46</v>
      </c>
      <c r="M57" s="3">
        <f t="shared" si="7"/>
        <v>32.85</v>
      </c>
      <c r="P57" s="14" t="s">
        <v>180</v>
      </c>
      <c r="Q57" s="10" t="str">
        <f t="shared" si="8"/>
        <v xml:space="preserve">COPASA      -ON  </v>
      </c>
      <c r="R57" s="20">
        <f t="shared" si="9"/>
        <v>41696</v>
      </c>
      <c r="S57" s="5">
        <f t="shared" si="10"/>
        <v>33</v>
      </c>
      <c r="T57" s="5">
        <f t="shared" si="11"/>
        <v>33</v>
      </c>
      <c r="U57" s="5">
        <f t="shared" si="12"/>
        <v>34.46</v>
      </c>
      <c r="V57" s="5">
        <f t="shared" si="13"/>
        <v>32.85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651</v>
      </c>
      <c r="D58" s="3" t="s">
        <v>338</v>
      </c>
      <c r="E58" s="3" t="s">
        <v>338</v>
      </c>
      <c r="F58" s="3" t="s">
        <v>338</v>
      </c>
      <c r="G58" s="3" t="s">
        <v>338</v>
      </c>
      <c r="H58" s="20">
        <v>41687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41687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652</v>
      </c>
      <c r="D59" s="3" t="s">
        <v>129</v>
      </c>
      <c r="E59" s="3" t="s">
        <v>129</v>
      </c>
      <c r="F59" s="3" t="s">
        <v>129</v>
      </c>
      <c r="G59" s="3" t="s">
        <v>129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653</v>
      </c>
      <c r="D60" s="3" t="s">
        <v>106</v>
      </c>
      <c r="E60" s="3" t="s">
        <v>106</v>
      </c>
      <c r="F60" s="3" t="s">
        <v>106</v>
      </c>
      <c r="G60" s="3" t="s">
        <v>106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130</v>
      </c>
      <c r="D61" s="3" t="s">
        <v>1551</v>
      </c>
      <c r="E61" s="3" t="s">
        <v>1840</v>
      </c>
      <c r="F61" s="3" t="s">
        <v>1841</v>
      </c>
      <c r="G61" s="3" t="s">
        <v>1056</v>
      </c>
      <c r="H61" s="20">
        <v>41696</v>
      </c>
      <c r="J61" s="3">
        <f t="shared" si="7"/>
        <v>8.2799999999999994</v>
      </c>
      <c r="K61" s="3">
        <f t="shared" si="7"/>
        <v>8.23</v>
      </c>
      <c r="L61" s="3">
        <f t="shared" si="7"/>
        <v>8.32</v>
      </c>
      <c r="M61" s="3">
        <f t="shared" si="7"/>
        <v>8.1999999999999993</v>
      </c>
      <c r="P61" s="10" t="s">
        <v>15</v>
      </c>
      <c r="Q61" s="10" t="str">
        <f t="shared" si="8"/>
        <v xml:space="preserve">DAYCOVAL    -PN  </v>
      </c>
      <c r="R61" s="51">
        <f t="shared" si="9"/>
        <v>41696</v>
      </c>
      <c r="S61" s="5">
        <f t="shared" si="10"/>
        <v>8.2799999999999994</v>
      </c>
      <c r="T61" s="5">
        <f t="shared" si="11"/>
        <v>8.23</v>
      </c>
      <c r="U61" s="5">
        <f t="shared" si="12"/>
        <v>8.32</v>
      </c>
      <c r="V61" s="5">
        <f t="shared" si="13"/>
        <v>8.1999999999999993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131</v>
      </c>
      <c r="D62" s="3" t="s">
        <v>1842</v>
      </c>
      <c r="E62" s="3" t="s">
        <v>1290</v>
      </c>
      <c r="F62" s="3" t="s">
        <v>1290</v>
      </c>
      <c r="G62" s="3" t="s">
        <v>1842</v>
      </c>
      <c r="H62" s="20">
        <v>41688</v>
      </c>
      <c r="J62" s="3">
        <f t="shared" si="7"/>
        <v>1.41</v>
      </c>
      <c r="K62" s="3">
        <f t="shared" si="7"/>
        <v>1.44</v>
      </c>
      <c r="L62" s="3">
        <f t="shared" si="7"/>
        <v>1.44</v>
      </c>
      <c r="M62" s="3">
        <f t="shared" si="7"/>
        <v>1.41</v>
      </c>
      <c r="P62" s="14" t="s">
        <v>97</v>
      </c>
      <c r="Q62" s="10" t="str">
        <f t="shared" si="8"/>
        <v xml:space="preserve">CEEE-GT     -ON  </v>
      </c>
      <c r="R62" s="51">
        <f t="shared" si="9"/>
        <v>41688</v>
      </c>
      <c r="S62" s="5">
        <f t="shared" si="10"/>
        <v>1.41</v>
      </c>
      <c r="T62" s="5">
        <f t="shared" si="11"/>
        <v>1.44</v>
      </c>
      <c r="U62" s="5">
        <f t="shared" si="12"/>
        <v>1.44</v>
      </c>
      <c r="V62" s="5">
        <f t="shared" si="13"/>
        <v>1.41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132</v>
      </c>
      <c r="D63" s="3" t="s">
        <v>776</v>
      </c>
      <c r="E63" s="3" t="s">
        <v>776</v>
      </c>
      <c r="F63" s="3" t="s">
        <v>776</v>
      </c>
      <c r="G63" s="3" t="s">
        <v>776</v>
      </c>
      <c r="H63" s="20">
        <v>41676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41676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133</v>
      </c>
      <c r="D64" s="3" t="s">
        <v>723</v>
      </c>
      <c r="E64" s="3" t="s">
        <v>1843</v>
      </c>
      <c r="F64" s="3" t="s">
        <v>1473</v>
      </c>
      <c r="G64" s="3" t="s">
        <v>1843</v>
      </c>
      <c r="H64" s="20">
        <v>41696</v>
      </c>
      <c r="J64" s="3">
        <f t="shared" si="7"/>
        <v>4.9000000000000004</v>
      </c>
      <c r="K64" s="3">
        <f t="shared" si="7"/>
        <v>4.7300000000000004</v>
      </c>
      <c r="L64" s="3">
        <f t="shared" si="7"/>
        <v>4.92</v>
      </c>
      <c r="M64" s="3">
        <f t="shared" si="7"/>
        <v>4.7300000000000004</v>
      </c>
      <c r="P64" s="15" t="s">
        <v>2</v>
      </c>
      <c r="Q64" s="10" t="str">
        <f t="shared" si="8"/>
        <v xml:space="preserve">ELETROBRAS  -ON  </v>
      </c>
      <c r="R64" s="51">
        <f t="shared" si="9"/>
        <v>41696</v>
      </c>
      <c r="S64" s="5">
        <f t="shared" si="10"/>
        <v>4.9000000000000004</v>
      </c>
      <c r="T64" s="5">
        <f t="shared" si="11"/>
        <v>4.7300000000000004</v>
      </c>
      <c r="U64" s="5">
        <f t="shared" si="12"/>
        <v>4.92</v>
      </c>
      <c r="V64" s="5">
        <f t="shared" si="13"/>
        <v>4.7300000000000004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134</v>
      </c>
      <c r="D65" s="3" t="s">
        <v>1552</v>
      </c>
      <c r="E65" s="3" t="s">
        <v>1844</v>
      </c>
      <c r="F65" s="3" t="s">
        <v>1845</v>
      </c>
      <c r="G65" s="3" t="s">
        <v>1399</v>
      </c>
      <c r="H65" s="20">
        <v>41696</v>
      </c>
      <c r="J65" s="3">
        <f t="shared" si="7"/>
        <v>8.6999999999999993</v>
      </c>
      <c r="K65" s="3">
        <f t="shared" si="7"/>
        <v>8.69</v>
      </c>
      <c r="L65" s="3">
        <f t="shared" si="7"/>
        <v>8.83</v>
      </c>
      <c r="M65" s="3">
        <f t="shared" si="7"/>
        <v>8.64</v>
      </c>
      <c r="P65" s="26" t="s">
        <v>27</v>
      </c>
      <c r="Q65" s="10" t="str">
        <f t="shared" si="8"/>
        <v xml:space="preserve">ELETROBRAS  -PNB </v>
      </c>
      <c r="R65" s="51">
        <f t="shared" si="9"/>
        <v>41696</v>
      </c>
      <c r="S65" s="5">
        <f t="shared" si="10"/>
        <v>8.6999999999999993</v>
      </c>
      <c r="T65" s="5">
        <f t="shared" si="11"/>
        <v>8.69</v>
      </c>
      <c r="U65" s="5">
        <f t="shared" si="12"/>
        <v>8.83</v>
      </c>
      <c r="V65" s="5">
        <f t="shared" si="13"/>
        <v>8.64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167</v>
      </c>
      <c r="D66" s="3" t="s">
        <v>727</v>
      </c>
      <c r="E66" s="3" t="s">
        <v>727</v>
      </c>
      <c r="F66" s="3" t="s">
        <v>727</v>
      </c>
      <c r="G66" s="3" t="s">
        <v>727</v>
      </c>
      <c r="H66" s="20">
        <v>41689</v>
      </c>
      <c r="J66" s="3">
        <f t="shared" si="7"/>
        <v>10.3</v>
      </c>
      <c r="K66" s="3">
        <f t="shared" si="7"/>
        <v>10.3</v>
      </c>
      <c r="L66" s="3">
        <f t="shared" si="7"/>
        <v>10.3</v>
      </c>
      <c r="M66" s="3">
        <f t="shared" si="7"/>
        <v>10.3</v>
      </c>
      <c r="P66" s="14" t="s">
        <v>166</v>
      </c>
      <c r="Q66" s="10" t="str">
        <f t="shared" si="8"/>
        <v xml:space="preserve">ELETROPAULO -ON  </v>
      </c>
      <c r="R66" s="51">
        <f t="shared" si="9"/>
        <v>41689</v>
      </c>
      <c r="S66" s="5">
        <f t="shared" si="10"/>
        <v>10.3</v>
      </c>
      <c r="T66" s="5">
        <f t="shared" si="11"/>
        <v>10.3</v>
      </c>
      <c r="U66" s="5">
        <f t="shared" si="12"/>
        <v>10.3</v>
      </c>
      <c r="V66" s="5">
        <f t="shared" si="13"/>
        <v>10.3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135</v>
      </c>
      <c r="D67" s="3" t="s">
        <v>1449</v>
      </c>
      <c r="E67" s="3" t="s">
        <v>1517</v>
      </c>
      <c r="F67" s="3" t="s">
        <v>1056</v>
      </c>
      <c r="G67" s="3" t="s">
        <v>1760</v>
      </c>
      <c r="H67" s="20">
        <v>41696</v>
      </c>
      <c r="J67" s="3">
        <f t="shared" si="7"/>
        <v>8.1</v>
      </c>
      <c r="K67" s="3">
        <f t="shared" si="7"/>
        <v>7.88</v>
      </c>
      <c r="L67" s="3">
        <f t="shared" si="7"/>
        <v>8.1999999999999993</v>
      </c>
      <c r="M67" s="3">
        <f t="shared" si="7"/>
        <v>7.87</v>
      </c>
      <c r="P67" s="43" t="s">
        <v>1</v>
      </c>
      <c r="Q67" s="10" t="str">
        <f t="shared" si="8"/>
        <v xml:space="preserve">ELETROPAULO -PN  </v>
      </c>
      <c r="R67" s="51">
        <f t="shared" si="9"/>
        <v>41696</v>
      </c>
      <c r="S67" s="5">
        <f t="shared" si="10"/>
        <v>8.1</v>
      </c>
      <c r="T67" s="5">
        <f t="shared" si="11"/>
        <v>7.88</v>
      </c>
      <c r="U67" s="5">
        <f t="shared" si="12"/>
        <v>8.1999999999999993</v>
      </c>
      <c r="V67" s="5">
        <f t="shared" si="13"/>
        <v>7.87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169</v>
      </c>
      <c r="D68" s="3" t="s">
        <v>1749</v>
      </c>
      <c r="E68" s="3" t="s">
        <v>1749</v>
      </c>
      <c r="F68" s="3" t="s">
        <v>1749</v>
      </c>
      <c r="G68" s="3" t="s">
        <v>1749</v>
      </c>
      <c r="H68" s="20">
        <v>41696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168</v>
      </c>
      <c r="Q68" s="10" t="str">
        <f t="shared" si="8"/>
        <v>EMAE        -PN</v>
      </c>
      <c r="R68" s="46">
        <f t="shared" si="9"/>
        <v>41696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137</v>
      </c>
      <c r="D69" s="3" t="s">
        <v>1553</v>
      </c>
      <c r="E69" s="3" t="s">
        <v>1846</v>
      </c>
      <c r="F69" s="3" t="s">
        <v>1397</v>
      </c>
      <c r="G69" s="3" t="s">
        <v>1554</v>
      </c>
      <c r="H69" s="20">
        <v>41696</v>
      </c>
      <c r="J69" s="3">
        <f t="shared" si="7"/>
        <v>8.7799999999999994</v>
      </c>
      <c r="K69" s="3">
        <f t="shared" si="7"/>
        <v>8.9700000000000006</v>
      </c>
      <c r="L69" s="3">
        <f t="shared" si="7"/>
        <v>9.1</v>
      </c>
      <c r="M69" s="3">
        <f t="shared" si="7"/>
        <v>8.76</v>
      </c>
      <c r="P69" s="14" t="s">
        <v>28</v>
      </c>
      <c r="Q69" s="10" t="str">
        <f t="shared" si="8"/>
        <v xml:space="preserve">ENERGIAS BR -ON  </v>
      </c>
      <c r="R69" s="51">
        <f t="shared" si="9"/>
        <v>41696</v>
      </c>
      <c r="S69" s="5">
        <f t="shared" si="10"/>
        <v>8.7799999999999994</v>
      </c>
      <c r="T69" s="5">
        <f t="shared" si="11"/>
        <v>8.9700000000000006</v>
      </c>
      <c r="U69" s="5">
        <f t="shared" si="12"/>
        <v>9.1</v>
      </c>
      <c r="V69" s="5">
        <f t="shared" si="13"/>
        <v>8.76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138</v>
      </c>
      <c r="D70" s="3" t="s">
        <v>1555</v>
      </c>
      <c r="E70" s="3" t="s">
        <v>1555</v>
      </c>
      <c r="F70" s="3" t="s">
        <v>1555</v>
      </c>
      <c r="G70" s="3" t="s">
        <v>1555</v>
      </c>
      <c r="H70" s="20">
        <v>41695</v>
      </c>
      <c r="J70" s="3">
        <f t="shared" si="7"/>
        <v>11.4</v>
      </c>
      <c r="K70" s="3">
        <f t="shared" si="7"/>
        <v>11.4</v>
      </c>
      <c r="L70" s="3">
        <f t="shared" si="7"/>
        <v>11.4</v>
      </c>
      <c r="M70" s="3">
        <f t="shared" si="7"/>
        <v>11.4</v>
      </c>
      <c r="P70" s="14" t="s">
        <v>85</v>
      </c>
      <c r="Q70" s="10" t="str">
        <f t="shared" si="8"/>
        <v>ENERGISA    -UNT</v>
      </c>
      <c r="R70" s="51">
        <f t="shared" si="9"/>
        <v>41695</v>
      </c>
      <c r="S70" s="5">
        <f t="shared" si="10"/>
        <v>11.4</v>
      </c>
      <c r="T70" s="5">
        <f t="shared" si="11"/>
        <v>11.4</v>
      </c>
      <c r="U70" s="5">
        <f t="shared" si="12"/>
        <v>11.4</v>
      </c>
      <c r="V70" s="5">
        <f t="shared" si="13"/>
        <v>11.4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171</v>
      </c>
      <c r="D71" s="3" t="s">
        <v>941</v>
      </c>
      <c r="E71" s="3" t="s">
        <v>941</v>
      </c>
      <c r="F71" s="3" t="s">
        <v>941</v>
      </c>
      <c r="G71" s="3" t="s">
        <v>941</v>
      </c>
      <c r="H71" s="20">
        <v>41694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170</v>
      </c>
      <c r="Q71" s="10" t="str">
        <f t="shared" ref="Q71:Q102" si="14">IF(A71="","",C71)</f>
        <v>ENERGISA    -ON</v>
      </c>
      <c r="R71" s="51">
        <f t="shared" ref="R71:R102" si="15">IF(A71="","",H71)</f>
        <v>41694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139</v>
      </c>
      <c r="D72" s="3" t="s">
        <v>674</v>
      </c>
      <c r="E72" s="3" t="s">
        <v>674</v>
      </c>
      <c r="F72" s="3" t="s">
        <v>674</v>
      </c>
      <c r="G72" s="3" t="s">
        <v>674</v>
      </c>
      <c r="H72" s="20">
        <v>41696</v>
      </c>
      <c r="J72" s="3">
        <f t="shared" ref="J72:M135" si="20">IF($A72="",0,VALUE(CONCATENATE(LEFT(D72,LEN(D72)-3),",",RIGHT(D72,2))))</f>
        <v>2</v>
      </c>
      <c r="K72" s="3">
        <f t="shared" si="20"/>
        <v>2</v>
      </c>
      <c r="L72" s="3">
        <f t="shared" si="20"/>
        <v>2</v>
      </c>
      <c r="M72" s="3">
        <f t="shared" si="20"/>
        <v>2</v>
      </c>
      <c r="P72" s="14" t="s">
        <v>64</v>
      </c>
      <c r="Q72" s="10" t="str">
        <f t="shared" si="14"/>
        <v>ENERGISA    -PN</v>
      </c>
      <c r="R72" s="46">
        <f t="shared" si="15"/>
        <v>41696</v>
      </c>
      <c r="S72" s="6">
        <f t="shared" si="16"/>
        <v>2</v>
      </c>
      <c r="T72" s="6">
        <f t="shared" si="17"/>
        <v>2</v>
      </c>
      <c r="U72" s="5">
        <f t="shared" si="18"/>
        <v>2</v>
      </c>
      <c r="V72" s="5">
        <f t="shared" si="19"/>
        <v>2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140</v>
      </c>
      <c r="D73" s="3" t="s">
        <v>1388</v>
      </c>
      <c r="E73" s="3" t="s">
        <v>1556</v>
      </c>
      <c r="F73" s="3" t="s">
        <v>1556</v>
      </c>
      <c r="G73" s="3" t="s">
        <v>1388</v>
      </c>
      <c r="H73" s="20">
        <v>41695</v>
      </c>
      <c r="J73" s="3">
        <f t="shared" si="20"/>
        <v>15.4</v>
      </c>
      <c r="K73" s="3">
        <f t="shared" si="20"/>
        <v>15.5</v>
      </c>
      <c r="L73" s="3">
        <f t="shared" si="20"/>
        <v>15.5</v>
      </c>
      <c r="M73" s="3">
        <f t="shared" si="20"/>
        <v>15.4</v>
      </c>
      <c r="P73" s="14" t="s">
        <v>94</v>
      </c>
      <c r="Q73" s="10" t="str">
        <f t="shared" si="14"/>
        <v xml:space="preserve">CEMAR       -ON  </v>
      </c>
      <c r="R73" s="51">
        <f t="shared" si="15"/>
        <v>41695</v>
      </c>
      <c r="S73" s="5">
        <f t="shared" si="16"/>
        <v>15.4</v>
      </c>
      <c r="T73" s="5">
        <f t="shared" si="17"/>
        <v>15.5</v>
      </c>
      <c r="U73" s="5">
        <f t="shared" si="18"/>
        <v>15.5</v>
      </c>
      <c r="V73" s="5">
        <f t="shared" si="19"/>
        <v>15.4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141</v>
      </c>
      <c r="D74" s="3" t="s">
        <v>1557</v>
      </c>
      <c r="E74" s="3" t="s">
        <v>1847</v>
      </c>
      <c r="F74" s="3" t="s">
        <v>1558</v>
      </c>
      <c r="G74" s="3" t="s">
        <v>1848</v>
      </c>
      <c r="H74" s="20">
        <v>41696</v>
      </c>
      <c r="J74" s="3">
        <f t="shared" si="20"/>
        <v>20.07</v>
      </c>
      <c r="K74" s="3">
        <f t="shared" si="20"/>
        <v>20.04</v>
      </c>
      <c r="L74" s="3">
        <f t="shared" si="20"/>
        <v>20.63</v>
      </c>
      <c r="M74" s="3">
        <f t="shared" si="20"/>
        <v>19.71</v>
      </c>
      <c r="P74" s="26" t="s">
        <v>35</v>
      </c>
      <c r="Q74" s="10" t="str">
        <f t="shared" si="14"/>
        <v xml:space="preserve">EQUATORIAL  -ON  </v>
      </c>
      <c r="R74" s="51">
        <f t="shared" si="15"/>
        <v>41696</v>
      </c>
      <c r="S74" s="5">
        <f t="shared" si="16"/>
        <v>20.07</v>
      </c>
      <c r="T74" s="5">
        <f t="shared" si="17"/>
        <v>20.04</v>
      </c>
      <c r="U74" s="5">
        <f t="shared" si="18"/>
        <v>20.63</v>
      </c>
      <c r="V74" s="5">
        <f t="shared" si="19"/>
        <v>19.71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236</v>
      </c>
      <c r="D75" s="3" t="s">
        <v>233</v>
      </c>
      <c r="E75" s="3" t="s">
        <v>233</v>
      </c>
      <c r="F75" s="3" t="s">
        <v>233</v>
      </c>
      <c r="G75" s="3" t="s">
        <v>233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234</v>
      </c>
      <c r="Q75" s="10" t="str">
        <f t="shared" si="14"/>
        <v xml:space="preserve">FERBASA     -ON  </v>
      </c>
      <c r="R75" s="51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235</v>
      </c>
      <c r="D76" s="3" t="s">
        <v>1559</v>
      </c>
      <c r="E76" s="3" t="s">
        <v>1849</v>
      </c>
      <c r="F76" s="3" t="s">
        <v>1560</v>
      </c>
      <c r="G76" s="3" t="s">
        <v>1849</v>
      </c>
      <c r="H76" s="20">
        <v>41696</v>
      </c>
      <c r="J76" s="3">
        <f t="shared" si="20"/>
        <v>12.14</v>
      </c>
      <c r="K76" s="3">
        <f t="shared" si="20"/>
        <v>12.05</v>
      </c>
      <c r="L76" s="3">
        <f t="shared" si="20"/>
        <v>12.29</v>
      </c>
      <c r="M76" s="3">
        <f t="shared" si="20"/>
        <v>12.05</v>
      </c>
      <c r="P76" s="15" t="s">
        <v>79</v>
      </c>
      <c r="Q76" s="10" t="str">
        <f t="shared" si="14"/>
        <v xml:space="preserve">FERBASA     -PN  </v>
      </c>
      <c r="R76" s="51">
        <f t="shared" si="15"/>
        <v>41696</v>
      </c>
      <c r="S76" s="5">
        <f t="shared" si="16"/>
        <v>12.14</v>
      </c>
      <c r="T76" s="5">
        <f t="shared" si="17"/>
        <v>12.05</v>
      </c>
      <c r="U76" s="5">
        <f t="shared" si="18"/>
        <v>12.29</v>
      </c>
      <c r="V76" s="5">
        <f t="shared" si="19"/>
        <v>12.05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339</v>
      </c>
      <c r="D77" s="3" t="s">
        <v>163</v>
      </c>
      <c r="E77" s="3" t="s">
        <v>163</v>
      </c>
      <c r="F77" s="3" t="s">
        <v>163</v>
      </c>
      <c r="G77" s="3" t="s">
        <v>163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162</v>
      </c>
      <c r="Q77" s="10" t="str">
        <f t="shared" si="14"/>
        <v>GER PARANAP -ON</v>
      </c>
      <c r="R77" s="51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340</v>
      </c>
      <c r="D78" s="3" t="s">
        <v>1452</v>
      </c>
      <c r="E78" s="3" t="s">
        <v>1453</v>
      </c>
      <c r="F78" s="3" t="s">
        <v>1453</v>
      </c>
      <c r="G78" s="3" t="s">
        <v>1452</v>
      </c>
      <c r="H78" s="20">
        <v>41694</v>
      </c>
      <c r="J78" s="3">
        <f t="shared" si="20"/>
        <v>57.16</v>
      </c>
      <c r="K78" s="3">
        <f t="shared" si="20"/>
        <v>58</v>
      </c>
      <c r="L78" s="3">
        <f t="shared" si="20"/>
        <v>58</v>
      </c>
      <c r="M78" s="3">
        <f t="shared" si="20"/>
        <v>57.16</v>
      </c>
      <c r="P78" s="26" t="s">
        <v>38</v>
      </c>
      <c r="Q78" s="10" t="str">
        <f t="shared" si="14"/>
        <v>GER PARANAP -PN</v>
      </c>
      <c r="R78" s="51">
        <f t="shared" si="15"/>
        <v>41694</v>
      </c>
      <c r="S78" s="5">
        <f t="shared" si="16"/>
        <v>57.16</v>
      </c>
      <c r="T78" s="5">
        <f t="shared" si="17"/>
        <v>58</v>
      </c>
      <c r="U78" s="5">
        <f t="shared" si="18"/>
        <v>58</v>
      </c>
      <c r="V78" s="5">
        <f t="shared" si="19"/>
        <v>57.16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142</v>
      </c>
      <c r="D79" s="3" t="s">
        <v>1561</v>
      </c>
      <c r="E79" s="3" t="s">
        <v>1850</v>
      </c>
      <c r="F79" s="3" t="s">
        <v>1562</v>
      </c>
      <c r="G79" s="3" t="s">
        <v>1851</v>
      </c>
      <c r="H79" s="20">
        <v>41696</v>
      </c>
      <c r="J79" s="3">
        <f t="shared" si="20"/>
        <v>14.43</v>
      </c>
      <c r="K79" s="3">
        <f t="shared" si="20"/>
        <v>14.37</v>
      </c>
      <c r="L79" s="3">
        <f t="shared" si="20"/>
        <v>14.54</v>
      </c>
      <c r="M79" s="3">
        <f t="shared" si="20"/>
        <v>14.16</v>
      </c>
      <c r="P79" s="26" t="s">
        <v>29</v>
      </c>
      <c r="Q79" s="10" t="str">
        <f t="shared" si="14"/>
        <v>AES TIETE   -ON</v>
      </c>
      <c r="R79" s="51">
        <f t="shared" si="15"/>
        <v>41696</v>
      </c>
      <c r="S79" s="5">
        <f t="shared" si="16"/>
        <v>14.43</v>
      </c>
      <c r="T79" s="5">
        <f t="shared" si="17"/>
        <v>14.37</v>
      </c>
      <c r="U79" s="5">
        <f t="shared" si="18"/>
        <v>14.54</v>
      </c>
      <c r="V79" s="5">
        <f t="shared" si="19"/>
        <v>14.16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143</v>
      </c>
      <c r="D80" s="3" t="s">
        <v>1464</v>
      </c>
      <c r="E80" s="3" t="s">
        <v>1852</v>
      </c>
      <c r="F80" s="3" t="s">
        <v>1563</v>
      </c>
      <c r="G80" s="3" t="s">
        <v>1853</v>
      </c>
      <c r="H80" s="20">
        <v>41696</v>
      </c>
      <c r="J80" s="3">
        <f t="shared" si="20"/>
        <v>16.77</v>
      </c>
      <c r="K80" s="3">
        <f t="shared" si="20"/>
        <v>16.5</v>
      </c>
      <c r="L80" s="3">
        <f t="shared" si="20"/>
        <v>16.89</v>
      </c>
      <c r="M80" s="3">
        <f t="shared" si="20"/>
        <v>16.399999999999999</v>
      </c>
      <c r="P80" s="26" t="s">
        <v>33</v>
      </c>
      <c r="Q80" s="10" t="str">
        <f t="shared" si="14"/>
        <v>AES TIETE   -PN</v>
      </c>
      <c r="R80" s="51">
        <f t="shared" si="15"/>
        <v>41696</v>
      </c>
      <c r="S80" s="5">
        <f t="shared" si="16"/>
        <v>16.77</v>
      </c>
      <c r="T80" s="5">
        <f t="shared" si="17"/>
        <v>16.5</v>
      </c>
      <c r="U80" s="5">
        <f t="shared" si="18"/>
        <v>16.89</v>
      </c>
      <c r="V80" s="5">
        <f t="shared" si="19"/>
        <v>16.399999999999999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174</v>
      </c>
      <c r="D81" s="3" t="s">
        <v>1389</v>
      </c>
      <c r="E81" s="3" t="s">
        <v>565</v>
      </c>
      <c r="F81" s="3" t="s">
        <v>1389</v>
      </c>
      <c r="G81" s="3" t="s">
        <v>565</v>
      </c>
      <c r="H81" s="20">
        <v>41691</v>
      </c>
      <c r="J81" s="3">
        <f t="shared" si="20"/>
        <v>0.13</v>
      </c>
      <c r="K81" s="3">
        <f t="shared" si="20"/>
        <v>0.11</v>
      </c>
      <c r="L81" s="3">
        <f t="shared" si="20"/>
        <v>0.13</v>
      </c>
      <c r="M81" s="3">
        <f t="shared" si="20"/>
        <v>0.11</v>
      </c>
      <c r="P81" s="14" t="s">
        <v>172</v>
      </c>
      <c r="Q81" s="10" t="str">
        <f t="shared" si="14"/>
        <v xml:space="preserve">GTD PART    -ON  </v>
      </c>
      <c r="R81" s="51">
        <f t="shared" si="15"/>
        <v>41691</v>
      </c>
      <c r="S81" s="5">
        <f t="shared" si="16"/>
        <v>0.13</v>
      </c>
      <c r="T81" s="5">
        <f t="shared" si="17"/>
        <v>0.11</v>
      </c>
      <c r="U81" s="5">
        <f t="shared" si="18"/>
        <v>0.13</v>
      </c>
      <c r="V81" s="5">
        <f t="shared" si="19"/>
        <v>0.11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175</v>
      </c>
      <c r="D82" s="3" t="s">
        <v>406</v>
      </c>
      <c r="E82" s="3" t="s">
        <v>565</v>
      </c>
      <c r="F82" s="3" t="s">
        <v>406</v>
      </c>
      <c r="G82" s="3" t="s">
        <v>565</v>
      </c>
      <c r="H82" s="20">
        <v>41691</v>
      </c>
      <c r="J82" s="3">
        <f t="shared" si="20"/>
        <v>0.12</v>
      </c>
      <c r="K82" s="3">
        <f t="shared" si="20"/>
        <v>0.11</v>
      </c>
      <c r="L82" s="3">
        <f t="shared" si="20"/>
        <v>0.12</v>
      </c>
      <c r="M82" s="3">
        <f t="shared" si="20"/>
        <v>0.11</v>
      </c>
      <c r="P82" s="14" t="s">
        <v>173</v>
      </c>
      <c r="Q82" s="10" t="str">
        <f t="shared" si="14"/>
        <v xml:space="preserve">GTD PART    -PN  </v>
      </c>
      <c r="R82" s="51">
        <f t="shared" si="15"/>
        <v>41691</v>
      </c>
      <c r="S82" s="5">
        <f t="shared" si="16"/>
        <v>0.12</v>
      </c>
      <c r="T82" s="5">
        <f t="shared" si="17"/>
        <v>0.11</v>
      </c>
      <c r="U82" s="5">
        <f t="shared" si="18"/>
        <v>0.12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230</v>
      </c>
      <c r="D83" s="3" t="s">
        <v>106</v>
      </c>
      <c r="E83" s="3" t="s">
        <v>1450</v>
      </c>
      <c r="F83" s="3" t="s">
        <v>106</v>
      </c>
      <c r="G83" s="3" t="s">
        <v>1450</v>
      </c>
      <c r="H83" s="20">
        <v>41696</v>
      </c>
      <c r="J83" s="3">
        <f t="shared" si="20"/>
        <v>9</v>
      </c>
      <c r="K83" s="3">
        <f t="shared" si="20"/>
        <v>8.8000000000000007</v>
      </c>
      <c r="L83" s="3">
        <f t="shared" si="20"/>
        <v>9</v>
      </c>
      <c r="M83" s="3">
        <f t="shared" si="20"/>
        <v>8.8000000000000007</v>
      </c>
      <c r="P83" s="15" t="s">
        <v>229</v>
      </c>
      <c r="Q83" s="10" t="str">
        <f t="shared" si="14"/>
        <v xml:space="preserve">ITAUSA      -ON  </v>
      </c>
      <c r="R83" s="51">
        <f t="shared" si="15"/>
        <v>41696</v>
      </c>
      <c r="S83" s="5">
        <f t="shared" si="16"/>
        <v>9</v>
      </c>
      <c r="T83" s="5">
        <f t="shared" si="17"/>
        <v>8.8000000000000007</v>
      </c>
      <c r="U83" s="5">
        <f t="shared" si="18"/>
        <v>9</v>
      </c>
      <c r="V83" s="5">
        <f t="shared" si="19"/>
        <v>8.8000000000000007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144</v>
      </c>
      <c r="D84" s="3" t="s">
        <v>1565</v>
      </c>
      <c r="E84" s="3" t="s">
        <v>1447</v>
      </c>
      <c r="F84" s="3" t="s">
        <v>1566</v>
      </c>
      <c r="G84" s="3" t="s">
        <v>1854</v>
      </c>
      <c r="H84" s="45">
        <v>41696</v>
      </c>
      <c r="J84" s="3">
        <f t="shared" si="20"/>
        <v>8.4499999999999993</v>
      </c>
      <c r="K84" s="3">
        <f t="shared" si="20"/>
        <v>8.3000000000000007</v>
      </c>
      <c r="L84" s="3">
        <f t="shared" si="20"/>
        <v>8.4700000000000006</v>
      </c>
      <c r="M84" s="3">
        <f t="shared" si="20"/>
        <v>8.26</v>
      </c>
      <c r="P84" s="15" t="s">
        <v>16</v>
      </c>
      <c r="Q84" s="10" t="str">
        <f t="shared" si="14"/>
        <v xml:space="preserve">ITAUSA      -PN  </v>
      </c>
      <c r="R84" s="51">
        <f t="shared" si="15"/>
        <v>41696</v>
      </c>
      <c r="S84" s="5">
        <f t="shared" si="16"/>
        <v>8.4499999999999993</v>
      </c>
      <c r="T84" s="5">
        <f t="shared" si="17"/>
        <v>8.3000000000000007</v>
      </c>
      <c r="U84" s="5">
        <f t="shared" si="18"/>
        <v>8.4700000000000006</v>
      </c>
      <c r="V84" s="5">
        <f t="shared" si="19"/>
        <v>8.26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228</v>
      </c>
      <c r="D85" s="3" t="s">
        <v>1567</v>
      </c>
      <c r="E85" s="3" t="s">
        <v>1855</v>
      </c>
      <c r="F85" s="3" t="s">
        <v>1855</v>
      </c>
      <c r="G85" s="3" t="s">
        <v>1856</v>
      </c>
      <c r="H85" s="45">
        <v>41696</v>
      </c>
      <c r="J85" s="3">
        <f t="shared" si="20"/>
        <v>28.97</v>
      </c>
      <c r="K85" s="3">
        <f t="shared" si="20"/>
        <v>29.03</v>
      </c>
      <c r="L85" s="3">
        <f t="shared" si="20"/>
        <v>29.03</v>
      </c>
      <c r="M85" s="3">
        <f t="shared" si="20"/>
        <v>28.61</v>
      </c>
      <c r="P85" s="10" t="s">
        <v>227</v>
      </c>
      <c r="Q85" s="10" t="str">
        <f t="shared" si="14"/>
        <v xml:space="preserve">ITAUUNIBANCO-ON  </v>
      </c>
      <c r="R85" s="51">
        <f t="shared" si="15"/>
        <v>41696</v>
      </c>
      <c r="S85" s="5">
        <f t="shared" si="16"/>
        <v>28.97</v>
      </c>
      <c r="T85" s="5">
        <f t="shared" si="17"/>
        <v>29.03</v>
      </c>
      <c r="U85" s="5">
        <f t="shared" si="18"/>
        <v>29.03</v>
      </c>
      <c r="V85" s="5">
        <f t="shared" si="19"/>
        <v>28.61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145</v>
      </c>
      <c r="D86" s="3" t="s">
        <v>1568</v>
      </c>
      <c r="E86" s="3" t="s">
        <v>1857</v>
      </c>
      <c r="F86" s="3" t="s">
        <v>1569</v>
      </c>
      <c r="G86" s="3" t="s">
        <v>1570</v>
      </c>
      <c r="H86" s="45">
        <v>41696</v>
      </c>
      <c r="J86" s="3">
        <f t="shared" si="20"/>
        <v>31.17</v>
      </c>
      <c r="K86" s="3">
        <f t="shared" si="20"/>
        <v>30.94</v>
      </c>
      <c r="L86" s="3">
        <f t="shared" si="20"/>
        <v>31.19</v>
      </c>
      <c r="M86" s="3">
        <f t="shared" si="20"/>
        <v>30.8</v>
      </c>
      <c r="P86" s="10" t="s">
        <v>80</v>
      </c>
      <c r="Q86" s="10" t="str">
        <f t="shared" si="14"/>
        <v xml:space="preserve">ITAUUNIBANCO-PN  </v>
      </c>
      <c r="R86" s="51">
        <f t="shared" si="15"/>
        <v>41696</v>
      </c>
      <c r="S86" s="5">
        <f t="shared" si="16"/>
        <v>31.17</v>
      </c>
      <c r="T86" s="5">
        <f t="shared" si="17"/>
        <v>30.94</v>
      </c>
      <c r="U86" s="5">
        <f t="shared" si="18"/>
        <v>31.19</v>
      </c>
      <c r="V86" s="5">
        <f t="shared" si="19"/>
        <v>30.8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187</v>
      </c>
      <c r="D87" s="3" t="s">
        <v>778</v>
      </c>
      <c r="E87" s="3" t="s">
        <v>778</v>
      </c>
      <c r="F87" s="3" t="s">
        <v>778</v>
      </c>
      <c r="G87" s="3" t="s">
        <v>778</v>
      </c>
      <c r="H87" s="45">
        <v>41674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186</v>
      </c>
      <c r="Q87" s="10" t="str">
        <f t="shared" si="14"/>
        <v xml:space="preserve">KLABIN S/A  -ON  </v>
      </c>
      <c r="R87" s="51">
        <f t="shared" si="15"/>
        <v>41674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146</v>
      </c>
      <c r="D88" s="3" t="s">
        <v>1507</v>
      </c>
      <c r="E88" s="3" t="s">
        <v>1858</v>
      </c>
      <c r="F88" s="3" t="s">
        <v>1571</v>
      </c>
      <c r="G88" s="3" t="s">
        <v>1858</v>
      </c>
      <c r="H88" s="45">
        <v>41696</v>
      </c>
      <c r="J88" s="3">
        <f t="shared" si="20"/>
        <v>11.63</v>
      </c>
      <c r="K88" s="3">
        <f t="shared" si="20"/>
        <v>11.54</v>
      </c>
      <c r="L88" s="3">
        <f t="shared" si="20"/>
        <v>11.9</v>
      </c>
      <c r="M88" s="3">
        <f t="shared" si="20"/>
        <v>11.54</v>
      </c>
      <c r="P88" s="15" t="s">
        <v>54</v>
      </c>
      <c r="Q88" s="10" t="str">
        <f t="shared" si="14"/>
        <v xml:space="preserve">KLABIN S/A  -PN  </v>
      </c>
      <c r="R88" s="51">
        <f t="shared" si="15"/>
        <v>41696</v>
      </c>
      <c r="S88" s="5">
        <f t="shared" si="16"/>
        <v>11.63</v>
      </c>
      <c r="T88" s="5">
        <f t="shared" si="17"/>
        <v>11.54</v>
      </c>
      <c r="U88" s="5">
        <f t="shared" si="18"/>
        <v>11.9</v>
      </c>
      <c r="V88" s="5">
        <f t="shared" si="19"/>
        <v>11.54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147</v>
      </c>
      <c r="D89" s="3" t="s">
        <v>1556</v>
      </c>
      <c r="E89" s="3" t="s">
        <v>1859</v>
      </c>
      <c r="F89" s="3" t="s">
        <v>1488</v>
      </c>
      <c r="G89" s="3" t="s">
        <v>1556</v>
      </c>
      <c r="H89" s="45">
        <v>41696</v>
      </c>
      <c r="J89" s="3">
        <f t="shared" si="20"/>
        <v>15.5</v>
      </c>
      <c r="K89" s="3">
        <f t="shared" si="20"/>
        <v>15.75</v>
      </c>
      <c r="L89" s="3">
        <f t="shared" si="20"/>
        <v>16.25</v>
      </c>
      <c r="M89" s="3">
        <f t="shared" si="20"/>
        <v>15.5</v>
      </c>
      <c r="P89" s="43" t="s">
        <v>55</v>
      </c>
      <c r="Q89" s="10" t="str">
        <f t="shared" si="14"/>
        <v xml:space="preserve">LIGHT S/A   -ON  </v>
      </c>
      <c r="R89" s="51">
        <f t="shared" si="15"/>
        <v>41696</v>
      </c>
      <c r="S89" s="5">
        <f t="shared" si="16"/>
        <v>15.5</v>
      </c>
      <c r="T89" s="5">
        <f t="shared" si="17"/>
        <v>15.75</v>
      </c>
      <c r="U89" s="5">
        <f t="shared" si="18"/>
        <v>16.25</v>
      </c>
      <c r="V89" s="5">
        <f t="shared" si="19"/>
        <v>15.5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165</v>
      </c>
      <c r="D90" s="3" t="s">
        <v>1390</v>
      </c>
      <c r="E90" s="3" t="s">
        <v>1391</v>
      </c>
      <c r="F90" s="3" t="s">
        <v>1390</v>
      </c>
      <c r="G90" s="3" t="s">
        <v>1392</v>
      </c>
      <c r="H90" s="45">
        <v>41690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164</v>
      </c>
      <c r="Q90" s="10" t="str">
        <f t="shared" si="14"/>
        <v>ELETROPAR   -ON</v>
      </c>
      <c r="R90" s="51">
        <f t="shared" si="15"/>
        <v>41690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148</v>
      </c>
      <c r="D91" s="3" t="s">
        <v>1572</v>
      </c>
      <c r="E91" s="61" t="s">
        <v>1740</v>
      </c>
      <c r="F91" s="61" t="s">
        <v>1491</v>
      </c>
      <c r="G91" s="3" t="s">
        <v>1529</v>
      </c>
      <c r="H91" s="45">
        <v>41696</v>
      </c>
      <c r="J91" s="3">
        <f t="shared" si="20"/>
        <v>7.3</v>
      </c>
      <c r="K91" s="3">
        <f t="shared" si="20"/>
        <v>7.22</v>
      </c>
      <c r="L91" s="3">
        <f t="shared" si="20"/>
        <v>7.36</v>
      </c>
      <c r="M91" s="3">
        <f t="shared" si="20"/>
        <v>7.12</v>
      </c>
      <c r="P91" s="10" t="s">
        <v>74</v>
      </c>
      <c r="Q91" s="10" t="str">
        <f t="shared" si="14"/>
        <v xml:space="preserve">PINE        -PN  </v>
      </c>
      <c r="R91" s="51">
        <f t="shared" si="15"/>
        <v>41696</v>
      </c>
      <c r="S91" s="5">
        <f t="shared" si="16"/>
        <v>7.3</v>
      </c>
      <c r="T91" s="5">
        <f t="shared" si="17"/>
        <v>7.22</v>
      </c>
      <c r="U91" s="5">
        <f t="shared" si="18"/>
        <v>7.36</v>
      </c>
      <c r="V91" s="5">
        <f t="shared" si="19"/>
        <v>7.12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149</v>
      </c>
      <c r="D92" s="3" t="s">
        <v>1574</v>
      </c>
      <c r="E92" s="3" t="s">
        <v>1860</v>
      </c>
      <c r="F92" s="3" t="s">
        <v>1763</v>
      </c>
      <c r="G92" s="3" t="s">
        <v>784</v>
      </c>
      <c r="H92" s="45">
        <v>41696</v>
      </c>
      <c r="J92" s="3">
        <f t="shared" si="20"/>
        <v>10.41</v>
      </c>
      <c r="K92" s="3">
        <f t="shared" si="20"/>
        <v>10.51</v>
      </c>
      <c r="L92" s="3">
        <f t="shared" si="20"/>
        <v>10.65</v>
      </c>
      <c r="M92" s="3">
        <f t="shared" si="20"/>
        <v>10.4</v>
      </c>
      <c r="P92" s="16" t="s">
        <v>82</v>
      </c>
      <c r="Q92" s="10" t="str">
        <f t="shared" si="14"/>
        <v xml:space="preserve">PARANA      -PN  </v>
      </c>
      <c r="R92" s="51">
        <f t="shared" si="15"/>
        <v>41696</v>
      </c>
      <c r="S92" s="5">
        <f t="shared" si="16"/>
        <v>10.41</v>
      </c>
      <c r="T92" s="5">
        <f t="shared" si="17"/>
        <v>10.51</v>
      </c>
      <c r="U92" s="5">
        <f t="shared" si="18"/>
        <v>10.65</v>
      </c>
      <c r="V92" s="5">
        <f t="shared" si="19"/>
        <v>10.4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232</v>
      </c>
      <c r="D93" s="3" t="s">
        <v>1575</v>
      </c>
      <c r="E93" s="3" t="s">
        <v>1861</v>
      </c>
      <c r="F93" s="3" t="s">
        <v>1862</v>
      </c>
      <c r="G93" s="3" t="s">
        <v>1575</v>
      </c>
      <c r="H93" s="45">
        <v>41696</v>
      </c>
      <c r="J93" s="3">
        <f t="shared" si="20"/>
        <v>30.6</v>
      </c>
      <c r="K93" s="3">
        <f t="shared" si="20"/>
        <v>31.59</v>
      </c>
      <c r="L93" s="3">
        <f t="shared" si="20"/>
        <v>31.79</v>
      </c>
      <c r="M93" s="3">
        <f t="shared" si="20"/>
        <v>30.6</v>
      </c>
      <c r="P93" s="16" t="s">
        <v>231</v>
      </c>
      <c r="Q93" s="10" t="str">
        <f t="shared" si="14"/>
        <v xml:space="preserve">PORTO SEGURO-ON  </v>
      </c>
      <c r="R93" s="51">
        <f t="shared" si="15"/>
        <v>41696</v>
      </c>
      <c r="S93" s="5">
        <f t="shared" si="16"/>
        <v>30.6</v>
      </c>
      <c r="T93" s="5">
        <f t="shared" si="17"/>
        <v>31.59</v>
      </c>
      <c r="U93" s="5">
        <f t="shared" si="18"/>
        <v>31.79</v>
      </c>
      <c r="V93" s="5">
        <f t="shared" si="19"/>
        <v>30.6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948</v>
      </c>
      <c r="D94" s="3" t="s">
        <v>677</v>
      </c>
      <c r="E94" s="3" t="s">
        <v>1576</v>
      </c>
      <c r="F94" s="3" t="s">
        <v>1499</v>
      </c>
      <c r="G94" s="3" t="s">
        <v>677</v>
      </c>
      <c r="H94" s="45">
        <v>41696</v>
      </c>
      <c r="J94" s="3">
        <f t="shared" si="20"/>
        <v>3</v>
      </c>
      <c r="K94" s="3">
        <f t="shared" si="20"/>
        <v>3.07</v>
      </c>
      <c r="L94" s="3">
        <f t="shared" si="20"/>
        <v>3.1</v>
      </c>
      <c r="M94" s="3">
        <f t="shared" si="20"/>
        <v>3</v>
      </c>
      <c r="P94" s="14" t="s">
        <v>184</v>
      </c>
      <c r="Q94" s="10" t="str">
        <f t="shared" si="14"/>
        <v>CELUL IRANI -ON</v>
      </c>
      <c r="R94" s="51">
        <f t="shared" si="15"/>
        <v>41696</v>
      </c>
      <c r="S94" s="5">
        <f t="shared" si="16"/>
        <v>3</v>
      </c>
      <c r="T94" s="5">
        <f t="shared" si="17"/>
        <v>3.07</v>
      </c>
      <c r="U94" s="5">
        <f t="shared" si="18"/>
        <v>3.1</v>
      </c>
      <c r="V94" s="5">
        <f t="shared" si="19"/>
        <v>3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949</v>
      </c>
      <c r="D95" s="3" t="s">
        <v>1863</v>
      </c>
      <c r="E95" s="3" t="s">
        <v>1864</v>
      </c>
      <c r="F95" s="3" t="s">
        <v>1864</v>
      </c>
      <c r="G95" s="3" t="s">
        <v>1863</v>
      </c>
      <c r="H95" s="45">
        <v>41696</v>
      </c>
      <c r="J95" s="3">
        <f t="shared" si="20"/>
        <v>3.56</v>
      </c>
      <c r="K95" s="3">
        <f t="shared" si="20"/>
        <v>3.58</v>
      </c>
      <c r="L95" s="3">
        <f t="shared" si="20"/>
        <v>3.58</v>
      </c>
      <c r="M95" s="3">
        <f t="shared" si="20"/>
        <v>3.56</v>
      </c>
      <c r="P95" s="14" t="s">
        <v>185</v>
      </c>
      <c r="Q95" s="10" t="str">
        <f t="shared" si="14"/>
        <v>CELUL IRANI -PN</v>
      </c>
      <c r="R95" s="51">
        <f t="shared" si="15"/>
        <v>41696</v>
      </c>
      <c r="S95" s="5">
        <f t="shared" si="16"/>
        <v>3.56</v>
      </c>
      <c r="T95" s="5">
        <f t="shared" si="17"/>
        <v>3.58</v>
      </c>
      <c r="U95" s="5">
        <f t="shared" si="18"/>
        <v>3.58</v>
      </c>
      <c r="V95" s="5">
        <f t="shared" si="19"/>
        <v>3.56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150</v>
      </c>
      <c r="D96" s="3" t="s">
        <v>728</v>
      </c>
      <c r="E96" s="3" t="s">
        <v>1577</v>
      </c>
      <c r="F96" s="3" t="s">
        <v>728</v>
      </c>
      <c r="G96" s="3" t="s">
        <v>1577</v>
      </c>
      <c r="H96" s="51">
        <v>41695</v>
      </c>
      <c r="J96" s="3">
        <f t="shared" si="20"/>
        <v>5</v>
      </c>
      <c r="K96" s="3">
        <f t="shared" si="20"/>
        <v>4.9800000000000004</v>
      </c>
      <c r="L96" s="3">
        <f t="shared" si="20"/>
        <v>5</v>
      </c>
      <c r="M96" s="3">
        <f t="shared" si="20"/>
        <v>4.9800000000000004</v>
      </c>
      <c r="P96" s="14" t="s">
        <v>65</v>
      </c>
      <c r="Q96" s="10" t="str">
        <f t="shared" si="14"/>
        <v>REDENTOR    -ON</v>
      </c>
      <c r="R96" s="51">
        <f t="shared" si="15"/>
        <v>41695</v>
      </c>
      <c r="S96" s="5">
        <f t="shared" si="16"/>
        <v>5</v>
      </c>
      <c r="T96" s="5">
        <f t="shared" si="17"/>
        <v>4.9800000000000004</v>
      </c>
      <c r="U96" s="5">
        <f t="shared" si="18"/>
        <v>5</v>
      </c>
      <c r="V96" s="5">
        <f t="shared" si="19"/>
        <v>4.9800000000000004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193</v>
      </c>
      <c r="D97" s="3" t="s">
        <v>1578</v>
      </c>
      <c r="E97" s="3" t="s">
        <v>1578</v>
      </c>
      <c r="F97" s="3" t="s">
        <v>1578</v>
      </c>
      <c r="G97" s="3" t="s">
        <v>1578</v>
      </c>
      <c r="H97" s="51">
        <v>41695</v>
      </c>
      <c r="J97" s="3">
        <f t="shared" si="20"/>
        <v>3.04</v>
      </c>
      <c r="K97" s="3">
        <f t="shared" si="20"/>
        <v>3.04</v>
      </c>
      <c r="L97" s="3">
        <f t="shared" si="20"/>
        <v>3.04</v>
      </c>
      <c r="M97" s="3">
        <f t="shared" si="20"/>
        <v>3.04</v>
      </c>
      <c r="P97" s="15" t="s">
        <v>191</v>
      </c>
      <c r="Q97" s="10" t="str">
        <f t="shared" si="14"/>
        <v>ALFA HOLDING-ON</v>
      </c>
      <c r="R97" s="51">
        <f t="shared" si="15"/>
        <v>41695</v>
      </c>
      <c r="S97" s="5">
        <f t="shared" si="16"/>
        <v>3.04</v>
      </c>
      <c r="T97" s="5">
        <f t="shared" si="17"/>
        <v>3.04</v>
      </c>
      <c r="U97" s="5">
        <f t="shared" si="18"/>
        <v>3.04</v>
      </c>
      <c r="V97" s="5">
        <f t="shared" si="19"/>
        <v>3.04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780</v>
      </c>
      <c r="D98" s="3" t="s">
        <v>1393</v>
      </c>
      <c r="E98" s="3" t="s">
        <v>1393</v>
      </c>
      <c r="F98" s="3" t="s">
        <v>1393</v>
      </c>
      <c r="G98" s="3" t="s">
        <v>1393</v>
      </c>
      <c r="H98" s="51">
        <v>41696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41696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194</v>
      </c>
      <c r="D99" s="3" t="s">
        <v>1579</v>
      </c>
      <c r="E99" s="3" t="s">
        <v>1580</v>
      </c>
      <c r="F99" s="3" t="s">
        <v>1580</v>
      </c>
      <c r="G99" s="3" t="s">
        <v>1579</v>
      </c>
      <c r="H99" s="51">
        <v>41696</v>
      </c>
      <c r="J99" s="3">
        <f t="shared" si="20"/>
        <v>2.29</v>
      </c>
      <c r="K99" s="3">
        <f t="shared" si="20"/>
        <v>2.33</v>
      </c>
      <c r="L99" s="3">
        <f t="shared" si="20"/>
        <v>2.33</v>
      </c>
      <c r="M99" s="3">
        <f t="shared" si="20"/>
        <v>2.29</v>
      </c>
      <c r="P99" s="15" t="s">
        <v>192</v>
      </c>
      <c r="Q99" s="10" t="str">
        <f t="shared" si="14"/>
        <v>ALFA HOLDING-PNB</v>
      </c>
      <c r="R99" s="51">
        <f t="shared" si="15"/>
        <v>41696</v>
      </c>
      <c r="S99" s="5">
        <f t="shared" si="16"/>
        <v>2.29</v>
      </c>
      <c r="T99" s="5">
        <f t="shared" si="17"/>
        <v>2.33</v>
      </c>
      <c r="U99" s="5">
        <f t="shared" si="18"/>
        <v>2.33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654</v>
      </c>
      <c r="D100" s="3" t="s">
        <v>435</v>
      </c>
      <c r="E100" s="3" t="s">
        <v>183</v>
      </c>
      <c r="F100" s="3" t="s">
        <v>183</v>
      </c>
      <c r="G100" s="3" t="s">
        <v>183</v>
      </c>
      <c r="H100" s="51">
        <v>41556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182</v>
      </c>
      <c r="Q100" s="10" t="str">
        <f t="shared" si="14"/>
        <v>SANEPAR     -ON</v>
      </c>
      <c r="R100" s="51">
        <f t="shared" si="15"/>
        <v>41556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655</v>
      </c>
      <c r="D101" s="3" t="s">
        <v>1581</v>
      </c>
      <c r="E101" s="3" t="s">
        <v>1865</v>
      </c>
      <c r="F101" s="3" t="s">
        <v>1369</v>
      </c>
      <c r="G101" s="3" t="s">
        <v>1865</v>
      </c>
      <c r="H101" s="51">
        <v>41696</v>
      </c>
      <c r="J101" s="3">
        <f t="shared" si="20"/>
        <v>5.1100000000000003</v>
      </c>
      <c r="K101" s="3">
        <f t="shared" si="20"/>
        <v>5.0999999999999996</v>
      </c>
      <c r="L101" s="3">
        <f t="shared" si="20"/>
        <v>5.15</v>
      </c>
      <c r="M101" s="3">
        <f t="shared" si="20"/>
        <v>5.0999999999999996</v>
      </c>
      <c r="P101" s="14" t="s">
        <v>66</v>
      </c>
      <c r="Q101" s="10" t="str">
        <f t="shared" si="14"/>
        <v>SANEPAR     -PN</v>
      </c>
      <c r="R101" s="51">
        <f t="shared" si="15"/>
        <v>41696</v>
      </c>
      <c r="S101" s="5">
        <f t="shared" si="16"/>
        <v>5.1100000000000003</v>
      </c>
      <c r="T101" s="5">
        <f t="shared" si="17"/>
        <v>5.0999999999999996</v>
      </c>
      <c r="U101" s="5">
        <f t="shared" si="18"/>
        <v>5.15</v>
      </c>
      <c r="V101" s="5">
        <f t="shared" si="19"/>
        <v>5.0999999999999996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151</v>
      </c>
      <c r="D102" s="3" t="s">
        <v>1582</v>
      </c>
      <c r="E102" s="3" t="s">
        <v>1866</v>
      </c>
      <c r="F102" s="3" t="s">
        <v>1583</v>
      </c>
      <c r="G102" s="3" t="s">
        <v>1867</v>
      </c>
      <c r="H102" s="51">
        <v>41696</v>
      </c>
      <c r="J102" s="3">
        <f t="shared" si="20"/>
        <v>21.88</v>
      </c>
      <c r="K102" s="3">
        <f t="shared" si="20"/>
        <v>21.5</v>
      </c>
      <c r="L102" s="3">
        <f t="shared" si="20"/>
        <v>21.96</v>
      </c>
      <c r="M102" s="3">
        <f t="shared" si="20"/>
        <v>21.41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41696</v>
      </c>
      <c r="S102" s="5">
        <f t="shared" si="16"/>
        <v>21.88</v>
      </c>
      <c r="T102" s="5">
        <f t="shared" si="17"/>
        <v>21.5</v>
      </c>
      <c r="U102" s="5">
        <f t="shared" si="18"/>
        <v>21.96</v>
      </c>
      <c r="V102" s="5">
        <f t="shared" si="19"/>
        <v>21.41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152</v>
      </c>
      <c r="D103" s="3" t="s">
        <v>1459</v>
      </c>
      <c r="E103" s="3" t="s">
        <v>1459</v>
      </c>
      <c r="F103" s="3" t="s">
        <v>1459</v>
      </c>
      <c r="G103" s="3" t="s">
        <v>1459</v>
      </c>
      <c r="H103" s="51">
        <v>41694</v>
      </c>
      <c r="J103" s="3">
        <f t="shared" si="20"/>
        <v>3.03</v>
      </c>
      <c r="K103" s="3">
        <f t="shared" si="20"/>
        <v>3.03</v>
      </c>
      <c r="L103" s="3">
        <f t="shared" si="20"/>
        <v>3.03</v>
      </c>
      <c r="M103" s="3">
        <f t="shared" si="20"/>
        <v>3.03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41694</v>
      </c>
      <c r="S103" s="5">
        <f t="shared" ref="S103:S112" si="23">J103</f>
        <v>3.03</v>
      </c>
      <c r="T103" s="5">
        <f t="shared" ref="T103:T112" si="24">K103</f>
        <v>3.03</v>
      </c>
      <c r="U103" s="5">
        <f t="shared" ref="U103:U112" si="25">L103</f>
        <v>3.03</v>
      </c>
      <c r="V103" s="5">
        <f t="shared" ref="V103:V112" si="26">M103</f>
        <v>3.03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153</v>
      </c>
      <c r="D104" s="3" t="s">
        <v>1518</v>
      </c>
      <c r="E104" s="3" t="s">
        <v>1868</v>
      </c>
      <c r="F104" s="3" t="s">
        <v>1793</v>
      </c>
      <c r="G104" s="3" t="s">
        <v>1399</v>
      </c>
      <c r="H104" s="51">
        <v>41696</v>
      </c>
      <c r="J104" s="3">
        <f t="shared" si="20"/>
        <v>8.67</v>
      </c>
      <c r="K104" s="3">
        <f t="shared" si="20"/>
        <v>8.75</v>
      </c>
      <c r="L104" s="3">
        <f t="shared" si="20"/>
        <v>8.92</v>
      </c>
      <c r="M104" s="3">
        <f t="shared" si="20"/>
        <v>8.64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41696</v>
      </c>
      <c r="S104" s="5">
        <f t="shared" si="23"/>
        <v>8.67</v>
      </c>
      <c r="T104" s="5">
        <f t="shared" si="24"/>
        <v>8.75</v>
      </c>
      <c r="U104" s="5">
        <f t="shared" si="25"/>
        <v>8.92</v>
      </c>
      <c r="V104" s="5">
        <f t="shared" si="26"/>
        <v>8.64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190</v>
      </c>
      <c r="D105" s="3" t="s">
        <v>1292</v>
      </c>
      <c r="E105" s="3" t="s">
        <v>1292</v>
      </c>
      <c r="F105" s="3" t="s">
        <v>1292</v>
      </c>
      <c r="G105" s="3" t="s">
        <v>1292</v>
      </c>
      <c r="H105" s="51">
        <v>41688</v>
      </c>
      <c r="J105" s="3">
        <f t="shared" si="20"/>
        <v>7.8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188</v>
      </c>
      <c r="Q105" s="10" t="str">
        <f t="shared" si="21"/>
        <v xml:space="preserve">SUZANO PAPEL-PNB </v>
      </c>
      <c r="R105" s="51">
        <f t="shared" si="22"/>
        <v>41688</v>
      </c>
      <c r="S105" s="5">
        <f t="shared" si="23"/>
        <v>7.8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154</v>
      </c>
      <c r="D106" s="3" t="s">
        <v>1423</v>
      </c>
      <c r="E106" s="3" t="s">
        <v>1869</v>
      </c>
      <c r="F106" s="3" t="s">
        <v>1870</v>
      </c>
      <c r="G106" s="3" t="s">
        <v>1584</v>
      </c>
      <c r="H106" s="51">
        <v>41696</v>
      </c>
      <c r="J106" s="3">
        <f t="shared" si="20"/>
        <v>17.239999999999998</v>
      </c>
      <c r="K106" s="3">
        <f t="shared" si="20"/>
        <v>17.55</v>
      </c>
      <c r="L106" s="3">
        <f t="shared" si="20"/>
        <v>17.670000000000002</v>
      </c>
      <c r="M106" s="3">
        <f t="shared" si="20"/>
        <v>17.170000000000002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41696</v>
      </c>
      <c r="S106" s="5">
        <f t="shared" si="23"/>
        <v>17.239999999999998</v>
      </c>
      <c r="T106" s="5">
        <f t="shared" si="24"/>
        <v>17.55</v>
      </c>
      <c r="U106" s="5">
        <f t="shared" si="25"/>
        <v>17.670000000000002</v>
      </c>
      <c r="V106" s="5">
        <f t="shared" si="26"/>
        <v>17.170000000000002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177</v>
      </c>
      <c r="D107" s="3" t="s">
        <v>1460</v>
      </c>
      <c r="E107" s="3" t="s">
        <v>1871</v>
      </c>
      <c r="F107" s="3" t="s">
        <v>1585</v>
      </c>
      <c r="G107" s="3" t="s">
        <v>1586</v>
      </c>
      <c r="H107" s="51">
        <v>41696</v>
      </c>
      <c r="J107" s="3">
        <f t="shared" si="20"/>
        <v>33.200000000000003</v>
      </c>
      <c r="K107" s="3">
        <f t="shared" si="20"/>
        <v>33.090000000000003</v>
      </c>
      <c r="L107" s="3">
        <f t="shared" si="20"/>
        <v>33.71</v>
      </c>
      <c r="M107" s="3">
        <f t="shared" si="20"/>
        <v>32.75</v>
      </c>
      <c r="P107" s="14" t="s">
        <v>176</v>
      </c>
      <c r="Q107" s="10" t="str">
        <f t="shared" si="21"/>
        <v xml:space="preserve">TRACTEBEL   -ON  </v>
      </c>
      <c r="R107" s="51">
        <f t="shared" si="22"/>
        <v>41696</v>
      </c>
      <c r="S107" s="5">
        <f t="shared" si="23"/>
        <v>33.200000000000003</v>
      </c>
      <c r="T107" s="5">
        <f t="shared" si="24"/>
        <v>33.090000000000003</v>
      </c>
      <c r="U107" s="5">
        <f t="shared" si="25"/>
        <v>33.71</v>
      </c>
      <c r="V107" s="5">
        <f t="shared" si="26"/>
        <v>32.75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160</v>
      </c>
      <c r="D108" s="3" t="s">
        <v>735</v>
      </c>
      <c r="E108" s="3" t="s">
        <v>735</v>
      </c>
      <c r="F108" s="3" t="s">
        <v>735</v>
      </c>
      <c r="G108" s="3" t="s">
        <v>735</v>
      </c>
      <c r="H108" s="51">
        <v>41669</v>
      </c>
      <c r="J108" s="3">
        <f t="shared" si="20"/>
        <v>45.8</v>
      </c>
      <c r="K108" s="3">
        <f t="shared" si="20"/>
        <v>45.8</v>
      </c>
      <c r="L108" s="3">
        <f t="shared" si="20"/>
        <v>45.8</v>
      </c>
      <c r="M108" s="3">
        <f t="shared" si="20"/>
        <v>45.8</v>
      </c>
      <c r="P108" s="14" t="s">
        <v>157</v>
      </c>
      <c r="Q108" s="10" t="str">
        <f t="shared" si="21"/>
        <v xml:space="preserve">TRAN PAULIST-ON  </v>
      </c>
      <c r="R108" s="51">
        <f t="shared" si="22"/>
        <v>41669</v>
      </c>
      <c r="S108" s="5">
        <f t="shared" si="23"/>
        <v>45.8</v>
      </c>
      <c r="T108" s="5">
        <f t="shared" si="24"/>
        <v>45.8</v>
      </c>
      <c r="U108" s="5">
        <f t="shared" si="25"/>
        <v>45.8</v>
      </c>
      <c r="V108" s="5">
        <f t="shared" si="26"/>
        <v>45.8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161</v>
      </c>
      <c r="D109" s="3" t="s">
        <v>1587</v>
      </c>
      <c r="E109" s="3" t="s">
        <v>1872</v>
      </c>
      <c r="F109" s="3" t="s">
        <v>1872</v>
      </c>
      <c r="G109" s="3" t="s">
        <v>1588</v>
      </c>
      <c r="H109" s="51">
        <v>41696</v>
      </c>
      <c r="J109" s="3">
        <f t="shared" si="20"/>
        <v>24.18</v>
      </c>
      <c r="K109" s="3">
        <f t="shared" si="20"/>
        <v>24.62</v>
      </c>
      <c r="L109" s="3">
        <f t="shared" si="20"/>
        <v>24.62</v>
      </c>
      <c r="M109" s="3">
        <f t="shared" si="20"/>
        <v>23.97</v>
      </c>
      <c r="P109" s="14" t="s">
        <v>158</v>
      </c>
      <c r="Q109" s="10" t="str">
        <f t="shared" si="21"/>
        <v xml:space="preserve">TRAN PAULIST-PN  </v>
      </c>
      <c r="R109" s="51">
        <f t="shared" si="22"/>
        <v>41696</v>
      </c>
      <c r="S109" s="5">
        <f t="shared" si="23"/>
        <v>24.18</v>
      </c>
      <c r="T109" s="5">
        <f t="shared" si="24"/>
        <v>24.62</v>
      </c>
      <c r="U109" s="5">
        <f t="shared" si="25"/>
        <v>24.62</v>
      </c>
      <c r="V109" s="5">
        <f t="shared" si="26"/>
        <v>23.97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155</v>
      </c>
      <c r="D110" s="3" t="s">
        <v>671</v>
      </c>
      <c r="E110" s="3" t="s">
        <v>671</v>
      </c>
      <c r="F110" s="3" t="s">
        <v>671</v>
      </c>
      <c r="G110" s="3" t="s">
        <v>1873</v>
      </c>
      <c r="H110" s="51">
        <v>41696</v>
      </c>
      <c r="J110" s="3">
        <f t="shared" si="20"/>
        <v>0.61</v>
      </c>
      <c r="K110" s="3">
        <f t="shared" si="20"/>
        <v>0.61</v>
      </c>
      <c r="L110" s="3">
        <f t="shared" si="20"/>
        <v>0.61</v>
      </c>
      <c r="M110" s="3">
        <f t="shared" si="20"/>
        <v>0.59</v>
      </c>
      <c r="P110" s="15" t="s">
        <v>73</v>
      </c>
      <c r="Q110" s="10" t="str">
        <f t="shared" si="21"/>
        <v>UNIPAR      -PNA</v>
      </c>
      <c r="R110" s="51">
        <f t="shared" si="22"/>
        <v>41696</v>
      </c>
      <c r="S110" s="5">
        <f t="shared" si="23"/>
        <v>0.61</v>
      </c>
      <c r="T110" s="5">
        <f t="shared" si="24"/>
        <v>0.61</v>
      </c>
      <c r="U110" s="5">
        <f t="shared" si="25"/>
        <v>0.61</v>
      </c>
      <c r="V110" s="5">
        <f t="shared" si="26"/>
        <v>0.59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156</v>
      </c>
      <c r="D111" s="3" t="s">
        <v>1288</v>
      </c>
      <c r="E111" s="3" t="s">
        <v>1819</v>
      </c>
      <c r="F111" s="3" t="s">
        <v>1819</v>
      </c>
      <c r="G111" s="3" t="s">
        <v>1288</v>
      </c>
      <c r="H111" s="51">
        <v>41696</v>
      </c>
      <c r="J111" s="3">
        <f t="shared" si="20"/>
        <v>0.44</v>
      </c>
      <c r="K111" s="3">
        <f t="shared" si="20"/>
        <v>0.45</v>
      </c>
      <c r="L111" s="3">
        <f t="shared" si="20"/>
        <v>0.45</v>
      </c>
      <c r="M111" s="3">
        <f t="shared" si="20"/>
        <v>0.44</v>
      </c>
      <c r="P111" s="14" t="s">
        <v>39</v>
      </c>
      <c r="Q111" s="10" t="str">
        <f t="shared" si="21"/>
        <v>UNIPAR      -PNB</v>
      </c>
      <c r="R111" s="51">
        <f t="shared" si="22"/>
        <v>41696</v>
      </c>
      <c r="S111" s="5">
        <f t="shared" si="23"/>
        <v>0.44</v>
      </c>
      <c r="T111" s="5">
        <f t="shared" si="24"/>
        <v>0.45</v>
      </c>
      <c r="U111" s="5">
        <f t="shared" si="25"/>
        <v>0.45</v>
      </c>
      <c r="V111" s="5">
        <f t="shared" si="26"/>
        <v>0.44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417</v>
      </c>
      <c r="D112" s="3" t="s">
        <v>407</v>
      </c>
      <c r="E112" s="3" t="s">
        <v>407</v>
      </c>
      <c r="F112" s="3" t="s">
        <v>407</v>
      </c>
      <c r="G112" s="3" t="s">
        <v>407</v>
      </c>
      <c r="H112" s="51">
        <v>41688</v>
      </c>
      <c r="J112" s="3">
        <f t="shared" ref="J112:J121" si="27">IF($A112="",0,VALUE(CONCATENATE(LEFT(D112,LEN(D112)-3),",",RIGHT(D112,2))))</f>
        <v>20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414</v>
      </c>
      <c r="Q112" s="10" t="str">
        <f t="shared" si="21"/>
        <v>PANATLANTICA-ON</v>
      </c>
      <c r="R112" s="51">
        <f t="shared" si="22"/>
        <v>41688</v>
      </c>
      <c r="S112" s="5">
        <f t="shared" si="23"/>
        <v>20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537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434</v>
      </c>
      <c r="D7" s="3" t="s">
        <v>435</v>
      </c>
      <c r="E7" s="3" t="s">
        <v>436</v>
      </c>
      <c r="F7" s="3" t="s">
        <v>435</v>
      </c>
      <c r="G7" s="3" t="s">
        <v>435</v>
      </c>
      <c r="H7" s="51" t="s">
        <v>435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432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448</v>
      </c>
      <c r="D8" s="3" t="s">
        <v>449</v>
      </c>
      <c r="E8" s="3" t="s">
        <v>449</v>
      </c>
      <c r="F8" s="3" t="s">
        <v>449</v>
      </c>
      <c r="G8" s="3" t="s">
        <v>449</v>
      </c>
      <c r="H8" s="51">
        <v>41618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447</v>
      </c>
      <c r="Q8" s="10" t="str">
        <f t="shared" si="1"/>
        <v>AFLUENTE T  -ON</v>
      </c>
      <c r="R8" s="51">
        <f t="shared" si="2"/>
        <v>41618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443</v>
      </c>
      <c r="D9" s="3" t="s">
        <v>444</v>
      </c>
      <c r="E9" s="3" t="s">
        <v>444</v>
      </c>
      <c r="F9" s="3" t="s">
        <v>444</v>
      </c>
      <c r="G9" s="3" t="s">
        <v>444</v>
      </c>
      <c r="H9" s="51">
        <v>41550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440</v>
      </c>
      <c r="Q9" s="10" t="str">
        <f t="shared" si="1"/>
        <v>AFLUENTE    -ON</v>
      </c>
      <c r="R9" s="51">
        <f t="shared" si="2"/>
        <v>41550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445</v>
      </c>
      <c r="D10" s="3" t="s">
        <v>435</v>
      </c>
      <c r="E10" s="3" t="s">
        <v>436</v>
      </c>
      <c r="F10" s="3" t="s">
        <v>435</v>
      </c>
      <c r="G10" s="3" t="s">
        <v>435</v>
      </c>
      <c r="H10" s="51" t="s">
        <v>435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441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446</v>
      </c>
      <c r="D11" s="3" t="s">
        <v>435</v>
      </c>
      <c r="E11" s="3" t="s">
        <v>436</v>
      </c>
      <c r="F11" s="3" t="s">
        <v>435</v>
      </c>
      <c r="G11" s="3" t="s">
        <v>435</v>
      </c>
      <c r="H11" s="51" t="s">
        <v>435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442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343</v>
      </c>
      <c r="D12" s="3" t="s">
        <v>1422</v>
      </c>
      <c r="E12" s="3" t="s">
        <v>1874</v>
      </c>
      <c r="F12" s="3" t="s">
        <v>1874</v>
      </c>
      <c r="G12" s="3" t="s">
        <v>1589</v>
      </c>
      <c r="H12" s="51">
        <v>41696</v>
      </c>
      <c r="J12" s="3">
        <f t="shared" si="7"/>
        <v>17.25</v>
      </c>
      <c r="K12" s="3">
        <f t="shared" si="0"/>
        <v>17.57</v>
      </c>
      <c r="L12" s="3">
        <f t="shared" si="0"/>
        <v>17.57</v>
      </c>
      <c r="M12" s="3">
        <f t="shared" si="0"/>
        <v>16.989999999999998</v>
      </c>
      <c r="P12" s="14" t="s">
        <v>342</v>
      </c>
      <c r="Q12" s="10" t="str">
        <f t="shared" si="1"/>
        <v xml:space="preserve">ALIANSCE    -ON  </v>
      </c>
      <c r="R12" s="46">
        <f t="shared" si="2"/>
        <v>41696</v>
      </c>
      <c r="S12" s="6">
        <f t="shared" si="3"/>
        <v>17.25</v>
      </c>
      <c r="T12" s="6">
        <f t="shared" si="4"/>
        <v>17.57</v>
      </c>
      <c r="U12" s="6">
        <f t="shared" si="5"/>
        <v>17.57</v>
      </c>
      <c r="V12" s="6">
        <f t="shared" si="6"/>
        <v>16.989999999999998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453</v>
      </c>
      <c r="D13" s="3" t="s">
        <v>1590</v>
      </c>
      <c r="E13" s="3" t="s">
        <v>782</v>
      </c>
      <c r="F13" s="3" t="s">
        <v>1422</v>
      </c>
      <c r="G13" s="3" t="s">
        <v>640</v>
      </c>
      <c r="H13" s="51">
        <v>41696</v>
      </c>
      <c r="J13" s="3">
        <f t="shared" si="7"/>
        <v>17.11</v>
      </c>
      <c r="K13" s="3">
        <f t="shared" si="0"/>
        <v>17.010000000000002</v>
      </c>
      <c r="L13" s="3">
        <f t="shared" si="0"/>
        <v>17.25</v>
      </c>
      <c r="M13" s="3">
        <f t="shared" si="0"/>
        <v>17</v>
      </c>
      <c r="P13" s="14" t="s">
        <v>450</v>
      </c>
      <c r="Q13" s="10" t="str">
        <f t="shared" si="1"/>
        <v xml:space="preserve">ALUPAR      -UNT </v>
      </c>
      <c r="R13" s="51">
        <f t="shared" si="2"/>
        <v>41696</v>
      </c>
      <c r="S13" s="5">
        <f t="shared" si="3"/>
        <v>17.11</v>
      </c>
      <c r="T13" s="5">
        <f t="shared" si="4"/>
        <v>17.010000000000002</v>
      </c>
      <c r="U13" s="5">
        <f t="shared" si="5"/>
        <v>17.25</v>
      </c>
      <c r="V13" s="5">
        <f t="shared" si="6"/>
        <v>17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454</v>
      </c>
      <c r="D14" s="3" t="s">
        <v>435</v>
      </c>
      <c r="E14" s="3" t="s">
        <v>436</v>
      </c>
      <c r="F14" s="3" t="s">
        <v>435</v>
      </c>
      <c r="G14" s="3" t="s">
        <v>435</v>
      </c>
      <c r="H14" s="51" t="s">
        <v>435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451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455</v>
      </c>
      <c r="D15" s="3" t="s">
        <v>435</v>
      </c>
      <c r="E15" s="3" t="s">
        <v>436</v>
      </c>
      <c r="F15" s="3" t="s">
        <v>435</v>
      </c>
      <c r="G15" s="3" t="s">
        <v>435</v>
      </c>
      <c r="H15" s="51" t="s">
        <v>435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452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304</v>
      </c>
      <c r="D16" s="3" t="s">
        <v>1591</v>
      </c>
      <c r="E16" s="3" t="s">
        <v>1591</v>
      </c>
      <c r="F16" s="3" t="s">
        <v>1591</v>
      </c>
      <c r="G16" s="3" t="s">
        <v>1591</v>
      </c>
      <c r="H16" s="51">
        <v>41696</v>
      </c>
      <c r="J16" s="3">
        <f t="shared" si="7"/>
        <v>5.26</v>
      </c>
      <c r="K16" s="3">
        <f t="shared" si="0"/>
        <v>5.26</v>
      </c>
      <c r="L16" s="3">
        <f t="shared" si="0"/>
        <v>5.26</v>
      </c>
      <c r="M16" s="3">
        <f t="shared" si="0"/>
        <v>5.26</v>
      </c>
      <c r="P16" s="14" t="s">
        <v>303</v>
      </c>
      <c r="Q16" s="10" t="str">
        <f t="shared" si="1"/>
        <v>BAHEMA      -ON</v>
      </c>
      <c r="R16" s="51">
        <f t="shared" si="2"/>
        <v>41696</v>
      </c>
      <c r="S16" s="5">
        <f t="shared" si="3"/>
        <v>5.26</v>
      </c>
      <c r="T16" s="5">
        <f t="shared" si="4"/>
        <v>5.26</v>
      </c>
      <c r="U16" s="5">
        <f t="shared" si="5"/>
        <v>5.26</v>
      </c>
      <c r="V16" s="5">
        <f t="shared" si="6"/>
        <v>5.26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250</v>
      </c>
      <c r="D17" s="3" t="s">
        <v>1592</v>
      </c>
      <c r="E17" s="3" t="s">
        <v>1711</v>
      </c>
      <c r="F17" s="3" t="s">
        <v>1593</v>
      </c>
      <c r="G17" s="3" t="s">
        <v>1594</v>
      </c>
      <c r="H17" s="51">
        <v>41696</v>
      </c>
      <c r="J17" s="3">
        <f t="shared" si="7"/>
        <v>23.38</v>
      </c>
      <c r="K17" s="3">
        <f t="shared" si="0"/>
        <v>23.45</v>
      </c>
      <c r="L17" s="3">
        <f t="shared" si="0"/>
        <v>23.66</v>
      </c>
      <c r="M17" s="3">
        <f t="shared" si="0"/>
        <v>23.33</v>
      </c>
      <c r="P17" s="15" t="s">
        <v>25</v>
      </c>
      <c r="Q17" s="10" t="str">
        <f t="shared" si="1"/>
        <v xml:space="preserve">BBSEGURIDADE-ON  </v>
      </c>
      <c r="R17" s="51">
        <f t="shared" si="2"/>
        <v>41696</v>
      </c>
      <c r="S17" s="5">
        <f t="shared" si="3"/>
        <v>23.38</v>
      </c>
      <c r="T17" s="5">
        <f t="shared" si="4"/>
        <v>23.45</v>
      </c>
      <c r="U17" s="5">
        <f t="shared" si="5"/>
        <v>23.66</v>
      </c>
      <c r="V17" s="5">
        <f t="shared" si="6"/>
        <v>23.33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295</v>
      </c>
      <c r="D18" s="3" t="s">
        <v>1595</v>
      </c>
      <c r="E18" s="3" t="s">
        <v>1875</v>
      </c>
      <c r="F18" s="3" t="s">
        <v>1547</v>
      </c>
      <c r="G18" s="3" t="s">
        <v>1596</v>
      </c>
      <c r="H18" s="51">
        <v>41696</v>
      </c>
      <c r="J18" s="3">
        <f t="shared" si="7"/>
        <v>17.16</v>
      </c>
      <c r="K18" s="3">
        <f t="shared" si="0"/>
        <v>17.399999999999999</v>
      </c>
      <c r="L18" s="3">
        <f t="shared" si="0"/>
        <v>17.41</v>
      </c>
      <c r="M18" s="3">
        <f t="shared" si="0"/>
        <v>17.05</v>
      </c>
      <c r="P18" s="10" t="s">
        <v>292</v>
      </c>
      <c r="Q18" s="10" t="str">
        <f t="shared" si="1"/>
        <v xml:space="preserve">BRADESPAR   -ON  </v>
      </c>
      <c r="R18" s="51">
        <f t="shared" si="2"/>
        <v>41696</v>
      </c>
      <c r="S18" s="5">
        <f t="shared" si="3"/>
        <v>17.16</v>
      </c>
      <c r="T18" s="5">
        <f t="shared" si="4"/>
        <v>17.399999999999999</v>
      </c>
      <c r="U18" s="5">
        <f t="shared" si="5"/>
        <v>17.41</v>
      </c>
      <c r="V18" s="5">
        <f t="shared" si="6"/>
        <v>17.05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296</v>
      </c>
      <c r="D19" s="3" t="s">
        <v>1485</v>
      </c>
      <c r="E19" s="3" t="s">
        <v>1876</v>
      </c>
      <c r="F19" s="3" t="s">
        <v>1597</v>
      </c>
      <c r="G19" s="3" t="s">
        <v>1598</v>
      </c>
      <c r="H19" s="51">
        <v>41696</v>
      </c>
      <c r="J19" s="3">
        <f t="shared" si="7"/>
        <v>20.94</v>
      </c>
      <c r="K19" s="3">
        <f t="shared" si="0"/>
        <v>21.11</v>
      </c>
      <c r="L19" s="3">
        <f t="shared" si="0"/>
        <v>21.28</v>
      </c>
      <c r="M19" s="3">
        <f t="shared" si="0"/>
        <v>20.73</v>
      </c>
      <c r="P19" s="10" t="s">
        <v>293</v>
      </c>
      <c r="Q19" s="10" t="str">
        <f t="shared" si="1"/>
        <v xml:space="preserve">BRADESPAR   -PN  </v>
      </c>
      <c r="R19" s="51">
        <f t="shared" si="2"/>
        <v>41696</v>
      </c>
      <c r="S19" s="5">
        <f t="shared" si="3"/>
        <v>20.94</v>
      </c>
      <c r="T19" s="5">
        <f t="shared" si="4"/>
        <v>21.11</v>
      </c>
      <c r="U19" s="5">
        <f t="shared" si="5"/>
        <v>21.28</v>
      </c>
      <c r="V19" s="5">
        <f t="shared" si="6"/>
        <v>20.73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276</v>
      </c>
      <c r="D20" s="3" t="s">
        <v>763</v>
      </c>
      <c r="E20" s="3" t="s">
        <v>1877</v>
      </c>
      <c r="F20" s="3" t="s">
        <v>1599</v>
      </c>
      <c r="G20" s="3" t="s">
        <v>763</v>
      </c>
      <c r="H20" s="51">
        <v>41696</v>
      </c>
      <c r="J20" s="3">
        <f t="shared" si="7"/>
        <v>40</v>
      </c>
      <c r="K20" s="3">
        <f t="shared" si="0"/>
        <v>40.049999999999997</v>
      </c>
      <c r="L20" s="3">
        <f t="shared" si="0"/>
        <v>40.35</v>
      </c>
      <c r="M20" s="3">
        <f t="shared" si="0"/>
        <v>40</v>
      </c>
      <c r="P20" s="10" t="s">
        <v>274</v>
      </c>
      <c r="Q20" s="10" t="str">
        <f t="shared" si="1"/>
        <v xml:space="preserve">BRF SA      -ON  </v>
      </c>
      <c r="R20" s="51">
        <f t="shared" si="2"/>
        <v>41696</v>
      </c>
      <c r="S20" s="5">
        <f t="shared" si="3"/>
        <v>40</v>
      </c>
      <c r="T20" s="5">
        <f t="shared" si="4"/>
        <v>40.049999999999997</v>
      </c>
      <c r="U20" s="5">
        <f t="shared" si="5"/>
        <v>40.35</v>
      </c>
      <c r="V20" s="5">
        <f t="shared" si="6"/>
        <v>40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368</v>
      </c>
      <c r="D21" s="3" t="s">
        <v>1394</v>
      </c>
      <c r="E21" s="3" t="s">
        <v>761</v>
      </c>
      <c r="F21" s="3" t="s">
        <v>1600</v>
      </c>
      <c r="G21" s="3" t="s">
        <v>1878</v>
      </c>
      <c r="H21" s="51">
        <v>41696</v>
      </c>
      <c r="J21" s="3">
        <f t="shared" si="7"/>
        <v>16.29</v>
      </c>
      <c r="K21" s="3">
        <f t="shared" si="0"/>
        <v>16</v>
      </c>
      <c r="L21" s="3">
        <f t="shared" si="0"/>
        <v>16.52</v>
      </c>
      <c r="M21" s="3">
        <f t="shared" si="0"/>
        <v>15.95</v>
      </c>
      <c r="P21" s="14" t="s">
        <v>366</v>
      </c>
      <c r="Q21" s="10" t="str">
        <f t="shared" si="1"/>
        <v xml:space="preserve">BR INSURANCE-ON  </v>
      </c>
      <c r="R21" s="51">
        <f t="shared" si="2"/>
        <v>41696</v>
      </c>
      <c r="S21" s="5">
        <f t="shared" si="3"/>
        <v>16.29</v>
      </c>
      <c r="T21" s="5">
        <f t="shared" si="4"/>
        <v>16</v>
      </c>
      <c r="U21" s="5">
        <f t="shared" si="5"/>
        <v>16.52</v>
      </c>
      <c r="V21" s="5">
        <f t="shared" si="6"/>
        <v>15.95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262</v>
      </c>
      <c r="D22" s="3" t="s">
        <v>1601</v>
      </c>
      <c r="E22" s="3" t="s">
        <v>1879</v>
      </c>
      <c r="F22" s="3" t="s">
        <v>1879</v>
      </c>
      <c r="G22" s="3" t="s">
        <v>1601</v>
      </c>
      <c r="H22" s="51">
        <v>41696</v>
      </c>
      <c r="J22" s="3">
        <f t="shared" si="7"/>
        <v>12.74</v>
      </c>
      <c r="K22" s="3">
        <f t="shared" si="0"/>
        <v>13.32</v>
      </c>
      <c r="L22" s="3">
        <f t="shared" si="0"/>
        <v>13.32</v>
      </c>
      <c r="M22" s="3">
        <f t="shared" si="0"/>
        <v>12.74</v>
      </c>
      <c r="P22" s="14" t="s">
        <v>259</v>
      </c>
      <c r="Q22" s="10" t="str">
        <f t="shared" si="1"/>
        <v xml:space="preserve">BRASKEM     -ON  </v>
      </c>
      <c r="R22" s="51">
        <f t="shared" si="2"/>
        <v>41696</v>
      </c>
      <c r="S22" s="5">
        <f t="shared" si="3"/>
        <v>12.74</v>
      </c>
      <c r="T22" s="5">
        <f t="shared" si="4"/>
        <v>13.32</v>
      </c>
      <c r="U22" s="5">
        <f t="shared" si="5"/>
        <v>13.32</v>
      </c>
      <c r="V22" s="5">
        <f t="shared" si="6"/>
        <v>12.74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263</v>
      </c>
      <c r="D23" s="3" t="s">
        <v>1455</v>
      </c>
      <c r="E23" s="3" t="s">
        <v>1880</v>
      </c>
      <c r="F23" s="3" t="s">
        <v>1603</v>
      </c>
      <c r="G23" s="3" t="s">
        <v>1543</v>
      </c>
      <c r="H23" s="51">
        <v>41696</v>
      </c>
      <c r="J23" s="3">
        <f t="shared" si="7"/>
        <v>16.73</v>
      </c>
      <c r="K23" s="3">
        <f t="shared" si="7"/>
        <v>16.55</v>
      </c>
      <c r="L23" s="3">
        <f t="shared" si="7"/>
        <v>16.84</v>
      </c>
      <c r="M23" s="3">
        <f t="shared" si="7"/>
        <v>16.43</v>
      </c>
      <c r="P23" s="14" t="s">
        <v>260</v>
      </c>
      <c r="Q23" s="10" t="str">
        <f t="shared" si="1"/>
        <v xml:space="preserve">BRASKEM     -PNA </v>
      </c>
      <c r="R23" s="51">
        <f t="shared" si="2"/>
        <v>41696</v>
      </c>
      <c r="S23" s="5">
        <f t="shared" si="3"/>
        <v>16.73</v>
      </c>
      <c r="T23" s="5">
        <f t="shared" si="4"/>
        <v>16.55</v>
      </c>
      <c r="U23" s="5">
        <f t="shared" si="5"/>
        <v>16.84</v>
      </c>
      <c r="V23" s="5">
        <f t="shared" si="6"/>
        <v>16.43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264</v>
      </c>
      <c r="D24" s="3" t="s">
        <v>736</v>
      </c>
      <c r="E24" s="3" t="s">
        <v>736</v>
      </c>
      <c r="F24" s="3" t="s">
        <v>736</v>
      </c>
      <c r="G24" s="3" t="s">
        <v>736</v>
      </c>
      <c r="H24" s="51">
        <v>41696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261</v>
      </c>
      <c r="Q24" s="10" t="str">
        <f t="shared" si="1"/>
        <v xml:space="preserve">BRASKEM     -PNB </v>
      </c>
      <c r="R24" s="51">
        <f t="shared" si="2"/>
        <v>41696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345</v>
      </c>
      <c r="D25" s="3" t="s">
        <v>1604</v>
      </c>
      <c r="E25" s="3" t="s">
        <v>1881</v>
      </c>
      <c r="F25" s="3" t="s">
        <v>1882</v>
      </c>
      <c r="G25" s="3" t="s">
        <v>1605</v>
      </c>
      <c r="H25" s="51">
        <v>41696</v>
      </c>
      <c r="J25" s="3">
        <f t="shared" si="7"/>
        <v>17.14</v>
      </c>
      <c r="K25" s="3">
        <f t="shared" si="7"/>
        <v>17.36</v>
      </c>
      <c r="L25" s="3">
        <f t="shared" si="7"/>
        <v>17.47</v>
      </c>
      <c r="M25" s="3">
        <f t="shared" si="7"/>
        <v>17.03</v>
      </c>
      <c r="P25" s="10" t="s">
        <v>344</v>
      </c>
      <c r="Q25" s="10" t="str">
        <f t="shared" si="1"/>
        <v xml:space="preserve">BR MALLS PAR-ON  </v>
      </c>
      <c r="R25" s="51">
        <f t="shared" si="2"/>
        <v>41696</v>
      </c>
      <c r="S25" s="5">
        <f t="shared" si="3"/>
        <v>17.14</v>
      </c>
      <c r="T25" s="5">
        <f t="shared" si="4"/>
        <v>17.36</v>
      </c>
      <c r="U25" s="5">
        <f t="shared" si="5"/>
        <v>17.47</v>
      </c>
      <c r="V25" s="5">
        <f t="shared" si="6"/>
        <v>17.03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347</v>
      </c>
      <c r="D26" s="3" t="s">
        <v>1606</v>
      </c>
      <c r="E26" s="3" t="s">
        <v>1488</v>
      </c>
      <c r="F26" s="3" t="s">
        <v>1607</v>
      </c>
      <c r="G26" s="3" t="s">
        <v>1608</v>
      </c>
      <c r="H26" s="51">
        <v>41696</v>
      </c>
      <c r="J26" s="3">
        <f t="shared" si="7"/>
        <v>16.690000000000001</v>
      </c>
      <c r="K26" s="3">
        <f t="shared" si="7"/>
        <v>16.25</v>
      </c>
      <c r="L26" s="3">
        <f t="shared" si="7"/>
        <v>16.82</v>
      </c>
      <c r="M26" s="3">
        <f t="shared" si="7"/>
        <v>16.149999999999999</v>
      </c>
      <c r="P26" s="15" t="s">
        <v>346</v>
      </c>
      <c r="Q26" s="10" t="str">
        <f t="shared" si="1"/>
        <v xml:space="preserve">BR PROPERT  -ON  </v>
      </c>
      <c r="R26" s="51">
        <f t="shared" si="2"/>
        <v>41696</v>
      </c>
      <c r="S26" s="5">
        <f t="shared" si="3"/>
        <v>16.690000000000001</v>
      </c>
      <c r="T26" s="5">
        <f t="shared" si="4"/>
        <v>16.25</v>
      </c>
      <c r="U26" s="5">
        <f t="shared" si="5"/>
        <v>16.82</v>
      </c>
      <c r="V26" s="5">
        <f t="shared" si="6"/>
        <v>16.149999999999999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374</v>
      </c>
      <c r="D27" s="3" t="s">
        <v>1465</v>
      </c>
      <c r="E27" s="3" t="s">
        <v>338</v>
      </c>
      <c r="F27" s="3" t="s">
        <v>1610</v>
      </c>
      <c r="G27" s="3" t="s">
        <v>1883</v>
      </c>
      <c r="H27" s="51">
        <v>41696</v>
      </c>
      <c r="J27" s="3">
        <f t="shared" si="7"/>
        <v>9.61</v>
      </c>
      <c r="K27" s="3">
        <f t="shared" si="7"/>
        <v>9.5</v>
      </c>
      <c r="L27" s="3">
        <f t="shared" si="7"/>
        <v>9.69</v>
      </c>
      <c r="M27" s="3">
        <f t="shared" si="7"/>
        <v>9.4600000000000009</v>
      </c>
      <c r="P27" s="15" t="s">
        <v>372</v>
      </c>
      <c r="Q27" s="10" t="str">
        <f t="shared" si="1"/>
        <v xml:space="preserve">BMFBOVESPA  -ON  </v>
      </c>
      <c r="R27" s="51">
        <f t="shared" si="2"/>
        <v>41696</v>
      </c>
      <c r="S27" s="5">
        <f t="shared" si="3"/>
        <v>9.61</v>
      </c>
      <c r="T27" s="5">
        <f t="shared" si="4"/>
        <v>9.5</v>
      </c>
      <c r="U27" s="5">
        <f t="shared" si="5"/>
        <v>9.69</v>
      </c>
      <c r="V27" s="5">
        <f t="shared" si="6"/>
        <v>9.4600000000000009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457</v>
      </c>
      <c r="D28" s="3" t="s">
        <v>1154</v>
      </c>
      <c r="E28" s="3" t="s">
        <v>1154</v>
      </c>
      <c r="F28" s="3" t="s">
        <v>1154</v>
      </c>
      <c r="G28" s="3" t="s">
        <v>1154</v>
      </c>
      <c r="H28" s="51">
        <v>41689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456</v>
      </c>
      <c r="Q28" s="10" t="str">
        <f t="shared" si="1"/>
        <v>AMPLA ENERG -ON *</v>
      </c>
      <c r="R28" s="51">
        <f t="shared" si="2"/>
        <v>41689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349</v>
      </c>
      <c r="D29" s="3" t="s">
        <v>397</v>
      </c>
      <c r="E29" s="3" t="s">
        <v>397</v>
      </c>
      <c r="F29" s="3" t="s">
        <v>397</v>
      </c>
      <c r="G29" s="3" t="s">
        <v>397</v>
      </c>
      <c r="H29" s="51">
        <v>41695</v>
      </c>
      <c r="J29" s="3">
        <f>IF($A29="",0,VALUE(CONCATENATE(LEFT(D29,LEN(D29)-3),",",RIGHT(D29,2))))</f>
        <v>19.5</v>
      </c>
      <c r="K29" s="3">
        <f t="shared" si="7"/>
        <v>19.5</v>
      </c>
      <c r="L29" s="3">
        <f t="shared" si="7"/>
        <v>19.5</v>
      </c>
      <c r="M29" s="3">
        <f t="shared" si="7"/>
        <v>19.5</v>
      </c>
      <c r="P29" s="15" t="s">
        <v>348</v>
      </c>
      <c r="Q29" s="10" t="str">
        <f t="shared" si="1"/>
        <v xml:space="preserve">CYRE COM-CCP-ON  </v>
      </c>
      <c r="R29" s="51">
        <f t="shared" si="2"/>
        <v>41695</v>
      </c>
      <c r="S29" s="5">
        <f t="shared" si="3"/>
        <v>19.5</v>
      </c>
      <c r="T29" s="5">
        <f t="shared" si="4"/>
        <v>19.5</v>
      </c>
      <c r="U29" s="5">
        <f t="shared" si="5"/>
        <v>19.5</v>
      </c>
      <c r="V29" s="5">
        <f t="shared" si="6"/>
        <v>19.5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641</v>
      </c>
      <c r="D30" s="3" t="s">
        <v>435</v>
      </c>
      <c r="E30" s="3" t="s">
        <v>436</v>
      </c>
      <c r="F30" s="3" t="s">
        <v>435</v>
      </c>
      <c r="G30" s="3" t="s">
        <v>435</v>
      </c>
      <c r="H30" s="51" t="s">
        <v>435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477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469</v>
      </c>
      <c r="D31" s="3" t="s">
        <v>1466</v>
      </c>
      <c r="E31" s="3" t="s">
        <v>1466</v>
      </c>
      <c r="F31" s="3" t="s">
        <v>1466</v>
      </c>
      <c r="G31" s="3" t="s">
        <v>1466</v>
      </c>
      <c r="H31" s="51">
        <v>41694</v>
      </c>
      <c r="J31" s="3">
        <f t="shared" si="7"/>
        <v>1.24</v>
      </c>
      <c r="K31" s="3">
        <f t="shared" si="7"/>
        <v>1.24</v>
      </c>
      <c r="L31" s="3">
        <f t="shared" si="7"/>
        <v>1.24</v>
      </c>
      <c r="M31" s="3">
        <f t="shared" si="7"/>
        <v>1.24</v>
      </c>
      <c r="P31" s="14" t="s">
        <v>465</v>
      </c>
      <c r="Q31" s="10" t="str">
        <f t="shared" si="1"/>
        <v>CELPA       -ON</v>
      </c>
      <c r="R31" s="51">
        <f t="shared" si="2"/>
        <v>41694</v>
      </c>
      <c r="S31" s="5">
        <f t="shared" si="3"/>
        <v>1.24</v>
      </c>
      <c r="T31" s="5">
        <f t="shared" si="4"/>
        <v>1.24</v>
      </c>
      <c r="U31" s="5">
        <f t="shared" si="5"/>
        <v>1.24</v>
      </c>
      <c r="V31" s="5">
        <f t="shared" si="6"/>
        <v>1.24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470</v>
      </c>
      <c r="D32" s="3" t="s">
        <v>471</v>
      </c>
      <c r="E32" s="3" t="s">
        <v>471</v>
      </c>
      <c r="F32" s="3" t="s">
        <v>471</v>
      </c>
      <c r="G32" s="3" t="s">
        <v>471</v>
      </c>
      <c r="H32" s="51">
        <v>41669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466</v>
      </c>
      <c r="Q32" s="10" t="str">
        <f t="shared" si="1"/>
        <v>CELPA       -PNA</v>
      </c>
      <c r="R32" s="51">
        <f t="shared" si="2"/>
        <v>41669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472</v>
      </c>
      <c r="D33" s="3" t="s">
        <v>473</v>
      </c>
      <c r="E33" s="3" t="s">
        <v>473</v>
      </c>
      <c r="F33" s="3" t="s">
        <v>473</v>
      </c>
      <c r="G33" s="3" t="s">
        <v>473</v>
      </c>
      <c r="H33" s="51">
        <v>41606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467</v>
      </c>
      <c r="Q33" s="10" t="str">
        <f t="shared" si="1"/>
        <v>CELPA       -PNB</v>
      </c>
      <c r="R33" s="51">
        <f t="shared" si="2"/>
        <v>41606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474</v>
      </c>
      <c r="D34" s="3" t="s">
        <v>931</v>
      </c>
      <c r="E34" s="3" t="s">
        <v>931</v>
      </c>
      <c r="F34" s="3" t="s">
        <v>931</v>
      </c>
      <c r="G34" s="3" t="s">
        <v>931</v>
      </c>
      <c r="H34" s="51">
        <v>41683</v>
      </c>
      <c r="J34" s="3">
        <f t="shared" si="7"/>
        <v>0.6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468</v>
      </c>
      <c r="Q34" s="10" t="str">
        <f t="shared" si="1"/>
        <v>CELPA       -PNC</v>
      </c>
      <c r="R34" s="51">
        <f t="shared" si="2"/>
        <v>41683</v>
      </c>
      <c r="S34" s="5">
        <f t="shared" si="3"/>
        <v>0.6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378</v>
      </c>
      <c r="D35" s="3" t="s">
        <v>1611</v>
      </c>
      <c r="E35" s="3" t="s">
        <v>1884</v>
      </c>
      <c r="F35" s="3" t="s">
        <v>1885</v>
      </c>
      <c r="G35" s="3" t="s">
        <v>1886</v>
      </c>
      <c r="H35" s="51">
        <v>41696</v>
      </c>
      <c r="J35" s="3">
        <f t="shared" si="7"/>
        <v>64.05</v>
      </c>
      <c r="K35" s="3">
        <f t="shared" si="7"/>
        <v>64.099999999999994</v>
      </c>
      <c r="L35" s="3">
        <f t="shared" si="7"/>
        <v>64.819999999999993</v>
      </c>
      <c r="M35" s="3">
        <f t="shared" si="7"/>
        <v>63.76</v>
      </c>
      <c r="P35" s="43" t="s">
        <v>376</v>
      </c>
      <c r="Q35" s="10" t="str">
        <f t="shared" si="1"/>
        <v xml:space="preserve">CIELO       -ON  </v>
      </c>
      <c r="R35" s="51">
        <f t="shared" si="2"/>
        <v>41696</v>
      </c>
      <c r="S35" s="5">
        <f t="shared" si="3"/>
        <v>64.05</v>
      </c>
      <c r="T35" s="5">
        <f t="shared" si="4"/>
        <v>64.099999999999994</v>
      </c>
      <c r="U35" s="5">
        <f t="shared" si="5"/>
        <v>64.819999999999993</v>
      </c>
      <c r="V35" s="5">
        <f t="shared" si="6"/>
        <v>63.76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642</v>
      </c>
      <c r="D36" s="3" t="s">
        <v>272</v>
      </c>
      <c r="E36" s="3" t="s">
        <v>272</v>
      </c>
      <c r="F36" s="3" t="s">
        <v>272</v>
      </c>
      <c r="G36" s="3" t="s">
        <v>272</v>
      </c>
      <c r="H36" s="51">
        <v>41605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270</v>
      </c>
      <c r="Q36" s="10" t="str">
        <f t="shared" si="1"/>
        <v>CACIQUE     -ON</v>
      </c>
      <c r="R36" s="51">
        <f t="shared" si="2"/>
        <v>41605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643</v>
      </c>
      <c r="D37" s="3" t="s">
        <v>917</v>
      </c>
      <c r="E37" s="3" t="s">
        <v>917</v>
      </c>
      <c r="F37" s="3" t="s">
        <v>917</v>
      </c>
      <c r="G37" s="3" t="s">
        <v>917</v>
      </c>
      <c r="H37" s="51">
        <v>41680</v>
      </c>
      <c r="J37" s="3">
        <f t="shared" si="7"/>
        <v>12.5</v>
      </c>
      <c r="K37" s="3">
        <f t="shared" si="7"/>
        <v>12.5</v>
      </c>
      <c r="L37" s="3">
        <f t="shared" si="7"/>
        <v>12.5</v>
      </c>
      <c r="M37" s="3">
        <f t="shared" si="7"/>
        <v>12.5</v>
      </c>
      <c r="P37" s="15" t="s">
        <v>271</v>
      </c>
      <c r="Q37" s="10" t="str">
        <f t="shared" si="1"/>
        <v>CACIQUE     -PN</v>
      </c>
      <c r="R37" s="51">
        <f t="shared" si="2"/>
        <v>41680</v>
      </c>
      <c r="S37" s="5">
        <f t="shared" si="3"/>
        <v>12.5</v>
      </c>
      <c r="T37" s="5">
        <f t="shared" si="4"/>
        <v>12.5</v>
      </c>
      <c r="U37" s="5">
        <f t="shared" si="5"/>
        <v>12.5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464</v>
      </c>
      <c r="D38" s="3" t="s">
        <v>763</v>
      </c>
      <c r="E38" s="3" t="s">
        <v>763</v>
      </c>
      <c r="F38" s="3" t="s">
        <v>763</v>
      </c>
      <c r="G38" s="3" t="s">
        <v>763</v>
      </c>
      <c r="H38" s="51">
        <v>41669</v>
      </c>
      <c r="J38" s="3">
        <f t="shared" si="7"/>
        <v>40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463</v>
      </c>
      <c r="Q38" s="10" t="str">
        <f t="shared" si="1"/>
        <v xml:space="preserve">CELESC      -ON  </v>
      </c>
      <c r="R38" s="51">
        <f t="shared" si="2"/>
        <v>41669</v>
      </c>
      <c r="S38" s="5">
        <f t="shared" si="3"/>
        <v>40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365</v>
      </c>
      <c r="D39" s="3" t="s">
        <v>1612</v>
      </c>
      <c r="E39" s="3" t="s">
        <v>1612</v>
      </c>
      <c r="F39" s="3" t="s">
        <v>1612</v>
      </c>
      <c r="G39" s="3" t="s">
        <v>1612</v>
      </c>
      <c r="H39" s="51">
        <v>41696</v>
      </c>
      <c r="J39" s="3">
        <f t="shared" si="7"/>
        <v>3.98</v>
      </c>
      <c r="K39" s="3">
        <f t="shared" si="7"/>
        <v>3.98</v>
      </c>
      <c r="L39" s="3">
        <f t="shared" si="7"/>
        <v>3.98</v>
      </c>
      <c r="M39" s="3">
        <f t="shared" si="7"/>
        <v>3.98</v>
      </c>
      <c r="P39" s="10" t="s">
        <v>363</v>
      </c>
      <c r="Q39" s="10" t="str">
        <f t="shared" ref="Q39:Q70" si="8">IF(A39="","",C39)</f>
        <v>ALFA FINANC -ON</v>
      </c>
      <c r="R39" s="51">
        <f t="shared" ref="R39:R70" si="9">IF(A39="","",H39)</f>
        <v>41696</v>
      </c>
      <c r="S39" s="5">
        <f t="shared" ref="S39:S70" si="10">J39</f>
        <v>3.98</v>
      </c>
      <c r="T39" s="5">
        <f t="shared" ref="T39:T70" si="11">K39</f>
        <v>3.98</v>
      </c>
      <c r="U39" s="5">
        <f t="shared" ref="U39:U70" si="12">L39</f>
        <v>3.98</v>
      </c>
      <c r="V39" s="5">
        <f t="shared" ref="V39:V70" si="13">M39</f>
        <v>3.98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781</v>
      </c>
      <c r="D40" s="3" t="s">
        <v>1613</v>
      </c>
      <c r="E40" s="3" t="s">
        <v>855</v>
      </c>
      <c r="F40" s="3" t="s">
        <v>1400</v>
      </c>
      <c r="G40" s="3" t="s">
        <v>225</v>
      </c>
      <c r="H40" s="51">
        <v>41696</v>
      </c>
      <c r="J40" s="3">
        <f t="shared" si="7"/>
        <v>3.74</v>
      </c>
      <c r="K40" s="3">
        <f t="shared" si="7"/>
        <v>3.75</v>
      </c>
      <c r="L40" s="3">
        <f t="shared" si="7"/>
        <v>3.85</v>
      </c>
      <c r="M40" s="3">
        <f t="shared" si="7"/>
        <v>3.6</v>
      </c>
      <c r="P40" s="14" t="s">
        <v>364</v>
      </c>
      <c r="Q40" s="10" t="str">
        <f t="shared" si="8"/>
        <v>ALFA FINANC -PN</v>
      </c>
      <c r="R40" s="51">
        <f t="shared" si="9"/>
        <v>41696</v>
      </c>
      <c r="S40" s="5">
        <f t="shared" si="10"/>
        <v>3.74</v>
      </c>
      <c r="T40" s="5">
        <f t="shared" si="11"/>
        <v>3.75</v>
      </c>
      <c r="U40" s="5">
        <f t="shared" si="12"/>
        <v>3.85</v>
      </c>
      <c r="V40" s="5">
        <f t="shared" si="13"/>
        <v>3.6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248</v>
      </c>
      <c r="D41" s="3" t="s">
        <v>127</v>
      </c>
      <c r="E41" s="3" t="s">
        <v>127</v>
      </c>
      <c r="F41" s="3" t="s">
        <v>127</v>
      </c>
      <c r="G41" s="3" t="s">
        <v>127</v>
      </c>
      <c r="H41" s="51">
        <v>41691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246</v>
      </c>
      <c r="Q41" s="10" t="str">
        <f t="shared" si="8"/>
        <v>SEG AL BAHIA-ON</v>
      </c>
      <c r="R41" s="51">
        <f t="shared" si="9"/>
        <v>41691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249</v>
      </c>
      <c r="D42" s="3" t="s">
        <v>1054</v>
      </c>
      <c r="E42" s="3" t="s">
        <v>1054</v>
      </c>
      <c r="F42" s="3" t="s">
        <v>1054</v>
      </c>
      <c r="G42" s="3" t="s">
        <v>1054</v>
      </c>
      <c r="H42" s="51">
        <v>41687</v>
      </c>
      <c r="J42" s="3">
        <f t="shared" si="7"/>
        <v>30.12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247</v>
      </c>
      <c r="Q42" s="10" t="str">
        <f t="shared" si="8"/>
        <v>SEG AL BAHIA-PN</v>
      </c>
      <c r="R42" s="51">
        <f t="shared" si="9"/>
        <v>41687</v>
      </c>
      <c r="S42" s="5">
        <f t="shared" si="10"/>
        <v>30.12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267</v>
      </c>
      <c r="D43" s="3" t="s">
        <v>1614</v>
      </c>
      <c r="E43" s="3" t="s">
        <v>1887</v>
      </c>
      <c r="F43" s="3" t="s">
        <v>1614</v>
      </c>
      <c r="G43" s="3" t="s">
        <v>1615</v>
      </c>
      <c r="H43" s="51">
        <v>41696</v>
      </c>
      <c r="J43" s="3">
        <f t="shared" si="7"/>
        <v>36.18</v>
      </c>
      <c r="K43" s="3">
        <f t="shared" si="7"/>
        <v>35.89</v>
      </c>
      <c r="L43" s="3">
        <f t="shared" si="7"/>
        <v>36.18</v>
      </c>
      <c r="M43" s="3">
        <f t="shared" si="7"/>
        <v>35.549999999999997</v>
      </c>
      <c r="P43" s="14" t="s">
        <v>266</v>
      </c>
      <c r="Q43" s="10" t="str">
        <f t="shared" si="8"/>
        <v xml:space="preserve">COSAN       -ON  </v>
      </c>
      <c r="R43" s="51">
        <f t="shared" si="9"/>
        <v>41696</v>
      </c>
      <c r="S43" s="5">
        <f t="shared" si="10"/>
        <v>36.18</v>
      </c>
      <c r="T43" s="5">
        <f t="shared" si="11"/>
        <v>35.89</v>
      </c>
      <c r="U43" s="5">
        <f t="shared" si="12"/>
        <v>36.18</v>
      </c>
      <c r="V43" s="5">
        <f t="shared" si="13"/>
        <v>35.549999999999997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377</v>
      </c>
      <c r="D44" s="3" t="s">
        <v>1467</v>
      </c>
      <c r="E44" s="3" t="s">
        <v>1616</v>
      </c>
      <c r="F44" s="3" t="s">
        <v>1888</v>
      </c>
      <c r="G44" s="3" t="s">
        <v>1617</v>
      </c>
      <c r="H44" s="51">
        <v>41696</v>
      </c>
      <c r="J44" s="3">
        <f t="shared" si="7"/>
        <v>24.63</v>
      </c>
      <c r="K44" s="3">
        <f t="shared" si="7"/>
        <v>24.67</v>
      </c>
      <c r="L44" s="3">
        <f t="shared" si="7"/>
        <v>24.71</v>
      </c>
      <c r="M44" s="3">
        <f t="shared" si="7"/>
        <v>24.4</v>
      </c>
      <c r="P44" s="14" t="s">
        <v>375</v>
      </c>
      <c r="Q44" s="10" t="str">
        <f t="shared" si="8"/>
        <v xml:space="preserve">CETIP       -ON  </v>
      </c>
      <c r="R44" s="51">
        <f t="shared" si="9"/>
        <v>41696</v>
      </c>
      <c r="S44" s="5">
        <f t="shared" si="10"/>
        <v>24.63</v>
      </c>
      <c r="T44" s="5">
        <f t="shared" si="11"/>
        <v>24.67</v>
      </c>
      <c r="U44" s="5">
        <f t="shared" si="12"/>
        <v>24.71</v>
      </c>
      <c r="V44" s="5">
        <f t="shared" si="13"/>
        <v>24.4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317</v>
      </c>
      <c r="D45" s="3" t="s">
        <v>136</v>
      </c>
      <c r="E45" s="3" t="s">
        <v>1889</v>
      </c>
      <c r="F45" s="3" t="s">
        <v>1796</v>
      </c>
      <c r="G45" s="3" t="s">
        <v>1618</v>
      </c>
      <c r="H45" s="51">
        <v>41696</v>
      </c>
      <c r="J45" s="3">
        <f t="shared" si="7"/>
        <v>11</v>
      </c>
      <c r="K45" s="3">
        <f t="shared" si="7"/>
        <v>10.97</v>
      </c>
      <c r="L45" s="3">
        <f t="shared" si="7"/>
        <v>11.12</v>
      </c>
      <c r="M45" s="3">
        <f t="shared" si="7"/>
        <v>10.85</v>
      </c>
      <c r="P45" s="14" t="s">
        <v>315</v>
      </c>
      <c r="Q45" s="10" t="str">
        <f t="shared" si="8"/>
        <v xml:space="preserve">DURATEX     -ON  </v>
      </c>
      <c r="R45" s="51">
        <f t="shared" si="9"/>
        <v>41696</v>
      </c>
      <c r="S45" s="5">
        <f t="shared" si="10"/>
        <v>11</v>
      </c>
      <c r="T45" s="5">
        <f t="shared" si="11"/>
        <v>10.97</v>
      </c>
      <c r="U45" s="5">
        <f t="shared" si="12"/>
        <v>11.12</v>
      </c>
      <c r="V45" s="5">
        <f t="shared" si="13"/>
        <v>10.85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380</v>
      </c>
      <c r="D46" s="3" t="s">
        <v>1395</v>
      </c>
      <c r="E46" s="3" t="s">
        <v>1424</v>
      </c>
      <c r="F46" s="3" t="s">
        <v>1395</v>
      </c>
      <c r="G46" s="3" t="s">
        <v>1424</v>
      </c>
      <c r="H46" s="51">
        <v>41691</v>
      </c>
      <c r="J46" s="3">
        <f t="shared" si="7"/>
        <v>7.94</v>
      </c>
      <c r="K46" s="3">
        <f t="shared" si="7"/>
        <v>7.89</v>
      </c>
      <c r="L46" s="3">
        <f t="shared" si="7"/>
        <v>7.94</v>
      </c>
      <c r="M46" s="3">
        <f t="shared" si="7"/>
        <v>7.89</v>
      </c>
      <c r="P46" s="14" t="s">
        <v>379</v>
      </c>
      <c r="Q46" s="10" t="str">
        <f t="shared" si="8"/>
        <v>EMBRATEL PAR-PN *</v>
      </c>
      <c r="R46" s="46">
        <f t="shared" si="9"/>
        <v>41691</v>
      </c>
      <c r="S46" s="6">
        <f t="shared" si="10"/>
        <v>7.94</v>
      </c>
      <c r="T46" s="6">
        <f t="shared" si="11"/>
        <v>7.89</v>
      </c>
      <c r="U46" s="6">
        <f t="shared" si="12"/>
        <v>7.94</v>
      </c>
      <c r="V46" s="6">
        <f t="shared" si="13"/>
        <v>7.89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401</v>
      </c>
      <c r="D47" s="3" t="s">
        <v>1396</v>
      </c>
      <c r="E47" s="3" t="s">
        <v>1397</v>
      </c>
      <c r="F47" s="3" t="s">
        <v>1396</v>
      </c>
      <c r="G47" s="3" t="s">
        <v>1397</v>
      </c>
      <c r="H47" s="51">
        <v>41690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257</v>
      </c>
      <c r="Q47" s="10" t="str">
        <f t="shared" si="8"/>
        <v>ELEKEIROZ   -ON</v>
      </c>
      <c r="R47" s="51">
        <f t="shared" si="9"/>
        <v>41690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402</v>
      </c>
      <c r="D48" s="3" t="s">
        <v>1450</v>
      </c>
      <c r="E48" s="3" t="s">
        <v>1450</v>
      </c>
      <c r="F48" s="3" t="s">
        <v>1450</v>
      </c>
      <c r="G48" s="3" t="s">
        <v>1450</v>
      </c>
      <c r="H48" s="51">
        <v>41696</v>
      </c>
      <c r="J48" s="3">
        <f t="shared" si="7"/>
        <v>8.8000000000000007</v>
      </c>
      <c r="K48" s="3">
        <f t="shared" si="7"/>
        <v>8.8000000000000007</v>
      </c>
      <c r="L48" s="3">
        <f t="shared" si="7"/>
        <v>8.8000000000000007</v>
      </c>
      <c r="M48" s="3">
        <f t="shared" si="7"/>
        <v>8.8000000000000007</v>
      </c>
      <c r="P48" s="14" t="s">
        <v>258</v>
      </c>
      <c r="Q48" s="10" t="str">
        <f t="shared" si="8"/>
        <v>ELEKEIROZ   -PN</v>
      </c>
      <c r="R48" s="51">
        <f t="shared" si="9"/>
        <v>41696</v>
      </c>
      <c r="S48" s="5">
        <f t="shared" si="10"/>
        <v>8.8000000000000007</v>
      </c>
      <c r="T48" s="5">
        <f t="shared" si="11"/>
        <v>8.8000000000000007</v>
      </c>
      <c r="U48" s="5">
        <f t="shared" si="12"/>
        <v>8.8000000000000007</v>
      </c>
      <c r="V48" s="5">
        <f t="shared" si="13"/>
        <v>8.8000000000000007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459</v>
      </c>
      <c r="D49" s="3" t="s">
        <v>460</v>
      </c>
      <c r="E49" s="3" t="s">
        <v>460</v>
      </c>
      <c r="F49" s="3" t="s">
        <v>460</v>
      </c>
      <c r="G49" s="3" t="s">
        <v>460</v>
      </c>
      <c r="H49" s="51">
        <v>41556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458</v>
      </c>
      <c r="Q49" s="10" t="str">
        <f t="shared" si="8"/>
        <v xml:space="preserve">ELETROBRAS  -PNA </v>
      </c>
      <c r="R49" s="51">
        <f t="shared" si="9"/>
        <v>41556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337</v>
      </c>
      <c r="D50" s="3" t="s">
        <v>1056</v>
      </c>
      <c r="E50" s="3" t="s">
        <v>1890</v>
      </c>
      <c r="F50" s="3" t="s">
        <v>1619</v>
      </c>
      <c r="G50" s="3" t="s">
        <v>1620</v>
      </c>
      <c r="H50" s="51">
        <v>41696</v>
      </c>
      <c r="J50" s="3">
        <f t="shared" si="7"/>
        <v>8.1999999999999993</v>
      </c>
      <c r="K50" s="3">
        <f t="shared" si="7"/>
        <v>8.24</v>
      </c>
      <c r="L50" s="3">
        <f t="shared" si="7"/>
        <v>8.27</v>
      </c>
      <c r="M50" s="3">
        <f t="shared" si="7"/>
        <v>8.17</v>
      </c>
      <c r="P50" s="15" t="s">
        <v>335</v>
      </c>
      <c r="Q50" s="10" t="str">
        <f t="shared" si="8"/>
        <v xml:space="preserve">ETERNIT     -ON  </v>
      </c>
      <c r="R50" s="46">
        <f t="shared" si="9"/>
        <v>41696</v>
      </c>
      <c r="S50" s="6">
        <f t="shared" si="10"/>
        <v>8.1999999999999993</v>
      </c>
      <c r="T50" s="6">
        <f t="shared" si="11"/>
        <v>8.24</v>
      </c>
      <c r="U50" s="6">
        <f t="shared" si="12"/>
        <v>8.27</v>
      </c>
      <c r="V50" s="6">
        <f t="shared" si="13"/>
        <v>8.17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319</v>
      </c>
      <c r="D51" s="3" t="s">
        <v>1621</v>
      </c>
      <c r="E51" s="3" t="s">
        <v>1492</v>
      </c>
      <c r="F51" s="3" t="s">
        <v>1621</v>
      </c>
      <c r="G51" s="3" t="s">
        <v>1622</v>
      </c>
      <c r="H51" s="51">
        <v>41696</v>
      </c>
      <c r="J51" s="3">
        <f t="shared" si="7"/>
        <v>5.43</v>
      </c>
      <c r="K51" s="3">
        <f t="shared" si="7"/>
        <v>5.42</v>
      </c>
      <c r="L51" s="3">
        <f t="shared" si="7"/>
        <v>5.43</v>
      </c>
      <c r="M51" s="3">
        <f t="shared" si="7"/>
        <v>5.37</v>
      </c>
      <c r="P51" s="14" t="s">
        <v>318</v>
      </c>
      <c r="Q51" s="10" t="str">
        <f t="shared" si="8"/>
        <v xml:space="preserve">EUCATEX     -PN  </v>
      </c>
      <c r="R51" s="51">
        <f t="shared" si="9"/>
        <v>41696</v>
      </c>
      <c r="S51" s="5">
        <f t="shared" si="10"/>
        <v>5.43</v>
      </c>
      <c r="T51" s="5">
        <f t="shared" si="11"/>
        <v>5.42</v>
      </c>
      <c r="U51" s="5">
        <f t="shared" si="12"/>
        <v>5.43</v>
      </c>
      <c r="V51" s="5">
        <f t="shared" si="13"/>
        <v>5.37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476</v>
      </c>
      <c r="D52" s="3" t="s">
        <v>405</v>
      </c>
      <c r="E52" s="3" t="s">
        <v>405</v>
      </c>
      <c r="F52" s="3" t="s">
        <v>405</v>
      </c>
      <c r="G52" s="3" t="s">
        <v>405</v>
      </c>
      <c r="H52" s="51">
        <v>41548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475</v>
      </c>
      <c r="Q52" s="10" t="str">
        <f t="shared" si="8"/>
        <v>CELGPAR     -ON</v>
      </c>
      <c r="R52" s="51">
        <f t="shared" si="9"/>
        <v>41548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299</v>
      </c>
      <c r="D53" s="3" t="s">
        <v>1059</v>
      </c>
      <c r="E53" s="3" t="s">
        <v>1398</v>
      </c>
      <c r="F53" s="3" t="s">
        <v>1059</v>
      </c>
      <c r="G53" s="3" t="s">
        <v>1398</v>
      </c>
      <c r="H53" s="51">
        <v>41690</v>
      </c>
      <c r="J53" s="3">
        <f t="shared" si="7"/>
        <v>13.21</v>
      </c>
      <c r="K53" s="3">
        <f t="shared" si="7"/>
        <v>13.2</v>
      </c>
      <c r="L53" s="3">
        <f t="shared" si="7"/>
        <v>13.21</v>
      </c>
      <c r="M53" s="3">
        <f t="shared" si="7"/>
        <v>13.2</v>
      </c>
      <c r="P53" s="14" t="s">
        <v>298</v>
      </c>
      <c r="Q53" s="10" t="str">
        <f t="shared" si="8"/>
        <v>HABITASUL   -PNA</v>
      </c>
      <c r="R53" s="51">
        <f t="shared" si="9"/>
        <v>41690</v>
      </c>
      <c r="S53" s="5">
        <f t="shared" si="10"/>
        <v>13.21</v>
      </c>
      <c r="T53" s="5">
        <f t="shared" si="11"/>
        <v>13.2</v>
      </c>
      <c r="U53" s="5">
        <f t="shared" si="12"/>
        <v>13.21</v>
      </c>
      <c r="V53" s="5">
        <f t="shared" si="13"/>
        <v>13.2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351</v>
      </c>
      <c r="D54" s="3" t="s">
        <v>1623</v>
      </c>
      <c r="E54" s="61" t="s">
        <v>1891</v>
      </c>
      <c r="F54" s="61" t="s">
        <v>1892</v>
      </c>
      <c r="G54" s="61" t="s">
        <v>1624</v>
      </c>
      <c r="H54" s="51">
        <v>41696</v>
      </c>
      <c r="J54" s="3">
        <f t="shared" si="7"/>
        <v>20.65</v>
      </c>
      <c r="K54" s="3">
        <f t="shared" si="7"/>
        <v>20.75</v>
      </c>
      <c r="L54" s="3">
        <f t="shared" si="7"/>
        <v>20.91</v>
      </c>
      <c r="M54" s="3">
        <f t="shared" si="7"/>
        <v>20.51</v>
      </c>
      <c r="P54" s="14" t="s">
        <v>350</v>
      </c>
      <c r="Q54" s="10" t="str">
        <f t="shared" si="8"/>
        <v xml:space="preserve">IGUATEMI    -ON  </v>
      </c>
      <c r="R54" s="51">
        <f t="shared" si="9"/>
        <v>41696</v>
      </c>
      <c r="S54" s="5">
        <f t="shared" si="10"/>
        <v>20.65</v>
      </c>
      <c r="T54" s="5">
        <f t="shared" si="11"/>
        <v>20.75</v>
      </c>
      <c r="U54" s="5">
        <f t="shared" si="12"/>
        <v>20.91</v>
      </c>
      <c r="V54" s="5">
        <f t="shared" si="13"/>
        <v>20.51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278</v>
      </c>
      <c r="D55" s="3" t="s">
        <v>1625</v>
      </c>
      <c r="E55" s="3" t="s">
        <v>1893</v>
      </c>
      <c r="F55" s="3" t="s">
        <v>1626</v>
      </c>
      <c r="G55" s="3" t="s">
        <v>1457</v>
      </c>
      <c r="H55" s="51">
        <v>41696</v>
      </c>
      <c r="J55" s="3">
        <f t="shared" si="7"/>
        <v>7.4</v>
      </c>
      <c r="K55" s="3">
        <f t="shared" si="7"/>
        <v>7.31</v>
      </c>
      <c r="L55" s="3">
        <f t="shared" si="7"/>
        <v>7.52</v>
      </c>
      <c r="M55" s="3">
        <f t="shared" si="7"/>
        <v>7.26</v>
      </c>
      <c r="P55" s="43" t="s">
        <v>277</v>
      </c>
      <c r="Q55" s="10" t="str">
        <f t="shared" si="8"/>
        <v xml:space="preserve">JBS         -ON  </v>
      </c>
      <c r="R55" s="51">
        <f t="shared" si="9"/>
        <v>41696</v>
      </c>
      <c r="S55" s="5">
        <f t="shared" si="10"/>
        <v>7.4</v>
      </c>
      <c r="T55" s="5">
        <f t="shared" si="11"/>
        <v>7.31</v>
      </c>
      <c r="U55" s="5">
        <f t="shared" si="12"/>
        <v>7.52</v>
      </c>
      <c r="V55" s="5">
        <f t="shared" si="13"/>
        <v>7.26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253</v>
      </c>
      <c r="D56" s="3" t="s">
        <v>782</v>
      </c>
      <c r="E56" s="3" t="s">
        <v>782</v>
      </c>
      <c r="F56" s="3" t="s">
        <v>782</v>
      </c>
      <c r="G56" s="3" t="s">
        <v>782</v>
      </c>
      <c r="H56" s="51">
        <v>41674</v>
      </c>
      <c r="J56" s="3">
        <f t="shared" si="7"/>
        <v>17.010000000000002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251</v>
      </c>
      <c r="Q56" s="10" t="str">
        <f t="shared" si="8"/>
        <v>JOSAPAR     -ON</v>
      </c>
      <c r="R56" s="51">
        <f t="shared" si="9"/>
        <v>41674</v>
      </c>
      <c r="S56" s="5">
        <f t="shared" si="10"/>
        <v>17.010000000000002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254</v>
      </c>
      <c r="D57" s="3" t="s">
        <v>407</v>
      </c>
      <c r="E57" s="3" t="s">
        <v>407</v>
      </c>
      <c r="F57" s="3" t="s">
        <v>407</v>
      </c>
      <c r="G57" s="3" t="s">
        <v>407</v>
      </c>
      <c r="H57" s="51">
        <v>41684</v>
      </c>
      <c r="J57" s="3">
        <f t="shared" si="7"/>
        <v>20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252</v>
      </c>
      <c r="Q57" s="10" t="str">
        <f t="shared" si="8"/>
        <v>JOSAPAR     -PN</v>
      </c>
      <c r="R57" s="51">
        <f t="shared" si="9"/>
        <v>41684</v>
      </c>
      <c r="S57" s="5">
        <f t="shared" si="10"/>
        <v>20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312</v>
      </c>
      <c r="D58" s="3" t="s">
        <v>1503</v>
      </c>
      <c r="E58" s="3" t="s">
        <v>1894</v>
      </c>
      <c r="F58" s="3" t="s">
        <v>1628</v>
      </c>
      <c r="G58" s="3" t="s">
        <v>1629</v>
      </c>
      <c r="H58" s="51">
        <v>41696</v>
      </c>
      <c r="J58" s="3">
        <f t="shared" si="7"/>
        <v>3.7</v>
      </c>
      <c r="K58" s="3">
        <f t="shared" si="7"/>
        <v>3.65</v>
      </c>
      <c r="L58" s="3">
        <f t="shared" si="7"/>
        <v>3.8</v>
      </c>
      <c r="M58" s="3">
        <f t="shared" si="7"/>
        <v>3.54</v>
      </c>
      <c r="P58" s="14" t="s">
        <v>311</v>
      </c>
      <c r="Q58" s="10" t="str">
        <f t="shared" si="8"/>
        <v xml:space="preserve">LOCAMERICA  -ON  </v>
      </c>
      <c r="R58" s="51">
        <f t="shared" si="9"/>
        <v>41696</v>
      </c>
      <c r="S58" s="5">
        <f t="shared" si="10"/>
        <v>3.7</v>
      </c>
      <c r="T58" s="5">
        <f t="shared" si="11"/>
        <v>3.65</v>
      </c>
      <c r="U58" s="5">
        <f t="shared" si="12"/>
        <v>3.8</v>
      </c>
      <c r="V58" s="5">
        <f t="shared" si="13"/>
        <v>3.54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324</v>
      </c>
      <c r="D59" s="3" t="s">
        <v>1622</v>
      </c>
      <c r="E59" s="61" t="s">
        <v>1895</v>
      </c>
      <c r="F59" s="61" t="s">
        <v>1502</v>
      </c>
      <c r="G59" s="61" t="s">
        <v>1493</v>
      </c>
      <c r="H59" s="51">
        <v>41696</v>
      </c>
      <c r="J59" s="3">
        <f t="shared" si="7"/>
        <v>5.37</v>
      </c>
      <c r="K59" s="3">
        <f t="shared" si="7"/>
        <v>5.33</v>
      </c>
      <c r="L59" s="3">
        <f t="shared" si="7"/>
        <v>5.52</v>
      </c>
      <c r="M59" s="3">
        <f t="shared" si="7"/>
        <v>5.31</v>
      </c>
      <c r="P59" s="14" t="s">
        <v>323</v>
      </c>
      <c r="Q59" s="10" t="str">
        <f t="shared" si="8"/>
        <v xml:space="preserve">MAGNESITA SA-ON  </v>
      </c>
      <c r="R59" s="46">
        <f t="shared" si="9"/>
        <v>41696</v>
      </c>
      <c r="S59" s="6">
        <f t="shared" si="10"/>
        <v>5.37</v>
      </c>
      <c r="T59" s="6">
        <f t="shared" si="11"/>
        <v>5.33</v>
      </c>
      <c r="U59" s="6">
        <f t="shared" si="12"/>
        <v>5.52</v>
      </c>
      <c r="V59" s="6">
        <f t="shared" si="13"/>
        <v>5.31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361</v>
      </c>
      <c r="D60" s="3" t="s">
        <v>1896</v>
      </c>
      <c r="E60" s="61">
        <v>83591</v>
      </c>
      <c r="F60" s="61">
        <v>83591</v>
      </c>
      <c r="G60" s="61">
        <v>83591</v>
      </c>
      <c r="H60" s="51">
        <v>41603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358</v>
      </c>
      <c r="Q60" s="10" t="str">
        <f t="shared" si="8"/>
        <v>MERC FINANC -ON</v>
      </c>
      <c r="R60" s="51">
        <f t="shared" si="9"/>
        <v>41603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362</v>
      </c>
      <c r="D61" s="3" t="s">
        <v>1291</v>
      </c>
      <c r="E61" s="3" t="s">
        <v>1291</v>
      </c>
      <c r="F61" s="3" t="s">
        <v>1291</v>
      </c>
      <c r="G61" s="3" t="s">
        <v>1291</v>
      </c>
      <c r="H61" s="51">
        <v>41695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359</v>
      </c>
      <c r="Q61" s="10" t="str">
        <f t="shared" si="8"/>
        <v>MERC FINANC -PN</v>
      </c>
      <c r="R61" s="51">
        <f t="shared" si="9"/>
        <v>41695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950</v>
      </c>
      <c r="D62" s="3" t="s">
        <v>783</v>
      </c>
      <c r="E62" s="3" t="s">
        <v>783</v>
      </c>
      <c r="F62" s="3" t="s">
        <v>783</v>
      </c>
      <c r="G62" s="3" t="s">
        <v>783</v>
      </c>
      <c r="H62" s="51">
        <v>41669</v>
      </c>
      <c r="J62" s="3">
        <f t="shared" si="7"/>
        <v>156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300</v>
      </c>
      <c r="Q62" s="10" t="str">
        <f t="shared" si="8"/>
        <v>MONT ARANHA -ON</v>
      </c>
      <c r="R62" s="51">
        <f t="shared" si="9"/>
        <v>41669</v>
      </c>
      <c r="S62" s="5">
        <f t="shared" si="10"/>
        <v>156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353</v>
      </c>
      <c r="D63" s="3" t="s">
        <v>1630</v>
      </c>
      <c r="E63" s="3" t="s">
        <v>1302</v>
      </c>
      <c r="F63" s="3" t="s">
        <v>1897</v>
      </c>
      <c r="G63" s="3" t="s">
        <v>1631</v>
      </c>
      <c r="H63" s="51">
        <v>41696</v>
      </c>
      <c r="J63" s="3">
        <f t="shared" si="7"/>
        <v>44.68</v>
      </c>
      <c r="K63" s="3">
        <f t="shared" si="7"/>
        <v>45</v>
      </c>
      <c r="L63" s="3">
        <f t="shared" si="7"/>
        <v>45.49</v>
      </c>
      <c r="M63" s="3">
        <f t="shared" si="7"/>
        <v>44.26</v>
      </c>
      <c r="P63" s="14" t="s">
        <v>352</v>
      </c>
      <c r="Q63" s="10" t="str">
        <f t="shared" si="8"/>
        <v xml:space="preserve">MULTIPLAN   -ON  </v>
      </c>
      <c r="R63" s="51">
        <f t="shared" si="9"/>
        <v>41696</v>
      </c>
      <c r="S63" s="5">
        <f t="shared" si="10"/>
        <v>44.68</v>
      </c>
      <c r="T63" s="5">
        <f t="shared" si="11"/>
        <v>45</v>
      </c>
      <c r="U63" s="5">
        <f t="shared" si="12"/>
        <v>45.49</v>
      </c>
      <c r="V63" s="5">
        <f t="shared" si="13"/>
        <v>44.26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329</v>
      </c>
      <c r="D64" s="3" t="s">
        <v>698</v>
      </c>
      <c r="E64" s="3" t="s">
        <v>698</v>
      </c>
      <c r="F64" s="3" t="s">
        <v>698</v>
      </c>
      <c r="G64" s="3" t="s">
        <v>698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328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287</v>
      </c>
      <c r="D65" s="3" t="s">
        <v>1436</v>
      </c>
      <c r="E65" s="3" t="s">
        <v>1898</v>
      </c>
      <c r="F65" s="3" t="s">
        <v>1632</v>
      </c>
      <c r="G65" s="3" t="s">
        <v>1633</v>
      </c>
      <c r="H65" s="51">
        <v>41696</v>
      </c>
      <c r="J65" s="3">
        <f t="shared" si="7"/>
        <v>4.03</v>
      </c>
      <c r="K65" s="3">
        <f t="shared" si="7"/>
        <v>4.0199999999999996</v>
      </c>
      <c r="L65" s="3">
        <f t="shared" si="7"/>
        <v>4.07</v>
      </c>
      <c r="M65" s="3">
        <f t="shared" si="7"/>
        <v>3.94</v>
      </c>
      <c r="P65" s="14" t="s">
        <v>285</v>
      </c>
      <c r="Q65" s="10" t="str">
        <f t="shared" si="8"/>
        <v xml:space="preserve">OI          -ON  </v>
      </c>
      <c r="R65" s="51">
        <f t="shared" si="9"/>
        <v>41696</v>
      </c>
      <c r="S65" s="5">
        <f t="shared" si="10"/>
        <v>4.03</v>
      </c>
      <c r="T65" s="5">
        <f t="shared" si="11"/>
        <v>4.0199999999999996</v>
      </c>
      <c r="U65" s="5">
        <f t="shared" si="12"/>
        <v>4.07</v>
      </c>
      <c r="V65" s="5">
        <f t="shared" si="13"/>
        <v>3.94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288</v>
      </c>
      <c r="D66" s="3" t="s">
        <v>1503</v>
      </c>
      <c r="E66" s="3" t="s">
        <v>1899</v>
      </c>
      <c r="F66" s="3" t="s">
        <v>1468</v>
      </c>
      <c r="G66" s="3" t="s">
        <v>225</v>
      </c>
      <c r="H66" s="51">
        <v>41696</v>
      </c>
      <c r="J66" s="3">
        <f t="shared" si="7"/>
        <v>3.7</v>
      </c>
      <c r="K66" s="3">
        <f t="shared" si="7"/>
        <v>3.63</v>
      </c>
      <c r="L66" s="3">
        <f t="shared" si="7"/>
        <v>3.73</v>
      </c>
      <c r="M66" s="3">
        <f t="shared" si="7"/>
        <v>3.6</v>
      </c>
      <c r="P66" s="10" t="s">
        <v>286</v>
      </c>
      <c r="Q66" s="10" t="str">
        <f t="shared" si="8"/>
        <v xml:space="preserve">OI          -PN  </v>
      </c>
      <c r="R66" s="51">
        <f t="shared" si="9"/>
        <v>41696</v>
      </c>
      <c r="S66" s="5">
        <f t="shared" si="10"/>
        <v>3.7</v>
      </c>
      <c r="T66" s="5">
        <f t="shared" si="11"/>
        <v>3.63</v>
      </c>
      <c r="U66" s="5">
        <f t="shared" si="12"/>
        <v>3.73</v>
      </c>
      <c r="V66" s="5">
        <f t="shared" si="13"/>
        <v>3.6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332</v>
      </c>
      <c r="D67" s="3" t="s">
        <v>1900</v>
      </c>
      <c r="E67" s="3" t="s">
        <v>1900</v>
      </c>
      <c r="F67" s="3" t="s">
        <v>1900</v>
      </c>
      <c r="G67" s="3" t="s">
        <v>1900</v>
      </c>
      <c r="H67" s="51">
        <v>41696</v>
      </c>
      <c r="J67" s="3">
        <f t="shared" si="7"/>
        <v>18.559999999999999</v>
      </c>
      <c r="K67" s="3">
        <f t="shared" si="7"/>
        <v>18.559999999999999</v>
      </c>
      <c r="L67" s="3">
        <f t="shared" si="7"/>
        <v>18.559999999999999</v>
      </c>
      <c r="M67" s="3">
        <f t="shared" si="7"/>
        <v>18.559999999999999</v>
      </c>
      <c r="P67" s="14" t="s">
        <v>330</v>
      </c>
      <c r="Q67" s="10" t="str">
        <f t="shared" si="8"/>
        <v>PANATLANTICA-PN</v>
      </c>
      <c r="R67" s="51">
        <f t="shared" si="9"/>
        <v>41696</v>
      </c>
      <c r="S67" s="5">
        <f t="shared" si="10"/>
        <v>18.559999999999999</v>
      </c>
      <c r="T67" s="5">
        <f t="shared" si="11"/>
        <v>18.559999999999999</v>
      </c>
      <c r="U67" s="5">
        <f t="shared" si="12"/>
        <v>18.559999999999999</v>
      </c>
      <c r="V67" s="5">
        <f t="shared" si="13"/>
        <v>18.559999999999999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241</v>
      </c>
      <c r="D68" s="3" t="s">
        <v>1634</v>
      </c>
      <c r="E68" s="3" t="s">
        <v>1901</v>
      </c>
      <c r="F68" s="3" t="s">
        <v>1634</v>
      </c>
      <c r="G68" s="3" t="s">
        <v>1901</v>
      </c>
      <c r="H68" s="51">
        <v>41696</v>
      </c>
      <c r="J68" s="3">
        <f t="shared" si="7"/>
        <v>13.34</v>
      </c>
      <c r="K68" s="3">
        <f t="shared" si="7"/>
        <v>12.9</v>
      </c>
      <c r="L68" s="3">
        <f t="shared" si="7"/>
        <v>13.34</v>
      </c>
      <c r="M68" s="3">
        <f t="shared" si="7"/>
        <v>12.9</v>
      </c>
      <c r="P68" s="14" t="s">
        <v>20</v>
      </c>
      <c r="Q68" s="10" t="str">
        <f t="shared" si="8"/>
        <v>PETROBRAS   -ON</v>
      </c>
      <c r="R68" s="51">
        <f t="shared" si="9"/>
        <v>41696</v>
      </c>
      <c r="S68" s="5">
        <f t="shared" si="10"/>
        <v>13.34</v>
      </c>
      <c r="T68" s="5">
        <f t="shared" si="11"/>
        <v>12.9</v>
      </c>
      <c r="U68" s="5">
        <f t="shared" si="12"/>
        <v>13.34</v>
      </c>
      <c r="V68" s="5">
        <f t="shared" si="13"/>
        <v>12.9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238</v>
      </c>
      <c r="D69" s="3" t="s">
        <v>1635</v>
      </c>
      <c r="E69" s="3" t="s">
        <v>1902</v>
      </c>
      <c r="F69" s="3" t="s">
        <v>1636</v>
      </c>
      <c r="G69" s="3" t="s">
        <v>1902</v>
      </c>
      <c r="H69" s="51">
        <v>41696</v>
      </c>
      <c r="J69" s="3">
        <f t="shared" si="7"/>
        <v>14.2</v>
      </c>
      <c r="K69" s="3">
        <f t="shared" si="7"/>
        <v>13.68</v>
      </c>
      <c r="L69" s="3">
        <f t="shared" si="7"/>
        <v>14.25</v>
      </c>
      <c r="M69" s="3">
        <f t="shared" si="7"/>
        <v>13.68</v>
      </c>
      <c r="P69" s="14" t="s">
        <v>21</v>
      </c>
      <c r="Q69" s="10" t="str">
        <f t="shared" si="8"/>
        <v>PETROBRAS   -PN</v>
      </c>
      <c r="R69" s="51">
        <f t="shared" si="9"/>
        <v>41696</v>
      </c>
      <c r="S69" s="5">
        <f t="shared" si="10"/>
        <v>14.2</v>
      </c>
      <c r="T69" s="5">
        <f t="shared" si="11"/>
        <v>13.68</v>
      </c>
      <c r="U69" s="5">
        <f t="shared" si="12"/>
        <v>14.25</v>
      </c>
      <c r="V69" s="5">
        <f t="shared" si="13"/>
        <v>13.68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322</v>
      </c>
      <c r="D70" s="3" t="s">
        <v>1056</v>
      </c>
      <c r="E70" s="3" t="s">
        <v>183</v>
      </c>
      <c r="F70" s="3" t="s">
        <v>1056</v>
      </c>
      <c r="G70" s="3" t="s">
        <v>1903</v>
      </c>
      <c r="H70" s="51">
        <v>41696</v>
      </c>
      <c r="J70" s="3">
        <f t="shared" si="7"/>
        <v>8.1999999999999993</v>
      </c>
      <c r="K70" s="3">
        <f t="shared" si="7"/>
        <v>8.19</v>
      </c>
      <c r="L70" s="3">
        <f t="shared" si="7"/>
        <v>8.1999999999999993</v>
      </c>
      <c r="M70" s="3">
        <f t="shared" si="7"/>
        <v>8.18</v>
      </c>
      <c r="P70" s="14" t="s">
        <v>321</v>
      </c>
      <c r="Q70" s="10" t="str">
        <f t="shared" si="8"/>
        <v xml:space="preserve">PROVIDENCIA -ON  </v>
      </c>
      <c r="R70" s="51">
        <f t="shared" si="9"/>
        <v>41696</v>
      </c>
      <c r="S70" s="5">
        <f t="shared" si="10"/>
        <v>8.1999999999999993</v>
      </c>
      <c r="T70" s="5">
        <f t="shared" si="11"/>
        <v>8.19</v>
      </c>
      <c r="U70" s="5">
        <f t="shared" si="12"/>
        <v>8.1999999999999993</v>
      </c>
      <c r="V70" s="5">
        <f t="shared" si="13"/>
        <v>8.18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403</v>
      </c>
      <c r="D71" s="3" t="s">
        <v>1637</v>
      </c>
      <c r="E71" s="3" t="s">
        <v>1638</v>
      </c>
      <c r="F71" s="3" t="s">
        <v>1637</v>
      </c>
      <c r="G71" s="3" t="s">
        <v>1639</v>
      </c>
      <c r="H71" s="51">
        <v>41696</v>
      </c>
      <c r="J71" s="3">
        <f t="shared" si="7"/>
        <v>59</v>
      </c>
      <c r="K71" s="3">
        <f t="shared" si="7"/>
        <v>55.5</v>
      </c>
      <c r="L71" s="3">
        <f t="shared" si="7"/>
        <v>59</v>
      </c>
      <c r="M71" s="3">
        <f t="shared" si="7"/>
        <v>55.09</v>
      </c>
      <c r="P71" s="14" t="s">
        <v>313</v>
      </c>
      <c r="Q71" s="10" t="str">
        <f t="shared" ref="Q71:Q102" si="14">IF(A71="","",C71)</f>
        <v>EVORA       -PN</v>
      </c>
      <c r="R71" s="46">
        <f t="shared" ref="R71:R102" si="15">IF(A71="","",H71)</f>
        <v>41696</v>
      </c>
      <c r="S71" s="6">
        <f t="shared" ref="S71:S102" si="16">J71</f>
        <v>59</v>
      </c>
      <c r="T71" s="6">
        <f t="shared" ref="T71:T102" si="17">K71</f>
        <v>55.5</v>
      </c>
      <c r="U71" s="6">
        <f t="shared" ref="U71:U102" si="18">L71</f>
        <v>59</v>
      </c>
      <c r="V71" s="6">
        <f t="shared" ref="V71:V102" si="19">M71</f>
        <v>55.09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244</v>
      </c>
      <c r="D72" s="3" t="s">
        <v>1291</v>
      </c>
      <c r="E72" s="3" t="s">
        <v>1904</v>
      </c>
      <c r="F72" s="3" t="s">
        <v>1640</v>
      </c>
      <c r="G72" s="3" t="s">
        <v>1641</v>
      </c>
      <c r="H72" s="51">
        <v>41696</v>
      </c>
      <c r="J72" s="3">
        <f t="shared" ref="J72:M135" si="20">IF($A72="",0,VALUE(CONCATENATE(LEFT(D72,LEN(D72)-3),",",RIGHT(D72,2))))</f>
        <v>8.5</v>
      </c>
      <c r="K72" s="3">
        <f t="shared" si="20"/>
        <v>8.4</v>
      </c>
      <c r="L72" s="3">
        <f t="shared" si="20"/>
        <v>8.61</v>
      </c>
      <c r="M72" s="3">
        <f t="shared" si="20"/>
        <v>8.2899999999999991</v>
      </c>
      <c r="P72" s="15" t="s">
        <v>243</v>
      </c>
      <c r="Q72" s="10" t="str">
        <f t="shared" si="14"/>
        <v xml:space="preserve">QGEP PART   -ON  </v>
      </c>
      <c r="R72" s="51">
        <f t="shared" si="15"/>
        <v>41696</v>
      </c>
      <c r="S72" s="5">
        <f t="shared" si="16"/>
        <v>8.5</v>
      </c>
      <c r="T72" s="5">
        <f t="shared" si="17"/>
        <v>8.4</v>
      </c>
      <c r="U72" s="5">
        <f t="shared" si="18"/>
        <v>8.61</v>
      </c>
      <c r="V72" s="5">
        <f t="shared" si="19"/>
        <v>8.2899999999999991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357</v>
      </c>
      <c r="D73" s="3" t="s">
        <v>483</v>
      </c>
      <c r="E73" s="3" t="s">
        <v>1905</v>
      </c>
      <c r="F73" s="3" t="s">
        <v>1906</v>
      </c>
      <c r="G73" s="3" t="s">
        <v>1642</v>
      </c>
      <c r="H73" s="51">
        <v>41696</v>
      </c>
      <c r="J73" s="3">
        <f t="shared" si="20"/>
        <v>35</v>
      </c>
      <c r="K73" s="3">
        <f t="shared" si="20"/>
        <v>36.22</v>
      </c>
      <c r="L73" s="3">
        <f t="shared" si="20"/>
        <v>36.74</v>
      </c>
      <c r="M73" s="3">
        <f t="shared" si="20"/>
        <v>34.9</v>
      </c>
      <c r="P73" s="14" t="s">
        <v>355</v>
      </c>
      <c r="Q73" s="10" t="str">
        <f t="shared" si="14"/>
        <v xml:space="preserve">SAO CARLOS  -ON  </v>
      </c>
      <c r="R73" s="51">
        <f t="shared" si="15"/>
        <v>41696</v>
      </c>
      <c r="S73" s="5">
        <f t="shared" si="16"/>
        <v>35</v>
      </c>
      <c r="T73" s="5">
        <f t="shared" si="17"/>
        <v>36.22</v>
      </c>
      <c r="U73" s="5">
        <f t="shared" si="18"/>
        <v>36.74</v>
      </c>
      <c r="V73" s="5">
        <f t="shared" si="19"/>
        <v>34.9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269</v>
      </c>
      <c r="D74" s="3" t="s">
        <v>1643</v>
      </c>
      <c r="E74" s="3" t="s">
        <v>1907</v>
      </c>
      <c r="F74" s="3" t="s">
        <v>1907</v>
      </c>
      <c r="G74" s="3" t="s">
        <v>1643</v>
      </c>
      <c r="H74" s="51">
        <v>41696</v>
      </c>
      <c r="J74" s="3">
        <f t="shared" si="20"/>
        <v>28.33</v>
      </c>
      <c r="K74" s="3">
        <f t="shared" si="20"/>
        <v>29.45</v>
      </c>
      <c r="L74" s="3">
        <f t="shared" si="20"/>
        <v>29.45</v>
      </c>
      <c r="M74" s="3">
        <f t="shared" si="20"/>
        <v>28.33</v>
      </c>
      <c r="P74" s="15" t="s">
        <v>268</v>
      </c>
      <c r="Q74" s="10" t="str">
        <f t="shared" si="14"/>
        <v xml:space="preserve">SAO MARTINHO-ON  </v>
      </c>
      <c r="R74" s="51">
        <f t="shared" si="15"/>
        <v>41696</v>
      </c>
      <c r="S74" s="5">
        <f t="shared" si="16"/>
        <v>28.33</v>
      </c>
      <c r="T74" s="5">
        <f t="shared" si="17"/>
        <v>29.45</v>
      </c>
      <c r="U74" s="5">
        <f t="shared" si="18"/>
        <v>29.45</v>
      </c>
      <c r="V74" s="5">
        <f t="shared" si="19"/>
        <v>28.33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356</v>
      </c>
      <c r="D75" s="3" t="s">
        <v>1644</v>
      </c>
      <c r="E75" s="3" t="s">
        <v>1908</v>
      </c>
      <c r="F75" s="3" t="s">
        <v>1514</v>
      </c>
      <c r="G75" s="3" t="s">
        <v>1644</v>
      </c>
      <c r="H75" s="51">
        <v>41696</v>
      </c>
      <c r="J75" s="3">
        <f t="shared" si="20"/>
        <v>15.49</v>
      </c>
      <c r="K75" s="3">
        <f t="shared" si="20"/>
        <v>15.55</v>
      </c>
      <c r="L75" s="3">
        <f t="shared" si="20"/>
        <v>15.69</v>
      </c>
      <c r="M75" s="3">
        <f t="shared" si="20"/>
        <v>15.49</v>
      </c>
      <c r="P75" s="14" t="s">
        <v>354</v>
      </c>
      <c r="Q75" s="10" t="str">
        <f t="shared" si="14"/>
        <v xml:space="preserve">SIERRABRASIL-ON  </v>
      </c>
      <c r="R75" s="51">
        <f t="shared" si="15"/>
        <v>41696</v>
      </c>
      <c r="S75" s="5">
        <f t="shared" si="16"/>
        <v>15.49</v>
      </c>
      <c r="T75" s="5">
        <f t="shared" si="17"/>
        <v>15.55</v>
      </c>
      <c r="U75" s="5">
        <f t="shared" si="18"/>
        <v>15.69</v>
      </c>
      <c r="V75" s="5">
        <f t="shared" si="19"/>
        <v>15.49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245</v>
      </c>
      <c r="D76" s="3" t="s">
        <v>1645</v>
      </c>
      <c r="E76" s="3" t="s">
        <v>1909</v>
      </c>
      <c r="F76" s="3" t="s">
        <v>1646</v>
      </c>
      <c r="G76" s="3" t="s">
        <v>1635</v>
      </c>
      <c r="H76" s="51">
        <v>41696</v>
      </c>
      <c r="J76" s="3">
        <f t="shared" si="20"/>
        <v>14.44</v>
      </c>
      <c r="K76" s="3">
        <f t="shared" si="20"/>
        <v>14.4</v>
      </c>
      <c r="L76" s="3">
        <f t="shared" si="20"/>
        <v>14.59</v>
      </c>
      <c r="M76" s="3">
        <f t="shared" si="20"/>
        <v>14.2</v>
      </c>
      <c r="P76" s="14" t="s">
        <v>57</v>
      </c>
      <c r="Q76" s="10" t="str">
        <f t="shared" si="14"/>
        <v xml:space="preserve">SUL AMERICA -UNT </v>
      </c>
      <c r="R76" s="51">
        <f t="shared" si="15"/>
        <v>41696</v>
      </c>
      <c r="S76" s="5">
        <f t="shared" si="16"/>
        <v>14.44</v>
      </c>
      <c r="T76" s="5">
        <f t="shared" si="17"/>
        <v>14.4</v>
      </c>
      <c r="U76" s="5">
        <f t="shared" si="18"/>
        <v>14.59</v>
      </c>
      <c r="V76" s="5">
        <f t="shared" si="19"/>
        <v>14.2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255</v>
      </c>
      <c r="D77" s="3" t="s">
        <v>1647</v>
      </c>
      <c r="E77" s="3" t="s">
        <v>1910</v>
      </c>
      <c r="F77" s="3" t="s">
        <v>1647</v>
      </c>
      <c r="G77" s="3" t="s">
        <v>1910</v>
      </c>
      <c r="H77" s="51">
        <v>41696</v>
      </c>
      <c r="J77" s="3">
        <f t="shared" si="20"/>
        <v>2.0499999999999998</v>
      </c>
      <c r="K77" s="3">
        <f t="shared" si="20"/>
        <v>2.02</v>
      </c>
      <c r="L77" s="3">
        <f t="shared" si="20"/>
        <v>2.0499999999999998</v>
      </c>
      <c r="M77" s="3">
        <f t="shared" si="20"/>
        <v>2.02</v>
      </c>
      <c r="P77" s="15" t="s">
        <v>78</v>
      </c>
      <c r="Q77" s="10" t="str">
        <f t="shared" si="14"/>
        <v xml:space="preserve">TEREOS      -ON  </v>
      </c>
      <c r="R77" s="51">
        <f t="shared" si="15"/>
        <v>41696</v>
      </c>
      <c r="S77" s="5">
        <f t="shared" si="16"/>
        <v>2.0499999999999998</v>
      </c>
      <c r="T77" s="5">
        <f t="shared" si="17"/>
        <v>2.02</v>
      </c>
      <c r="U77" s="5">
        <f t="shared" si="18"/>
        <v>2.0499999999999998</v>
      </c>
      <c r="V77" s="5">
        <f t="shared" si="19"/>
        <v>2.02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284</v>
      </c>
      <c r="D78" s="3" t="s">
        <v>1648</v>
      </c>
      <c r="E78" s="3" t="s">
        <v>1911</v>
      </c>
      <c r="F78" s="3" t="s">
        <v>1401</v>
      </c>
      <c r="G78" s="3" t="s">
        <v>1912</v>
      </c>
      <c r="H78" s="51">
        <v>41696</v>
      </c>
      <c r="J78" s="3">
        <f t="shared" si="20"/>
        <v>11.34</v>
      </c>
      <c r="K78" s="3">
        <f t="shared" si="20"/>
        <v>11.26</v>
      </c>
      <c r="L78" s="3">
        <f t="shared" si="20"/>
        <v>11.49</v>
      </c>
      <c r="M78" s="3">
        <f t="shared" si="20"/>
        <v>11.18</v>
      </c>
      <c r="P78" s="15" t="s">
        <v>282</v>
      </c>
      <c r="Q78" s="10" t="str">
        <f t="shared" si="14"/>
        <v xml:space="preserve">TIM PART S/A-ON  </v>
      </c>
      <c r="R78" s="51">
        <f t="shared" si="15"/>
        <v>41696</v>
      </c>
      <c r="S78" s="5">
        <f t="shared" si="16"/>
        <v>11.34</v>
      </c>
      <c r="T78" s="5">
        <f t="shared" si="17"/>
        <v>11.26</v>
      </c>
      <c r="U78" s="5">
        <f t="shared" si="18"/>
        <v>11.49</v>
      </c>
      <c r="V78" s="5">
        <f t="shared" si="19"/>
        <v>11.18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334</v>
      </c>
      <c r="D79" s="3" t="s">
        <v>1913</v>
      </c>
      <c r="E79" s="3" t="s">
        <v>1293</v>
      </c>
      <c r="F79" s="3" t="s">
        <v>1293</v>
      </c>
      <c r="G79" s="3" t="s">
        <v>1913</v>
      </c>
      <c r="H79" s="51">
        <v>41688</v>
      </c>
      <c r="J79" s="3">
        <f t="shared" si="20"/>
        <v>89.99</v>
      </c>
      <c r="K79" s="3">
        <f t="shared" si="20"/>
        <v>92</v>
      </c>
      <c r="L79" s="3">
        <f t="shared" si="20"/>
        <v>92</v>
      </c>
      <c r="M79" s="3">
        <f t="shared" si="20"/>
        <v>89.99</v>
      </c>
      <c r="P79" s="15" t="s">
        <v>333</v>
      </c>
      <c r="Q79" s="10" t="str">
        <f t="shared" si="14"/>
        <v>TEKNO       -PN</v>
      </c>
      <c r="R79" s="51">
        <f t="shared" si="15"/>
        <v>41688</v>
      </c>
      <c r="S79" s="5">
        <f t="shared" si="16"/>
        <v>89.99</v>
      </c>
      <c r="T79" s="5">
        <f t="shared" si="17"/>
        <v>92</v>
      </c>
      <c r="U79" s="5">
        <f t="shared" si="18"/>
        <v>92</v>
      </c>
      <c r="V79" s="5">
        <f t="shared" si="19"/>
        <v>89.99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371</v>
      </c>
      <c r="D80" s="3" t="s">
        <v>1649</v>
      </c>
      <c r="E80" s="3" t="s">
        <v>1731</v>
      </c>
      <c r="F80" s="3" t="s">
        <v>1731</v>
      </c>
      <c r="G80" s="3" t="s">
        <v>1649</v>
      </c>
      <c r="H80" s="51">
        <v>41696</v>
      </c>
      <c r="J80" s="3">
        <f t="shared" si="20"/>
        <v>13.62</v>
      </c>
      <c r="K80" s="3">
        <f t="shared" si="20"/>
        <v>14</v>
      </c>
      <c r="L80" s="3">
        <f t="shared" si="20"/>
        <v>14</v>
      </c>
      <c r="M80" s="3">
        <f t="shared" si="20"/>
        <v>13.62</v>
      </c>
      <c r="P80" s="15" t="s">
        <v>369</v>
      </c>
      <c r="Q80" s="10" t="str">
        <f t="shared" si="14"/>
        <v xml:space="preserve">TARPON INV  -ON  </v>
      </c>
      <c r="R80" s="51">
        <f t="shared" si="15"/>
        <v>41696</v>
      </c>
      <c r="S80" s="5">
        <f t="shared" si="16"/>
        <v>13.62</v>
      </c>
      <c r="T80" s="5">
        <f t="shared" si="17"/>
        <v>14</v>
      </c>
      <c r="U80" s="5">
        <f t="shared" si="18"/>
        <v>14</v>
      </c>
      <c r="V80" s="5">
        <f t="shared" si="19"/>
        <v>13.62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302</v>
      </c>
      <c r="D81" s="3" t="s">
        <v>1650</v>
      </c>
      <c r="E81" s="3" t="s">
        <v>1914</v>
      </c>
      <c r="F81" s="3" t="s">
        <v>1914</v>
      </c>
      <c r="G81" s="3" t="s">
        <v>1651</v>
      </c>
      <c r="H81" s="51">
        <v>41696</v>
      </c>
      <c r="J81" s="3">
        <f t="shared" si="20"/>
        <v>52.41</v>
      </c>
      <c r="K81" s="3">
        <f t="shared" si="20"/>
        <v>52.6</v>
      </c>
      <c r="L81" s="3">
        <f t="shared" si="20"/>
        <v>52.6</v>
      </c>
      <c r="M81" s="3">
        <f t="shared" si="20"/>
        <v>51.9</v>
      </c>
      <c r="P81" s="14" t="s">
        <v>301</v>
      </c>
      <c r="Q81" s="10" t="str">
        <f t="shared" si="14"/>
        <v xml:space="preserve">ULTRAPAR    -ON  </v>
      </c>
      <c r="R81" s="51">
        <f t="shared" si="15"/>
        <v>41696</v>
      </c>
      <c r="S81" s="5">
        <f t="shared" si="16"/>
        <v>52.41</v>
      </c>
      <c r="T81" s="5">
        <f t="shared" si="17"/>
        <v>52.6</v>
      </c>
      <c r="U81" s="5">
        <f t="shared" si="18"/>
        <v>52.6</v>
      </c>
      <c r="V81" s="5">
        <f t="shared" si="19"/>
        <v>51.9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424</v>
      </c>
      <c r="D82" s="3" t="s">
        <v>671</v>
      </c>
      <c r="E82" s="3" t="s">
        <v>671</v>
      </c>
      <c r="F82" s="3" t="s">
        <v>1435</v>
      </c>
      <c r="G82" s="3" t="s">
        <v>671</v>
      </c>
      <c r="H82" s="51">
        <v>41696</v>
      </c>
      <c r="J82" s="3">
        <f t="shared" si="20"/>
        <v>0.61</v>
      </c>
      <c r="K82" s="3">
        <f t="shared" si="20"/>
        <v>0.61</v>
      </c>
      <c r="L82" s="3">
        <f t="shared" si="20"/>
        <v>0.62</v>
      </c>
      <c r="M82" s="3">
        <f t="shared" si="20"/>
        <v>0.61</v>
      </c>
      <c r="P82" s="14" t="s">
        <v>423</v>
      </c>
      <c r="Q82" s="10" t="str">
        <f t="shared" si="14"/>
        <v>UNIPAR      -ON</v>
      </c>
      <c r="R82" s="51">
        <f t="shared" si="15"/>
        <v>41696</v>
      </c>
      <c r="S82" s="5">
        <f t="shared" si="16"/>
        <v>0.61</v>
      </c>
      <c r="T82" s="5">
        <f t="shared" si="17"/>
        <v>0.61</v>
      </c>
      <c r="U82" s="5">
        <f t="shared" si="18"/>
        <v>0.62</v>
      </c>
      <c r="V82" s="5">
        <f t="shared" si="19"/>
        <v>0.61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327</v>
      </c>
      <c r="D83" s="3" t="s">
        <v>1652</v>
      </c>
      <c r="E83" s="3" t="s">
        <v>1915</v>
      </c>
      <c r="F83" s="3" t="s">
        <v>1653</v>
      </c>
      <c r="G83" s="3" t="s">
        <v>1442</v>
      </c>
      <c r="H83" s="51">
        <v>41696</v>
      </c>
      <c r="J83" s="3">
        <f t="shared" si="20"/>
        <v>29.06</v>
      </c>
      <c r="K83" s="3">
        <f t="shared" si="20"/>
        <v>29.02</v>
      </c>
      <c r="L83" s="3">
        <f t="shared" si="20"/>
        <v>29.31</v>
      </c>
      <c r="M83" s="3">
        <f t="shared" si="20"/>
        <v>28.71</v>
      </c>
      <c r="P83" s="14" t="s">
        <v>326</v>
      </c>
      <c r="Q83" s="10" t="str">
        <f t="shared" si="14"/>
        <v xml:space="preserve">VALE        -PNA </v>
      </c>
      <c r="R83" s="46">
        <f t="shared" si="15"/>
        <v>41696</v>
      </c>
      <c r="S83" s="6">
        <f t="shared" si="16"/>
        <v>29.06</v>
      </c>
      <c r="T83" s="6">
        <f t="shared" si="17"/>
        <v>29.02</v>
      </c>
      <c r="U83" s="6">
        <f t="shared" si="18"/>
        <v>29.31</v>
      </c>
      <c r="V83" s="6">
        <f t="shared" si="19"/>
        <v>28.71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280</v>
      </c>
      <c r="D84" s="3" t="s">
        <v>1916</v>
      </c>
      <c r="E84" s="3" t="s">
        <v>918</v>
      </c>
      <c r="F84" s="3" t="s">
        <v>1917</v>
      </c>
      <c r="G84" s="3" t="s">
        <v>918</v>
      </c>
      <c r="H84" s="51">
        <v>41683</v>
      </c>
      <c r="J84" s="3">
        <f t="shared" si="20"/>
        <v>7.01</v>
      </c>
      <c r="K84" s="3">
        <f t="shared" si="20"/>
        <v>7</v>
      </c>
      <c r="L84" s="3">
        <f t="shared" si="20"/>
        <v>7.02</v>
      </c>
      <c r="M84" s="3">
        <f t="shared" si="20"/>
        <v>7</v>
      </c>
      <c r="P84" s="43" t="s">
        <v>279</v>
      </c>
      <c r="Q84" s="10" t="str">
        <f t="shared" si="14"/>
        <v xml:space="preserve">VIGOR FOOD  -ON  </v>
      </c>
      <c r="R84" s="51">
        <f t="shared" si="15"/>
        <v>41683</v>
      </c>
      <c r="S84" s="5">
        <f t="shared" si="16"/>
        <v>7.01</v>
      </c>
      <c r="T84" s="5">
        <f t="shared" si="17"/>
        <v>7</v>
      </c>
      <c r="U84" s="5">
        <f t="shared" si="18"/>
        <v>7.02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645</v>
      </c>
      <c r="D85" s="3" t="s">
        <v>1654</v>
      </c>
      <c r="E85" s="3" t="s">
        <v>1918</v>
      </c>
      <c r="F85" s="3" t="s">
        <v>1655</v>
      </c>
      <c r="G85" s="3" t="s">
        <v>1654</v>
      </c>
      <c r="H85" s="51">
        <v>41696</v>
      </c>
      <c r="J85" s="3">
        <f t="shared" si="20"/>
        <v>37.36</v>
      </c>
      <c r="K85" s="3">
        <f t="shared" si="20"/>
        <v>37.5</v>
      </c>
      <c r="L85" s="3">
        <f t="shared" si="20"/>
        <v>38</v>
      </c>
      <c r="M85" s="3">
        <f t="shared" si="20"/>
        <v>37.36</v>
      </c>
      <c r="P85" s="15" t="s">
        <v>290</v>
      </c>
      <c r="Q85" s="10" t="str">
        <f t="shared" si="14"/>
        <v>TELEF BRASIL-ON</v>
      </c>
      <c r="R85" s="51">
        <f t="shared" si="15"/>
        <v>41696</v>
      </c>
      <c r="S85" s="5">
        <f t="shared" si="16"/>
        <v>37.36</v>
      </c>
      <c r="T85" s="5">
        <f t="shared" si="17"/>
        <v>37.5</v>
      </c>
      <c r="U85" s="5">
        <f t="shared" si="18"/>
        <v>38</v>
      </c>
      <c r="V85" s="5">
        <f t="shared" si="19"/>
        <v>37.36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646</v>
      </c>
      <c r="D86" s="3" t="s">
        <v>1656</v>
      </c>
      <c r="E86" s="3" t="s">
        <v>1670</v>
      </c>
      <c r="F86" s="3" t="s">
        <v>1657</v>
      </c>
      <c r="G86" s="3" t="s">
        <v>1656</v>
      </c>
      <c r="H86" s="51">
        <v>41696</v>
      </c>
      <c r="J86" s="3">
        <f t="shared" si="20"/>
        <v>42.99</v>
      </c>
      <c r="K86" s="3">
        <f t="shared" si="20"/>
        <v>43.5</v>
      </c>
      <c r="L86" s="3">
        <f t="shared" si="20"/>
        <v>43.74</v>
      </c>
      <c r="M86" s="3">
        <f t="shared" si="20"/>
        <v>42.99</v>
      </c>
      <c r="P86" s="15" t="s">
        <v>291</v>
      </c>
      <c r="Q86" s="10" t="str">
        <f t="shared" si="14"/>
        <v>TELEF BRASIL-PN</v>
      </c>
      <c r="R86" s="51">
        <f t="shared" si="15"/>
        <v>41696</v>
      </c>
      <c r="S86" s="5">
        <f t="shared" si="16"/>
        <v>42.99</v>
      </c>
      <c r="T86" s="5">
        <f t="shared" si="17"/>
        <v>43.5</v>
      </c>
      <c r="U86" s="5">
        <f t="shared" si="18"/>
        <v>43.74</v>
      </c>
      <c r="V86" s="5">
        <f t="shared" si="19"/>
        <v>42.99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479</v>
      </c>
      <c r="D87" s="3" t="s">
        <v>435</v>
      </c>
      <c r="E87" s="3" t="s">
        <v>480</v>
      </c>
      <c r="F87" s="3" t="s">
        <v>480</v>
      </c>
      <c r="G87" s="3" t="s">
        <v>480</v>
      </c>
      <c r="H87" s="51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478</v>
      </c>
      <c r="Q87" s="10" t="str">
        <f t="shared" si="14"/>
        <v>CELPE       -ON</v>
      </c>
      <c r="R87" s="51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482</v>
      </c>
      <c r="D88" s="3" t="s">
        <v>435</v>
      </c>
      <c r="E88" s="3" t="s">
        <v>483</v>
      </c>
      <c r="F88" s="3" t="s">
        <v>483</v>
      </c>
      <c r="G88" s="3" t="s">
        <v>483</v>
      </c>
      <c r="H88" s="51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481</v>
      </c>
      <c r="Q88" s="10" t="str">
        <f t="shared" si="14"/>
        <v>COELCE      -PNB</v>
      </c>
      <c r="R88" s="51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486</v>
      </c>
      <c r="D89" s="3" t="s">
        <v>435</v>
      </c>
      <c r="E89" s="3" t="s">
        <v>436</v>
      </c>
      <c r="F89" s="3" t="s">
        <v>435</v>
      </c>
      <c r="G89" s="3" t="s">
        <v>435</v>
      </c>
      <c r="H89" s="51" t="s">
        <v>435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484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487</v>
      </c>
      <c r="D90" s="3" t="s">
        <v>435</v>
      </c>
      <c r="E90" s="3" t="s">
        <v>436</v>
      </c>
      <c r="F90" s="3" t="s">
        <v>435</v>
      </c>
      <c r="G90" s="3" t="s">
        <v>435</v>
      </c>
      <c r="H90" s="51" t="s">
        <v>435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485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490</v>
      </c>
      <c r="D91" s="3" t="s">
        <v>471</v>
      </c>
      <c r="E91" s="3" t="s">
        <v>471</v>
      </c>
      <c r="F91" s="3" t="s">
        <v>471</v>
      </c>
      <c r="G91" s="3" t="s">
        <v>471</v>
      </c>
      <c r="H91" s="51">
        <v>41660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488</v>
      </c>
      <c r="Q91" s="10" t="str">
        <f t="shared" si="14"/>
        <v xml:space="preserve">CEEE-D      -ON  </v>
      </c>
      <c r="R91" s="51">
        <f t="shared" si="15"/>
        <v>41660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491</v>
      </c>
      <c r="D92" s="3" t="s">
        <v>492</v>
      </c>
      <c r="E92" s="3" t="s">
        <v>492</v>
      </c>
      <c r="F92" s="3" t="s">
        <v>492</v>
      </c>
      <c r="G92" s="3" t="s">
        <v>492</v>
      </c>
      <c r="H92" s="51">
        <v>41570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489</v>
      </c>
      <c r="Q92" s="10" t="str">
        <f t="shared" si="14"/>
        <v xml:space="preserve">CEEE-D      -PN  </v>
      </c>
      <c r="R92" s="51">
        <f t="shared" si="15"/>
        <v>41570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495</v>
      </c>
      <c r="D93" s="3" t="s">
        <v>435</v>
      </c>
      <c r="E93" s="3" t="s">
        <v>433</v>
      </c>
      <c r="F93" s="3" t="s">
        <v>433</v>
      </c>
      <c r="G93" s="3" t="s">
        <v>433</v>
      </c>
      <c r="H93" s="51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493</v>
      </c>
      <c r="Q93" s="10" t="str">
        <f t="shared" si="14"/>
        <v>ELEKTRO     -ON</v>
      </c>
      <c r="R93" s="51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496</v>
      </c>
      <c r="D94" s="3" t="s">
        <v>1462</v>
      </c>
      <c r="E94" s="3" t="s">
        <v>1462</v>
      </c>
      <c r="F94" s="3" t="s">
        <v>1462</v>
      </c>
      <c r="G94" s="3" t="s">
        <v>1462</v>
      </c>
      <c r="H94" s="51">
        <v>41696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494</v>
      </c>
      <c r="Q94" s="10" t="str">
        <f t="shared" si="14"/>
        <v>ELEKTRO     -PN</v>
      </c>
      <c r="R94" s="51">
        <f t="shared" si="15"/>
        <v>41696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499</v>
      </c>
      <c r="D95" s="3" t="s">
        <v>1658</v>
      </c>
      <c r="E95" s="3" t="s">
        <v>1910</v>
      </c>
      <c r="F95" s="3" t="s">
        <v>1487</v>
      </c>
      <c r="G95" s="3" t="s">
        <v>1919</v>
      </c>
      <c r="H95" s="51">
        <v>41696</v>
      </c>
      <c r="J95" s="3">
        <f t="shared" si="20"/>
        <v>2.12</v>
      </c>
      <c r="K95" s="3">
        <f t="shared" si="20"/>
        <v>2.02</v>
      </c>
      <c r="L95" s="3">
        <f t="shared" si="20"/>
        <v>2.15</v>
      </c>
      <c r="M95" s="3">
        <f t="shared" si="20"/>
        <v>2.0099999999999998</v>
      </c>
      <c r="P95" s="14" t="s">
        <v>498</v>
      </c>
      <c r="Q95" s="10" t="str">
        <f t="shared" si="14"/>
        <v xml:space="preserve">ENEVA       -ON  </v>
      </c>
      <c r="R95" s="51">
        <f t="shared" si="15"/>
        <v>41696</v>
      </c>
      <c r="S95" s="5">
        <f t="shared" si="16"/>
        <v>2.12</v>
      </c>
      <c r="T95" s="5">
        <f t="shared" si="17"/>
        <v>2.02</v>
      </c>
      <c r="U95" s="5">
        <f t="shared" si="18"/>
        <v>2.15</v>
      </c>
      <c r="V95" s="5">
        <f t="shared" si="19"/>
        <v>2.0099999999999998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502</v>
      </c>
      <c r="D96" s="3" t="s">
        <v>1373</v>
      </c>
      <c r="E96" s="3" t="s">
        <v>1373</v>
      </c>
      <c r="F96" s="3" t="s">
        <v>1373</v>
      </c>
      <c r="G96" s="3" t="s">
        <v>1373</v>
      </c>
      <c r="H96" s="51">
        <v>41694</v>
      </c>
      <c r="J96" s="3">
        <f t="shared" si="20"/>
        <v>0.99</v>
      </c>
      <c r="K96" s="3">
        <f t="shared" si="20"/>
        <v>0.99</v>
      </c>
      <c r="L96" s="3">
        <f t="shared" si="20"/>
        <v>0.99</v>
      </c>
      <c r="M96" s="3">
        <f t="shared" si="20"/>
        <v>0.99</v>
      </c>
      <c r="P96" s="14" t="s">
        <v>500</v>
      </c>
      <c r="Q96" s="10" t="str">
        <f t="shared" si="14"/>
        <v>REDE ENERGIA-ON</v>
      </c>
      <c r="R96" s="51">
        <f t="shared" si="15"/>
        <v>41694</v>
      </c>
      <c r="S96" s="5">
        <f t="shared" si="16"/>
        <v>0.99</v>
      </c>
      <c r="T96" s="5">
        <f t="shared" si="17"/>
        <v>0.99</v>
      </c>
      <c r="U96" s="5">
        <f t="shared" si="18"/>
        <v>0.99</v>
      </c>
      <c r="V96" s="5">
        <f t="shared" si="19"/>
        <v>0.99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503</v>
      </c>
      <c r="D97" s="3" t="s">
        <v>1920</v>
      </c>
      <c r="E97" s="3" t="s">
        <v>1920</v>
      </c>
      <c r="F97" s="3" t="s">
        <v>1920</v>
      </c>
      <c r="G97" s="3" t="s">
        <v>1920</v>
      </c>
      <c r="H97" s="51">
        <v>41696</v>
      </c>
      <c r="J97" s="3">
        <f t="shared" si="20"/>
        <v>0.86</v>
      </c>
      <c r="K97" s="3">
        <f t="shared" si="20"/>
        <v>0.86</v>
      </c>
      <c r="L97" s="3">
        <f t="shared" si="20"/>
        <v>0.86</v>
      </c>
      <c r="M97" s="3">
        <f t="shared" si="20"/>
        <v>0.86</v>
      </c>
      <c r="P97" s="15" t="s">
        <v>501</v>
      </c>
      <c r="Q97" s="10" t="str">
        <f t="shared" si="14"/>
        <v>REDE ENERGIA-PN</v>
      </c>
      <c r="R97" s="51">
        <f t="shared" si="15"/>
        <v>41696</v>
      </c>
      <c r="S97" s="5">
        <f t="shared" si="16"/>
        <v>0.86</v>
      </c>
      <c r="T97" s="5">
        <f t="shared" si="17"/>
        <v>0.86</v>
      </c>
      <c r="U97" s="5">
        <f t="shared" si="18"/>
        <v>0.86</v>
      </c>
      <c r="V97" s="5">
        <f t="shared" si="19"/>
        <v>0.86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507</v>
      </c>
      <c r="D98" s="3" t="s">
        <v>1659</v>
      </c>
      <c r="E98" s="3" t="s">
        <v>1921</v>
      </c>
      <c r="F98" s="3" t="s">
        <v>1922</v>
      </c>
      <c r="G98" s="3" t="s">
        <v>1659</v>
      </c>
      <c r="H98" s="51">
        <v>41696</v>
      </c>
      <c r="J98" s="3">
        <f t="shared" si="20"/>
        <v>39.15</v>
      </c>
      <c r="K98" s="3">
        <f t="shared" si="20"/>
        <v>41</v>
      </c>
      <c r="L98" s="3">
        <f t="shared" si="20"/>
        <v>41.28</v>
      </c>
      <c r="M98" s="3">
        <f t="shared" si="20"/>
        <v>39.15</v>
      </c>
      <c r="P98" s="10" t="s">
        <v>504</v>
      </c>
      <c r="Q98" s="10" t="str">
        <f t="shared" si="14"/>
        <v xml:space="preserve">RENOVA      -UNT </v>
      </c>
      <c r="R98" s="51">
        <f t="shared" si="15"/>
        <v>41696</v>
      </c>
      <c r="S98" s="5">
        <f t="shared" si="16"/>
        <v>39.15</v>
      </c>
      <c r="T98" s="5">
        <f t="shared" si="17"/>
        <v>41</v>
      </c>
      <c r="U98" s="5">
        <f t="shared" si="18"/>
        <v>41.28</v>
      </c>
      <c r="V98" s="5">
        <f t="shared" si="19"/>
        <v>39.15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508</v>
      </c>
      <c r="D99" s="3" t="s">
        <v>1923</v>
      </c>
      <c r="E99" s="61">
        <v>202604</v>
      </c>
      <c r="F99" s="61">
        <v>202604</v>
      </c>
      <c r="G99" s="61">
        <v>202604</v>
      </c>
      <c r="H99" s="51">
        <v>41535</v>
      </c>
      <c r="J99" s="3">
        <f t="shared" si="20"/>
        <v>22.4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505</v>
      </c>
      <c r="Q99" s="10" t="str">
        <f t="shared" si="14"/>
        <v xml:space="preserve">RENOVA      -ON  </v>
      </c>
      <c r="R99" s="51">
        <f t="shared" si="15"/>
        <v>41535</v>
      </c>
      <c r="S99" s="5">
        <f t="shared" si="16"/>
        <v>22.4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509</v>
      </c>
      <c r="D100" s="3" t="s">
        <v>435</v>
      </c>
      <c r="E100" s="3" t="s">
        <v>436</v>
      </c>
      <c r="F100" s="3" t="s">
        <v>435</v>
      </c>
      <c r="G100" s="3" t="s">
        <v>435</v>
      </c>
      <c r="H100" s="51" t="s">
        <v>435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506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512</v>
      </c>
      <c r="D101" s="3" t="s">
        <v>435</v>
      </c>
      <c r="E101" s="3" t="s">
        <v>436</v>
      </c>
      <c r="F101" s="3" t="s">
        <v>435</v>
      </c>
      <c r="G101" s="3" t="s">
        <v>435</v>
      </c>
      <c r="H101" s="51" t="s">
        <v>435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510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513</v>
      </c>
      <c r="D102" s="3" t="s">
        <v>435</v>
      </c>
      <c r="E102" s="3" t="s">
        <v>436</v>
      </c>
      <c r="F102" s="3" t="s">
        <v>435</v>
      </c>
      <c r="G102" s="3" t="s">
        <v>435</v>
      </c>
      <c r="H102" s="51" t="s">
        <v>435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511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516</v>
      </c>
      <c r="D103" s="3" t="s">
        <v>435</v>
      </c>
      <c r="E103" s="3" t="s">
        <v>436</v>
      </c>
      <c r="F103" s="3" t="s">
        <v>435</v>
      </c>
      <c r="G103" s="3" t="s">
        <v>435</v>
      </c>
      <c r="H103" s="51" t="s">
        <v>435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515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520</v>
      </c>
      <c r="D104" s="3" t="s">
        <v>1660</v>
      </c>
      <c r="E104" s="3" t="s">
        <v>1924</v>
      </c>
      <c r="F104" s="3" t="s">
        <v>1924</v>
      </c>
      <c r="G104" s="3" t="s">
        <v>1661</v>
      </c>
      <c r="H104" s="51">
        <v>41696</v>
      </c>
      <c r="J104" s="3">
        <f t="shared" si="20"/>
        <v>46.6</v>
      </c>
      <c r="K104" s="3">
        <f t="shared" si="20"/>
        <v>49.89</v>
      </c>
      <c r="L104" s="3">
        <f t="shared" si="20"/>
        <v>49.89</v>
      </c>
      <c r="M104" s="3">
        <f t="shared" si="20"/>
        <v>46</v>
      </c>
      <c r="P104" s="15" t="s">
        <v>518</v>
      </c>
      <c r="Q104" s="10" t="str">
        <f t="shared" si="21"/>
        <v>COMGAS      -ON</v>
      </c>
      <c r="R104" s="51">
        <f t="shared" si="22"/>
        <v>41696</v>
      </c>
      <c r="S104" s="5">
        <f t="shared" si="23"/>
        <v>46.6</v>
      </c>
      <c r="T104" s="5">
        <f t="shared" si="24"/>
        <v>49.89</v>
      </c>
      <c r="U104" s="5">
        <f t="shared" si="25"/>
        <v>49.89</v>
      </c>
      <c r="V104" s="5">
        <f t="shared" si="26"/>
        <v>46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521</v>
      </c>
      <c r="D105" s="3" t="s">
        <v>1662</v>
      </c>
      <c r="E105" s="3" t="s">
        <v>1663</v>
      </c>
      <c r="F105" s="3" t="s">
        <v>1925</v>
      </c>
      <c r="G105" s="3" t="s">
        <v>1664</v>
      </c>
      <c r="H105" s="51">
        <v>41696</v>
      </c>
      <c r="J105" s="3">
        <f t="shared" si="20"/>
        <v>50.46</v>
      </c>
      <c r="K105" s="3">
        <f t="shared" si="20"/>
        <v>50.69</v>
      </c>
      <c r="L105" s="3">
        <f t="shared" si="20"/>
        <v>50.8</v>
      </c>
      <c r="M105" s="3">
        <f t="shared" si="20"/>
        <v>49.82</v>
      </c>
      <c r="P105" s="15" t="s">
        <v>519</v>
      </c>
      <c r="Q105" s="10" t="str">
        <f t="shared" si="21"/>
        <v>COMGAS      -PNA</v>
      </c>
      <c r="R105" s="51">
        <f t="shared" si="22"/>
        <v>41696</v>
      </c>
      <c r="S105" s="5">
        <f t="shared" si="23"/>
        <v>50.46</v>
      </c>
      <c r="T105" s="5">
        <f t="shared" si="24"/>
        <v>50.69</v>
      </c>
      <c r="U105" s="5">
        <f t="shared" si="25"/>
        <v>50.8</v>
      </c>
      <c r="V105" s="5">
        <f t="shared" si="26"/>
        <v>49.82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523</v>
      </c>
      <c r="D106" s="3" t="s">
        <v>938</v>
      </c>
      <c r="E106" s="3" t="s">
        <v>938</v>
      </c>
      <c r="F106" s="3" t="s">
        <v>938</v>
      </c>
      <c r="G106" s="3" t="s">
        <v>938</v>
      </c>
      <c r="H106" s="51">
        <v>41691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522</v>
      </c>
      <c r="Q106" s="10" t="str">
        <f t="shared" si="21"/>
        <v>CEG         -ON *</v>
      </c>
      <c r="R106" s="51">
        <f t="shared" si="22"/>
        <v>41691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525</v>
      </c>
      <c r="D107" s="3" t="s">
        <v>1472</v>
      </c>
      <c r="E107" s="3" t="s">
        <v>1665</v>
      </c>
      <c r="F107" s="3" t="s">
        <v>1472</v>
      </c>
      <c r="G107" s="3" t="s">
        <v>1665</v>
      </c>
      <c r="H107" s="51">
        <v>41696</v>
      </c>
      <c r="J107" s="3">
        <f t="shared" si="20"/>
        <v>0.21</v>
      </c>
      <c r="K107" s="3">
        <f t="shared" si="20"/>
        <v>0.2</v>
      </c>
      <c r="L107" s="3">
        <f t="shared" si="20"/>
        <v>0.21</v>
      </c>
      <c r="M107" s="3">
        <f t="shared" si="20"/>
        <v>0.2</v>
      </c>
      <c r="P107" s="14" t="s">
        <v>524</v>
      </c>
      <c r="Q107" s="10" t="str">
        <f t="shared" si="21"/>
        <v>INEPAR TEL  -ON</v>
      </c>
      <c r="R107" s="51">
        <f t="shared" si="22"/>
        <v>41696</v>
      </c>
      <c r="S107" s="5">
        <f t="shared" si="23"/>
        <v>0.21</v>
      </c>
      <c r="T107" s="5">
        <f t="shared" si="24"/>
        <v>0.2</v>
      </c>
      <c r="U107" s="5">
        <f t="shared" si="25"/>
        <v>0.21</v>
      </c>
      <c r="V107" s="5">
        <f t="shared" si="26"/>
        <v>0.2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528</v>
      </c>
      <c r="D108" s="3" t="s">
        <v>1438</v>
      </c>
      <c r="E108" s="3" t="s">
        <v>1058</v>
      </c>
      <c r="F108" s="3" t="s">
        <v>1438</v>
      </c>
      <c r="G108" s="3" t="s">
        <v>1058</v>
      </c>
      <c r="H108" s="51">
        <v>41695</v>
      </c>
      <c r="J108" s="3">
        <f t="shared" si="20"/>
        <v>7.6</v>
      </c>
      <c r="K108" s="3">
        <f t="shared" si="20"/>
        <v>7.5</v>
      </c>
      <c r="L108" s="3">
        <f t="shared" si="20"/>
        <v>7.6</v>
      </c>
      <c r="M108" s="3">
        <f t="shared" si="20"/>
        <v>7.5</v>
      </c>
      <c r="P108" s="14" t="s">
        <v>527</v>
      </c>
      <c r="Q108" s="10" t="str">
        <f t="shared" si="21"/>
        <v>EMBRATEL PAR-ON *</v>
      </c>
      <c r="R108" s="51">
        <f t="shared" si="22"/>
        <v>41695</v>
      </c>
      <c r="S108" s="5">
        <f t="shared" si="23"/>
        <v>7.6</v>
      </c>
      <c r="T108" s="5">
        <f t="shared" si="24"/>
        <v>7.5</v>
      </c>
      <c r="U108" s="5">
        <f t="shared" si="25"/>
        <v>7.6</v>
      </c>
      <c r="V108" s="5">
        <f t="shared" si="26"/>
        <v>7.5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531</v>
      </c>
      <c r="D109" s="3" t="s">
        <v>435</v>
      </c>
      <c r="E109" s="3" t="s">
        <v>532</v>
      </c>
      <c r="F109" s="3" t="s">
        <v>532</v>
      </c>
      <c r="G109" s="3" t="s">
        <v>532</v>
      </c>
      <c r="H109" s="51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529</v>
      </c>
      <c r="Q109" s="10" t="str">
        <f t="shared" si="21"/>
        <v>JEREISSATI  -ON</v>
      </c>
      <c r="R109" s="51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533</v>
      </c>
      <c r="D110" s="3" t="s">
        <v>1926</v>
      </c>
      <c r="E110" s="3" t="s">
        <v>1926</v>
      </c>
      <c r="F110" s="3" t="s">
        <v>1926</v>
      </c>
      <c r="G110" s="3" t="s">
        <v>1927</v>
      </c>
      <c r="H110" s="51">
        <v>41696</v>
      </c>
      <c r="J110" s="3">
        <f t="shared" si="20"/>
        <v>1.59</v>
      </c>
      <c r="K110" s="3">
        <f t="shared" si="20"/>
        <v>1.59</v>
      </c>
      <c r="L110" s="3">
        <f t="shared" si="20"/>
        <v>1.59</v>
      </c>
      <c r="M110" s="3">
        <f t="shared" si="20"/>
        <v>1.58</v>
      </c>
      <c r="P110" s="15" t="s">
        <v>530</v>
      </c>
      <c r="Q110" s="10" t="str">
        <f t="shared" si="21"/>
        <v>JEREISSATI  -PN</v>
      </c>
      <c r="R110" s="51">
        <f t="shared" si="22"/>
        <v>41696</v>
      </c>
      <c r="S110" s="5">
        <f t="shared" si="23"/>
        <v>1.59</v>
      </c>
      <c r="T110" s="5">
        <f t="shared" si="24"/>
        <v>1.59</v>
      </c>
      <c r="U110" s="5">
        <f t="shared" si="25"/>
        <v>1.59</v>
      </c>
      <c r="V110" s="5">
        <f t="shared" si="26"/>
        <v>1.58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538</v>
      </c>
      <c r="D111" s="3" t="s">
        <v>534</v>
      </c>
      <c r="E111" s="3" t="s">
        <v>534</v>
      </c>
      <c r="F111" s="3" t="s">
        <v>534</v>
      </c>
      <c r="G111" s="3" t="s">
        <v>534</v>
      </c>
      <c r="H111" s="51">
        <v>41627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535</v>
      </c>
      <c r="Q111" s="10" t="str">
        <f t="shared" si="21"/>
        <v>LA FONTE TEL-ON</v>
      </c>
      <c r="R111" s="51">
        <f t="shared" si="22"/>
        <v>41627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539</v>
      </c>
      <c r="D112" s="3" t="s">
        <v>540</v>
      </c>
      <c r="E112" s="3" t="s">
        <v>540</v>
      </c>
      <c r="F112" s="3" t="s">
        <v>540</v>
      </c>
      <c r="G112" s="3" t="s">
        <v>540</v>
      </c>
      <c r="H112" s="51">
        <v>41627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536</v>
      </c>
      <c r="Q112" s="10" t="str">
        <f t="shared" si="21"/>
        <v>LA FONTE TEL-PN</v>
      </c>
      <c r="R112" s="51">
        <f t="shared" si="22"/>
        <v>41627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849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545</v>
      </c>
      <c r="D7" s="3" t="s">
        <v>546</v>
      </c>
      <c r="E7" s="3" t="s">
        <v>546</v>
      </c>
      <c r="F7" s="3" t="s">
        <v>546</v>
      </c>
      <c r="G7" s="3" t="s">
        <v>546</v>
      </c>
      <c r="H7" s="51">
        <v>41541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543</v>
      </c>
      <c r="Q7" s="10" t="str">
        <f t="shared" ref="Q7:Q38" si="1">IF(A7="","",C7)</f>
        <v xml:space="preserve">INDUSVAL    -ON  </v>
      </c>
      <c r="R7" s="51">
        <f t="shared" ref="R7:R38" si="2">IF(A7="","",H7)</f>
        <v>41541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547</v>
      </c>
      <c r="D8" s="3" t="s">
        <v>1500</v>
      </c>
      <c r="E8" s="3" t="s">
        <v>1812</v>
      </c>
      <c r="F8" s="3" t="s">
        <v>1500</v>
      </c>
      <c r="G8" s="3" t="s">
        <v>1812</v>
      </c>
      <c r="H8" s="51">
        <v>41696</v>
      </c>
      <c r="J8" s="3">
        <f t="shared" ref="J8:M71" si="7">IF($A8="",0,VALUE(CONCATENATE(LEFT(D8,LEN(D8)-3),",",RIGHT(D8,2))))</f>
        <v>4.93</v>
      </c>
      <c r="K8" s="3">
        <f t="shared" si="0"/>
        <v>4.45</v>
      </c>
      <c r="L8" s="3">
        <f t="shared" si="0"/>
        <v>4.93</v>
      </c>
      <c r="M8" s="3">
        <f t="shared" si="0"/>
        <v>4.45</v>
      </c>
      <c r="P8" s="15" t="s">
        <v>544</v>
      </c>
      <c r="Q8" s="10" t="str">
        <f t="shared" si="1"/>
        <v xml:space="preserve">INDUSVAL    -PN  </v>
      </c>
      <c r="R8" s="51">
        <f t="shared" si="2"/>
        <v>41696</v>
      </c>
      <c r="S8" s="5">
        <f t="shared" si="3"/>
        <v>4.93</v>
      </c>
      <c r="T8" s="5">
        <f t="shared" si="4"/>
        <v>4.45</v>
      </c>
      <c r="U8" s="5">
        <f t="shared" si="5"/>
        <v>4.93</v>
      </c>
      <c r="V8" s="5">
        <f t="shared" si="6"/>
        <v>4.45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550</v>
      </c>
      <c r="D9" s="3" t="s">
        <v>1474</v>
      </c>
      <c r="E9" s="3" t="s">
        <v>1666</v>
      </c>
      <c r="F9" s="3" t="s">
        <v>1666</v>
      </c>
      <c r="G9" s="3" t="s">
        <v>1474</v>
      </c>
      <c r="H9" s="51">
        <v>41695</v>
      </c>
      <c r="J9" s="3">
        <f t="shared" si="7"/>
        <v>12.8</v>
      </c>
      <c r="K9" s="3">
        <f t="shared" si="0"/>
        <v>13.15</v>
      </c>
      <c r="L9" s="3">
        <f t="shared" si="0"/>
        <v>13.15</v>
      </c>
      <c r="M9" s="3">
        <f t="shared" si="0"/>
        <v>12.8</v>
      </c>
      <c r="P9" s="14" t="s">
        <v>548</v>
      </c>
      <c r="Q9" s="10" t="str">
        <f t="shared" si="1"/>
        <v>MERC BRASIL -ON</v>
      </c>
      <c r="R9" s="51">
        <f t="shared" si="2"/>
        <v>41695</v>
      </c>
      <c r="S9" s="5">
        <f t="shared" si="3"/>
        <v>12.8</v>
      </c>
      <c r="T9" s="5">
        <f t="shared" si="4"/>
        <v>13.15</v>
      </c>
      <c r="U9" s="5">
        <f t="shared" si="5"/>
        <v>13.15</v>
      </c>
      <c r="V9" s="5">
        <f t="shared" si="6"/>
        <v>12.8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551</v>
      </c>
      <c r="D10" s="3" t="s">
        <v>1529</v>
      </c>
      <c r="E10" s="3" t="s">
        <v>1529</v>
      </c>
      <c r="F10" s="3" t="s">
        <v>1529</v>
      </c>
      <c r="G10" s="3" t="s">
        <v>1529</v>
      </c>
      <c r="H10" s="51">
        <v>41695</v>
      </c>
      <c r="J10" s="3">
        <f t="shared" si="7"/>
        <v>7.12</v>
      </c>
      <c r="K10" s="3">
        <f t="shared" si="0"/>
        <v>7.12</v>
      </c>
      <c r="L10" s="3">
        <f t="shared" si="0"/>
        <v>7.12</v>
      </c>
      <c r="M10" s="3">
        <f t="shared" si="0"/>
        <v>7.12</v>
      </c>
      <c r="P10" s="14" t="s">
        <v>549</v>
      </c>
      <c r="Q10" s="10" t="str">
        <f t="shared" si="1"/>
        <v>MERC BRASIL -PN</v>
      </c>
      <c r="R10" s="46">
        <f t="shared" si="2"/>
        <v>41695</v>
      </c>
      <c r="S10" s="6">
        <f t="shared" si="3"/>
        <v>7.12</v>
      </c>
      <c r="T10" s="6">
        <f t="shared" si="4"/>
        <v>7.12</v>
      </c>
      <c r="U10" s="5">
        <f t="shared" si="5"/>
        <v>7.12</v>
      </c>
      <c r="V10" s="5">
        <f t="shared" si="6"/>
        <v>7.12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554</v>
      </c>
      <c r="D11" s="3" t="s">
        <v>435</v>
      </c>
      <c r="E11" s="3" t="s">
        <v>436</v>
      </c>
      <c r="F11" s="3" t="s">
        <v>435</v>
      </c>
      <c r="G11" s="3" t="s">
        <v>435</v>
      </c>
      <c r="H11" s="51" t="s">
        <v>435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552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555</v>
      </c>
      <c r="D12" s="3" t="s">
        <v>1667</v>
      </c>
      <c r="E12" s="3" t="s">
        <v>1425</v>
      </c>
      <c r="F12" s="3" t="s">
        <v>1425</v>
      </c>
      <c r="G12" s="3" t="s">
        <v>1628</v>
      </c>
      <c r="H12" s="51">
        <v>41696</v>
      </c>
      <c r="J12" s="3">
        <f t="shared" si="7"/>
        <v>3.81</v>
      </c>
      <c r="K12" s="3">
        <f t="shared" si="0"/>
        <v>3.82</v>
      </c>
      <c r="L12" s="3">
        <f t="shared" si="0"/>
        <v>3.82</v>
      </c>
      <c r="M12" s="3">
        <f t="shared" si="0"/>
        <v>3.8</v>
      </c>
      <c r="P12" s="14" t="s">
        <v>553</v>
      </c>
      <c r="Q12" s="10" t="str">
        <f t="shared" si="1"/>
        <v xml:space="preserve">PANAMERICANO-PN  </v>
      </c>
      <c r="R12" s="46">
        <f t="shared" si="2"/>
        <v>41696</v>
      </c>
      <c r="S12" s="6">
        <f t="shared" si="3"/>
        <v>3.81</v>
      </c>
      <c r="T12" s="6">
        <f t="shared" si="4"/>
        <v>3.82</v>
      </c>
      <c r="U12" s="6">
        <f t="shared" si="5"/>
        <v>3.82</v>
      </c>
      <c r="V12" s="6">
        <f t="shared" si="6"/>
        <v>3.8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559</v>
      </c>
      <c r="D13" s="3" t="s">
        <v>435</v>
      </c>
      <c r="E13" s="3" t="s">
        <v>407</v>
      </c>
      <c r="F13" s="3" t="s">
        <v>407</v>
      </c>
      <c r="G13" s="3" t="s">
        <v>407</v>
      </c>
      <c r="H13" s="51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558</v>
      </c>
      <c r="Q13" s="10" t="str">
        <f t="shared" si="1"/>
        <v>PATAGONIA   -DR3</v>
      </c>
      <c r="R13" s="51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563</v>
      </c>
      <c r="D14" s="3" t="s">
        <v>1160</v>
      </c>
      <c r="E14" s="3" t="s">
        <v>1928</v>
      </c>
      <c r="F14" s="3" t="s">
        <v>1668</v>
      </c>
      <c r="G14" s="3" t="s">
        <v>759</v>
      </c>
      <c r="H14" s="51">
        <v>41696</v>
      </c>
      <c r="J14" s="3">
        <f t="shared" si="7"/>
        <v>11.6</v>
      </c>
      <c r="K14" s="3">
        <f t="shared" si="0"/>
        <v>11.56</v>
      </c>
      <c r="L14" s="3">
        <f t="shared" si="0"/>
        <v>11.73</v>
      </c>
      <c r="M14" s="3">
        <f t="shared" si="0"/>
        <v>11.5</v>
      </c>
      <c r="P14" s="15" t="s">
        <v>560</v>
      </c>
      <c r="Q14" s="10" t="str">
        <f t="shared" si="1"/>
        <v xml:space="preserve">SANTANDER BR-UNT </v>
      </c>
      <c r="R14" s="51">
        <f t="shared" si="2"/>
        <v>41696</v>
      </c>
      <c r="S14" s="5">
        <f t="shared" si="3"/>
        <v>11.6</v>
      </c>
      <c r="T14" s="5">
        <f t="shared" si="4"/>
        <v>11.56</v>
      </c>
      <c r="U14" s="5">
        <f t="shared" si="5"/>
        <v>11.73</v>
      </c>
      <c r="V14" s="5">
        <f t="shared" si="6"/>
        <v>11.5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564</v>
      </c>
      <c r="D15" s="3" t="s">
        <v>406</v>
      </c>
      <c r="E15" s="3" t="s">
        <v>565</v>
      </c>
      <c r="F15" s="3" t="s">
        <v>406</v>
      </c>
      <c r="G15" s="3" t="s">
        <v>777</v>
      </c>
      <c r="H15" s="51">
        <v>41696</v>
      </c>
      <c r="J15" s="3">
        <f t="shared" si="7"/>
        <v>0.12</v>
      </c>
      <c r="K15" s="3">
        <f t="shared" si="0"/>
        <v>0.11</v>
      </c>
      <c r="L15" s="3">
        <f t="shared" si="0"/>
        <v>0.12</v>
      </c>
      <c r="M15" s="3">
        <f t="shared" si="0"/>
        <v>0.1</v>
      </c>
      <c r="P15" s="14" t="s">
        <v>561</v>
      </c>
      <c r="Q15" s="10" t="str">
        <f t="shared" si="1"/>
        <v xml:space="preserve">SANTANDER BR-ON  </v>
      </c>
      <c r="R15" s="51">
        <f t="shared" si="2"/>
        <v>41696</v>
      </c>
      <c r="S15" s="5">
        <f t="shared" si="3"/>
        <v>0.12</v>
      </c>
      <c r="T15" s="5">
        <f t="shared" si="4"/>
        <v>0.11</v>
      </c>
      <c r="U15" s="5">
        <f t="shared" si="5"/>
        <v>0.12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566</v>
      </c>
      <c r="D16" s="3" t="s">
        <v>406</v>
      </c>
      <c r="E16" s="3" t="s">
        <v>565</v>
      </c>
      <c r="F16" s="3" t="s">
        <v>406</v>
      </c>
      <c r="G16" s="3" t="s">
        <v>565</v>
      </c>
      <c r="H16" s="51">
        <v>41696</v>
      </c>
      <c r="J16" s="3">
        <f t="shared" si="7"/>
        <v>0.12</v>
      </c>
      <c r="K16" s="3">
        <f t="shared" si="0"/>
        <v>0.11</v>
      </c>
      <c r="L16" s="3">
        <f t="shared" si="0"/>
        <v>0.12</v>
      </c>
      <c r="M16" s="3">
        <f t="shared" si="0"/>
        <v>0.11</v>
      </c>
      <c r="P16" s="14" t="s">
        <v>562</v>
      </c>
      <c r="Q16" s="10" t="str">
        <f t="shared" si="1"/>
        <v xml:space="preserve">SANTANDER BR-PN  </v>
      </c>
      <c r="R16" s="51">
        <f t="shared" si="2"/>
        <v>41696</v>
      </c>
      <c r="S16" s="5">
        <f t="shared" si="3"/>
        <v>0.12</v>
      </c>
      <c r="T16" s="5">
        <f t="shared" si="4"/>
        <v>0.11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568</v>
      </c>
      <c r="D17" s="3" t="s">
        <v>435</v>
      </c>
      <c r="E17" s="3" t="s">
        <v>436</v>
      </c>
      <c r="F17" s="3" t="s">
        <v>435</v>
      </c>
      <c r="G17" s="3" t="s">
        <v>435</v>
      </c>
      <c r="H17" s="51" t="s">
        <v>435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567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571</v>
      </c>
      <c r="D18" s="3" t="s">
        <v>1426</v>
      </c>
      <c r="E18" s="3" t="s">
        <v>1929</v>
      </c>
      <c r="F18" s="3" t="s">
        <v>1426</v>
      </c>
      <c r="G18" s="3" t="s">
        <v>1929</v>
      </c>
      <c r="H18" s="51">
        <v>41696</v>
      </c>
      <c r="J18" s="3">
        <f t="shared" si="7"/>
        <v>1.38</v>
      </c>
      <c r="K18" s="3">
        <f t="shared" si="0"/>
        <v>1.35</v>
      </c>
      <c r="L18" s="3">
        <f t="shared" si="0"/>
        <v>1.38</v>
      </c>
      <c r="M18" s="3">
        <f t="shared" si="0"/>
        <v>1.35</v>
      </c>
      <c r="P18" s="10" t="s">
        <v>570</v>
      </c>
      <c r="Q18" s="10" t="str">
        <f t="shared" si="1"/>
        <v xml:space="preserve">IDEIASNET   -ON  </v>
      </c>
      <c r="R18" s="51">
        <f t="shared" si="2"/>
        <v>41696</v>
      </c>
      <c r="S18" s="5">
        <f t="shared" si="3"/>
        <v>1.38</v>
      </c>
      <c r="T18" s="5">
        <f t="shared" si="4"/>
        <v>1.35</v>
      </c>
      <c r="U18" s="5">
        <f t="shared" si="5"/>
        <v>1.38</v>
      </c>
      <c r="V18" s="5">
        <f t="shared" si="6"/>
        <v>1.35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576</v>
      </c>
      <c r="D19" s="3" t="s">
        <v>1669</v>
      </c>
      <c r="E19" s="3" t="s">
        <v>1930</v>
      </c>
      <c r="F19" s="3" t="s">
        <v>1931</v>
      </c>
      <c r="G19" s="3" t="s">
        <v>1670</v>
      </c>
      <c r="H19" s="51">
        <v>41696</v>
      </c>
      <c r="J19" s="3">
        <f t="shared" si="7"/>
        <v>43.69</v>
      </c>
      <c r="K19" s="3">
        <f t="shared" si="0"/>
        <v>45.4</v>
      </c>
      <c r="L19" s="3">
        <f t="shared" si="0"/>
        <v>45.64</v>
      </c>
      <c r="M19" s="3">
        <f t="shared" si="0"/>
        <v>43.5</v>
      </c>
      <c r="P19" s="10" t="s">
        <v>573</v>
      </c>
      <c r="Q19" s="10" t="str">
        <f t="shared" si="1"/>
        <v xml:space="preserve">LINX        -ON  </v>
      </c>
      <c r="R19" s="51">
        <f t="shared" si="2"/>
        <v>41696</v>
      </c>
      <c r="S19" s="5">
        <f t="shared" si="3"/>
        <v>43.69</v>
      </c>
      <c r="T19" s="5">
        <f t="shared" si="4"/>
        <v>45.4</v>
      </c>
      <c r="U19" s="5">
        <f t="shared" si="5"/>
        <v>45.64</v>
      </c>
      <c r="V19" s="5">
        <f t="shared" si="6"/>
        <v>43.5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577</v>
      </c>
      <c r="D20" s="3" t="s">
        <v>951</v>
      </c>
      <c r="E20" s="3" t="s">
        <v>951</v>
      </c>
      <c r="F20" s="3" t="s">
        <v>951</v>
      </c>
      <c r="G20" s="3" t="s">
        <v>951</v>
      </c>
      <c r="H20" s="51">
        <v>41687</v>
      </c>
      <c r="J20" s="3">
        <f t="shared" si="7"/>
        <v>4.3</v>
      </c>
      <c r="K20" s="3">
        <f t="shared" si="0"/>
        <v>4.3</v>
      </c>
      <c r="L20" s="3">
        <f t="shared" si="0"/>
        <v>4.3</v>
      </c>
      <c r="M20" s="3">
        <f t="shared" si="0"/>
        <v>4.3</v>
      </c>
      <c r="P20" s="10" t="s">
        <v>574</v>
      </c>
      <c r="Q20" s="10" t="str">
        <f t="shared" si="1"/>
        <v>TELEBRAS    -ON</v>
      </c>
      <c r="R20" s="51">
        <f t="shared" si="2"/>
        <v>41687</v>
      </c>
      <c r="S20" s="5">
        <f t="shared" si="3"/>
        <v>4.3</v>
      </c>
      <c r="T20" s="5">
        <f t="shared" si="4"/>
        <v>4.3</v>
      </c>
      <c r="U20" s="5">
        <f t="shared" si="5"/>
        <v>4.3</v>
      </c>
      <c r="V20" s="5">
        <f t="shared" si="6"/>
        <v>4.3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578</v>
      </c>
      <c r="D21" s="3" t="s">
        <v>1671</v>
      </c>
      <c r="E21" s="3" t="s">
        <v>1932</v>
      </c>
      <c r="F21" s="3" t="s">
        <v>1672</v>
      </c>
      <c r="G21" s="3" t="s">
        <v>1673</v>
      </c>
      <c r="H21" s="51">
        <v>41696</v>
      </c>
      <c r="J21" s="3">
        <f t="shared" si="7"/>
        <v>2.5499999999999998</v>
      </c>
      <c r="K21" s="3">
        <f t="shared" si="0"/>
        <v>2.54</v>
      </c>
      <c r="L21" s="3">
        <f t="shared" si="0"/>
        <v>2.8</v>
      </c>
      <c r="M21" s="3">
        <f t="shared" si="0"/>
        <v>2.5299999999999998</v>
      </c>
      <c r="P21" s="14" t="s">
        <v>575</v>
      </c>
      <c r="Q21" s="10" t="str">
        <f t="shared" si="1"/>
        <v>TELEBRAS    -PN</v>
      </c>
      <c r="R21" s="51">
        <f t="shared" si="2"/>
        <v>41696</v>
      </c>
      <c r="S21" s="5">
        <f t="shared" si="3"/>
        <v>2.5499999999999998</v>
      </c>
      <c r="T21" s="5">
        <f t="shared" si="4"/>
        <v>2.54</v>
      </c>
      <c r="U21" s="5">
        <f t="shared" si="5"/>
        <v>2.8</v>
      </c>
      <c r="V21" s="5">
        <f t="shared" si="6"/>
        <v>2.5299999999999998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580</v>
      </c>
      <c r="D22" s="3" t="s">
        <v>727</v>
      </c>
      <c r="E22" s="3" t="s">
        <v>784</v>
      </c>
      <c r="F22" s="3" t="s">
        <v>784</v>
      </c>
      <c r="G22" s="3" t="s">
        <v>785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579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582</v>
      </c>
      <c r="D23" s="3" t="s">
        <v>1674</v>
      </c>
      <c r="E23" s="3" t="s">
        <v>1933</v>
      </c>
      <c r="F23" s="3" t="s">
        <v>1933</v>
      </c>
      <c r="G23" s="3" t="s">
        <v>1675</v>
      </c>
      <c r="H23" s="51">
        <v>41696</v>
      </c>
      <c r="J23" s="3">
        <f t="shared" si="7"/>
        <v>31.47</v>
      </c>
      <c r="K23" s="3">
        <f t="shared" si="7"/>
        <v>32.299999999999997</v>
      </c>
      <c r="L23" s="3">
        <f t="shared" si="7"/>
        <v>32.299999999999997</v>
      </c>
      <c r="M23" s="3">
        <f t="shared" si="7"/>
        <v>31.03</v>
      </c>
      <c r="P23" s="14" t="s">
        <v>581</v>
      </c>
      <c r="Q23" s="10" t="str">
        <f t="shared" si="1"/>
        <v xml:space="preserve">TOTVS       -ON  </v>
      </c>
      <c r="R23" s="51">
        <f t="shared" si="2"/>
        <v>41696</v>
      </c>
      <c r="S23" s="5">
        <f t="shared" si="3"/>
        <v>31.47</v>
      </c>
      <c r="T23" s="5">
        <f t="shared" si="4"/>
        <v>32.299999999999997</v>
      </c>
      <c r="U23" s="5">
        <f t="shared" si="5"/>
        <v>32.299999999999997</v>
      </c>
      <c r="V23" s="5">
        <f t="shared" si="6"/>
        <v>31.03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587</v>
      </c>
      <c r="D24" s="3" t="s">
        <v>1483</v>
      </c>
      <c r="E24" s="3" t="s">
        <v>1934</v>
      </c>
      <c r="F24" s="3" t="s">
        <v>1429</v>
      </c>
      <c r="G24" s="3" t="s">
        <v>1476</v>
      </c>
      <c r="H24" s="51">
        <v>41696</v>
      </c>
      <c r="J24" s="3">
        <f t="shared" si="7"/>
        <v>7.98</v>
      </c>
      <c r="K24" s="3">
        <f t="shared" si="7"/>
        <v>7.85</v>
      </c>
      <c r="L24" s="3">
        <f t="shared" si="7"/>
        <v>7.99</v>
      </c>
      <c r="M24" s="3">
        <f t="shared" si="7"/>
        <v>7.76</v>
      </c>
      <c r="P24" s="15" t="s">
        <v>584</v>
      </c>
      <c r="Q24" s="10" t="str">
        <f t="shared" si="1"/>
        <v xml:space="preserve">BEMATECH    -ON  </v>
      </c>
      <c r="R24" s="51">
        <f t="shared" si="2"/>
        <v>41696</v>
      </c>
      <c r="S24" s="5">
        <f t="shared" si="3"/>
        <v>7.98</v>
      </c>
      <c r="T24" s="5">
        <f t="shared" si="4"/>
        <v>7.85</v>
      </c>
      <c r="U24" s="5">
        <f t="shared" si="5"/>
        <v>7.99</v>
      </c>
      <c r="V24" s="5">
        <f t="shared" si="6"/>
        <v>7.76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588</v>
      </c>
      <c r="D25" s="3" t="s">
        <v>932</v>
      </c>
      <c r="E25" s="3" t="s">
        <v>932</v>
      </c>
      <c r="F25" s="3" t="s">
        <v>932</v>
      </c>
      <c r="G25" s="3" t="s">
        <v>932</v>
      </c>
      <c r="H25" s="51">
        <v>41684</v>
      </c>
      <c r="J25" s="3">
        <f t="shared" si="7"/>
        <v>19.02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585</v>
      </c>
      <c r="Q25" s="10" t="str">
        <f t="shared" si="1"/>
        <v>ITAUTEC     -ON</v>
      </c>
      <c r="R25" s="51">
        <f t="shared" si="2"/>
        <v>41684</v>
      </c>
      <c r="S25" s="5">
        <f t="shared" si="3"/>
        <v>19.02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589</v>
      </c>
      <c r="D26" s="3" t="s">
        <v>1676</v>
      </c>
      <c r="E26" s="3" t="s">
        <v>1935</v>
      </c>
      <c r="F26" s="3" t="s">
        <v>1676</v>
      </c>
      <c r="G26" s="3" t="s">
        <v>1935</v>
      </c>
      <c r="H26" s="51">
        <v>41696</v>
      </c>
      <c r="J26" s="3">
        <f t="shared" si="7"/>
        <v>2.6</v>
      </c>
      <c r="K26" s="3">
        <f t="shared" si="7"/>
        <v>2.48</v>
      </c>
      <c r="L26" s="3">
        <f t="shared" si="7"/>
        <v>2.6</v>
      </c>
      <c r="M26" s="3">
        <f t="shared" si="7"/>
        <v>2.48</v>
      </c>
      <c r="P26" s="15" t="s">
        <v>586</v>
      </c>
      <c r="Q26" s="10" t="str">
        <f t="shared" si="1"/>
        <v xml:space="preserve">POSITIVO INF-ON  </v>
      </c>
      <c r="R26" s="51">
        <f t="shared" si="2"/>
        <v>41696</v>
      </c>
      <c r="S26" s="5">
        <f t="shared" si="3"/>
        <v>2.6</v>
      </c>
      <c r="T26" s="5">
        <f t="shared" si="4"/>
        <v>2.48</v>
      </c>
      <c r="U26" s="5">
        <f t="shared" si="5"/>
        <v>2.6</v>
      </c>
      <c r="V26" s="5">
        <f t="shared" si="6"/>
        <v>2.48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593</v>
      </c>
      <c r="D27" s="3" t="s">
        <v>1478</v>
      </c>
      <c r="E27" s="3" t="s">
        <v>974</v>
      </c>
      <c r="F27" s="3" t="s">
        <v>1478</v>
      </c>
      <c r="G27" s="3" t="s">
        <v>974</v>
      </c>
      <c r="H27" s="51">
        <v>41696</v>
      </c>
      <c r="J27" s="3">
        <f t="shared" si="7"/>
        <v>0.31</v>
      </c>
      <c r="K27" s="3">
        <f t="shared" si="7"/>
        <v>0.3</v>
      </c>
      <c r="L27" s="3">
        <f t="shared" si="7"/>
        <v>0.31</v>
      </c>
      <c r="M27" s="3">
        <f t="shared" si="7"/>
        <v>0.3</v>
      </c>
      <c r="P27" s="15" t="s">
        <v>591</v>
      </c>
      <c r="Q27" s="10" t="str">
        <f t="shared" si="1"/>
        <v>PET MANGUINH-ON</v>
      </c>
      <c r="R27" s="51">
        <f t="shared" si="2"/>
        <v>41696</v>
      </c>
      <c r="S27" s="5">
        <f t="shared" si="3"/>
        <v>0.31</v>
      </c>
      <c r="T27" s="5">
        <f t="shared" si="4"/>
        <v>0.3</v>
      </c>
      <c r="U27" s="5">
        <f t="shared" si="5"/>
        <v>0.31</v>
      </c>
      <c r="V27" s="5">
        <f t="shared" si="6"/>
        <v>0.3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594</v>
      </c>
      <c r="D28" s="3" t="s">
        <v>974</v>
      </c>
      <c r="E28" s="3" t="s">
        <v>974</v>
      </c>
      <c r="F28" s="3" t="s">
        <v>1478</v>
      </c>
      <c r="G28" s="3" t="s">
        <v>974</v>
      </c>
      <c r="H28" s="51">
        <v>41696</v>
      </c>
      <c r="J28" s="3">
        <f t="shared" si="7"/>
        <v>0.3</v>
      </c>
      <c r="K28" s="3">
        <f t="shared" si="7"/>
        <v>0.3</v>
      </c>
      <c r="L28" s="3">
        <f t="shared" si="7"/>
        <v>0.31</v>
      </c>
      <c r="M28" s="3">
        <f t="shared" si="7"/>
        <v>0.3</v>
      </c>
      <c r="P28" s="15" t="s">
        <v>592</v>
      </c>
      <c r="Q28" s="10" t="str">
        <f t="shared" si="1"/>
        <v>PET MANGUINH-PN</v>
      </c>
      <c r="R28" s="51">
        <f t="shared" si="2"/>
        <v>41696</v>
      </c>
      <c r="S28" s="5">
        <f t="shared" si="3"/>
        <v>0.3</v>
      </c>
      <c r="T28" s="5">
        <f t="shared" si="4"/>
        <v>0.3</v>
      </c>
      <c r="U28" s="5">
        <f t="shared" si="5"/>
        <v>0.31</v>
      </c>
      <c r="V28" s="5">
        <f t="shared" si="6"/>
        <v>0.3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598</v>
      </c>
      <c r="D29" s="3" t="s">
        <v>940</v>
      </c>
      <c r="E29" s="3" t="s">
        <v>1936</v>
      </c>
      <c r="F29" s="3" t="s">
        <v>1677</v>
      </c>
      <c r="G29" s="3" t="s">
        <v>1937</v>
      </c>
      <c r="H29" s="51">
        <v>41696</v>
      </c>
      <c r="J29" s="3">
        <f>IF($A29="",0,VALUE(CONCATENATE(LEFT(D29,LEN(D29)-3),",",RIGHT(D29,2))))</f>
        <v>10.9</v>
      </c>
      <c r="K29" s="3">
        <f t="shared" si="7"/>
        <v>10.63</v>
      </c>
      <c r="L29" s="3">
        <f t="shared" si="7"/>
        <v>10.95</v>
      </c>
      <c r="M29" s="3">
        <f t="shared" si="7"/>
        <v>10.52</v>
      </c>
      <c r="P29" s="15" t="s">
        <v>597</v>
      </c>
      <c r="Q29" s="10" t="str">
        <f t="shared" si="1"/>
        <v>SID NACIONAL-ON</v>
      </c>
      <c r="R29" s="51">
        <f t="shared" si="2"/>
        <v>41696</v>
      </c>
      <c r="S29" s="5">
        <f t="shared" si="3"/>
        <v>10.9</v>
      </c>
      <c r="T29" s="5">
        <f t="shared" si="4"/>
        <v>10.63</v>
      </c>
      <c r="U29" s="5">
        <f t="shared" si="5"/>
        <v>10.95</v>
      </c>
      <c r="V29" s="5">
        <f t="shared" si="6"/>
        <v>10.52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602</v>
      </c>
      <c r="D30" s="3" t="s">
        <v>1678</v>
      </c>
      <c r="E30" s="3" t="s">
        <v>916</v>
      </c>
      <c r="F30" s="3" t="s">
        <v>1680</v>
      </c>
      <c r="G30" s="3" t="s">
        <v>1456</v>
      </c>
      <c r="H30" s="51">
        <v>41696</v>
      </c>
      <c r="J30" s="3">
        <f t="shared" si="7"/>
        <v>9.18</v>
      </c>
      <c r="K30" s="3">
        <f t="shared" si="7"/>
        <v>9.3000000000000007</v>
      </c>
      <c r="L30" s="3">
        <f t="shared" si="7"/>
        <v>9.34</v>
      </c>
      <c r="M30" s="3">
        <f t="shared" si="7"/>
        <v>9.0299999999999994</v>
      </c>
      <c r="P30" s="14" t="s">
        <v>599</v>
      </c>
      <c r="Q30" s="10" t="str">
        <f t="shared" si="1"/>
        <v xml:space="preserve">USIMINAS    -ON  </v>
      </c>
      <c r="R30" s="51">
        <f t="shared" si="2"/>
        <v>41696</v>
      </c>
      <c r="S30" s="5">
        <f t="shared" si="3"/>
        <v>9.18</v>
      </c>
      <c r="T30" s="5">
        <f t="shared" si="4"/>
        <v>9.3000000000000007</v>
      </c>
      <c r="U30" s="5">
        <f t="shared" si="5"/>
        <v>9.34</v>
      </c>
      <c r="V30" s="5">
        <f t="shared" si="6"/>
        <v>9.0299999999999994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603</v>
      </c>
      <c r="D31" s="3" t="s">
        <v>1681</v>
      </c>
      <c r="E31" s="3" t="s">
        <v>1938</v>
      </c>
      <c r="F31" s="3" t="s">
        <v>129</v>
      </c>
      <c r="G31" s="3" t="s">
        <v>786</v>
      </c>
      <c r="H31" s="51">
        <v>41696</v>
      </c>
      <c r="J31" s="3">
        <f t="shared" si="7"/>
        <v>10.08</v>
      </c>
      <c r="K31" s="3">
        <f t="shared" si="7"/>
        <v>9.9499999999999993</v>
      </c>
      <c r="L31" s="3">
        <f t="shared" si="7"/>
        <v>10.119999999999999</v>
      </c>
      <c r="M31" s="3">
        <f t="shared" si="7"/>
        <v>9.75</v>
      </c>
      <c r="P31" s="14" t="s">
        <v>600</v>
      </c>
      <c r="Q31" s="10" t="str">
        <f t="shared" si="1"/>
        <v xml:space="preserve">USIMINAS    -PNA </v>
      </c>
      <c r="R31" s="51">
        <f t="shared" si="2"/>
        <v>41696</v>
      </c>
      <c r="S31" s="5">
        <f t="shared" si="3"/>
        <v>10.08</v>
      </c>
      <c r="T31" s="5">
        <f t="shared" si="4"/>
        <v>9.9499999999999993</v>
      </c>
      <c r="U31" s="5">
        <f t="shared" si="5"/>
        <v>10.119999999999999</v>
      </c>
      <c r="V31" s="5">
        <f t="shared" si="6"/>
        <v>9.75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604</v>
      </c>
      <c r="D32" s="3" t="s">
        <v>435</v>
      </c>
      <c r="E32" s="3" t="s">
        <v>605</v>
      </c>
      <c r="F32" s="3" t="s">
        <v>605</v>
      </c>
      <c r="G32" s="3" t="s">
        <v>605</v>
      </c>
      <c r="H32" s="51">
        <v>41620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601</v>
      </c>
      <c r="Q32" s="10" t="str">
        <f t="shared" si="1"/>
        <v xml:space="preserve">USIMINAS    -PNB </v>
      </c>
      <c r="R32" s="51">
        <f t="shared" si="2"/>
        <v>41620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608</v>
      </c>
      <c r="D33" s="3" t="s">
        <v>1432</v>
      </c>
      <c r="E33" s="3" t="s">
        <v>1939</v>
      </c>
      <c r="F33" s="3" t="s">
        <v>1682</v>
      </c>
      <c r="G33" s="3" t="s">
        <v>1940</v>
      </c>
      <c r="H33" s="51">
        <v>41696</v>
      </c>
      <c r="J33" s="3">
        <f t="shared" si="7"/>
        <v>12.31</v>
      </c>
      <c r="K33" s="3">
        <f t="shared" si="7"/>
        <v>12.16</v>
      </c>
      <c r="L33" s="3">
        <f t="shared" si="7"/>
        <v>12.4</v>
      </c>
      <c r="M33" s="3">
        <f t="shared" si="7"/>
        <v>12.11</v>
      </c>
      <c r="P33" s="14" t="s">
        <v>606</v>
      </c>
      <c r="Q33" s="10" t="str">
        <f t="shared" si="1"/>
        <v xml:space="preserve">GERDAU      -ON  </v>
      </c>
      <c r="R33" s="51">
        <f t="shared" si="2"/>
        <v>41696</v>
      </c>
      <c r="S33" s="5">
        <f t="shared" si="3"/>
        <v>12.31</v>
      </c>
      <c r="T33" s="5">
        <f t="shared" si="4"/>
        <v>12.16</v>
      </c>
      <c r="U33" s="5">
        <f t="shared" si="5"/>
        <v>12.4</v>
      </c>
      <c r="V33" s="5">
        <f t="shared" si="6"/>
        <v>12.11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609</v>
      </c>
      <c r="D34" s="3" t="s">
        <v>1683</v>
      </c>
      <c r="E34" s="3" t="s">
        <v>1941</v>
      </c>
      <c r="F34" s="3" t="s">
        <v>1684</v>
      </c>
      <c r="G34" s="3" t="s">
        <v>1685</v>
      </c>
      <c r="H34" s="51">
        <v>41696</v>
      </c>
      <c r="J34" s="3">
        <f t="shared" si="7"/>
        <v>15.2</v>
      </c>
      <c r="K34" s="3">
        <f t="shared" si="7"/>
        <v>14.83</v>
      </c>
      <c r="L34" s="3">
        <f t="shared" si="7"/>
        <v>15.24</v>
      </c>
      <c r="M34" s="3">
        <f t="shared" si="7"/>
        <v>14.65</v>
      </c>
      <c r="P34" s="14" t="s">
        <v>607</v>
      </c>
      <c r="Q34" s="10" t="str">
        <f t="shared" si="1"/>
        <v xml:space="preserve">GERDAU      -PN  </v>
      </c>
      <c r="R34" s="51">
        <f t="shared" si="2"/>
        <v>41696</v>
      </c>
      <c r="S34" s="5">
        <f t="shared" si="3"/>
        <v>15.2</v>
      </c>
      <c r="T34" s="5">
        <f t="shared" si="4"/>
        <v>14.83</v>
      </c>
      <c r="U34" s="5">
        <f t="shared" si="5"/>
        <v>15.24</v>
      </c>
      <c r="V34" s="5">
        <f t="shared" si="6"/>
        <v>14.65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612</v>
      </c>
      <c r="D35" s="3" t="s">
        <v>1480</v>
      </c>
      <c r="E35" s="3" t="s">
        <v>1686</v>
      </c>
      <c r="F35" s="3" t="s">
        <v>1480</v>
      </c>
      <c r="G35" s="3" t="s">
        <v>1795</v>
      </c>
      <c r="H35" s="51">
        <v>41696</v>
      </c>
      <c r="J35" s="3">
        <f t="shared" si="7"/>
        <v>14.94</v>
      </c>
      <c r="K35" s="3">
        <f t="shared" si="7"/>
        <v>14.91</v>
      </c>
      <c r="L35" s="3">
        <f t="shared" si="7"/>
        <v>14.94</v>
      </c>
      <c r="M35" s="3">
        <f t="shared" si="7"/>
        <v>14.77</v>
      </c>
      <c r="P35" s="14" t="s">
        <v>610</v>
      </c>
      <c r="Q35" s="10" t="str">
        <f t="shared" si="1"/>
        <v xml:space="preserve">GERDAU MET  -ON  </v>
      </c>
      <c r="R35" s="51">
        <f t="shared" si="2"/>
        <v>41696</v>
      </c>
      <c r="S35" s="5">
        <f t="shared" si="3"/>
        <v>14.94</v>
      </c>
      <c r="T35" s="5">
        <f t="shared" si="4"/>
        <v>14.91</v>
      </c>
      <c r="U35" s="5">
        <f t="shared" si="5"/>
        <v>14.94</v>
      </c>
      <c r="V35" s="5">
        <f t="shared" si="6"/>
        <v>14.77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613</v>
      </c>
      <c r="D36" s="3" t="s">
        <v>1498</v>
      </c>
      <c r="E36" s="3" t="s">
        <v>1942</v>
      </c>
      <c r="F36" s="3" t="s">
        <v>1687</v>
      </c>
      <c r="G36" s="3" t="s">
        <v>1497</v>
      </c>
      <c r="H36" s="51">
        <v>41696</v>
      </c>
      <c r="J36" s="3">
        <f t="shared" si="7"/>
        <v>18.5</v>
      </c>
      <c r="K36" s="3">
        <f t="shared" si="7"/>
        <v>18.399999999999999</v>
      </c>
      <c r="L36" s="3">
        <f t="shared" si="7"/>
        <v>18.93</v>
      </c>
      <c r="M36" s="3">
        <f t="shared" si="7"/>
        <v>18.149999999999999</v>
      </c>
      <c r="P36" s="14" t="s">
        <v>611</v>
      </c>
      <c r="Q36" s="10" t="str">
        <f t="shared" si="1"/>
        <v xml:space="preserve">GERDAU MET  -PN  </v>
      </c>
      <c r="R36" s="51">
        <f t="shared" si="2"/>
        <v>41696</v>
      </c>
      <c r="S36" s="5">
        <f t="shared" si="3"/>
        <v>18.5</v>
      </c>
      <c r="T36" s="5">
        <f t="shared" si="4"/>
        <v>18.399999999999999</v>
      </c>
      <c r="U36" s="5">
        <f t="shared" si="5"/>
        <v>18.93</v>
      </c>
      <c r="V36" s="5">
        <f t="shared" si="6"/>
        <v>18.149999999999999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616</v>
      </c>
      <c r="D37" s="3" t="s">
        <v>435</v>
      </c>
      <c r="E37" s="3" t="s">
        <v>617</v>
      </c>
      <c r="F37" s="3" t="s">
        <v>617</v>
      </c>
      <c r="G37" s="3" t="s">
        <v>617</v>
      </c>
      <c r="H37" s="51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614</v>
      </c>
      <c r="Q37" s="10" t="str">
        <f t="shared" si="1"/>
        <v>FIBAM       -ON</v>
      </c>
      <c r="R37" s="51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618</v>
      </c>
      <c r="D38" s="3" t="s">
        <v>762</v>
      </c>
      <c r="E38" s="3" t="s">
        <v>762</v>
      </c>
      <c r="F38" s="3" t="s">
        <v>762</v>
      </c>
      <c r="G38" s="3" t="s">
        <v>762</v>
      </c>
      <c r="H38" s="51">
        <v>41675</v>
      </c>
      <c r="J38" s="3">
        <f t="shared" si="7"/>
        <v>25.99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615</v>
      </c>
      <c r="Q38" s="10" t="str">
        <f t="shared" si="1"/>
        <v>FIBAM       -PN</v>
      </c>
      <c r="R38" s="51">
        <f t="shared" si="2"/>
        <v>41675</v>
      </c>
      <c r="S38" s="5">
        <f t="shared" si="3"/>
        <v>25.99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621</v>
      </c>
      <c r="D39" s="3" t="s">
        <v>435</v>
      </c>
      <c r="E39" s="3" t="s">
        <v>622</v>
      </c>
      <c r="F39" s="3" t="s">
        <v>622</v>
      </c>
      <c r="G39" s="3" t="s">
        <v>622</v>
      </c>
      <c r="H39" s="51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619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623</v>
      </c>
      <c r="D40" s="3" t="s">
        <v>1481</v>
      </c>
      <c r="E40" s="3" t="s">
        <v>1481</v>
      </c>
      <c r="F40" s="3" t="s">
        <v>1481</v>
      </c>
      <c r="G40" s="3" t="s">
        <v>1943</v>
      </c>
      <c r="H40" s="51">
        <v>41696</v>
      </c>
      <c r="J40" s="3">
        <f t="shared" si="7"/>
        <v>0.57999999999999996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0.56999999999999995</v>
      </c>
      <c r="P40" s="14" t="s">
        <v>620</v>
      </c>
      <c r="Q40" s="10" t="str">
        <f t="shared" si="8"/>
        <v xml:space="preserve">MANGELS INDL-PN  </v>
      </c>
      <c r="R40" s="51">
        <f t="shared" si="9"/>
        <v>41696</v>
      </c>
      <c r="S40" s="5">
        <f t="shared" si="10"/>
        <v>0.57999999999999996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0.56999999999999995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626</v>
      </c>
      <c r="D41" s="3" t="s">
        <v>435</v>
      </c>
      <c r="E41" s="3" t="s">
        <v>627</v>
      </c>
      <c r="F41" s="3" t="s">
        <v>627</v>
      </c>
      <c r="G41" s="3" t="s">
        <v>627</v>
      </c>
      <c r="H41" s="51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624</v>
      </c>
      <c r="Q41" s="10" t="str">
        <f t="shared" si="8"/>
        <v>MET DUQUE   -ON</v>
      </c>
      <c r="R41" s="51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628</v>
      </c>
      <c r="D42" s="3" t="s">
        <v>723</v>
      </c>
      <c r="E42" s="3" t="s">
        <v>728</v>
      </c>
      <c r="F42" s="3" t="s">
        <v>728</v>
      </c>
      <c r="G42" s="3" t="s">
        <v>723</v>
      </c>
      <c r="H42" s="51">
        <v>41662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625</v>
      </c>
      <c r="Q42" s="10" t="str">
        <f t="shared" si="8"/>
        <v>MET DUQUE   -PN</v>
      </c>
      <c r="R42" s="51">
        <f t="shared" si="9"/>
        <v>41662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631</v>
      </c>
      <c r="D43" s="3" t="s">
        <v>1688</v>
      </c>
      <c r="E43" s="3" t="s">
        <v>1944</v>
      </c>
      <c r="F43" s="3" t="s">
        <v>1627</v>
      </c>
      <c r="G43" s="3" t="s">
        <v>1944</v>
      </c>
      <c r="H43" s="51">
        <v>41696</v>
      </c>
      <c r="J43" s="3">
        <f t="shared" si="7"/>
        <v>3.61</v>
      </c>
      <c r="K43" s="3">
        <f t="shared" si="7"/>
        <v>3.48</v>
      </c>
      <c r="L43" s="3">
        <f t="shared" si="7"/>
        <v>3.66</v>
      </c>
      <c r="M43" s="3">
        <f t="shared" si="7"/>
        <v>3.48</v>
      </c>
      <c r="P43" s="14" t="s">
        <v>630</v>
      </c>
      <c r="Q43" s="10" t="str">
        <f t="shared" si="8"/>
        <v xml:space="preserve">PARANAPANEMA-ON  </v>
      </c>
      <c r="R43" s="51">
        <f t="shared" si="9"/>
        <v>41696</v>
      </c>
      <c r="S43" s="5">
        <f t="shared" si="10"/>
        <v>3.61</v>
      </c>
      <c r="T43" s="5">
        <f t="shared" si="11"/>
        <v>3.48</v>
      </c>
      <c r="U43" s="5">
        <f t="shared" si="12"/>
        <v>3.66</v>
      </c>
      <c r="V43" s="5">
        <f t="shared" si="13"/>
        <v>3.48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637</v>
      </c>
      <c r="D44" s="3" t="s">
        <v>435</v>
      </c>
      <c r="E44" s="3" t="s">
        <v>526</v>
      </c>
      <c r="F44" s="3" t="s">
        <v>526</v>
      </c>
      <c r="G44" s="3" t="s">
        <v>526</v>
      </c>
      <c r="H44" s="51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633</v>
      </c>
      <c r="Q44" s="10" t="str">
        <f t="shared" si="8"/>
        <v>MILLENNIUM  -ON</v>
      </c>
      <c r="R44" s="51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638</v>
      </c>
      <c r="D45" s="3" t="s">
        <v>722</v>
      </c>
      <c r="E45" s="3" t="s">
        <v>722</v>
      </c>
      <c r="F45" s="3" t="s">
        <v>722</v>
      </c>
      <c r="G45" s="3" t="s">
        <v>722</v>
      </c>
      <c r="H45" s="51">
        <v>41690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634</v>
      </c>
      <c r="Q45" s="10" t="str">
        <f t="shared" si="8"/>
        <v>MILLENNIUM  -PNA</v>
      </c>
      <c r="R45" s="51">
        <f t="shared" si="9"/>
        <v>41690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639</v>
      </c>
      <c r="D46" s="3" t="s">
        <v>729</v>
      </c>
      <c r="E46" s="3" t="s">
        <v>729</v>
      </c>
      <c r="F46" s="3" t="s">
        <v>729</v>
      </c>
      <c r="G46" s="3" t="s">
        <v>729</v>
      </c>
      <c r="H46" s="51">
        <v>41691</v>
      </c>
      <c r="J46" s="3">
        <f t="shared" si="7"/>
        <v>0.23</v>
      </c>
      <c r="K46" s="3">
        <f t="shared" si="7"/>
        <v>0.23</v>
      </c>
      <c r="L46" s="3">
        <f t="shared" si="7"/>
        <v>0.23</v>
      </c>
      <c r="M46" s="3">
        <f t="shared" si="7"/>
        <v>0.23</v>
      </c>
      <c r="P46" s="14" t="s">
        <v>635</v>
      </c>
      <c r="Q46" s="10" t="str">
        <f t="shared" si="8"/>
        <v>MILLENNIUM  -PNB</v>
      </c>
      <c r="R46" s="46">
        <f t="shared" si="9"/>
        <v>41691</v>
      </c>
      <c r="S46" s="6">
        <f t="shared" si="10"/>
        <v>0.23</v>
      </c>
      <c r="T46" s="6">
        <f t="shared" si="11"/>
        <v>0.23</v>
      </c>
      <c r="U46" s="6">
        <f t="shared" si="12"/>
        <v>0.23</v>
      </c>
      <c r="V46" s="6">
        <f t="shared" si="13"/>
        <v>0.23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657</v>
      </c>
      <c r="D47" s="3" t="s">
        <v>1428</v>
      </c>
      <c r="E47" s="3" t="s">
        <v>1428</v>
      </c>
      <c r="F47" s="3" t="s">
        <v>1428</v>
      </c>
      <c r="G47" s="3" t="s">
        <v>1428</v>
      </c>
      <c r="H47" s="51">
        <v>41696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0.49</v>
      </c>
      <c r="P47" s="14" t="s">
        <v>656</v>
      </c>
      <c r="Q47" s="10" t="str">
        <f t="shared" si="8"/>
        <v>GPC PART    -ON</v>
      </c>
      <c r="R47" s="51">
        <f t="shared" si="9"/>
        <v>41696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659</v>
      </c>
      <c r="D48" s="3" t="s">
        <v>672</v>
      </c>
      <c r="E48" s="3" t="s">
        <v>672</v>
      </c>
      <c r="F48" s="3" t="s">
        <v>672</v>
      </c>
      <c r="G48" s="3" t="s">
        <v>672</v>
      </c>
      <c r="H48" s="51">
        <v>41696</v>
      </c>
      <c r="J48" s="3">
        <f t="shared" si="7"/>
        <v>0.08</v>
      </c>
      <c r="K48" s="3">
        <f t="shared" si="7"/>
        <v>0.08</v>
      </c>
      <c r="L48" s="3">
        <f t="shared" si="7"/>
        <v>0.08</v>
      </c>
      <c r="M48" s="3">
        <f t="shared" si="7"/>
        <v>0.08</v>
      </c>
      <c r="P48" s="14" t="s">
        <v>658</v>
      </c>
      <c r="Q48" s="10" t="str">
        <f t="shared" si="8"/>
        <v>M G POLIEST -ON</v>
      </c>
      <c r="R48" s="51">
        <f t="shared" si="9"/>
        <v>41696</v>
      </c>
      <c r="S48" s="5">
        <f t="shared" si="10"/>
        <v>0.08</v>
      </c>
      <c r="T48" s="5">
        <f t="shared" si="11"/>
        <v>0.08</v>
      </c>
      <c r="U48" s="5">
        <f t="shared" si="12"/>
        <v>0.08</v>
      </c>
      <c r="V48" s="5">
        <f t="shared" si="13"/>
        <v>0.08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329</v>
      </c>
      <c r="D49" s="3" t="s">
        <v>698</v>
      </c>
      <c r="E49" s="3" t="s">
        <v>698</v>
      </c>
      <c r="F49" s="3" t="s">
        <v>698</v>
      </c>
      <c r="G49" s="3" t="s">
        <v>698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328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664</v>
      </c>
      <c r="D50" s="3" t="s">
        <v>1689</v>
      </c>
      <c r="E50" s="3" t="s">
        <v>1689</v>
      </c>
      <c r="F50" s="3" t="s">
        <v>1482</v>
      </c>
      <c r="G50" s="3" t="s">
        <v>789</v>
      </c>
      <c r="H50" s="51">
        <v>41696</v>
      </c>
      <c r="J50" s="3">
        <f t="shared" si="7"/>
        <v>1.02</v>
      </c>
      <c r="K50" s="3">
        <f t="shared" si="7"/>
        <v>1.02</v>
      </c>
      <c r="L50" s="3">
        <f t="shared" si="7"/>
        <v>1.03</v>
      </c>
      <c r="M50" s="3">
        <f t="shared" si="7"/>
        <v>1.01</v>
      </c>
      <c r="P50" s="15" t="s">
        <v>663</v>
      </c>
      <c r="Q50" s="10" t="str">
        <f t="shared" si="8"/>
        <v xml:space="preserve">CCX CARVAO  -ON  </v>
      </c>
      <c r="R50" s="46">
        <f t="shared" si="9"/>
        <v>41696</v>
      </c>
      <c r="S50" s="6">
        <f t="shared" si="10"/>
        <v>1.02</v>
      </c>
      <c r="T50" s="6">
        <f t="shared" si="11"/>
        <v>1.02</v>
      </c>
      <c r="U50" s="6">
        <f t="shared" si="12"/>
        <v>1.03</v>
      </c>
      <c r="V50" s="6">
        <f t="shared" si="13"/>
        <v>1.01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667</v>
      </c>
      <c r="D51" s="3" t="s">
        <v>1690</v>
      </c>
      <c r="E51" s="3" t="s">
        <v>1459</v>
      </c>
      <c r="F51" s="3" t="s">
        <v>1691</v>
      </c>
      <c r="G51" s="3" t="s">
        <v>1459</v>
      </c>
      <c r="H51" s="51">
        <v>41696</v>
      </c>
      <c r="J51" s="3">
        <f t="shared" si="7"/>
        <v>3.12</v>
      </c>
      <c r="K51" s="3">
        <f t="shared" si="7"/>
        <v>3.03</v>
      </c>
      <c r="L51" s="3">
        <f t="shared" si="7"/>
        <v>3.18</v>
      </c>
      <c r="M51" s="3">
        <f t="shared" si="7"/>
        <v>3.03</v>
      </c>
      <c r="P51" s="14" t="s">
        <v>666</v>
      </c>
      <c r="Q51" s="10" t="str">
        <f t="shared" si="8"/>
        <v xml:space="preserve">MMX MINER   -ON  </v>
      </c>
      <c r="R51" s="51">
        <f t="shared" si="9"/>
        <v>41696</v>
      </c>
      <c r="S51" s="5">
        <f t="shared" si="10"/>
        <v>3.12</v>
      </c>
      <c r="T51" s="5">
        <f t="shared" si="11"/>
        <v>3.03</v>
      </c>
      <c r="U51" s="5">
        <f t="shared" si="12"/>
        <v>3.18</v>
      </c>
      <c r="V51" s="5">
        <f t="shared" si="13"/>
        <v>3.03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673</v>
      </c>
      <c r="D52" s="3" t="s">
        <v>1945</v>
      </c>
      <c r="E52" s="3" t="s">
        <v>674</v>
      </c>
      <c r="F52" s="3" t="s">
        <v>674</v>
      </c>
      <c r="G52" s="3" t="s">
        <v>1945</v>
      </c>
      <c r="H52" s="51">
        <v>41585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668</v>
      </c>
      <c r="Q52" s="10" t="str">
        <f t="shared" si="8"/>
        <v>SANSUY      -ON</v>
      </c>
      <c r="R52" s="51">
        <f t="shared" si="9"/>
        <v>41585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675</v>
      </c>
      <c r="D53" s="3" t="s">
        <v>1019</v>
      </c>
      <c r="E53" s="3" t="s">
        <v>944</v>
      </c>
      <c r="F53" s="3" t="s">
        <v>1019</v>
      </c>
      <c r="G53" s="3" t="s">
        <v>944</v>
      </c>
      <c r="H53" s="51">
        <v>41695</v>
      </c>
      <c r="J53" s="3">
        <f t="shared" si="7"/>
        <v>0.78</v>
      </c>
      <c r="K53" s="3">
        <f t="shared" si="7"/>
        <v>0.77</v>
      </c>
      <c r="L53" s="3">
        <f t="shared" si="7"/>
        <v>0.78</v>
      </c>
      <c r="M53" s="3">
        <f t="shared" si="7"/>
        <v>0.77</v>
      </c>
      <c r="P53" s="14" t="s">
        <v>669</v>
      </c>
      <c r="Q53" s="10" t="str">
        <f t="shared" si="8"/>
        <v>SANSUY      -PNA</v>
      </c>
      <c r="R53" s="51">
        <f t="shared" si="9"/>
        <v>41695</v>
      </c>
      <c r="S53" s="5">
        <f t="shared" si="10"/>
        <v>0.78</v>
      </c>
      <c r="T53" s="5">
        <f t="shared" si="11"/>
        <v>0.77</v>
      </c>
      <c r="U53" s="5">
        <f t="shared" si="12"/>
        <v>0.78</v>
      </c>
      <c r="V53" s="5">
        <f t="shared" si="13"/>
        <v>0.77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676</v>
      </c>
      <c r="D54" s="3" t="s">
        <v>435</v>
      </c>
      <c r="E54" s="61" t="s">
        <v>677</v>
      </c>
      <c r="F54" s="61" t="s">
        <v>677</v>
      </c>
      <c r="G54" s="61" t="s">
        <v>677</v>
      </c>
      <c r="H54" s="51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670</v>
      </c>
      <c r="Q54" s="10" t="str">
        <f t="shared" si="8"/>
        <v>SANSUY      -PNB</v>
      </c>
      <c r="R54" s="51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680</v>
      </c>
      <c r="D55" s="3" t="s">
        <v>939</v>
      </c>
      <c r="E55" s="3" t="s">
        <v>939</v>
      </c>
      <c r="F55" s="3" t="s">
        <v>939</v>
      </c>
      <c r="G55" s="3" t="s">
        <v>939</v>
      </c>
      <c r="H55" s="51">
        <v>41683</v>
      </c>
      <c r="J55" s="3">
        <f t="shared" si="7"/>
        <v>27.3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678</v>
      </c>
      <c r="Q55" s="10" t="str">
        <f t="shared" si="8"/>
        <v>MELHOR SP   -ON</v>
      </c>
      <c r="R55" s="51">
        <f t="shared" si="9"/>
        <v>41683</v>
      </c>
      <c r="S55" s="5">
        <f t="shared" si="10"/>
        <v>27.3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681</v>
      </c>
      <c r="D56" s="3" t="s">
        <v>1403</v>
      </c>
      <c r="E56" s="3" t="s">
        <v>939</v>
      </c>
      <c r="F56" s="3" t="s">
        <v>1404</v>
      </c>
      <c r="G56" s="3" t="s">
        <v>939</v>
      </c>
      <c r="H56" s="51">
        <v>41690</v>
      </c>
      <c r="J56" s="3">
        <f t="shared" si="7"/>
        <v>27.31</v>
      </c>
      <c r="K56" s="3">
        <f t="shared" si="7"/>
        <v>27.3</v>
      </c>
      <c r="L56" s="3">
        <f t="shared" si="7"/>
        <v>27.53</v>
      </c>
      <c r="M56" s="3">
        <f t="shared" si="7"/>
        <v>27.3</v>
      </c>
      <c r="P56" s="15" t="s">
        <v>679</v>
      </c>
      <c r="Q56" s="10" t="str">
        <f t="shared" si="8"/>
        <v>MELHOR SP   -PN</v>
      </c>
      <c r="R56" s="51">
        <f t="shared" si="9"/>
        <v>41690</v>
      </c>
      <c r="S56" s="5">
        <f t="shared" si="10"/>
        <v>27.31</v>
      </c>
      <c r="T56" s="5">
        <f t="shared" si="11"/>
        <v>27.3</v>
      </c>
      <c r="U56" s="5">
        <f t="shared" si="12"/>
        <v>27.53</v>
      </c>
      <c r="V56" s="5">
        <f t="shared" si="13"/>
        <v>27.3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683</v>
      </c>
      <c r="D57" s="3" t="s">
        <v>1692</v>
      </c>
      <c r="E57" s="3" t="s">
        <v>1008</v>
      </c>
      <c r="F57" s="3" t="s">
        <v>1946</v>
      </c>
      <c r="G57" s="3" t="s">
        <v>1693</v>
      </c>
      <c r="H57" s="51">
        <v>41696</v>
      </c>
      <c r="J57" s="3">
        <f t="shared" si="7"/>
        <v>25.29</v>
      </c>
      <c r="K57" s="3">
        <f t="shared" si="7"/>
        <v>25.39</v>
      </c>
      <c r="L57" s="3">
        <f t="shared" si="7"/>
        <v>25.76</v>
      </c>
      <c r="M57" s="3">
        <f t="shared" si="7"/>
        <v>24.72</v>
      </c>
      <c r="P57" s="10" t="s">
        <v>682</v>
      </c>
      <c r="Q57" s="10" t="str">
        <f t="shared" si="8"/>
        <v xml:space="preserve">FIBRIA      -ON  </v>
      </c>
      <c r="R57" s="51">
        <f t="shared" si="9"/>
        <v>41696</v>
      </c>
      <c r="S57" s="5">
        <f t="shared" si="10"/>
        <v>25.29</v>
      </c>
      <c r="T57" s="5">
        <f t="shared" si="11"/>
        <v>25.39</v>
      </c>
      <c r="U57" s="5">
        <f t="shared" si="12"/>
        <v>25.76</v>
      </c>
      <c r="V57" s="5">
        <f t="shared" si="13"/>
        <v>24.72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685</v>
      </c>
      <c r="D58" s="3" t="s">
        <v>1453</v>
      </c>
      <c r="E58" s="3" t="s">
        <v>1947</v>
      </c>
      <c r="F58" s="3" t="s">
        <v>1694</v>
      </c>
      <c r="G58" s="3" t="s">
        <v>1948</v>
      </c>
      <c r="H58" s="51">
        <v>41696</v>
      </c>
      <c r="J58" s="3">
        <f t="shared" si="7"/>
        <v>58</v>
      </c>
      <c r="K58" s="3">
        <f t="shared" si="7"/>
        <v>58.05</v>
      </c>
      <c r="L58" s="3">
        <f t="shared" si="7"/>
        <v>59.1</v>
      </c>
      <c r="M58" s="3">
        <f t="shared" si="7"/>
        <v>57.72</v>
      </c>
      <c r="P58" s="14" t="s">
        <v>684</v>
      </c>
      <c r="Q58" s="10" t="str">
        <f t="shared" si="8"/>
        <v xml:space="preserve">KLABIN S/A  -UNT </v>
      </c>
      <c r="R58" s="51">
        <f t="shared" si="9"/>
        <v>41696</v>
      </c>
      <c r="S58" s="5">
        <f t="shared" si="10"/>
        <v>58</v>
      </c>
      <c r="T58" s="5">
        <f t="shared" si="11"/>
        <v>58.05</v>
      </c>
      <c r="U58" s="5">
        <f t="shared" si="12"/>
        <v>59.1</v>
      </c>
      <c r="V58" s="5">
        <f t="shared" si="13"/>
        <v>57.72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687</v>
      </c>
      <c r="D59" s="3" t="s">
        <v>435</v>
      </c>
      <c r="E59" s="61" t="s">
        <v>189</v>
      </c>
      <c r="F59" s="61" t="s">
        <v>189</v>
      </c>
      <c r="G59" s="61" t="s">
        <v>189</v>
      </c>
      <c r="H59" s="51">
        <v>41696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686</v>
      </c>
      <c r="Q59" s="10" t="str">
        <f t="shared" si="8"/>
        <v xml:space="preserve">SUZANO PAPEL-ON  </v>
      </c>
      <c r="R59" s="46">
        <f t="shared" si="9"/>
        <v>41696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689</v>
      </c>
      <c r="D60" s="3" t="s">
        <v>435</v>
      </c>
      <c r="E60" s="61" t="s">
        <v>690</v>
      </c>
      <c r="F60" s="61" t="s">
        <v>690</v>
      </c>
      <c r="G60" s="61" t="s">
        <v>690</v>
      </c>
      <c r="H60" s="51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688</v>
      </c>
      <c r="Q60" s="10" t="str">
        <f t="shared" si="8"/>
        <v xml:space="preserve">EUCATEX     -ON  </v>
      </c>
      <c r="R60" s="51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694</v>
      </c>
      <c r="D61" s="3" t="s">
        <v>671</v>
      </c>
      <c r="E61" s="3" t="s">
        <v>671</v>
      </c>
      <c r="F61" s="3" t="s">
        <v>671</v>
      </c>
      <c r="G61" s="3" t="s">
        <v>671</v>
      </c>
      <c r="H61" s="51">
        <v>41667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692</v>
      </c>
      <c r="Q61" s="10" t="str">
        <f t="shared" si="8"/>
        <v>METAL IGUACU-ON</v>
      </c>
      <c r="R61" s="51">
        <f t="shared" si="9"/>
        <v>41667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695</v>
      </c>
      <c r="D62" s="3" t="s">
        <v>777</v>
      </c>
      <c r="E62" s="3" t="s">
        <v>565</v>
      </c>
      <c r="F62" s="3" t="s">
        <v>565</v>
      </c>
      <c r="G62" s="3" t="s">
        <v>777</v>
      </c>
      <c r="H62" s="51">
        <v>41696</v>
      </c>
      <c r="J62" s="3">
        <f t="shared" si="7"/>
        <v>0.1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693</v>
      </c>
      <c r="Q62" s="10" t="str">
        <f t="shared" si="8"/>
        <v>METAL IGUACU-PN</v>
      </c>
      <c r="R62" s="51">
        <f t="shared" si="9"/>
        <v>41696</v>
      </c>
      <c r="S62" s="5">
        <f t="shared" si="10"/>
        <v>0.1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850</v>
      </c>
      <c r="D63" s="3" t="s">
        <v>435</v>
      </c>
      <c r="E63" s="3" t="s">
        <v>400</v>
      </c>
      <c r="F63" s="3" t="s">
        <v>400</v>
      </c>
      <c r="G63" s="3" t="s">
        <v>400</v>
      </c>
      <c r="H63" s="51">
        <v>41263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847</v>
      </c>
      <c r="Q63" s="10" t="str">
        <f t="shared" si="8"/>
        <v>CAF BRASILIA-PN *</v>
      </c>
      <c r="R63" s="51">
        <f t="shared" si="9"/>
        <v>41263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699</v>
      </c>
      <c r="D64" s="3" t="s">
        <v>127</v>
      </c>
      <c r="E64" s="3" t="s">
        <v>127</v>
      </c>
      <c r="F64" s="3" t="s">
        <v>127</v>
      </c>
      <c r="G64" s="3" t="s">
        <v>127</v>
      </c>
      <c r="H64" s="51">
        <v>41696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696</v>
      </c>
      <c r="Q64" s="10" t="str">
        <f t="shared" si="8"/>
        <v>PAR AL BAHIA-ON</v>
      </c>
      <c r="R64" s="51">
        <f t="shared" si="9"/>
        <v>41696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700</v>
      </c>
      <c r="D65" s="3" t="s">
        <v>127</v>
      </c>
      <c r="E65" s="3" t="s">
        <v>127</v>
      </c>
      <c r="F65" s="3" t="s">
        <v>127</v>
      </c>
      <c r="G65" s="3" t="s">
        <v>127</v>
      </c>
      <c r="H65" s="51">
        <v>41688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697</v>
      </c>
      <c r="Q65" s="10" t="str">
        <f t="shared" si="8"/>
        <v>PAR AL BAHIA-PN</v>
      </c>
      <c r="R65" s="51">
        <f t="shared" si="9"/>
        <v>41688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703</v>
      </c>
      <c r="D66" s="3" t="s">
        <v>435</v>
      </c>
      <c r="E66" s="3" t="s">
        <v>436</v>
      </c>
      <c r="F66" s="3" t="s">
        <v>435</v>
      </c>
      <c r="G66" s="3" t="s">
        <v>435</v>
      </c>
      <c r="H66" s="51" t="s">
        <v>435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701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704</v>
      </c>
      <c r="D67" s="3" t="s">
        <v>435</v>
      </c>
      <c r="E67" s="3" t="s">
        <v>436</v>
      </c>
      <c r="F67" s="3" t="s">
        <v>435</v>
      </c>
      <c r="G67" s="3" t="s">
        <v>435</v>
      </c>
      <c r="H67" s="51" t="s">
        <v>435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702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707</v>
      </c>
      <c r="D68" s="3" t="s">
        <v>1019</v>
      </c>
      <c r="E68" s="3" t="s">
        <v>933</v>
      </c>
      <c r="F68" s="3" t="s">
        <v>933</v>
      </c>
      <c r="G68" s="3" t="s">
        <v>1019</v>
      </c>
      <c r="H68" s="51">
        <v>41691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705</v>
      </c>
      <c r="Q68" s="10" t="str">
        <f t="shared" si="8"/>
        <v>BATTISTELLA -ON</v>
      </c>
      <c r="R68" s="51">
        <f t="shared" si="9"/>
        <v>41691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708</v>
      </c>
      <c r="D69" s="3" t="s">
        <v>934</v>
      </c>
      <c r="E69" s="3" t="s">
        <v>934</v>
      </c>
      <c r="F69" s="3" t="s">
        <v>934</v>
      </c>
      <c r="G69" s="3" t="s">
        <v>934</v>
      </c>
      <c r="H69" s="51">
        <v>41694</v>
      </c>
      <c r="J69" s="3">
        <f t="shared" si="7"/>
        <v>0.82</v>
      </c>
      <c r="K69" s="3">
        <f t="shared" si="7"/>
        <v>0.82</v>
      </c>
      <c r="L69" s="3">
        <f t="shared" si="7"/>
        <v>0.82</v>
      </c>
      <c r="M69" s="3">
        <f t="shared" si="7"/>
        <v>0.82</v>
      </c>
      <c r="P69" s="14" t="s">
        <v>706</v>
      </c>
      <c r="Q69" s="10" t="str">
        <f t="shared" si="8"/>
        <v>BATTISTELLA -PN</v>
      </c>
      <c r="R69" s="51">
        <f t="shared" si="9"/>
        <v>41694</v>
      </c>
      <c r="S69" s="5">
        <f t="shared" si="10"/>
        <v>0.82</v>
      </c>
      <c r="T69" s="5">
        <f t="shared" si="11"/>
        <v>0.82</v>
      </c>
      <c r="U69" s="5">
        <f t="shared" si="12"/>
        <v>0.82</v>
      </c>
      <c r="V69" s="5">
        <f t="shared" si="13"/>
        <v>0.82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711</v>
      </c>
      <c r="D70" s="3" t="s">
        <v>435</v>
      </c>
      <c r="E70" s="3" t="s">
        <v>436</v>
      </c>
      <c r="F70" s="3" t="s">
        <v>435</v>
      </c>
      <c r="G70" s="3" t="s">
        <v>435</v>
      </c>
      <c r="H70" s="51" t="s">
        <v>435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709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712</v>
      </c>
      <c r="D71" s="3" t="s">
        <v>435</v>
      </c>
      <c r="E71" s="3" t="s">
        <v>436</v>
      </c>
      <c r="F71" s="3" t="s">
        <v>435</v>
      </c>
      <c r="G71" s="3" t="s">
        <v>435</v>
      </c>
      <c r="H71" s="51" t="s">
        <v>435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710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715</v>
      </c>
      <c r="D72" s="3" t="s">
        <v>136</v>
      </c>
      <c r="E72" s="3" t="s">
        <v>136</v>
      </c>
      <c r="F72" s="3" t="s">
        <v>136</v>
      </c>
      <c r="G72" s="3" t="s">
        <v>136</v>
      </c>
      <c r="H72" s="51">
        <v>41670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713</v>
      </c>
      <c r="Q72" s="10" t="str">
        <f t="shared" si="14"/>
        <v>DOCAS       -ON</v>
      </c>
      <c r="R72" s="51">
        <f t="shared" si="15"/>
        <v>41670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716</v>
      </c>
      <c r="D73" s="3" t="s">
        <v>717</v>
      </c>
      <c r="E73" s="3" t="s">
        <v>717</v>
      </c>
      <c r="F73" s="3" t="s">
        <v>717</v>
      </c>
      <c r="G73" s="3" t="s">
        <v>717</v>
      </c>
      <c r="H73" s="51">
        <v>41642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714</v>
      </c>
      <c r="Q73" s="10" t="str">
        <f t="shared" si="14"/>
        <v>DOCAS       -PN</v>
      </c>
      <c r="R73" s="51">
        <f t="shared" si="15"/>
        <v>41642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720</v>
      </c>
      <c r="D74" s="3" t="s">
        <v>1949</v>
      </c>
      <c r="E74" s="3" t="s">
        <v>1949</v>
      </c>
      <c r="F74" s="3" t="s">
        <v>1949</v>
      </c>
      <c r="G74" s="3" t="s">
        <v>1949</v>
      </c>
      <c r="H74" s="51">
        <v>41696</v>
      </c>
      <c r="J74" s="3">
        <f t="shared" si="20"/>
        <v>0.26</v>
      </c>
      <c r="K74" s="3">
        <f t="shared" si="20"/>
        <v>0.26</v>
      </c>
      <c r="L74" s="3">
        <f t="shared" si="20"/>
        <v>0.26</v>
      </c>
      <c r="M74" s="3">
        <f t="shared" si="20"/>
        <v>0.26</v>
      </c>
      <c r="P74" s="14" t="s">
        <v>718</v>
      </c>
      <c r="Q74" s="10" t="str">
        <f t="shared" si="14"/>
        <v>J B DUARTE  -ON</v>
      </c>
      <c r="R74" s="51">
        <f t="shared" si="15"/>
        <v>41696</v>
      </c>
      <c r="S74" s="5">
        <f t="shared" si="16"/>
        <v>0.26</v>
      </c>
      <c r="T74" s="5">
        <f t="shared" si="17"/>
        <v>0.26</v>
      </c>
      <c r="U74" s="5">
        <f t="shared" si="18"/>
        <v>0.26</v>
      </c>
      <c r="V74" s="5">
        <f t="shared" si="19"/>
        <v>0.26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721</v>
      </c>
      <c r="D75" s="3" t="s">
        <v>526</v>
      </c>
      <c r="E75" s="3" t="s">
        <v>737</v>
      </c>
      <c r="F75" s="3" t="s">
        <v>526</v>
      </c>
      <c r="G75" s="3" t="s">
        <v>1439</v>
      </c>
      <c r="H75" s="51">
        <v>41696</v>
      </c>
      <c r="J75" s="3">
        <f t="shared" si="20"/>
        <v>0.18</v>
      </c>
      <c r="K75" s="3">
        <f t="shared" si="20"/>
        <v>0.17</v>
      </c>
      <c r="L75" s="3">
        <f t="shared" si="20"/>
        <v>0.18</v>
      </c>
      <c r="M75" s="3">
        <f t="shared" si="20"/>
        <v>0.16</v>
      </c>
      <c r="P75" s="14" t="s">
        <v>719</v>
      </c>
      <c r="Q75" s="10" t="str">
        <f t="shared" si="14"/>
        <v>J B DUARTE  -PN</v>
      </c>
      <c r="R75" s="51">
        <f t="shared" si="15"/>
        <v>41696</v>
      </c>
      <c r="S75" s="5">
        <f t="shared" si="16"/>
        <v>0.18</v>
      </c>
      <c r="T75" s="5">
        <f t="shared" si="17"/>
        <v>0.17</v>
      </c>
      <c r="U75" s="5">
        <f t="shared" si="18"/>
        <v>0.18</v>
      </c>
      <c r="V75" s="5">
        <f t="shared" si="19"/>
        <v>0.16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730</v>
      </c>
      <c r="D76" s="3" t="s">
        <v>1695</v>
      </c>
      <c r="E76" s="3" t="s">
        <v>1950</v>
      </c>
      <c r="F76" s="3" t="s">
        <v>1696</v>
      </c>
      <c r="G76" s="3" t="s">
        <v>1951</v>
      </c>
      <c r="H76" s="51">
        <v>41696</v>
      </c>
      <c r="J76" s="3">
        <f t="shared" si="20"/>
        <v>8</v>
      </c>
      <c r="K76" s="3">
        <f t="shared" si="20"/>
        <v>7.97</v>
      </c>
      <c r="L76" s="3">
        <f t="shared" si="20"/>
        <v>8.02</v>
      </c>
      <c r="M76" s="3">
        <f t="shared" si="20"/>
        <v>7.9</v>
      </c>
      <c r="P76" s="14" t="s">
        <v>724</v>
      </c>
      <c r="Q76" s="10" t="str">
        <f t="shared" si="14"/>
        <v xml:space="preserve">BRASILAGRO  -ON  </v>
      </c>
      <c r="R76" s="51">
        <f t="shared" si="15"/>
        <v>41696</v>
      </c>
      <c r="S76" s="5">
        <f t="shared" si="16"/>
        <v>8</v>
      </c>
      <c r="T76" s="5">
        <f t="shared" si="17"/>
        <v>7.97</v>
      </c>
      <c r="U76" s="5">
        <f t="shared" si="18"/>
        <v>8.02</v>
      </c>
      <c r="V76" s="5">
        <f t="shared" si="19"/>
        <v>7.9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731</v>
      </c>
      <c r="D77" s="3" t="s">
        <v>435</v>
      </c>
      <c r="E77" s="3" t="s">
        <v>436</v>
      </c>
      <c r="F77" s="3" t="s">
        <v>435</v>
      </c>
      <c r="G77" s="3" t="s">
        <v>435</v>
      </c>
      <c r="H77" s="51" t="s">
        <v>435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725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732</v>
      </c>
      <c r="D78" s="3" t="s">
        <v>435</v>
      </c>
      <c r="E78" s="3" t="s">
        <v>733</v>
      </c>
      <c r="F78" s="3" t="s">
        <v>733</v>
      </c>
      <c r="G78" s="3" t="s">
        <v>733</v>
      </c>
      <c r="H78" s="51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726</v>
      </c>
      <c r="Q78" s="10" t="str">
        <f t="shared" si="14"/>
        <v>COR RIBEIRO -PN</v>
      </c>
      <c r="R78" s="51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739</v>
      </c>
      <c r="D79" s="3" t="s">
        <v>1387</v>
      </c>
      <c r="E79" s="3" t="s">
        <v>1457</v>
      </c>
      <c r="F79" s="3" t="s">
        <v>1952</v>
      </c>
      <c r="G79" s="3" t="s">
        <v>1387</v>
      </c>
      <c r="H79" s="51">
        <v>41696</v>
      </c>
      <c r="J79" s="3">
        <f t="shared" si="20"/>
        <v>7.05</v>
      </c>
      <c r="K79" s="3">
        <f t="shared" si="20"/>
        <v>7.26</v>
      </c>
      <c r="L79" s="3">
        <f t="shared" si="20"/>
        <v>7.32</v>
      </c>
      <c r="M79" s="3">
        <f t="shared" si="20"/>
        <v>7.05</v>
      </c>
      <c r="P79" s="15" t="s">
        <v>738</v>
      </c>
      <c r="Q79" s="10" t="str">
        <f t="shared" si="14"/>
        <v xml:space="preserve">GENERALSHOPP-ON  </v>
      </c>
      <c r="R79" s="51">
        <f t="shared" si="15"/>
        <v>41696</v>
      </c>
      <c r="S79" s="5">
        <f t="shared" si="16"/>
        <v>7.05</v>
      </c>
      <c r="T79" s="5">
        <f t="shared" si="17"/>
        <v>7.26</v>
      </c>
      <c r="U79" s="5">
        <f t="shared" si="18"/>
        <v>7.32</v>
      </c>
      <c r="V79" s="5">
        <f t="shared" si="19"/>
        <v>7.05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741</v>
      </c>
      <c r="D80" s="3" t="s">
        <v>435</v>
      </c>
      <c r="E80" s="3" t="s">
        <v>436</v>
      </c>
      <c r="F80" s="3" t="s">
        <v>435</v>
      </c>
      <c r="G80" s="3" t="s">
        <v>435</v>
      </c>
      <c r="H80" s="51" t="s">
        <v>435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740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744</v>
      </c>
      <c r="D81" s="3" t="s">
        <v>1697</v>
      </c>
      <c r="E81" s="3" t="s">
        <v>1953</v>
      </c>
      <c r="F81" s="3" t="s">
        <v>1697</v>
      </c>
      <c r="G81" s="3" t="s">
        <v>1954</v>
      </c>
      <c r="H81" s="51">
        <v>41696</v>
      </c>
      <c r="J81" s="3">
        <f t="shared" si="20"/>
        <v>3.4</v>
      </c>
      <c r="K81" s="3">
        <f t="shared" si="20"/>
        <v>3.38</v>
      </c>
      <c r="L81" s="3">
        <f t="shared" si="20"/>
        <v>3.4</v>
      </c>
      <c r="M81" s="3">
        <f t="shared" si="20"/>
        <v>3.31</v>
      </c>
      <c r="P81" s="14" t="s">
        <v>742</v>
      </c>
      <c r="Q81" s="10" t="str">
        <f t="shared" si="14"/>
        <v xml:space="preserve">TEMPO PART  -ON  </v>
      </c>
      <c r="R81" s="51">
        <f t="shared" si="15"/>
        <v>41696</v>
      </c>
      <c r="S81" s="5">
        <f t="shared" si="16"/>
        <v>3.4</v>
      </c>
      <c r="T81" s="5">
        <f t="shared" si="17"/>
        <v>3.38</v>
      </c>
      <c r="U81" s="5">
        <f t="shared" si="18"/>
        <v>3.4</v>
      </c>
      <c r="V81" s="5">
        <f t="shared" si="19"/>
        <v>3.31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746</v>
      </c>
      <c r="D82" s="3" t="s">
        <v>1431</v>
      </c>
      <c r="E82" s="3" t="s">
        <v>1405</v>
      </c>
      <c r="F82" s="3" t="s">
        <v>1955</v>
      </c>
      <c r="G82" s="3" t="s">
        <v>1431</v>
      </c>
      <c r="H82" s="51">
        <v>41696</v>
      </c>
      <c r="J82" s="3">
        <f t="shared" si="20"/>
        <v>15.04</v>
      </c>
      <c r="K82" s="3">
        <f t="shared" si="20"/>
        <v>15.05</v>
      </c>
      <c r="L82" s="3">
        <f t="shared" si="20"/>
        <v>15.08</v>
      </c>
      <c r="M82" s="3">
        <f t="shared" si="20"/>
        <v>15.04</v>
      </c>
      <c r="P82" s="14" t="s">
        <v>745</v>
      </c>
      <c r="Q82" s="10" t="str">
        <f t="shared" si="14"/>
        <v xml:space="preserve">DASA        -ON  </v>
      </c>
      <c r="R82" s="51">
        <f t="shared" si="15"/>
        <v>41696</v>
      </c>
      <c r="S82" s="5">
        <f t="shared" si="16"/>
        <v>15.04</v>
      </c>
      <c r="T82" s="5">
        <f t="shared" si="17"/>
        <v>15.05</v>
      </c>
      <c r="U82" s="5">
        <f t="shared" si="18"/>
        <v>15.08</v>
      </c>
      <c r="V82" s="5">
        <f t="shared" si="19"/>
        <v>15.04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748</v>
      </c>
      <c r="D83" s="3" t="s">
        <v>1698</v>
      </c>
      <c r="E83" s="3" t="s">
        <v>1956</v>
      </c>
      <c r="F83" s="3" t="s">
        <v>1699</v>
      </c>
      <c r="G83" s="3" t="s">
        <v>1957</v>
      </c>
      <c r="H83" s="51">
        <v>41696</v>
      </c>
      <c r="J83" s="3">
        <f t="shared" si="20"/>
        <v>19.600000000000001</v>
      </c>
      <c r="K83" s="3">
        <f t="shared" si="20"/>
        <v>19.8</v>
      </c>
      <c r="L83" s="3">
        <f t="shared" si="20"/>
        <v>19.97</v>
      </c>
      <c r="M83" s="3">
        <f t="shared" si="20"/>
        <v>19.37</v>
      </c>
      <c r="P83" s="14" t="s">
        <v>747</v>
      </c>
      <c r="Q83" s="10" t="str">
        <f t="shared" si="14"/>
        <v xml:space="preserve">FLEURY      -ON  </v>
      </c>
      <c r="R83" s="46">
        <f t="shared" si="15"/>
        <v>41696</v>
      </c>
      <c r="S83" s="6">
        <f t="shared" si="16"/>
        <v>19.600000000000001</v>
      </c>
      <c r="T83" s="6">
        <f t="shared" si="17"/>
        <v>19.8</v>
      </c>
      <c r="U83" s="6">
        <f t="shared" si="18"/>
        <v>19.97</v>
      </c>
      <c r="V83" s="6">
        <f t="shared" si="19"/>
        <v>19.37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750</v>
      </c>
      <c r="D84" s="3" t="s">
        <v>106</v>
      </c>
      <c r="E84" s="3" t="s">
        <v>1450</v>
      </c>
      <c r="F84" s="3" t="s">
        <v>1456</v>
      </c>
      <c r="G84" s="3" t="s">
        <v>1451</v>
      </c>
      <c r="H84" s="51">
        <v>41696</v>
      </c>
      <c r="J84" s="3">
        <f t="shared" si="20"/>
        <v>9</v>
      </c>
      <c r="K84" s="3">
        <f t="shared" si="20"/>
        <v>8.8000000000000007</v>
      </c>
      <c r="L84" s="3">
        <f t="shared" si="20"/>
        <v>9.0299999999999994</v>
      </c>
      <c r="M84" s="3">
        <f t="shared" si="20"/>
        <v>8.73</v>
      </c>
      <c r="P84" s="43" t="s">
        <v>749</v>
      </c>
      <c r="Q84" s="10" t="str">
        <f t="shared" si="14"/>
        <v xml:space="preserve">ODONTOPREV  -ON  </v>
      </c>
      <c r="R84" s="51">
        <f t="shared" si="15"/>
        <v>41696</v>
      </c>
      <c r="S84" s="5">
        <f t="shared" si="16"/>
        <v>9</v>
      </c>
      <c r="T84" s="5">
        <f t="shared" si="17"/>
        <v>8.8000000000000007</v>
      </c>
      <c r="U84" s="5">
        <f t="shared" si="18"/>
        <v>9.0299999999999994</v>
      </c>
      <c r="V84" s="5">
        <f t="shared" si="19"/>
        <v>8.73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752</v>
      </c>
      <c r="D85" s="3" t="s">
        <v>1461</v>
      </c>
      <c r="E85" s="3" t="s">
        <v>1958</v>
      </c>
      <c r="F85" s="3" t="s">
        <v>1700</v>
      </c>
      <c r="G85" s="3" t="s">
        <v>1623</v>
      </c>
      <c r="H85" s="51">
        <v>41696</v>
      </c>
      <c r="J85" s="3">
        <f t="shared" si="20"/>
        <v>20.87</v>
      </c>
      <c r="K85" s="3">
        <f t="shared" si="20"/>
        <v>20.74</v>
      </c>
      <c r="L85" s="3">
        <f t="shared" si="20"/>
        <v>21.06</v>
      </c>
      <c r="M85" s="3">
        <f t="shared" si="20"/>
        <v>20.65</v>
      </c>
      <c r="P85" s="15" t="s">
        <v>751</v>
      </c>
      <c r="Q85" s="10" t="str">
        <f t="shared" si="14"/>
        <v xml:space="preserve">QUALICORP   -ON  </v>
      </c>
      <c r="R85" s="51">
        <f t="shared" si="15"/>
        <v>41696</v>
      </c>
      <c r="S85" s="5">
        <f t="shared" si="16"/>
        <v>20.87</v>
      </c>
      <c r="T85" s="5">
        <f t="shared" si="17"/>
        <v>20.74</v>
      </c>
      <c r="U85" s="5">
        <f t="shared" si="18"/>
        <v>21.06</v>
      </c>
      <c r="V85" s="5">
        <f t="shared" si="19"/>
        <v>20.65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754</v>
      </c>
      <c r="D86" s="3" t="s">
        <v>338</v>
      </c>
      <c r="E86" s="3" t="s">
        <v>786</v>
      </c>
      <c r="F86" s="3" t="s">
        <v>786</v>
      </c>
      <c r="G86" s="3" t="s">
        <v>338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753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756</v>
      </c>
      <c r="D87" s="3" t="s">
        <v>1701</v>
      </c>
      <c r="E87" s="3" t="s">
        <v>1474</v>
      </c>
      <c r="F87" s="3" t="s">
        <v>1474</v>
      </c>
      <c r="G87" s="3" t="s">
        <v>1701</v>
      </c>
      <c r="H87" s="51">
        <v>41696</v>
      </c>
      <c r="J87" s="3">
        <f t="shared" si="20"/>
        <v>12.57</v>
      </c>
      <c r="K87" s="3">
        <f t="shared" si="20"/>
        <v>12.8</v>
      </c>
      <c r="L87" s="3">
        <f t="shared" si="20"/>
        <v>12.8</v>
      </c>
      <c r="M87" s="3">
        <f t="shared" si="20"/>
        <v>12.57</v>
      </c>
      <c r="P87" s="15" t="s">
        <v>755</v>
      </c>
      <c r="Q87" s="10" t="str">
        <f t="shared" si="14"/>
        <v xml:space="preserve">CREMER      -ON  </v>
      </c>
      <c r="R87" s="51">
        <f t="shared" si="15"/>
        <v>41696</v>
      </c>
      <c r="S87" s="5">
        <f t="shared" si="16"/>
        <v>12.57</v>
      </c>
      <c r="T87" s="5">
        <f t="shared" si="17"/>
        <v>12.8</v>
      </c>
      <c r="U87" s="5">
        <f t="shared" si="18"/>
        <v>12.8</v>
      </c>
      <c r="V87" s="5">
        <f t="shared" si="19"/>
        <v>12.57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793</v>
      </c>
      <c r="D88" s="3" t="s">
        <v>1702</v>
      </c>
      <c r="E88" s="3" t="s">
        <v>1959</v>
      </c>
      <c r="F88" s="3" t="s">
        <v>1960</v>
      </c>
      <c r="G88" s="3" t="s">
        <v>1703</v>
      </c>
      <c r="H88" s="51">
        <v>41696</v>
      </c>
      <c r="J88" s="3">
        <f t="shared" si="20"/>
        <v>34.549999999999997</v>
      </c>
      <c r="K88" s="3">
        <f t="shared" si="20"/>
        <v>34.65</v>
      </c>
      <c r="L88" s="3">
        <f t="shared" si="20"/>
        <v>35.340000000000003</v>
      </c>
      <c r="M88" s="3">
        <f t="shared" si="20"/>
        <v>34.450000000000003</v>
      </c>
      <c r="P88" s="15" t="s">
        <v>791</v>
      </c>
      <c r="Q88" s="10" t="str">
        <f t="shared" si="14"/>
        <v xml:space="preserve">NATURA      -ON  </v>
      </c>
      <c r="R88" s="51">
        <f t="shared" si="15"/>
        <v>41696</v>
      </c>
      <c r="S88" s="5">
        <f t="shared" si="16"/>
        <v>34.549999999999997</v>
      </c>
      <c r="T88" s="5">
        <f t="shared" si="17"/>
        <v>34.65</v>
      </c>
      <c r="U88" s="5">
        <f t="shared" si="18"/>
        <v>35.340000000000003</v>
      </c>
      <c r="V88" s="5">
        <f t="shared" si="19"/>
        <v>34.450000000000003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797</v>
      </c>
      <c r="D89" s="3" t="s">
        <v>435</v>
      </c>
      <c r="E89" s="3" t="s">
        <v>436</v>
      </c>
      <c r="F89" s="3" t="s">
        <v>435</v>
      </c>
      <c r="G89" s="3" t="s">
        <v>435</v>
      </c>
      <c r="H89" s="51" t="s">
        <v>435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795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798</v>
      </c>
      <c r="D90" s="3" t="s">
        <v>1704</v>
      </c>
      <c r="E90" s="3" t="s">
        <v>1961</v>
      </c>
      <c r="F90" s="3" t="s">
        <v>1961</v>
      </c>
      <c r="G90" s="3" t="s">
        <v>1704</v>
      </c>
      <c r="H90" s="51">
        <v>41696</v>
      </c>
      <c r="J90" s="3">
        <f t="shared" si="20"/>
        <v>5.9</v>
      </c>
      <c r="K90" s="3">
        <f t="shared" si="20"/>
        <v>6</v>
      </c>
      <c r="L90" s="3">
        <f t="shared" si="20"/>
        <v>6</v>
      </c>
      <c r="M90" s="3">
        <f t="shared" si="20"/>
        <v>5.9</v>
      </c>
      <c r="P90" s="10" t="s">
        <v>796</v>
      </c>
      <c r="Q90" s="10" t="str">
        <f t="shared" si="14"/>
        <v>BOMBRIL     -PN</v>
      </c>
      <c r="R90" s="51">
        <f t="shared" si="15"/>
        <v>41696</v>
      </c>
      <c r="S90" s="5">
        <f t="shared" si="16"/>
        <v>5.9</v>
      </c>
      <c r="T90" s="5">
        <f t="shared" si="17"/>
        <v>6</v>
      </c>
      <c r="U90" s="5">
        <f t="shared" si="18"/>
        <v>6</v>
      </c>
      <c r="V90" s="5">
        <f t="shared" si="19"/>
        <v>5.9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801</v>
      </c>
      <c r="D91" s="3" t="s">
        <v>1705</v>
      </c>
      <c r="E91" s="3" t="s">
        <v>1962</v>
      </c>
      <c r="F91" s="3" t="s">
        <v>1963</v>
      </c>
      <c r="G91" s="3" t="s">
        <v>1510</v>
      </c>
      <c r="H91" s="51">
        <v>41696</v>
      </c>
      <c r="J91" s="3">
        <f t="shared" si="20"/>
        <v>19.62</v>
      </c>
      <c r="K91" s="3">
        <f t="shared" si="20"/>
        <v>19.72</v>
      </c>
      <c r="L91" s="3">
        <f t="shared" si="20"/>
        <v>19.89</v>
      </c>
      <c r="M91" s="3">
        <f t="shared" si="20"/>
        <v>19.41</v>
      </c>
      <c r="P91" s="10" t="s">
        <v>799</v>
      </c>
      <c r="Q91" s="10" t="str">
        <f t="shared" si="14"/>
        <v>SOUZA CRUZ  -ON</v>
      </c>
      <c r="R91" s="51">
        <f t="shared" si="15"/>
        <v>41696</v>
      </c>
      <c r="S91" s="5">
        <f t="shared" si="16"/>
        <v>19.62</v>
      </c>
      <c r="T91" s="5">
        <f t="shared" si="17"/>
        <v>19.72</v>
      </c>
      <c r="U91" s="5">
        <f t="shared" si="18"/>
        <v>19.89</v>
      </c>
      <c r="V91" s="5">
        <f t="shared" si="19"/>
        <v>19.41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805</v>
      </c>
      <c r="D92" s="3" t="s">
        <v>1706</v>
      </c>
      <c r="E92" s="3" t="s">
        <v>1964</v>
      </c>
      <c r="F92" s="3" t="s">
        <v>1965</v>
      </c>
      <c r="G92" s="3" t="s">
        <v>1707</v>
      </c>
      <c r="H92" s="51">
        <v>41696</v>
      </c>
      <c r="J92" s="3">
        <f t="shared" si="20"/>
        <v>12.39</v>
      </c>
      <c r="K92" s="3">
        <f t="shared" si="20"/>
        <v>12.65</v>
      </c>
      <c r="L92" s="3">
        <f t="shared" si="20"/>
        <v>12.84</v>
      </c>
      <c r="M92" s="3">
        <f t="shared" si="20"/>
        <v>12.37</v>
      </c>
      <c r="P92" s="16" t="s">
        <v>803</v>
      </c>
      <c r="Q92" s="10" t="str">
        <f t="shared" si="14"/>
        <v>LOJAS AMERIC-ON</v>
      </c>
      <c r="R92" s="51">
        <f t="shared" si="15"/>
        <v>41696</v>
      </c>
      <c r="S92" s="5">
        <f t="shared" si="16"/>
        <v>12.39</v>
      </c>
      <c r="T92" s="5">
        <f t="shared" si="17"/>
        <v>12.65</v>
      </c>
      <c r="U92" s="5">
        <f t="shared" si="18"/>
        <v>12.84</v>
      </c>
      <c r="V92" s="5">
        <f t="shared" si="19"/>
        <v>12.37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806</v>
      </c>
      <c r="D93" s="3" t="s">
        <v>1708</v>
      </c>
      <c r="E93" s="3" t="s">
        <v>1966</v>
      </c>
      <c r="F93" s="3" t="s">
        <v>1427</v>
      </c>
      <c r="G93" s="3" t="s">
        <v>1709</v>
      </c>
      <c r="H93" s="51">
        <v>41696</v>
      </c>
      <c r="J93" s="3">
        <f t="shared" si="20"/>
        <v>14.08</v>
      </c>
      <c r="K93" s="3">
        <f t="shared" si="20"/>
        <v>14.47</v>
      </c>
      <c r="L93" s="3">
        <f t="shared" si="20"/>
        <v>14.67</v>
      </c>
      <c r="M93" s="3">
        <f t="shared" si="20"/>
        <v>14.06</v>
      </c>
      <c r="P93" s="16" t="s">
        <v>804</v>
      </c>
      <c r="Q93" s="10" t="str">
        <f t="shared" si="14"/>
        <v>LOJAS AMERIC-PN</v>
      </c>
      <c r="R93" s="51">
        <f t="shared" si="15"/>
        <v>41696</v>
      </c>
      <c r="S93" s="5">
        <f t="shared" si="16"/>
        <v>14.08</v>
      </c>
      <c r="T93" s="5">
        <f t="shared" si="17"/>
        <v>14.47</v>
      </c>
      <c r="U93" s="5">
        <f t="shared" si="18"/>
        <v>14.67</v>
      </c>
      <c r="V93" s="5">
        <f t="shared" si="19"/>
        <v>14.06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808</v>
      </c>
      <c r="D94" s="3" t="s">
        <v>1710</v>
      </c>
      <c r="E94" s="3" t="s">
        <v>1967</v>
      </c>
      <c r="F94" s="3" t="s">
        <v>1711</v>
      </c>
      <c r="G94" s="3" t="s">
        <v>1536</v>
      </c>
      <c r="H94" s="51">
        <v>41696</v>
      </c>
      <c r="J94" s="3">
        <f t="shared" si="20"/>
        <v>22.98</v>
      </c>
      <c r="K94" s="3">
        <f t="shared" si="20"/>
        <v>22.73</v>
      </c>
      <c r="L94" s="3">
        <f t="shared" si="20"/>
        <v>23.45</v>
      </c>
      <c r="M94" s="3">
        <f t="shared" si="20"/>
        <v>22.64</v>
      </c>
      <c r="P94" s="14" t="s">
        <v>807</v>
      </c>
      <c r="Q94" s="10" t="str">
        <f t="shared" si="14"/>
        <v xml:space="preserve">B2W DIGITAL -ON  </v>
      </c>
      <c r="R94" s="51">
        <f t="shared" si="15"/>
        <v>41696</v>
      </c>
      <c r="S94" s="5">
        <f t="shared" si="16"/>
        <v>22.98</v>
      </c>
      <c r="T94" s="5">
        <f t="shared" si="17"/>
        <v>22.73</v>
      </c>
      <c r="U94" s="5">
        <f t="shared" si="18"/>
        <v>23.45</v>
      </c>
      <c r="V94" s="5">
        <f t="shared" si="19"/>
        <v>22.64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810</v>
      </c>
      <c r="D95" s="3" t="s">
        <v>1486</v>
      </c>
      <c r="E95" s="3" t="s">
        <v>1968</v>
      </c>
      <c r="F95" s="3" t="s">
        <v>1969</v>
      </c>
      <c r="G95" s="3" t="s">
        <v>1427</v>
      </c>
      <c r="H95" s="51">
        <v>41696</v>
      </c>
      <c r="J95" s="3">
        <f t="shared" si="20"/>
        <v>14.78</v>
      </c>
      <c r="K95" s="3">
        <f t="shared" si="20"/>
        <v>14.95</v>
      </c>
      <c r="L95" s="3">
        <f t="shared" si="20"/>
        <v>15.21</v>
      </c>
      <c r="M95" s="3">
        <f t="shared" si="20"/>
        <v>14.67</v>
      </c>
      <c r="P95" s="14" t="s">
        <v>809</v>
      </c>
      <c r="Q95" s="10" t="str">
        <f t="shared" si="14"/>
        <v xml:space="preserve">HYPERMARCAS -ON  </v>
      </c>
      <c r="R95" s="51">
        <f t="shared" si="15"/>
        <v>41696</v>
      </c>
      <c r="S95" s="5">
        <f t="shared" si="16"/>
        <v>14.78</v>
      </c>
      <c r="T95" s="5">
        <f t="shared" si="17"/>
        <v>14.95</v>
      </c>
      <c r="U95" s="5">
        <f t="shared" si="18"/>
        <v>15.21</v>
      </c>
      <c r="V95" s="5">
        <f t="shared" si="19"/>
        <v>14.67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813</v>
      </c>
      <c r="D96" s="3" t="s">
        <v>1713</v>
      </c>
      <c r="E96" s="3" t="s">
        <v>1970</v>
      </c>
      <c r="F96" s="3" t="s">
        <v>1971</v>
      </c>
      <c r="G96" s="3" t="s">
        <v>1713</v>
      </c>
      <c r="H96" s="51">
        <v>41696</v>
      </c>
      <c r="J96" s="3">
        <f t="shared" si="20"/>
        <v>15.96</v>
      </c>
      <c r="K96" s="3">
        <f t="shared" si="20"/>
        <v>16.350000000000001</v>
      </c>
      <c r="L96" s="3">
        <f t="shared" si="20"/>
        <v>16.66</v>
      </c>
      <c r="M96" s="3">
        <f t="shared" si="20"/>
        <v>15.96</v>
      </c>
      <c r="P96" s="14" t="s">
        <v>811</v>
      </c>
      <c r="Q96" s="10" t="str">
        <f t="shared" si="14"/>
        <v xml:space="preserve">RAIADROGASIL-ON  </v>
      </c>
      <c r="R96" s="51">
        <f t="shared" si="15"/>
        <v>41696</v>
      </c>
      <c r="S96" s="5">
        <f t="shared" si="16"/>
        <v>15.96</v>
      </c>
      <c r="T96" s="5">
        <f t="shared" si="17"/>
        <v>16.350000000000001</v>
      </c>
      <c r="U96" s="5">
        <f t="shared" si="18"/>
        <v>16.66</v>
      </c>
      <c r="V96" s="5">
        <f t="shared" si="19"/>
        <v>15.96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815</v>
      </c>
      <c r="D97" s="3" t="s">
        <v>723</v>
      </c>
      <c r="E97" s="3" t="s">
        <v>1393</v>
      </c>
      <c r="F97" s="3" t="s">
        <v>1591</v>
      </c>
      <c r="G97" s="3" t="s">
        <v>1714</v>
      </c>
      <c r="H97" s="51">
        <v>41696</v>
      </c>
      <c r="J97" s="3">
        <f t="shared" si="20"/>
        <v>4.9000000000000004</v>
      </c>
      <c r="K97" s="3">
        <f t="shared" si="20"/>
        <v>5.25</v>
      </c>
      <c r="L97" s="3">
        <f t="shared" si="20"/>
        <v>5.26</v>
      </c>
      <c r="M97" s="3">
        <f t="shared" si="20"/>
        <v>4.88</v>
      </c>
      <c r="P97" s="15" t="s">
        <v>814</v>
      </c>
      <c r="Q97" s="10" t="str">
        <f t="shared" si="14"/>
        <v xml:space="preserve">BR PHARMA   -ON  </v>
      </c>
      <c r="R97" s="51">
        <f t="shared" si="15"/>
        <v>41696</v>
      </c>
      <c r="S97" s="5">
        <f t="shared" si="16"/>
        <v>4.9000000000000004</v>
      </c>
      <c r="T97" s="5">
        <f t="shared" si="17"/>
        <v>5.25</v>
      </c>
      <c r="U97" s="5">
        <f t="shared" si="18"/>
        <v>5.26</v>
      </c>
      <c r="V97" s="5">
        <f t="shared" si="19"/>
        <v>4.88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818</v>
      </c>
      <c r="D98" s="3" t="s">
        <v>1715</v>
      </c>
      <c r="E98" s="3" t="s">
        <v>1972</v>
      </c>
      <c r="F98" s="3" t="s">
        <v>1715</v>
      </c>
      <c r="G98" s="3" t="s">
        <v>1972</v>
      </c>
      <c r="H98" s="51">
        <v>41696</v>
      </c>
      <c r="J98" s="3">
        <f t="shared" si="20"/>
        <v>179.79</v>
      </c>
      <c r="K98" s="3">
        <f t="shared" si="20"/>
        <v>177</v>
      </c>
      <c r="L98" s="3">
        <f t="shared" si="20"/>
        <v>179.79</v>
      </c>
      <c r="M98" s="3">
        <f t="shared" si="20"/>
        <v>177</v>
      </c>
      <c r="P98" s="10" t="s">
        <v>816</v>
      </c>
      <c r="Q98" s="10" t="str">
        <f t="shared" si="14"/>
        <v>DIMED       -ON</v>
      </c>
      <c r="R98" s="51">
        <f t="shared" si="15"/>
        <v>41696</v>
      </c>
      <c r="S98" s="5">
        <f t="shared" si="16"/>
        <v>179.79</v>
      </c>
      <c r="T98" s="5">
        <f t="shared" si="17"/>
        <v>177</v>
      </c>
      <c r="U98" s="5">
        <f t="shared" si="18"/>
        <v>179.79</v>
      </c>
      <c r="V98" s="5">
        <f t="shared" si="19"/>
        <v>177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819</v>
      </c>
      <c r="D99" s="3" t="s">
        <v>1716</v>
      </c>
      <c r="E99" s="3" t="s">
        <v>1717</v>
      </c>
      <c r="F99" s="3" t="s">
        <v>1716</v>
      </c>
      <c r="G99" s="3" t="s">
        <v>1717</v>
      </c>
      <c r="H99" s="51">
        <v>41696</v>
      </c>
      <c r="J99" s="3">
        <f t="shared" si="20"/>
        <v>165</v>
      </c>
      <c r="K99" s="3">
        <f t="shared" si="20"/>
        <v>160</v>
      </c>
      <c r="L99" s="3">
        <f t="shared" si="20"/>
        <v>165</v>
      </c>
      <c r="M99" s="3">
        <f t="shared" si="20"/>
        <v>160</v>
      </c>
      <c r="P99" s="14" t="s">
        <v>817</v>
      </c>
      <c r="Q99" s="10" t="str">
        <f t="shared" si="14"/>
        <v>DIMED       -PN</v>
      </c>
      <c r="R99" s="51">
        <f t="shared" si="15"/>
        <v>41696</v>
      </c>
      <c r="S99" s="5">
        <f t="shared" si="16"/>
        <v>165</v>
      </c>
      <c r="T99" s="5">
        <f t="shared" si="17"/>
        <v>160</v>
      </c>
      <c r="U99" s="5">
        <f t="shared" si="18"/>
        <v>165</v>
      </c>
      <c r="V99" s="5">
        <f t="shared" si="19"/>
        <v>160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821</v>
      </c>
      <c r="D100" s="3" t="s">
        <v>1718</v>
      </c>
      <c r="E100" s="3" t="s">
        <v>1719</v>
      </c>
      <c r="F100" s="3" t="s">
        <v>1720</v>
      </c>
      <c r="G100" s="3" t="s">
        <v>1718</v>
      </c>
      <c r="H100" s="51">
        <v>41696</v>
      </c>
      <c r="J100" s="3">
        <f t="shared" si="20"/>
        <v>17.559999999999999</v>
      </c>
      <c r="K100" s="3">
        <f t="shared" si="20"/>
        <v>17.68</v>
      </c>
      <c r="L100" s="3">
        <f t="shared" si="20"/>
        <v>17.71</v>
      </c>
      <c r="M100" s="3">
        <f t="shared" si="20"/>
        <v>17.559999999999999</v>
      </c>
      <c r="P100" s="14" t="s">
        <v>820</v>
      </c>
      <c r="Q100" s="10" t="str">
        <f t="shared" si="14"/>
        <v xml:space="preserve">PROFARMA    -ON  </v>
      </c>
      <c r="R100" s="51">
        <f t="shared" si="15"/>
        <v>41696</v>
      </c>
      <c r="S100" s="5">
        <f t="shared" si="16"/>
        <v>17.559999999999999</v>
      </c>
      <c r="T100" s="5">
        <f t="shared" si="17"/>
        <v>17.68</v>
      </c>
      <c r="U100" s="5">
        <f t="shared" si="18"/>
        <v>17.71</v>
      </c>
      <c r="V100" s="5">
        <f t="shared" si="19"/>
        <v>17.559999999999999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825</v>
      </c>
      <c r="D101" s="3" t="s">
        <v>435</v>
      </c>
      <c r="E101" s="3" t="s">
        <v>826</v>
      </c>
      <c r="F101" s="3" t="s">
        <v>826</v>
      </c>
      <c r="G101" s="3" t="s">
        <v>826</v>
      </c>
      <c r="H101" s="51">
        <v>40245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823</v>
      </c>
      <c r="Q101" s="10" t="str">
        <f t="shared" si="14"/>
        <v xml:space="preserve">P.ACUCAR-CBD-ON  </v>
      </c>
      <c r="R101" s="51">
        <f t="shared" si="15"/>
        <v>40245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827</v>
      </c>
      <c r="D102" s="3" t="s">
        <v>1721</v>
      </c>
      <c r="E102" s="3" t="s">
        <v>1973</v>
      </c>
      <c r="F102" s="3" t="s">
        <v>1974</v>
      </c>
      <c r="G102" s="3" t="s">
        <v>1722</v>
      </c>
      <c r="H102" s="51">
        <v>41696</v>
      </c>
      <c r="J102" s="3">
        <f t="shared" si="20"/>
        <v>96.81</v>
      </c>
      <c r="K102" s="3">
        <f t="shared" si="20"/>
        <v>97.18</v>
      </c>
      <c r="L102" s="3">
        <f t="shared" si="20"/>
        <v>97.99</v>
      </c>
      <c r="M102" s="3">
        <f t="shared" si="20"/>
        <v>96.3</v>
      </c>
      <c r="P102" s="10" t="s">
        <v>824</v>
      </c>
      <c r="Q102" s="10" t="str">
        <f t="shared" si="14"/>
        <v xml:space="preserve">P.ACUCAR-CBD-PN  </v>
      </c>
      <c r="R102" s="51">
        <f t="shared" si="15"/>
        <v>41696</v>
      </c>
      <c r="S102" s="5">
        <f t="shared" si="16"/>
        <v>96.81</v>
      </c>
      <c r="T102" s="5">
        <f t="shared" si="17"/>
        <v>97.18</v>
      </c>
      <c r="U102" s="5">
        <f t="shared" si="18"/>
        <v>97.99</v>
      </c>
      <c r="V102" s="5">
        <f t="shared" si="19"/>
        <v>96.3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830</v>
      </c>
      <c r="D103" s="3" t="s">
        <v>1723</v>
      </c>
      <c r="E103" s="3" t="s">
        <v>1975</v>
      </c>
      <c r="F103" s="3" t="s">
        <v>1589</v>
      </c>
      <c r="G103" s="3" t="s">
        <v>1976</v>
      </c>
      <c r="H103" s="51">
        <v>41696</v>
      </c>
      <c r="J103" s="3">
        <f t="shared" si="20"/>
        <v>16.87</v>
      </c>
      <c r="K103" s="3">
        <f t="shared" si="20"/>
        <v>16.78</v>
      </c>
      <c r="L103" s="3">
        <f t="shared" si="20"/>
        <v>16.989999999999998</v>
      </c>
      <c r="M103" s="3">
        <f t="shared" si="20"/>
        <v>16.7</v>
      </c>
      <c r="P103" s="15" t="s">
        <v>829</v>
      </c>
      <c r="Q103" s="10" t="str">
        <f t="shared" ref="Q103:Q112" si="21">IF(A103="","",C103)</f>
        <v>AMBEV S/A   -ON</v>
      </c>
      <c r="R103" s="51">
        <f t="shared" ref="R103:R112" si="22">IF(A103="","",H103)</f>
        <v>41696</v>
      </c>
      <c r="S103" s="5">
        <f t="shared" ref="S103:S112" si="23">J103</f>
        <v>16.87</v>
      </c>
      <c r="T103" s="5">
        <f t="shared" ref="T103:T112" si="24">K103</f>
        <v>16.78</v>
      </c>
      <c r="U103" s="5">
        <f t="shared" ref="U103:U112" si="25">L103</f>
        <v>16.989999999999998</v>
      </c>
      <c r="V103" s="5">
        <f t="shared" ref="V103:V112" si="26">M103</f>
        <v>16.7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280</v>
      </c>
      <c r="D104" s="3" t="s">
        <v>1916</v>
      </c>
      <c r="E104" s="3" t="s">
        <v>918</v>
      </c>
      <c r="F104" s="3" t="s">
        <v>1917</v>
      </c>
      <c r="G104" s="3" t="s">
        <v>918</v>
      </c>
      <c r="H104" s="51">
        <v>41683</v>
      </c>
      <c r="J104" s="3">
        <f t="shared" si="20"/>
        <v>7.01</v>
      </c>
      <c r="K104" s="3">
        <f t="shared" si="20"/>
        <v>7</v>
      </c>
      <c r="L104" s="3">
        <f t="shared" si="20"/>
        <v>7.02</v>
      </c>
      <c r="M104" s="3">
        <f t="shared" si="20"/>
        <v>7</v>
      </c>
      <c r="P104" s="15" t="s">
        <v>279</v>
      </c>
      <c r="Q104" s="10" t="str">
        <f t="shared" si="21"/>
        <v xml:space="preserve">VIGOR FOOD  -ON  </v>
      </c>
      <c r="R104" s="51">
        <f t="shared" si="22"/>
        <v>41683</v>
      </c>
      <c r="S104" s="5">
        <f t="shared" si="23"/>
        <v>7.01</v>
      </c>
      <c r="T104" s="5">
        <f t="shared" si="24"/>
        <v>7</v>
      </c>
      <c r="U104" s="5">
        <f t="shared" si="25"/>
        <v>7.02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833</v>
      </c>
      <c r="D105" s="3" t="s">
        <v>435</v>
      </c>
      <c r="E105" s="3" t="s">
        <v>436</v>
      </c>
      <c r="F105" s="3" t="s">
        <v>435</v>
      </c>
      <c r="G105" s="3" t="s">
        <v>435</v>
      </c>
      <c r="H105" s="51" t="s">
        <v>435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831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834</v>
      </c>
      <c r="D106" s="3" t="s">
        <v>435</v>
      </c>
      <c r="E106" s="3" t="s">
        <v>677</v>
      </c>
      <c r="F106" s="3" t="s">
        <v>677</v>
      </c>
      <c r="G106" s="3" t="s">
        <v>677</v>
      </c>
      <c r="H106" s="51">
        <v>41312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832</v>
      </c>
      <c r="Q106" s="10" t="str">
        <f t="shared" si="21"/>
        <v>CLARION     -PN</v>
      </c>
      <c r="R106" s="51">
        <f t="shared" si="22"/>
        <v>41312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837</v>
      </c>
      <c r="D107" s="3" t="s">
        <v>792</v>
      </c>
      <c r="E107" s="3" t="s">
        <v>1175</v>
      </c>
      <c r="F107" s="3" t="s">
        <v>672</v>
      </c>
      <c r="G107" s="3" t="s">
        <v>1175</v>
      </c>
      <c r="H107" s="51">
        <v>41696</v>
      </c>
      <c r="J107" s="3">
        <f t="shared" si="20"/>
        <v>7.0000000000000007E-2</v>
      </c>
      <c r="K107" s="3">
        <f t="shared" si="20"/>
        <v>0.06</v>
      </c>
      <c r="L107" s="3">
        <f t="shared" si="20"/>
        <v>0.08</v>
      </c>
      <c r="M107" s="3">
        <f t="shared" si="20"/>
        <v>0.06</v>
      </c>
      <c r="P107" s="14" t="s">
        <v>836</v>
      </c>
      <c r="Q107" s="10" t="str">
        <f t="shared" si="21"/>
        <v>MINUPAR     -ON</v>
      </c>
      <c r="R107" s="51">
        <f t="shared" si="22"/>
        <v>41696</v>
      </c>
      <c r="S107" s="5">
        <f t="shared" si="23"/>
        <v>7.0000000000000007E-2</v>
      </c>
      <c r="T107" s="5">
        <f t="shared" si="24"/>
        <v>0.06</v>
      </c>
      <c r="U107" s="5">
        <f t="shared" si="25"/>
        <v>0.08</v>
      </c>
      <c r="V107" s="5">
        <f t="shared" si="26"/>
        <v>0.06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840</v>
      </c>
      <c r="D108" s="3" t="s">
        <v>435</v>
      </c>
      <c r="E108" s="3" t="s">
        <v>436</v>
      </c>
      <c r="F108" s="3" t="s">
        <v>435</v>
      </c>
      <c r="G108" s="3" t="s">
        <v>435</v>
      </c>
      <c r="H108" s="51" t="s">
        <v>435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838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841</v>
      </c>
      <c r="D109" s="3" t="s">
        <v>916</v>
      </c>
      <c r="E109" s="3" t="s">
        <v>916</v>
      </c>
      <c r="F109" s="3" t="s">
        <v>916</v>
      </c>
      <c r="G109" s="3" t="s">
        <v>916</v>
      </c>
      <c r="H109" s="51">
        <v>41689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839</v>
      </c>
      <c r="Q109" s="10" t="str">
        <f t="shared" si="21"/>
        <v>EXCELSIOR   -PN</v>
      </c>
      <c r="R109" s="51">
        <f t="shared" si="22"/>
        <v>41689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844</v>
      </c>
      <c r="D110" s="3" t="s">
        <v>784</v>
      </c>
      <c r="E110" s="3" t="s">
        <v>1977</v>
      </c>
      <c r="F110" s="3" t="s">
        <v>1370</v>
      </c>
      <c r="G110" s="3" t="s">
        <v>1724</v>
      </c>
      <c r="H110" s="51">
        <v>41696</v>
      </c>
      <c r="J110" s="3">
        <f t="shared" si="20"/>
        <v>10.4</v>
      </c>
      <c r="K110" s="3">
        <f t="shared" si="20"/>
        <v>10.39</v>
      </c>
      <c r="L110" s="3">
        <f t="shared" si="20"/>
        <v>10.5</v>
      </c>
      <c r="M110" s="3">
        <f t="shared" si="20"/>
        <v>10.27</v>
      </c>
      <c r="P110" s="15" t="s">
        <v>843</v>
      </c>
      <c r="Q110" s="10" t="str">
        <f t="shared" si="21"/>
        <v xml:space="preserve">MINERVA     -ON  </v>
      </c>
      <c r="R110" s="51">
        <f t="shared" si="22"/>
        <v>41696</v>
      </c>
      <c r="S110" s="5">
        <f t="shared" si="23"/>
        <v>10.4</v>
      </c>
      <c r="T110" s="5">
        <f t="shared" si="24"/>
        <v>10.39</v>
      </c>
      <c r="U110" s="5">
        <f t="shared" si="25"/>
        <v>10.5</v>
      </c>
      <c r="V110" s="5">
        <f t="shared" si="26"/>
        <v>10.27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845</v>
      </c>
      <c r="D111" s="3" t="s">
        <v>1725</v>
      </c>
      <c r="E111" s="3" t="s">
        <v>1667</v>
      </c>
      <c r="F111" s="3" t="s">
        <v>1978</v>
      </c>
      <c r="G111" s="3" t="s">
        <v>1726</v>
      </c>
      <c r="H111" s="51">
        <v>41696</v>
      </c>
      <c r="J111" s="3">
        <f t="shared" si="20"/>
        <v>3.88</v>
      </c>
      <c r="K111" s="3">
        <f t="shared" si="20"/>
        <v>3.81</v>
      </c>
      <c r="L111" s="3">
        <f t="shared" si="20"/>
        <v>3.92</v>
      </c>
      <c r="M111" s="3">
        <f t="shared" si="20"/>
        <v>3.79</v>
      </c>
      <c r="P111" s="14" t="s">
        <v>842</v>
      </c>
      <c r="Q111" s="10" t="str">
        <f t="shared" si="21"/>
        <v xml:space="preserve">MARFRIG     -ON  </v>
      </c>
      <c r="R111" s="51">
        <f t="shared" si="22"/>
        <v>41696</v>
      </c>
      <c r="S111" s="5">
        <f t="shared" si="23"/>
        <v>3.88</v>
      </c>
      <c r="T111" s="5">
        <f t="shared" si="24"/>
        <v>3.81</v>
      </c>
      <c r="U111" s="5">
        <f t="shared" si="25"/>
        <v>3.92</v>
      </c>
      <c r="V111" s="5">
        <f t="shared" si="26"/>
        <v>3.79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848</v>
      </c>
      <c r="D112" s="3" t="s">
        <v>435</v>
      </c>
      <c r="E112" s="3" t="s">
        <v>674</v>
      </c>
      <c r="F112" s="3" t="s">
        <v>674</v>
      </c>
      <c r="G112" s="3" t="s">
        <v>674</v>
      </c>
      <c r="H112" s="51">
        <v>41249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846</v>
      </c>
      <c r="Q112" s="10" t="str">
        <f t="shared" si="21"/>
        <v>CAF BRASILIA-ON *</v>
      </c>
      <c r="R112" s="51">
        <f t="shared" si="22"/>
        <v>41249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847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1262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1047</v>
      </c>
      <c r="D7" s="3" t="s">
        <v>1727</v>
      </c>
      <c r="E7" s="3" t="s">
        <v>1979</v>
      </c>
      <c r="F7" s="3" t="s">
        <v>1728</v>
      </c>
      <c r="G7" s="3" t="s">
        <v>1525</v>
      </c>
      <c r="H7" s="51">
        <v>41696</v>
      </c>
      <c r="J7" s="3">
        <f>IF($A7="",0,VALUE(CONCATENATE(LEFT(D7,LEN(D7)-3),",",RIGHT(D7,2))))</f>
        <v>28.79</v>
      </c>
      <c r="K7" s="3">
        <f t="shared" ref="K7:M22" si="0">IF($A7="",0,VALUE(CONCATENATE(LEFT(E7,LEN(E7)-3),",",RIGHT(E7,2))))</f>
        <v>28.95</v>
      </c>
      <c r="L7" s="3">
        <f t="shared" si="0"/>
        <v>29.12</v>
      </c>
      <c r="M7" s="3">
        <f t="shared" si="0"/>
        <v>28.63</v>
      </c>
      <c r="P7" s="14" t="s">
        <v>1042</v>
      </c>
      <c r="Q7" s="10" t="str">
        <f t="shared" ref="Q7:Q38" si="1">IF(A7="","",C7)</f>
        <v xml:space="preserve">ABRIL EDUCA -UNT </v>
      </c>
      <c r="R7" s="51">
        <f t="shared" ref="R7:R38" si="2">IF(A7="","",H7)</f>
        <v>41696</v>
      </c>
      <c r="S7" s="5">
        <f t="shared" ref="S7:S38" si="3">J7</f>
        <v>28.79</v>
      </c>
      <c r="T7" s="5">
        <f t="shared" ref="T7:T38" si="4">K7</f>
        <v>28.95</v>
      </c>
      <c r="U7" s="5">
        <f t="shared" ref="U7:U38" si="5">L7</f>
        <v>29.12</v>
      </c>
      <c r="V7" s="5">
        <f t="shared" ref="V7:V38" si="6">M7</f>
        <v>28.63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1045</v>
      </c>
      <c r="D8" s="3" t="s">
        <v>435</v>
      </c>
      <c r="E8" s="3" t="s">
        <v>436</v>
      </c>
      <c r="F8" s="3" t="s">
        <v>435</v>
      </c>
      <c r="G8" s="3" t="s">
        <v>435</v>
      </c>
      <c r="H8" s="51" t="s">
        <v>435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1043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1046</v>
      </c>
      <c r="D9" s="3" t="s">
        <v>435</v>
      </c>
      <c r="E9" s="3" t="s">
        <v>436</v>
      </c>
      <c r="F9" s="3" t="s">
        <v>435</v>
      </c>
      <c r="G9" s="3" t="s">
        <v>435</v>
      </c>
      <c r="H9" s="51" t="s">
        <v>435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1044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875</v>
      </c>
      <c r="D10" s="3" t="s">
        <v>435</v>
      </c>
      <c r="E10" s="3" t="s">
        <v>397</v>
      </c>
      <c r="F10" s="3" t="s">
        <v>397</v>
      </c>
      <c r="G10" s="3" t="s">
        <v>397</v>
      </c>
      <c r="H10" s="51">
        <v>41421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872</v>
      </c>
      <c r="Q10" s="10" t="str">
        <f t="shared" si="1"/>
        <v>SPTURIS     -ON</v>
      </c>
      <c r="R10" s="51">
        <f t="shared" si="2"/>
        <v>41421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876</v>
      </c>
      <c r="D11" s="3" t="s">
        <v>877</v>
      </c>
      <c r="E11" s="3" t="s">
        <v>877</v>
      </c>
      <c r="F11" s="3" t="s">
        <v>877</v>
      </c>
      <c r="G11" s="3" t="s">
        <v>877</v>
      </c>
      <c r="H11" s="51">
        <v>41646</v>
      </c>
      <c r="J11" s="3">
        <f t="shared" si="7"/>
        <v>20.010000000000002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873</v>
      </c>
      <c r="Q11" s="10" t="str">
        <f t="shared" si="1"/>
        <v>SPTURIS     -PNA</v>
      </c>
      <c r="R11" s="51">
        <f t="shared" si="2"/>
        <v>41646</v>
      </c>
      <c r="S11" s="5">
        <f t="shared" si="3"/>
        <v>20.010000000000002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878</v>
      </c>
      <c r="D12" s="3" t="s">
        <v>435</v>
      </c>
      <c r="E12" s="3" t="s">
        <v>879</v>
      </c>
      <c r="F12" s="3" t="s">
        <v>879</v>
      </c>
      <c r="G12" s="3" t="s">
        <v>879</v>
      </c>
      <c r="H12" s="51">
        <v>41013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874</v>
      </c>
      <c r="Q12" s="10" t="str">
        <f t="shared" si="1"/>
        <v>SPTURIS     -PNB</v>
      </c>
      <c r="R12" s="51">
        <f t="shared" si="2"/>
        <v>41013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1022</v>
      </c>
      <c r="D13" s="3" t="s">
        <v>1729</v>
      </c>
      <c r="E13" s="3" t="s">
        <v>136</v>
      </c>
      <c r="F13" s="3" t="s">
        <v>1729</v>
      </c>
      <c r="G13" s="3" t="s">
        <v>136</v>
      </c>
      <c r="H13" s="51">
        <v>41696</v>
      </c>
      <c r="J13" s="3">
        <f t="shared" si="7"/>
        <v>11.39</v>
      </c>
      <c r="K13" s="3">
        <f t="shared" si="0"/>
        <v>11</v>
      </c>
      <c r="L13" s="3">
        <f t="shared" si="0"/>
        <v>11.39</v>
      </c>
      <c r="M13" s="3">
        <f t="shared" si="0"/>
        <v>11</v>
      </c>
      <c r="P13" s="3" t="s">
        <v>1020</v>
      </c>
      <c r="Q13" s="10" t="str">
        <f t="shared" si="1"/>
        <v xml:space="preserve">ALPARGATAS  -ON  </v>
      </c>
      <c r="R13" s="51">
        <f t="shared" si="2"/>
        <v>41696</v>
      </c>
      <c r="S13" s="5">
        <f t="shared" si="3"/>
        <v>11.39</v>
      </c>
      <c r="T13" s="5">
        <f t="shared" si="4"/>
        <v>11</v>
      </c>
      <c r="U13" s="5">
        <f t="shared" si="5"/>
        <v>11.39</v>
      </c>
      <c r="V13" s="5">
        <f t="shared" si="6"/>
        <v>11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1023</v>
      </c>
      <c r="D14" s="3" t="s">
        <v>1730</v>
      </c>
      <c r="E14" s="3" t="s">
        <v>1432</v>
      </c>
      <c r="F14" s="3" t="s">
        <v>1980</v>
      </c>
      <c r="G14" s="3" t="s">
        <v>1730</v>
      </c>
      <c r="H14" s="51">
        <v>41696</v>
      </c>
      <c r="J14" s="3">
        <f t="shared" si="7"/>
        <v>12.13</v>
      </c>
      <c r="K14" s="3">
        <f t="shared" si="0"/>
        <v>12.31</v>
      </c>
      <c r="L14" s="3">
        <f t="shared" si="0"/>
        <v>12.44</v>
      </c>
      <c r="M14" s="3">
        <f t="shared" si="0"/>
        <v>12.13</v>
      </c>
      <c r="P14" s="14" t="s">
        <v>1021</v>
      </c>
      <c r="Q14" s="10" t="str">
        <f t="shared" si="1"/>
        <v xml:space="preserve">ALPARGATAS  -PN  </v>
      </c>
      <c r="R14" s="51">
        <f t="shared" si="2"/>
        <v>41696</v>
      </c>
      <c r="S14" s="5">
        <f t="shared" si="3"/>
        <v>12.13</v>
      </c>
      <c r="T14" s="5">
        <f t="shared" si="4"/>
        <v>12.31</v>
      </c>
      <c r="U14" s="5">
        <f t="shared" si="5"/>
        <v>12.44</v>
      </c>
      <c r="V14" s="5">
        <f t="shared" si="6"/>
        <v>12.13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1085</v>
      </c>
      <c r="D15" s="3" t="s">
        <v>1731</v>
      </c>
      <c r="E15" s="3" t="s">
        <v>1981</v>
      </c>
      <c r="F15" s="3" t="s">
        <v>1773</v>
      </c>
      <c r="G15" s="3" t="s">
        <v>1981</v>
      </c>
      <c r="H15" s="51">
        <v>41696</v>
      </c>
      <c r="J15" s="3">
        <f t="shared" si="7"/>
        <v>14</v>
      </c>
      <c r="K15" s="3">
        <f t="shared" si="0"/>
        <v>13.72</v>
      </c>
      <c r="L15" s="3">
        <f t="shared" si="0"/>
        <v>14.17</v>
      </c>
      <c r="M15" s="3">
        <f t="shared" si="0"/>
        <v>13.72</v>
      </c>
      <c r="P15" s="15" t="s">
        <v>1084</v>
      </c>
      <c r="Q15" s="10" t="str">
        <f t="shared" si="1"/>
        <v xml:space="preserve">LOJAS MARISA-ON  </v>
      </c>
      <c r="R15" s="51">
        <f t="shared" si="2"/>
        <v>41696</v>
      </c>
      <c r="S15" s="5">
        <f t="shared" si="3"/>
        <v>14</v>
      </c>
      <c r="T15" s="5">
        <f t="shared" si="4"/>
        <v>13.72</v>
      </c>
      <c r="U15" s="5">
        <f t="shared" si="5"/>
        <v>14.17</v>
      </c>
      <c r="V15" s="5">
        <f t="shared" si="6"/>
        <v>13.72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1069</v>
      </c>
      <c r="D16" s="3" t="s">
        <v>1732</v>
      </c>
      <c r="E16" s="3" t="s">
        <v>1982</v>
      </c>
      <c r="F16" s="3" t="s">
        <v>1733</v>
      </c>
      <c r="G16" s="3" t="s">
        <v>1983</v>
      </c>
      <c r="H16" s="51">
        <v>41696</v>
      </c>
      <c r="J16" s="3">
        <f t="shared" si="7"/>
        <v>26.3</v>
      </c>
      <c r="K16" s="3">
        <f t="shared" si="0"/>
        <v>25.63</v>
      </c>
      <c r="L16" s="3">
        <f t="shared" si="0"/>
        <v>26.86</v>
      </c>
      <c r="M16" s="3">
        <f t="shared" si="0"/>
        <v>25.55</v>
      </c>
      <c r="P16" s="15" t="s">
        <v>1068</v>
      </c>
      <c r="Q16" s="10" t="str">
        <f t="shared" si="1"/>
        <v xml:space="preserve">AREZZO CO   -ON  </v>
      </c>
      <c r="R16" s="51">
        <f t="shared" si="2"/>
        <v>41696</v>
      </c>
      <c r="S16" s="5">
        <f t="shared" si="3"/>
        <v>26.3</v>
      </c>
      <c r="T16" s="5">
        <f t="shared" si="4"/>
        <v>25.63</v>
      </c>
      <c r="U16" s="5">
        <f t="shared" si="5"/>
        <v>26.86</v>
      </c>
      <c r="V16" s="5">
        <f t="shared" si="6"/>
        <v>25.55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1095</v>
      </c>
      <c r="D17" s="3" t="s">
        <v>1406</v>
      </c>
      <c r="E17" s="3" t="s">
        <v>1519</v>
      </c>
      <c r="F17" s="3" t="s">
        <v>1406</v>
      </c>
      <c r="G17" s="3" t="s">
        <v>1814</v>
      </c>
      <c r="H17" s="51">
        <v>41696</v>
      </c>
      <c r="J17" s="3">
        <f t="shared" si="7"/>
        <v>1.48</v>
      </c>
      <c r="K17" s="3">
        <f t="shared" si="0"/>
        <v>1.46</v>
      </c>
      <c r="L17" s="3">
        <f t="shared" si="0"/>
        <v>1.48</v>
      </c>
      <c r="M17" s="3">
        <f t="shared" si="0"/>
        <v>1.43</v>
      </c>
      <c r="P17" s="10" t="s">
        <v>1094</v>
      </c>
      <c r="Q17" s="10" t="str">
        <f t="shared" si="1"/>
        <v xml:space="preserve">BROOKFIELD  -ON  </v>
      </c>
      <c r="R17" s="51">
        <f t="shared" si="2"/>
        <v>41696</v>
      </c>
      <c r="S17" s="5">
        <f t="shared" si="3"/>
        <v>1.48</v>
      </c>
      <c r="T17" s="5">
        <f t="shared" si="4"/>
        <v>1.46</v>
      </c>
      <c r="U17" s="5">
        <f t="shared" si="5"/>
        <v>1.48</v>
      </c>
      <c r="V17" s="5">
        <f t="shared" si="6"/>
        <v>1.43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884</v>
      </c>
      <c r="D18" s="3" t="s">
        <v>1407</v>
      </c>
      <c r="E18" s="3" t="s">
        <v>1407</v>
      </c>
      <c r="F18" s="3" t="s">
        <v>1407</v>
      </c>
      <c r="G18" s="3" t="s">
        <v>1407</v>
      </c>
      <c r="H18" s="51">
        <v>41690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883</v>
      </c>
      <c r="Q18" s="10" t="str">
        <f t="shared" si="1"/>
        <v>BIC MONARK  -ON</v>
      </c>
      <c r="R18" s="51">
        <f t="shared" si="2"/>
        <v>41690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896</v>
      </c>
      <c r="D19" s="3" t="s">
        <v>1019</v>
      </c>
      <c r="E19" s="3" t="s">
        <v>1019</v>
      </c>
      <c r="F19" s="3" t="s">
        <v>1019</v>
      </c>
      <c r="G19" s="3" t="s">
        <v>1019</v>
      </c>
      <c r="H19" s="51">
        <v>41696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894</v>
      </c>
      <c r="Q19" s="10" t="str">
        <f t="shared" si="1"/>
        <v>BRASMOTOR   -ON</v>
      </c>
      <c r="R19" s="51">
        <f t="shared" si="2"/>
        <v>41696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897</v>
      </c>
      <c r="D20" s="3" t="s">
        <v>934</v>
      </c>
      <c r="E20" s="3" t="s">
        <v>1434</v>
      </c>
      <c r="F20" s="3" t="s">
        <v>1434</v>
      </c>
      <c r="G20" s="3" t="s">
        <v>934</v>
      </c>
      <c r="H20" s="51">
        <v>41696</v>
      </c>
      <c r="J20" s="3">
        <f t="shared" si="7"/>
        <v>0.82</v>
      </c>
      <c r="K20" s="3">
        <f t="shared" si="0"/>
        <v>0.84</v>
      </c>
      <c r="L20" s="3">
        <f t="shared" si="0"/>
        <v>0.84</v>
      </c>
      <c r="M20" s="3">
        <f t="shared" si="0"/>
        <v>0.82</v>
      </c>
      <c r="P20" s="15" t="s">
        <v>895</v>
      </c>
      <c r="Q20" s="10" t="str">
        <f t="shared" si="1"/>
        <v>BRASMOTOR   -PN</v>
      </c>
      <c r="R20" s="51">
        <f t="shared" si="2"/>
        <v>41696</v>
      </c>
      <c r="S20" s="5">
        <f t="shared" si="3"/>
        <v>0.82</v>
      </c>
      <c r="T20" s="5">
        <f t="shared" si="4"/>
        <v>0.84</v>
      </c>
      <c r="U20" s="5">
        <f t="shared" si="5"/>
        <v>0.84</v>
      </c>
      <c r="V20" s="5">
        <f t="shared" si="6"/>
        <v>0.82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861</v>
      </c>
      <c r="D21" s="3" t="s">
        <v>1421</v>
      </c>
      <c r="E21" s="3" t="s">
        <v>1421</v>
      </c>
      <c r="F21" s="3" t="s">
        <v>338</v>
      </c>
      <c r="G21" s="3" t="s">
        <v>1421</v>
      </c>
      <c r="H21" s="51">
        <v>41696</v>
      </c>
      <c r="J21" s="3">
        <f t="shared" si="7"/>
        <v>9.02</v>
      </c>
      <c r="K21" s="3">
        <f t="shared" si="0"/>
        <v>9.02</v>
      </c>
      <c r="L21" s="3">
        <f t="shared" si="0"/>
        <v>9.5</v>
      </c>
      <c r="M21" s="3">
        <f t="shared" si="0"/>
        <v>9.02</v>
      </c>
      <c r="P21" s="14" t="s">
        <v>860</v>
      </c>
      <c r="Q21" s="10" t="str">
        <f t="shared" si="1"/>
        <v xml:space="preserve">BIOSEV      -ON  </v>
      </c>
      <c r="R21" s="51">
        <f t="shared" si="2"/>
        <v>41696</v>
      </c>
      <c r="S21" s="5">
        <f t="shared" si="3"/>
        <v>9.02</v>
      </c>
      <c r="T21" s="5">
        <f t="shared" si="4"/>
        <v>9.02</v>
      </c>
      <c r="U21" s="5">
        <f t="shared" si="5"/>
        <v>9.5</v>
      </c>
      <c r="V21" s="5">
        <f t="shared" si="6"/>
        <v>9.02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1098</v>
      </c>
      <c r="D22" s="3" t="s">
        <v>435</v>
      </c>
      <c r="E22" s="3" t="s">
        <v>1099</v>
      </c>
      <c r="F22" s="3" t="s">
        <v>1099</v>
      </c>
      <c r="G22" s="3" t="s">
        <v>1099</v>
      </c>
      <c r="H22" s="51">
        <v>40836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1096</v>
      </c>
      <c r="Q22" s="10" t="str">
        <f t="shared" si="1"/>
        <v>CONST A LIND-ON</v>
      </c>
      <c r="R22" s="51">
        <f t="shared" si="2"/>
        <v>40836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1100</v>
      </c>
      <c r="D23" s="3" t="s">
        <v>1101</v>
      </c>
      <c r="E23" s="3" t="s">
        <v>1101</v>
      </c>
      <c r="F23" s="3" t="s">
        <v>1101</v>
      </c>
      <c r="G23" s="3" t="s">
        <v>1101</v>
      </c>
      <c r="H23" s="51">
        <v>41557</v>
      </c>
      <c r="J23" s="3">
        <f t="shared" si="7"/>
        <v>250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1097</v>
      </c>
      <c r="Q23" s="10" t="str">
        <f t="shared" si="1"/>
        <v>CONST A LIND-PN</v>
      </c>
      <c r="R23" s="51">
        <f t="shared" si="2"/>
        <v>41557</v>
      </c>
      <c r="S23" s="5">
        <f t="shared" si="3"/>
        <v>250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1027</v>
      </c>
      <c r="D24" s="3" t="s">
        <v>435</v>
      </c>
      <c r="E24" s="3" t="s">
        <v>436</v>
      </c>
      <c r="F24" s="3" t="s">
        <v>435</v>
      </c>
      <c r="G24" s="3" t="s">
        <v>435</v>
      </c>
      <c r="H24" s="51" t="s">
        <v>435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1025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1028</v>
      </c>
      <c r="D25" s="3" t="s">
        <v>1487</v>
      </c>
      <c r="E25" s="3" t="s">
        <v>1511</v>
      </c>
      <c r="F25" s="3" t="s">
        <v>1487</v>
      </c>
      <c r="G25" s="3" t="s">
        <v>1511</v>
      </c>
      <c r="H25" s="51">
        <v>41696</v>
      </c>
      <c r="J25" s="3">
        <f t="shared" si="7"/>
        <v>2.15</v>
      </c>
      <c r="K25" s="3">
        <f t="shared" si="7"/>
        <v>2.14</v>
      </c>
      <c r="L25" s="3">
        <f t="shared" si="7"/>
        <v>2.15</v>
      </c>
      <c r="M25" s="3">
        <f t="shared" si="7"/>
        <v>2.14</v>
      </c>
      <c r="P25" s="10" t="s">
        <v>1026</v>
      </c>
      <c r="Q25" s="10" t="str">
        <f t="shared" si="1"/>
        <v>CAMBUCI     -PN</v>
      </c>
      <c r="R25" s="51">
        <f t="shared" si="2"/>
        <v>41696</v>
      </c>
      <c r="S25" s="5">
        <f t="shared" si="3"/>
        <v>2.15</v>
      </c>
      <c r="T25" s="5">
        <f t="shared" si="4"/>
        <v>2.14</v>
      </c>
      <c r="U25" s="5">
        <f t="shared" si="5"/>
        <v>2.15</v>
      </c>
      <c r="V25" s="5">
        <f t="shared" si="6"/>
        <v>2.14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913</v>
      </c>
      <c r="D26" s="3" t="s">
        <v>759</v>
      </c>
      <c r="E26" s="3" t="s">
        <v>759</v>
      </c>
      <c r="F26" s="3" t="s">
        <v>759</v>
      </c>
      <c r="G26" s="3" t="s">
        <v>759</v>
      </c>
      <c r="H26" s="51">
        <v>41670</v>
      </c>
      <c r="J26" s="3">
        <f t="shared" si="7"/>
        <v>11.5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911</v>
      </c>
      <c r="Q26" s="10" t="str">
        <f t="shared" si="1"/>
        <v xml:space="preserve">CEDRO       -ON  </v>
      </c>
      <c r="R26" s="51">
        <f t="shared" si="2"/>
        <v>41670</v>
      </c>
      <c r="S26" s="5">
        <f t="shared" si="3"/>
        <v>11.5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914</v>
      </c>
      <c r="D27" s="3" t="s">
        <v>1370</v>
      </c>
      <c r="E27" s="3" t="s">
        <v>915</v>
      </c>
      <c r="F27" s="3" t="s">
        <v>915</v>
      </c>
      <c r="G27" s="3" t="s">
        <v>1370</v>
      </c>
      <c r="H27" s="51">
        <v>41689</v>
      </c>
      <c r="J27" s="3">
        <f t="shared" si="7"/>
        <v>10.5</v>
      </c>
      <c r="K27" s="3">
        <f t="shared" si="7"/>
        <v>11.1</v>
      </c>
      <c r="L27" s="3">
        <f t="shared" si="7"/>
        <v>11.1</v>
      </c>
      <c r="M27" s="3">
        <f t="shared" si="7"/>
        <v>10.5</v>
      </c>
      <c r="P27" s="14" t="s">
        <v>912</v>
      </c>
      <c r="Q27" s="10" t="str">
        <f t="shared" si="1"/>
        <v xml:space="preserve">CEDRO       -PN  </v>
      </c>
      <c r="R27" s="51">
        <f t="shared" si="2"/>
        <v>41689</v>
      </c>
      <c r="S27" s="5">
        <f t="shared" si="3"/>
        <v>10.5</v>
      </c>
      <c r="T27" s="5">
        <f t="shared" si="4"/>
        <v>11.1</v>
      </c>
      <c r="U27" s="5">
        <f t="shared" si="5"/>
        <v>11.1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1072</v>
      </c>
      <c r="D28" s="3" t="s">
        <v>1394</v>
      </c>
      <c r="E28" s="3" t="s">
        <v>1394</v>
      </c>
      <c r="F28" s="3" t="s">
        <v>1394</v>
      </c>
      <c r="G28" s="3" t="s">
        <v>1394</v>
      </c>
      <c r="H28" s="51">
        <v>41695</v>
      </c>
      <c r="J28" s="3">
        <f t="shared" si="7"/>
        <v>16.29</v>
      </c>
      <c r="K28" s="3">
        <f t="shared" si="7"/>
        <v>16.29</v>
      </c>
      <c r="L28" s="3">
        <f t="shared" si="7"/>
        <v>16.29</v>
      </c>
      <c r="M28" s="3">
        <f t="shared" si="7"/>
        <v>16.29</v>
      </c>
      <c r="P28" s="15" t="s">
        <v>1070</v>
      </c>
      <c r="Q28" s="10" t="str">
        <f t="shared" si="1"/>
        <v>GRAZZIOTIN  -ON</v>
      </c>
      <c r="R28" s="51">
        <f t="shared" si="2"/>
        <v>41695</v>
      </c>
      <c r="S28" s="5">
        <f t="shared" si="3"/>
        <v>16.29</v>
      </c>
      <c r="T28" s="5">
        <f t="shared" si="4"/>
        <v>16.29</v>
      </c>
      <c r="U28" s="5">
        <f t="shared" si="5"/>
        <v>16.29</v>
      </c>
      <c r="V28" s="5">
        <f t="shared" si="6"/>
        <v>16.29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1073</v>
      </c>
      <c r="D29" s="3" t="s">
        <v>1735</v>
      </c>
      <c r="E29" s="3" t="s">
        <v>1984</v>
      </c>
      <c r="F29" s="3" t="s">
        <v>1984</v>
      </c>
      <c r="G29" s="3" t="s">
        <v>1489</v>
      </c>
      <c r="H29" s="51">
        <v>41696</v>
      </c>
      <c r="J29" s="3">
        <f>IF($A29="",0,VALUE(CONCATENATE(LEFT(D29,LEN(D29)-3),",",RIGHT(D29,2))))</f>
        <v>16.059999999999999</v>
      </c>
      <c r="K29" s="3">
        <f t="shared" si="7"/>
        <v>16.38</v>
      </c>
      <c r="L29" s="3">
        <f t="shared" si="7"/>
        <v>16.38</v>
      </c>
      <c r="M29" s="3">
        <f t="shared" si="7"/>
        <v>16.05</v>
      </c>
      <c r="P29" s="14" t="s">
        <v>1071</v>
      </c>
      <c r="Q29" s="10" t="str">
        <f t="shared" si="1"/>
        <v>GRAZZIOTIN  -PN</v>
      </c>
      <c r="R29" s="51">
        <f t="shared" si="2"/>
        <v>41696</v>
      </c>
      <c r="S29" s="5">
        <f t="shared" si="3"/>
        <v>16.059999999999999</v>
      </c>
      <c r="T29" s="5">
        <f t="shared" si="4"/>
        <v>16.38</v>
      </c>
      <c r="U29" s="5">
        <f t="shared" si="5"/>
        <v>16.38</v>
      </c>
      <c r="V29" s="5">
        <f t="shared" si="6"/>
        <v>16.05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1110</v>
      </c>
      <c r="D30" s="3" t="s">
        <v>1736</v>
      </c>
      <c r="E30" s="3" t="s">
        <v>1985</v>
      </c>
      <c r="F30" s="3" t="s">
        <v>1986</v>
      </c>
      <c r="G30" s="3" t="s">
        <v>1736</v>
      </c>
      <c r="H30" s="51">
        <v>41696</v>
      </c>
      <c r="J30" s="3">
        <f t="shared" si="7"/>
        <v>3.15</v>
      </c>
      <c r="K30" s="3">
        <f t="shared" si="7"/>
        <v>3.22</v>
      </c>
      <c r="L30" s="3">
        <f t="shared" si="7"/>
        <v>3.25</v>
      </c>
      <c r="M30" s="3">
        <f t="shared" si="7"/>
        <v>3.15</v>
      </c>
      <c r="P30" s="14" t="s">
        <v>1102</v>
      </c>
      <c r="Q30" s="10" t="str">
        <f t="shared" si="1"/>
        <v xml:space="preserve">CR2         -ON  </v>
      </c>
      <c r="R30" s="51">
        <f t="shared" si="2"/>
        <v>41696</v>
      </c>
      <c r="S30" s="5">
        <f t="shared" si="3"/>
        <v>3.15</v>
      </c>
      <c r="T30" s="5">
        <f t="shared" si="4"/>
        <v>3.22</v>
      </c>
      <c r="U30" s="5">
        <f t="shared" si="5"/>
        <v>3.25</v>
      </c>
      <c r="V30" s="5">
        <f t="shared" si="6"/>
        <v>3.15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998</v>
      </c>
      <c r="D31" s="3" t="s">
        <v>999</v>
      </c>
      <c r="E31" s="3" t="s">
        <v>999</v>
      </c>
      <c r="F31" s="3" t="s">
        <v>999</v>
      </c>
      <c r="G31" s="3" t="s">
        <v>999</v>
      </c>
      <c r="H31" s="51">
        <v>41653</v>
      </c>
      <c r="J31" s="3">
        <f t="shared" si="7"/>
        <v>2.2000000000000002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996</v>
      </c>
      <c r="Q31" s="10" t="str">
        <f t="shared" si="1"/>
        <v>KARSTEN     -ON</v>
      </c>
      <c r="R31" s="51">
        <f t="shared" si="2"/>
        <v>41653</v>
      </c>
      <c r="S31" s="5">
        <f t="shared" si="3"/>
        <v>2.2000000000000002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1000</v>
      </c>
      <c r="D32" s="3" t="s">
        <v>1505</v>
      </c>
      <c r="E32" s="3" t="s">
        <v>1505</v>
      </c>
      <c r="F32" s="3" t="s">
        <v>1505</v>
      </c>
      <c r="G32" s="3" t="s">
        <v>1505</v>
      </c>
      <c r="H32" s="51">
        <v>41696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997</v>
      </c>
      <c r="Q32" s="10" t="str">
        <f t="shared" si="1"/>
        <v>KARSTEN     -PN</v>
      </c>
      <c r="R32" s="51">
        <f t="shared" si="2"/>
        <v>41696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978</v>
      </c>
      <c r="D33" s="3" t="s">
        <v>979</v>
      </c>
      <c r="E33" s="3" t="s">
        <v>979</v>
      </c>
      <c r="F33" s="3" t="s">
        <v>979</v>
      </c>
      <c r="G33" s="3" t="s">
        <v>979</v>
      </c>
      <c r="H33" s="51">
        <v>41680</v>
      </c>
      <c r="J33" s="3">
        <f t="shared" si="7"/>
        <v>2.4700000000000002</v>
      </c>
      <c r="K33" s="3">
        <f t="shared" si="7"/>
        <v>2.4700000000000002</v>
      </c>
      <c r="L33" s="3">
        <f t="shared" si="7"/>
        <v>2.4700000000000002</v>
      </c>
      <c r="M33" s="3">
        <f t="shared" si="7"/>
        <v>2.4700000000000002</v>
      </c>
      <c r="P33" s="14" t="s">
        <v>976</v>
      </c>
      <c r="Q33" s="10" t="str">
        <f t="shared" si="1"/>
        <v>COTEMINAS   -ON</v>
      </c>
      <c r="R33" s="51">
        <f t="shared" si="2"/>
        <v>41680</v>
      </c>
      <c r="S33" s="5">
        <f t="shared" si="3"/>
        <v>2.4700000000000002</v>
      </c>
      <c r="T33" s="5">
        <f t="shared" si="4"/>
        <v>2.4700000000000002</v>
      </c>
      <c r="U33" s="5">
        <f t="shared" si="5"/>
        <v>2.4700000000000002</v>
      </c>
      <c r="V33" s="5">
        <f t="shared" si="6"/>
        <v>2.4700000000000002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980</v>
      </c>
      <c r="D34" s="3" t="s">
        <v>937</v>
      </c>
      <c r="E34" s="3" t="s">
        <v>1987</v>
      </c>
      <c r="F34" s="3" t="s">
        <v>1987</v>
      </c>
      <c r="G34" s="3" t="s">
        <v>937</v>
      </c>
      <c r="H34" s="51">
        <v>41696</v>
      </c>
      <c r="J34" s="3">
        <f t="shared" si="7"/>
        <v>2.04</v>
      </c>
      <c r="K34" s="3">
        <f t="shared" si="7"/>
        <v>2.1</v>
      </c>
      <c r="L34" s="3">
        <f t="shared" si="7"/>
        <v>2.1</v>
      </c>
      <c r="M34" s="3">
        <f t="shared" si="7"/>
        <v>2.04</v>
      </c>
      <c r="P34" s="14" t="s">
        <v>977</v>
      </c>
      <c r="Q34" s="10" t="str">
        <f t="shared" si="1"/>
        <v>COTEMINAS   -PN</v>
      </c>
      <c r="R34" s="51">
        <f t="shared" si="2"/>
        <v>41696</v>
      </c>
      <c r="S34" s="5">
        <f t="shared" si="3"/>
        <v>2.04</v>
      </c>
      <c r="T34" s="5">
        <f t="shared" si="4"/>
        <v>2.1</v>
      </c>
      <c r="U34" s="5">
        <f t="shared" si="5"/>
        <v>2.1</v>
      </c>
      <c r="V34" s="5">
        <f t="shared" si="6"/>
        <v>2.04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983</v>
      </c>
      <c r="D35" s="3" t="s">
        <v>728</v>
      </c>
      <c r="E35" s="3" t="s">
        <v>728</v>
      </c>
      <c r="F35" s="3" t="s">
        <v>728</v>
      </c>
      <c r="G35" s="3" t="s">
        <v>728</v>
      </c>
      <c r="H35" s="51">
        <v>41696</v>
      </c>
      <c r="J35" s="3">
        <f t="shared" si="7"/>
        <v>5</v>
      </c>
      <c r="K35" s="3">
        <f t="shared" si="7"/>
        <v>5</v>
      </c>
      <c r="L35" s="3">
        <f t="shared" si="7"/>
        <v>5</v>
      </c>
      <c r="M35" s="3">
        <f t="shared" si="7"/>
        <v>5</v>
      </c>
      <c r="P35" s="14" t="s">
        <v>981</v>
      </c>
      <c r="Q35" s="10" t="str">
        <f t="shared" si="1"/>
        <v>SANTANENSE  -ON</v>
      </c>
      <c r="R35" s="46">
        <f t="shared" si="2"/>
        <v>41696</v>
      </c>
      <c r="S35" s="6">
        <f t="shared" si="3"/>
        <v>5</v>
      </c>
      <c r="T35" s="6">
        <f t="shared" si="4"/>
        <v>5</v>
      </c>
      <c r="U35" s="6">
        <f t="shared" si="5"/>
        <v>5</v>
      </c>
      <c r="V35" s="6">
        <f t="shared" si="6"/>
        <v>5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984</v>
      </c>
      <c r="D36" s="3" t="s">
        <v>936</v>
      </c>
      <c r="E36" s="3" t="s">
        <v>936</v>
      </c>
      <c r="F36" s="3" t="s">
        <v>936</v>
      </c>
      <c r="G36" s="3" t="s">
        <v>936</v>
      </c>
      <c r="H36" s="51">
        <v>41687</v>
      </c>
      <c r="J36" s="3">
        <f t="shared" si="7"/>
        <v>5.97</v>
      </c>
      <c r="K36" s="3">
        <f t="shared" si="7"/>
        <v>5.97</v>
      </c>
      <c r="L36" s="3">
        <f t="shared" si="7"/>
        <v>5.97</v>
      </c>
      <c r="M36" s="3">
        <f t="shared" si="7"/>
        <v>5.97</v>
      </c>
      <c r="P36" s="14" t="s">
        <v>982</v>
      </c>
      <c r="Q36" s="10" t="str">
        <f t="shared" si="1"/>
        <v>SANTANENSE  -PN</v>
      </c>
      <c r="R36" s="51">
        <f t="shared" si="2"/>
        <v>41687</v>
      </c>
      <c r="S36" s="5">
        <f t="shared" si="3"/>
        <v>5.97</v>
      </c>
      <c r="T36" s="5">
        <f t="shared" si="4"/>
        <v>5.97</v>
      </c>
      <c r="U36" s="5">
        <f t="shared" si="5"/>
        <v>5.97</v>
      </c>
      <c r="V36" s="5">
        <f t="shared" si="6"/>
        <v>5.97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986</v>
      </c>
      <c r="D37" s="3" t="s">
        <v>435</v>
      </c>
      <c r="E37" s="3" t="s">
        <v>436</v>
      </c>
      <c r="F37" s="3" t="s">
        <v>435</v>
      </c>
      <c r="G37" s="3" t="s">
        <v>435</v>
      </c>
      <c r="H37" s="51" t="s">
        <v>435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985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871</v>
      </c>
      <c r="D38" s="3" t="s">
        <v>1737</v>
      </c>
      <c r="E38" s="3" t="s">
        <v>1832</v>
      </c>
      <c r="F38" s="3" t="s">
        <v>1988</v>
      </c>
      <c r="G38" s="3" t="s">
        <v>1432</v>
      </c>
      <c r="H38" s="51">
        <v>41696</v>
      </c>
      <c r="J38" s="3">
        <f t="shared" si="7"/>
        <v>12.42</v>
      </c>
      <c r="K38" s="3">
        <f t="shared" si="7"/>
        <v>13.05</v>
      </c>
      <c r="L38" s="3">
        <f t="shared" si="7"/>
        <v>13.1</v>
      </c>
      <c r="M38" s="3">
        <f t="shared" si="7"/>
        <v>12.31</v>
      </c>
      <c r="P38" s="15" t="s">
        <v>870</v>
      </c>
      <c r="Q38" s="10" t="str">
        <f t="shared" si="1"/>
        <v xml:space="preserve">CVC BRASIL  -ON  </v>
      </c>
      <c r="R38" s="51">
        <f t="shared" si="2"/>
        <v>41696</v>
      </c>
      <c r="S38" s="5">
        <f t="shared" si="3"/>
        <v>12.42</v>
      </c>
      <c r="T38" s="5">
        <f t="shared" si="4"/>
        <v>13.05</v>
      </c>
      <c r="U38" s="5">
        <f t="shared" si="5"/>
        <v>13.1</v>
      </c>
      <c r="V38" s="5">
        <f t="shared" si="6"/>
        <v>12.31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1111</v>
      </c>
      <c r="D39" s="3" t="s">
        <v>1509</v>
      </c>
      <c r="E39" s="3" t="s">
        <v>1602</v>
      </c>
      <c r="F39" s="3" t="s">
        <v>1649</v>
      </c>
      <c r="G39" s="3" t="s">
        <v>1989</v>
      </c>
      <c r="H39" s="51">
        <v>41696</v>
      </c>
      <c r="J39" s="3">
        <f t="shared" si="7"/>
        <v>13.56</v>
      </c>
      <c r="K39" s="3">
        <f t="shared" si="7"/>
        <v>13.25</v>
      </c>
      <c r="L39" s="3">
        <f t="shared" si="7"/>
        <v>13.62</v>
      </c>
      <c r="M39" s="3">
        <f t="shared" si="7"/>
        <v>13.23</v>
      </c>
      <c r="P39" s="14" t="s">
        <v>1103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41696</v>
      </c>
      <c r="S39" s="5">
        <f t="shared" ref="S39:S70" si="10">J39</f>
        <v>13.56</v>
      </c>
      <c r="T39" s="5">
        <f t="shared" ref="T39:T70" si="11">K39</f>
        <v>13.25</v>
      </c>
      <c r="U39" s="5">
        <f t="shared" ref="U39:U70" si="12">L39</f>
        <v>13.62</v>
      </c>
      <c r="V39" s="5">
        <f t="shared" ref="V39:V70" si="13">M39</f>
        <v>13.23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1112</v>
      </c>
      <c r="D40" s="3" t="s">
        <v>1738</v>
      </c>
      <c r="E40" s="3" t="s">
        <v>736</v>
      </c>
      <c r="F40" s="3" t="s">
        <v>736</v>
      </c>
      <c r="G40" s="3" t="s">
        <v>1739</v>
      </c>
      <c r="H40" s="51">
        <v>41696</v>
      </c>
      <c r="J40" s="3">
        <f t="shared" si="7"/>
        <v>10.050000000000001</v>
      </c>
      <c r="K40" s="3">
        <f t="shared" si="7"/>
        <v>10.15</v>
      </c>
      <c r="L40" s="3">
        <f t="shared" si="7"/>
        <v>10.15</v>
      </c>
      <c r="M40" s="3">
        <f t="shared" si="7"/>
        <v>9.98</v>
      </c>
      <c r="P40" s="14" t="s">
        <v>1104</v>
      </c>
      <c r="Q40" s="10" t="str">
        <f t="shared" si="8"/>
        <v xml:space="preserve">DIRECIONAL  -ON  </v>
      </c>
      <c r="R40" s="51">
        <f t="shared" si="9"/>
        <v>41696</v>
      </c>
      <c r="S40" s="5">
        <f t="shared" si="10"/>
        <v>10.050000000000001</v>
      </c>
      <c r="T40" s="5">
        <f t="shared" si="11"/>
        <v>10.15</v>
      </c>
      <c r="U40" s="5">
        <f t="shared" si="12"/>
        <v>10.15</v>
      </c>
      <c r="V40" s="5">
        <f t="shared" si="13"/>
        <v>9.98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989</v>
      </c>
      <c r="D41" s="3" t="s">
        <v>758</v>
      </c>
      <c r="E41" s="3" t="s">
        <v>758</v>
      </c>
      <c r="F41" s="3" t="s">
        <v>758</v>
      </c>
      <c r="G41" s="3" t="s">
        <v>758</v>
      </c>
      <c r="H41" s="51">
        <v>41604</v>
      </c>
      <c r="J41" s="3">
        <f t="shared" si="7"/>
        <v>5.5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987</v>
      </c>
      <c r="Q41" s="10" t="str">
        <f t="shared" si="8"/>
        <v>DOHLER      -ON</v>
      </c>
      <c r="R41" s="51">
        <f t="shared" si="9"/>
        <v>41604</v>
      </c>
      <c r="S41" s="5">
        <f t="shared" si="10"/>
        <v>5.5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990</v>
      </c>
      <c r="D42" s="3" t="s">
        <v>1408</v>
      </c>
      <c r="E42" s="3" t="s">
        <v>1409</v>
      </c>
      <c r="F42" s="3" t="s">
        <v>1409</v>
      </c>
      <c r="G42" s="3" t="s">
        <v>723</v>
      </c>
      <c r="H42" s="51">
        <v>41690</v>
      </c>
      <c r="J42" s="3">
        <f t="shared" si="7"/>
        <v>4.91</v>
      </c>
      <c r="K42" s="3">
        <f t="shared" si="7"/>
        <v>5.19</v>
      </c>
      <c r="L42" s="3">
        <f t="shared" si="7"/>
        <v>5.19</v>
      </c>
      <c r="M42" s="3">
        <f t="shared" si="7"/>
        <v>4.9000000000000004</v>
      </c>
      <c r="P42" s="15" t="s">
        <v>988</v>
      </c>
      <c r="Q42" s="10" t="str">
        <f t="shared" si="8"/>
        <v>DOHLER      -PN</v>
      </c>
      <c r="R42" s="46">
        <f t="shared" si="9"/>
        <v>41690</v>
      </c>
      <c r="S42" s="6">
        <f t="shared" si="10"/>
        <v>4.91</v>
      </c>
      <c r="T42" s="6">
        <f t="shared" si="11"/>
        <v>5.19</v>
      </c>
      <c r="U42" s="6">
        <f t="shared" si="12"/>
        <v>5.19</v>
      </c>
      <c r="V42" s="6">
        <f t="shared" si="13"/>
        <v>4.9000000000000004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993</v>
      </c>
      <c r="D43" s="3" t="s">
        <v>994</v>
      </c>
      <c r="E43" s="3" t="s">
        <v>994</v>
      </c>
      <c r="F43" s="3" t="s">
        <v>994</v>
      </c>
      <c r="G43" s="3" t="s">
        <v>994</v>
      </c>
      <c r="H43" s="51">
        <v>41681</v>
      </c>
      <c r="J43" s="3">
        <f t="shared" si="7"/>
        <v>31.86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991</v>
      </c>
      <c r="Q43" s="10" t="str">
        <f t="shared" si="8"/>
        <v>ENCORPAR    -ON</v>
      </c>
      <c r="R43" s="51">
        <f t="shared" si="9"/>
        <v>41681</v>
      </c>
      <c r="S43" s="5">
        <f t="shared" si="10"/>
        <v>31.86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995</v>
      </c>
      <c r="D44" s="3" t="s">
        <v>942</v>
      </c>
      <c r="E44" s="3" t="s">
        <v>942</v>
      </c>
      <c r="F44" s="3" t="s">
        <v>942</v>
      </c>
      <c r="G44" s="3" t="s">
        <v>942</v>
      </c>
      <c r="H44" s="51">
        <v>41579</v>
      </c>
      <c r="J44" s="3">
        <f t="shared" si="7"/>
        <v>49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992</v>
      </c>
      <c r="Q44" s="10" t="str">
        <f t="shared" si="8"/>
        <v>ENCORPAR    -PN</v>
      </c>
      <c r="R44" s="51">
        <f t="shared" si="9"/>
        <v>41579</v>
      </c>
      <c r="S44" s="5">
        <f t="shared" si="10"/>
        <v>49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963</v>
      </c>
      <c r="D45" s="3" t="s">
        <v>728</v>
      </c>
      <c r="E45" s="3" t="s">
        <v>728</v>
      </c>
      <c r="F45" s="3" t="s">
        <v>728</v>
      </c>
      <c r="G45" s="3" t="s">
        <v>728</v>
      </c>
      <c r="H45" s="51">
        <v>41649</v>
      </c>
      <c r="J45" s="3">
        <f t="shared" si="7"/>
        <v>5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961</v>
      </c>
      <c r="Q45" s="10" t="str">
        <f t="shared" si="8"/>
        <v>ESTRELA     -ON</v>
      </c>
      <c r="R45" s="51">
        <f t="shared" si="9"/>
        <v>41649</v>
      </c>
      <c r="S45" s="5">
        <f t="shared" si="10"/>
        <v>5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964</v>
      </c>
      <c r="D46" s="3" t="s">
        <v>1472</v>
      </c>
      <c r="E46" s="3" t="s">
        <v>1472</v>
      </c>
      <c r="F46" s="3" t="s">
        <v>953</v>
      </c>
      <c r="G46" s="3" t="s">
        <v>1665</v>
      </c>
      <c r="H46" s="51">
        <v>41696</v>
      </c>
      <c r="J46" s="3">
        <f t="shared" si="7"/>
        <v>0.21</v>
      </c>
      <c r="K46" s="3">
        <f t="shared" si="7"/>
        <v>0.21</v>
      </c>
      <c r="L46" s="3">
        <f t="shared" si="7"/>
        <v>0.22</v>
      </c>
      <c r="M46" s="3">
        <f t="shared" si="7"/>
        <v>0.2</v>
      </c>
      <c r="P46" s="14" t="s">
        <v>962</v>
      </c>
      <c r="Q46" s="10" t="str">
        <f t="shared" si="8"/>
        <v>ESTRELA     -PN</v>
      </c>
      <c r="R46" s="51">
        <f t="shared" si="9"/>
        <v>41696</v>
      </c>
      <c r="S46" s="5">
        <f t="shared" si="10"/>
        <v>0.21</v>
      </c>
      <c r="T46" s="5">
        <f t="shared" si="11"/>
        <v>0.21</v>
      </c>
      <c r="U46" s="5">
        <f t="shared" si="12"/>
        <v>0.22</v>
      </c>
      <c r="V46" s="5">
        <f t="shared" si="13"/>
        <v>0.2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1113</v>
      </c>
      <c r="D47" s="3" t="s">
        <v>1740</v>
      </c>
      <c r="E47" s="3" t="s">
        <v>272</v>
      </c>
      <c r="F47" s="3" t="s">
        <v>1572</v>
      </c>
      <c r="G47" s="3" t="s">
        <v>1528</v>
      </c>
      <c r="H47" s="51">
        <v>41696</v>
      </c>
      <c r="J47" s="3">
        <f t="shared" si="7"/>
        <v>7.22</v>
      </c>
      <c r="K47" s="3">
        <f t="shared" si="7"/>
        <v>7.08</v>
      </c>
      <c r="L47" s="3">
        <f t="shared" si="7"/>
        <v>7.3</v>
      </c>
      <c r="M47" s="3">
        <f t="shared" si="7"/>
        <v>7.06</v>
      </c>
      <c r="P47" s="15" t="s">
        <v>1105</v>
      </c>
      <c r="Q47" s="10" t="str">
        <f t="shared" si="8"/>
        <v xml:space="preserve">EVEN        -ON  </v>
      </c>
      <c r="R47" s="51">
        <f t="shared" si="9"/>
        <v>41696</v>
      </c>
      <c r="S47" s="5">
        <f t="shared" si="10"/>
        <v>7.22</v>
      </c>
      <c r="T47" s="5">
        <f t="shared" si="11"/>
        <v>7.08</v>
      </c>
      <c r="U47" s="5">
        <f t="shared" si="12"/>
        <v>7.3</v>
      </c>
      <c r="V47" s="5">
        <f t="shared" si="13"/>
        <v>7.06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1114</v>
      </c>
      <c r="D48" s="3" t="s">
        <v>1741</v>
      </c>
      <c r="E48" s="3" t="s">
        <v>1990</v>
      </c>
      <c r="F48" s="3" t="s">
        <v>1991</v>
      </c>
      <c r="G48" s="3" t="s">
        <v>1742</v>
      </c>
      <c r="H48" s="51">
        <v>41696</v>
      </c>
      <c r="J48" s="3">
        <f t="shared" si="7"/>
        <v>25.51</v>
      </c>
      <c r="K48" s="3">
        <f t="shared" si="7"/>
        <v>25.45</v>
      </c>
      <c r="L48" s="3">
        <f t="shared" si="7"/>
        <v>25.54</v>
      </c>
      <c r="M48" s="3">
        <f t="shared" si="7"/>
        <v>25.06</v>
      </c>
      <c r="P48" s="10" t="s">
        <v>1106</v>
      </c>
      <c r="Q48" s="10" t="str">
        <f t="shared" si="8"/>
        <v xml:space="preserve">EZTEC       -ON  </v>
      </c>
      <c r="R48" s="51">
        <f t="shared" si="9"/>
        <v>41696</v>
      </c>
      <c r="S48" s="5">
        <f t="shared" si="10"/>
        <v>25.51</v>
      </c>
      <c r="T48" s="5">
        <f t="shared" si="11"/>
        <v>25.45</v>
      </c>
      <c r="U48" s="5">
        <f t="shared" si="12"/>
        <v>25.54</v>
      </c>
      <c r="V48" s="5">
        <f t="shared" si="13"/>
        <v>25.06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1115</v>
      </c>
      <c r="D49" s="3" t="s">
        <v>1459</v>
      </c>
      <c r="E49" s="3" t="s">
        <v>1992</v>
      </c>
      <c r="F49" s="3" t="s">
        <v>1993</v>
      </c>
      <c r="G49" s="3" t="s">
        <v>677</v>
      </c>
      <c r="H49" s="51">
        <v>41696</v>
      </c>
      <c r="J49" s="3">
        <f t="shared" si="7"/>
        <v>3.03</v>
      </c>
      <c r="K49" s="3">
        <f t="shared" si="7"/>
        <v>3.13</v>
      </c>
      <c r="L49" s="3">
        <f t="shared" si="7"/>
        <v>3.14</v>
      </c>
      <c r="M49" s="3">
        <f t="shared" si="7"/>
        <v>3</v>
      </c>
      <c r="P49" s="14" t="s">
        <v>1107</v>
      </c>
      <c r="Q49" s="10" t="str">
        <f t="shared" si="8"/>
        <v xml:space="preserve">GAFISA      -ON  </v>
      </c>
      <c r="R49" s="51">
        <f t="shared" si="9"/>
        <v>41696</v>
      </c>
      <c r="S49" s="5">
        <f t="shared" si="10"/>
        <v>3.03</v>
      </c>
      <c r="T49" s="5">
        <f t="shared" si="11"/>
        <v>3.13</v>
      </c>
      <c r="U49" s="5">
        <f t="shared" si="12"/>
        <v>3.14</v>
      </c>
      <c r="V49" s="5">
        <f t="shared" si="13"/>
        <v>3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1076</v>
      </c>
      <c r="D50" s="3" t="s">
        <v>1743</v>
      </c>
      <c r="E50" s="3" t="s">
        <v>1745</v>
      </c>
      <c r="F50" s="3" t="s">
        <v>1744</v>
      </c>
      <c r="G50" s="3" t="s">
        <v>1994</v>
      </c>
      <c r="H50" s="51">
        <v>41696</v>
      </c>
      <c r="J50" s="3">
        <f t="shared" si="7"/>
        <v>91.8</v>
      </c>
      <c r="K50" s="3">
        <f t="shared" si="7"/>
        <v>90.5</v>
      </c>
      <c r="L50" s="3">
        <f t="shared" si="7"/>
        <v>95</v>
      </c>
      <c r="M50" s="3">
        <f t="shared" si="7"/>
        <v>90.05</v>
      </c>
      <c r="P50" s="14" t="s">
        <v>1074</v>
      </c>
      <c r="Q50" s="10" t="str">
        <f t="shared" si="8"/>
        <v>GUARARAPES  -ON</v>
      </c>
      <c r="R50" s="51">
        <f t="shared" si="9"/>
        <v>41696</v>
      </c>
      <c r="S50" s="5">
        <f t="shared" si="10"/>
        <v>91.8</v>
      </c>
      <c r="T50" s="5">
        <f t="shared" si="11"/>
        <v>90.5</v>
      </c>
      <c r="U50" s="5">
        <f t="shared" si="12"/>
        <v>95</v>
      </c>
      <c r="V50" s="5">
        <f t="shared" si="13"/>
        <v>90.05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1077</v>
      </c>
      <c r="D51" s="3" t="s">
        <v>1746</v>
      </c>
      <c r="E51" s="3" t="s">
        <v>1995</v>
      </c>
      <c r="F51" s="3" t="s">
        <v>1995</v>
      </c>
      <c r="G51" s="3" t="s">
        <v>1996</v>
      </c>
      <c r="H51" s="51">
        <v>41696</v>
      </c>
      <c r="J51" s="3">
        <f t="shared" si="7"/>
        <v>83.36</v>
      </c>
      <c r="K51" s="3">
        <f t="shared" si="7"/>
        <v>83.9</v>
      </c>
      <c r="L51" s="3">
        <f t="shared" si="7"/>
        <v>83.9</v>
      </c>
      <c r="M51" s="3">
        <f t="shared" si="7"/>
        <v>83</v>
      </c>
      <c r="P51" s="14" t="s">
        <v>1075</v>
      </c>
      <c r="Q51" s="10" t="str">
        <f t="shared" si="8"/>
        <v>GUARARAPES  -PN</v>
      </c>
      <c r="R51" s="46">
        <f t="shared" si="9"/>
        <v>41696</v>
      </c>
      <c r="S51" s="6">
        <f t="shared" si="10"/>
        <v>83.36</v>
      </c>
      <c r="T51" s="6">
        <f t="shared" si="11"/>
        <v>83.9</v>
      </c>
      <c r="U51" s="6">
        <f t="shared" si="12"/>
        <v>83.9</v>
      </c>
      <c r="V51" s="6">
        <f t="shared" si="13"/>
        <v>83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1116</v>
      </c>
      <c r="D52" s="3" t="s">
        <v>1747</v>
      </c>
      <c r="E52" s="3" t="s">
        <v>1997</v>
      </c>
      <c r="F52" s="3" t="s">
        <v>1747</v>
      </c>
      <c r="G52" s="3" t="s">
        <v>1997</v>
      </c>
      <c r="H52" s="51">
        <v>41696</v>
      </c>
      <c r="J52" s="3">
        <f t="shared" si="7"/>
        <v>7.09</v>
      </c>
      <c r="K52" s="3">
        <f t="shared" si="7"/>
        <v>6.92</v>
      </c>
      <c r="L52" s="3">
        <f t="shared" si="7"/>
        <v>7.09</v>
      </c>
      <c r="M52" s="3">
        <f t="shared" si="7"/>
        <v>6.92</v>
      </c>
      <c r="P52" s="14" t="s">
        <v>1108</v>
      </c>
      <c r="Q52" s="10" t="str">
        <f t="shared" si="8"/>
        <v xml:space="preserve">HELBOR      -ON  </v>
      </c>
      <c r="R52" s="51">
        <f t="shared" si="9"/>
        <v>41696</v>
      </c>
      <c r="S52" s="5">
        <f t="shared" si="10"/>
        <v>7.09</v>
      </c>
      <c r="T52" s="5">
        <f t="shared" si="11"/>
        <v>6.92</v>
      </c>
      <c r="U52" s="5">
        <f t="shared" si="12"/>
        <v>7.09</v>
      </c>
      <c r="V52" s="5">
        <f t="shared" si="13"/>
        <v>6.92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972</v>
      </c>
      <c r="D53" s="3" t="s">
        <v>931</v>
      </c>
      <c r="E53" s="3" t="s">
        <v>671</v>
      </c>
      <c r="F53" s="3" t="s">
        <v>671</v>
      </c>
      <c r="G53" s="3" t="s">
        <v>931</v>
      </c>
      <c r="H53" s="51">
        <v>41554</v>
      </c>
      <c r="J53" s="3">
        <f t="shared" si="7"/>
        <v>0.6</v>
      </c>
      <c r="K53" s="3">
        <f t="shared" si="7"/>
        <v>0.61</v>
      </c>
      <c r="L53" s="3">
        <f t="shared" si="7"/>
        <v>0.61</v>
      </c>
      <c r="M53" s="3">
        <f t="shared" si="7"/>
        <v>0.6</v>
      </c>
      <c r="P53" s="14" t="s">
        <v>970</v>
      </c>
      <c r="Q53" s="10" t="str">
        <f t="shared" si="8"/>
        <v>HERCULES    -ON</v>
      </c>
      <c r="R53" s="51">
        <f t="shared" si="9"/>
        <v>41554</v>
      </c>
      <c r="S53" s="5">
        <f t="shared" si="10"/>
        <v>0.6</v>
      </c>
      <c r="T53" s="5">
        <f t="shared" si="11"/>
        <v>0.61</v>
      </c>
      <c r="U53" s="5">
        <f t="shared" si="12"/>
        <v>0.61</v>
      </c>
      <c r="V53" s="5">
        <f t="shared" si="13"/>
        <v>0.6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973</v>
      </c>
      <c r="D54" s="3" t="s">
        <v>1478</v>
      </c>
      <c r="E54" s="61" t="s">
        <v>1478</v>
      </c>
      <c r="F54" s="61" t="s">
        <v>1478</v>
      </c>
      <c r="G54" s="61" t="s">
        <v>1478</v>
      </c>
      <c r="H54" s="51">
        <v>41696</v>
      </c>
      <c r="J54" s="3">
        <f t="shared" si="7"/>
        <v>0.31</v>
      </c>
      <c r="K54" s="3">
        <f t="shared" si="7"/>
        <v>0.31</v>
      </c>
      <c r="L54" s="3">
        <f t="shared" si="7"/>
        <v>0.31</v>
      </c>
      <c r="M54" s="3">
        <f t="shared" si="7"/>
        <v>0.31</v>
      </c>
      <c r="P54" s="14" t="s">
        <v>971</v>
      </c>
      <c r="Q54" s="10" t="str">
        <f t="shared" si="8"/>
        <v>HERCULES    -PN</v>
      </c>
      <c r="R54" s="51">
        <f t="shared" si="9"/>
        <v>41696</v>
      </c>
      <c r="S54" s="5">
        <f t="shared" si="10"/>
        <v>0.31</v>
      </c>
      <c r="T54" s="5">
        <f t="shared" si="11"/>
        <v>0.31</v>
      </c>
      <c r="U54" s="5">
        <f t="shared" si="12"/>
        <v>0.31</v>
      </c>
      <c r="V54" s="5">
        <f t="shared" si="13"/>
        <v>0.31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909</v>
      </c>
      <c r="D55" s="3" t="s">
        <v>1748</v>
      </c>
      <c r="E55" s="3" t="s">
        <v>1998</v>
      </c>
      <c r="F55" s="3" t="s">
        <v>1999</v>
      </c>
      <c r="G55" s="3" t="s">
        <v>480</v>
      </c>
      <c r="H55" s="51">
        <v>41696</v>
      </c>
      <c r="J55" s="3">
        <f t="shared" si="7"/>
        <v>24.78</v>
      </c>
      <c r="K55" s="3">
        <f t="shared" si="7"/>
        <v>24.9</v>
      </c>
      <c r="L55" s="3">
        <f t="shared" si="7"/>
        <v>25.2</v>
      </c>
      <c r="M55" s="3">
        <f t="shared" si="7"/>
        <v>24.53</v>
      </c>
      <c r="P55" s="14" t="s">
        <v>908</v>
      </c>
      <c r="Q55" s="10" t="str">
        <f t="shared" si="8"/>
        <v xml:space="preserve">CIA HERING  -ON  </v>
      </c>
      <c r="R55" s="51">
        <f t="shared" si="9"/>
        <v>41696</v>
      </c>
      <c r="S55" s="5">
        <f t="shared" si="10"/>
        <v>24.78</v>
      </c>
      <c r="T55" s="5">
        <f t="shared" si="11"/>
        <v>24.9</v>
      </c>
      <c r="U55" s="5">
        <f t="shared" si="12"/>
        <v>25.2</v>
      </c>
      <c r="V55" s="5">
        <f t="shared" si="13"/>
        <v>24.53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907</v>
      </c>
      <c r="D56" s="3" t="s">
        <v>1749</v>
      </c>
      <c r="E56" s="3" t="s">
        <v>2000</v>
      </c>
      <c r="F56" s="3" t="s">
        <v>1750</v>
      </c>
      <c r="G56" s="3" t="s">
        <v>1751</v>
      </c>
      <c r="H56" s="51">
        <v>41696</v>
      </c>
      <c r="J56" s="3">
        <f t="shared" si="7"/>
        <v>5.49</v>
      </c>
      <c r="K56" s="3">
        <f t="shared" si="7"/>
        <v>5.0199999999999996</v>
      </c>
      <c r="L56" s="3">
        <f t="shared" si="7"/>
        <v>5.59</v>
      </c>
      <c r="M56" s="3">
        <f t="shared" si="7"/>
        <v>4.95</v>
      </c>
      <c r="P56" s="14" t="s">
        <v>906</v>
      </c>
      <c r="Q56" s="10" t="str">
        <f t="shared" si="8"/>
        <v>IGB S/A     -ON</v>
      </c>
      <c r="R56" s="51">
        <f t="shared" si="9"/>
        <v>41696</v>
      </c>
      <c r="S56" s="5">
        <f t="shared" si="10"/>
        <v>5.49</v>
      </c>
      <c r="T56" s="5">
        <f t="shared" si="11"/>
        <v>5.0199999999999996</v>
      </c>
      <c r="U56" s="5">
        <f t="shared" si="12"/>
        <v>5.59</v>
      </c>
      <c r="V56" s="5">
        <f t="shared" si="13"/>
        <v>4.95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854</v>
      </c>
      <c r="D57" s="3" t="s">
        <v>855</v>
      </c>
      <c r="E57" s="3" t="s">
        <v>855</v>
      </c>
      <c r="F57" s="3" t="s">
        <v>855</v>
      </c>
      <c r="G57" s="3" t="s">
        <v>855</v>
      </c>
      <c r="H57" s="51">
        <v>41667</v>
      </c>
      <c r="J57" s="3">
        <f t="shared" si="7"/>
        <v>3.75</v>
      </c>
      <c r="K57" s="3">
        <f t="shared" si="7"/>
        <v>3.75</v>
      </c>
      <c r="L57" s="3">
        <f t="shared" si="7"/>
        <v>3.75</v>
      </c>
      <c r="M57" s="3">
        <f t="shared" si="7"/>
        <v>3.75</v>
      </c>
      <c r="P57" s="14" t="s">
        <v>851</v>
      </c>
      <c r="Q57" s="10" t="str">
        <f t="shared" si="8"/>
        <v>IGUACU CAFE -ON</v>
      </c>
      <c r="R57" s="51">
        <f t="shared" si="9"/>
        <v>41667</v>
      </c>
      <c r="S57" s="5">
        <f t="shared" si="10"/>
        <v>3.75</v>
      </c>
      <c r="T57" s="5">
        <f t="shared" si="11"/>
        <v>3.75</v>
      </c>
      <c r="U57" s="5">
        <f t="shared" si="12"/>
        <v>3.75</v>
      </c>
      <c r="V57" s="5">
        <f t="shared" si="13"/>
        <v>3.75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856</v>
      </c>
      <c r="D58" s="3" t="s">
        <v>945</v>
      </c>
      <c r="E58" s="3" t="s">
        <v>945</v>
      </c>
      <c r="F58" s="3" t="s">
        <v>945</v>
      </c>
      <c r="G58" s="3" t="s">
        <v>945</v>
      </c>
      <c r="H58" s="51">
        <v>41696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852</v>
      </c>
      <c r="Q58" s="10" t="str">
        <f t="shared" si="8"/>
        <v>IGUACU CAFE -PNA</v>
      </c>
      <c r="R58" s="51">
        <f t="shared" si="9"/>
        <v>41696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857</v>
      </c>
      <c r="D59" s="3" t="s">
        <v>779</v>
      </c>
      <c r="E59" s="61" t="s">
        <v>779</v>
      </c>
      <c r="F59" s="61" t="s">
        <v>779</v>
      </c>
      <c r="G59" s="61" t="s">
        <v>779</v>
      </c>
      <c r="H59" s="51">
        <v>41696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853</v>
      </c>
      <c r="Q59" s="10" t="str">
        <f t="shared" si="8"/>
        <v>IGUACU CAFE -PNB</v>
      </c>
      <c r="R59" s="51">
        <f t="shared" si="9"/>
        <v>41696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1064</v>
      </c>
      <c r="D60" s="3" t="s">
        <v>1752</v>
      </c>
      <c r="E60" s="61" t="s">
        <v>2001</v>
      </c>
      <c r="F60" s="61" t="s">
        <v>1753</v>
      </c>
      <c r="G60" s="61" t="s">
        <v>2002</v>
      </c>
      <c r="H60" s="51">
        <v>41696</v>
      </c>
      <c r="J60" s="3">
        <f t="shared" si="7"/>
        <v>16.02</v>
      </c>
      <c r="K60" s="3">
        <f t="shared" si="7"/>
        <v>15.47</v>
      </c>
      <c r="L60" s="3">
        <f t="shared" si="7"/>
        <v>16.04</v>
      </c>
      <c r="M60" s="3">
        <f t="shared" si="7"/>
        <v>15.26</v>
      </c>
      <c r="P60" s="14" t="s">
        <v>1061</v>
      </c>
      <c r="Q60" s="10" t="str">
        <f t="shared" si="8"/>
        <v xml:space="preserve">IMC HOLDINGS-ON  </v>
      </c>
      <c r="R60" s="51">
        <f t="shared" si="9"/>
        <v>41696</v>
      </c>
      <c r="S60" s="5">
        <f t="shared" si="10"/>
        <v>16.02</v>
      </c>
      <c r="T60" s="5">
        <f t="shared" si="11"/>
        <v>15.47</v>
      </c>
      <c r="U60" s="5">
        <f t="shared" si="12"/>
        <v>16.04</v>
      </c>
      <c r="V60" s="5">
        <f t="shared" si="13"/>
        <v>15.26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1128</v>
      </c>
      <c r="D61" s="3" t="s">
        <v>758</v>
      </c>
      <c r="E61" s="3" t="s">
        <v>1492</v>
      </c>
      <c r="F61" s="3" t="s">
        <v>758</v>
      </c>
      <c r="G61" s="3" t="s">
        <v>1493</v>
      </c>
      <c r="H61" s="51">
        <v>41694</v>
      </c>
      <c r="J61" s="3">
        <f t="shared" si="7"/>
        <v>5.5</v>
      </c>
      <c r="K61" s="3">
        <f t="shared" si="7"/>
        <v>5.42</v>
      </c>
      <c r="L61" s="3">
        <f t="shared" si="7"/>
        <v>5.5</v>
      </c>
      <c r="M61" s="3">
        <f t="shared" si="7"/>
        <v>5.31</v>
      </c>
      <c r="P61" s="10" t="s">
        <v>1118</v>
      </c>
      <c r="Q61" s="10" t="str">
        <f t="shared" si="8"/>
        <v>JOAO FORTES -ON</v>
      </c>
      <c r="R61" s="51">
        <f t="shared" si="9"/>
        <v>41694</v>
      </c>
      <c r="S61" s="5">
        <f t="shared" si="10"/>
        <v>5.5</v>
      </c>
      <c r="T61" s="5">
        <f t="shared" si="11"/>
        <v>5.42</v>
      </c>
      <c r="U61" s="5">
        <f t="shared" si="12"/>
        <v>5.5</v>
      </c>
      <c r="V61" s="5">
        <f t="shared" si="13"/>
        <v>5.31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1117</v>
      </c>
      <c r="D62" s="3" t="s">
        <v>1754</v>
      </c>
      <c r="E62" s="3" t="s">
        <v>951</v>
      </c>
      <c r="F62" s="3" t="s">
        <v>2003</v>
      </c>
      <c r="G62" s="3" t="s">
        <v>1495</v>
      </c>
      <c r="H62" s="51">
        <v>41696</v>
      </c>
      <c r="J62" s="3">
        <f t="shared" si="7"/>
        <v>4.2300000000000004</v>
      </c>
      <c r="K62" s="3">
        <f t="shared" si="7"/>
        <v>4.3</v>
      </c>
      <c r="L62" s="3">
        <f t="shared" si="7"/>
        <v>4.3600000000000003</v>
      </c>
      <c r="M62" s="3">
        <f t="shared" si="7"/>
        <v>4.22</v>
      </c>
      <c r="P62" s="10" t="s">
        <v>1109</v>
      </c>
      <c r="Q62" s="10" t="str">
        <f t="shared" si="8"/>
        <v xml:space="preserve">JHSF PART   -ON  </v>
      </c>
      <c r="R62" s="51">
        <f t="shared" si="9"/>
        <v>41696</v>
      </c>
      <c r="S62" s="5">
        <f t="shared" si="10"/>
        <v>4.2300000000000004</v>
      </c>
      <c r="T62" s="5">
        <f t="shared" si="11"/>
        <v>4.3</v>
      </c>
      <c r="U62" s="5">
        <f t="shared" si="12"/>
        <v>4.3600000000000003</v>
      </c>
      <c r="V62" s="5">
        <f t="shared" si="13"/>
        <v>4.22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253</v>
      </c>
      <c r="D63" s="3" t="s">
        <v>782</v>
      </c>
      <c r="E63" s="3" t="s">
        <v>782</v>
      </c>
      <c r="F63" s="3" t="s">
        <v>782</v>
      </c>
      <c r="G63" s="3" t="s">
        <v>782</v>
      </c>
      <c r="H63" s="51">
        <v>41674</v>
      </c>
      <c r="J63" s="3">
        <f t="shared" si="7"/>
        <v>17.010000000000002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251</v>
      </c>
      <c r="Q63" s="10" t="str">
        <f t="shared" si="8"/>
        <v>JOSAPAR     -ON</v>
      </c>
      <c r="R63" s="46">
        <f t="shared" si="9"/>
        <v>41674</v>
      </c>
      <c r="S63" s="6">
        <f t="shared" si="10"/>
        <v>17.010000000000002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254</v>
      </c>
      <c r="D64" s="3" t="s">
        <v>407</v>
      </c>
      <c r="E64" s="3" t="s">
        <v>407</v>
      </c>
      <c r="F64" s="3" t="s">
        <v>407</v>
      </c>
      <c r="G64" s="3" t="s">
        <v>407</v>
      </c>
      <c r="H64" s="51">
        <v>41684</v>
      </c>
      <c r="J64" s="3">
        <f t="shared" si="7"/>
        <v>20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252</v>
      </c>
      <c r="Q64" s="10" t="str">
        <f t="shared" si="8"/>
        <v>JOSAPAR     -PN</v>
      </c>
      <c r="R64" s="51">
        <f t="shared" si="9"/>
        <v>41684</v>
      </c>
      <c r="S64" s="5">
        <f t="shared" si="10"/>
        <v>20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1080</v>
      </c>
      <c r="D65" s="3" t="s">
        <v>435</v>
      </c>
      <c r="E65" s="3" t="s">
        <v>436</v>
      </c>
      <c r="F65" s="3" t="s">
        <v>435</v>
      </c>
      <c r="G65" s="3" t="s">
        <v>435</v>
      </c>
      <c r="H65" s="51" t="s">
        <v>435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1078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1081</v>
      </c>
      <c r="D66" s="3" t="s">
        <v>1755</v>
      </c>
      <c r="E66" s="3" t="s">
        <v>1755</v>
      </c>
      <c r="F66" s="3" t="s">
        <v>1755</v>
      </c>
      <c r="G66" s="3" t="s">
        <v>1755</v>
      </c>
      <c r="H66" s="51">
        <v>41695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1079</v>
      </c>
      <c r="Q66" s="10" t="str">
        <f t="shared" si="8"/>
        <v>LOJAS HERING-PN</v>
      </c>
      <c r="R66" s="51">
        <f t="shared" si="9"/>
        <v>41695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1066</v>
      </c>
      <c r="D67" s="3" t="s">
        <v>1756</v>
      </c>
      <c r="E67" s="3" t="s">
        <v>2004</v>
      </c>
      <c r="F67" s="3" t="s">
        <v>2005</v>
      </c>
      <c r="G67" s="3" t="s">
        <v>768</v>
      </c>
      <c r="H67" s="51">
        <v>41696</v>
      </c>
      <c r="J67" s="3">
        <f t="shared" si="7"/>
        <v>5.99</v>
      </c>
      <c r="K67" s="3">
        <f t="shared" si="7"/>
        <v>6.04</v>
      </c>
      <c r="L67" s="3">
        <f t="shared" si="7"/>
        <v>6.1</v>
      </c>
      <c r="M67" s="3">
        <f t="shared" si="7"/>
        <v>5.96</v>
      </c>
      <c r="P67" s="15" t="s">
        <v>1065</v>
      </c>
      <c r="Q67" s="10" t="str">
        <f t="shared" si="8"/>
        <v xml:space="preserve">LE LIS BLANC-ON  </v>
      </c>
      <c r="R67" s="51">
        <f t="shared" si="9"/>
        <v>41696</v>
      </c>
      <c r="S67" s="5">
        <f t="shared" si="10"/>
        <v>5.99</v>
      </c>
      <c r="T67" s="5">
        <f t="shared" si="11"/>
        <v>6.04</v>
      </c>
      <c r="U67" s="5">
        <f t="shared" si="12"/>
        <v>6.1</v>
      </c>
      <c r="V67" s="5">
        <f t="shared" si="13"/>
        <v>5.96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1083</v>
      </c>
      <c r="D68" s="3" t="s">
        <v>1757</v>
      </c>
      <c r="E68" s="3" t="s">
        <v>2006</v>
      </c>
      <c r="F68" s="3" t="s">
        <v>2007</v>
      </c>
      <c r="G68" s="3" t="s">
        <v>1758</v>
      </c>
      <c r="H68" s="51">
        <v>41696</v>
      </c>
      <c r="J68" s="3">
        <f t="shared" si="7"/>
        <v>56.88</v>
      </c>
      <c r="K68" s="3">
        <f t="shared" si="7"/>
        <v>57.77</v>
      </c>
      <c r="L68" s="3">
        <f t="shared" si="7"/>
        <v>58.29</v>
      </c>
      <c r="M68" s="3">
        <f t="shared" si="7"/>
        <v>56.31</v>
      </c>
      <c r="P68" s="15" t="s">
        <v>1082</v>
      </c>
      <c r="Q68" s="10" t="str">
        <f t="shared" si="8"/>
        <v xml:space="preserve">LOJAS RENNER-ON  </v>
      </c>
      <c r="R68" s="51">
        <f t="shared" si="9"/>
        <v>41696</v>
      </c>
      <c r="S68" s="5">
        <f t="shared" si="10"/>
        <v>56.88</v>
      </c>
      <c r="T68" s="5">
        <f t="shared" si="11"/>
        <v>57.77</v>
      </c>
      <c r="U68" s="5">
        <f t="shared" si="12"/>
        <v>58.29</v>
      </c>
      <c r="V68" s="5">
        <f t="shared" si="13"/>
        <v>56.31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899</v>
      </c>
      <c r="D69" s="3" t="s">
        <v>1573</v>
      </c>
      <c r="E69" s="3" t="s">
        <v>1530</v>
      </c>
      <c r="F69" s="3" t="s">
        <v>2008</v>
      </c>
      <c r="G69" s="3" t="s">
        <v>1530</v>
      </c>
      <c r="H69" s="51">
        <v>41696</v>
      </c>
      <c r="J69" s="3">
        <f t="shared" si="7"/>
        <v>7.17</v>
      </c>
      <c r="K69" s="3">
        <f t="shared" si="7"/>
        <v>7.04</v>
      </c>
      <c r="L69" s="3">
        <f t="shared" si="7"/>
        <v>7.28</v>
      </c>
      <c r="M69" s="3">
        <f t="shared" si="7"/>
        <v>7.04</v>
      </c>
      <c r="P69" s="15" t="s">
        <v>898</v>
      </c>
      <c r="Q69" s="10" t="str">
        <f t="shared" si="8"/>
        <v xml:space="preserve">MAGAZ LUIZA -ON  </v>
      </c>
      <c r="R69" s="51">
        <f t="shared" si="9"/>
        <v>41696</v>
      </c>
      <c r="S69" s="5">
        <f t="shared" si="10"/>
        <v>7.17</v>
      </c>
      <c r="T69" s="5">
        <f t="shared" si="11"/>
        <v>7.04</v>
      </c>
      <c r="U69" s="5">
        <f t="shared" si="12"/>
        <v>7.28</v>
      </c>
      <c r="V69" s="5">
        <f t="shared" si="13"/>
        <v>7.04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1034</v>
      </c>
      <c r="D70" s="3" t="s">
        <v>1479</v>
      </c>
      <c r="E70" s="3" t="s">
        <v>1759</v>
      </c>
      <c r="F70" s="3" t="s">
        <v>1479</v>
      </c>
      <c r="G70" s="3" t="s">
        <v>1609</v>
      </c>
      <c r="H70" s="51">
        <v>41695</v>
      </c>
      <c r="J70" s="3">
        <f t="shared" si="7"/>
        <v>9.9700000000000006</v>
      </c>
      <c r="K70" s="3">
        <f t="shared" si="7"/>
        <v>9.86</v>
      </c>
      <c r="L70" s="3">
        <f t="shared" si="7"/>
        <v>9.9700000000000006</v>
      </c>
      <c r="M70" s="3">
        <f t="shared" si="7"/>
        <v>9.6</v>
      </c>
      <c r="P70" s="14" t="s">
        <v>1032</v>
      </c>
      <c r="Q70" s="10" t="str">
        <f t="shared" si="8"/>
        <v>MUNDIAL     -ON</v>
      </c>
      <c r="R70" s="51">
        <f t="shared" si="9"/>
        <v>41695</v>
      </c>
      <c r="S70" s="5">
        <f t="shared" si="10"/>
        <v>9.9700000000000006</v>
      </c>
      <c r="T70" s="5">
        <f t="shared" si="11"/>
        <v>9.86</v>
      </c>
      <c r="U70" s="5">
        <f t="shared" si="12"/>
        <v>9.9700000000000006</v>
      </c>
      <c r="V70" s="5">
        <f t="shared" si="13"/>
        <v>9.6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1129</v>
      </c>
      <c r="D71" s="3" t="s">
        <v>1760</v>
      </c>
      <c r="E71" s="3" t="s">
        <v>1292</v>
      </c>
      <c r="F71" s="3" t="s">
        <v>1696</v>
      </c>
      <c r="G71" s="3" t="s">
        <v>2009</v>
      </c>
      <c r="H71" s="51">
        <v>41696</v>
      </c>
      <c r="J71" s="3">
        <f t="shared" si="7"/>
        <v>7.87</v>
      </c>
      <c r="K71" s="3">
        <f t="shared" si="7"/>
        <v>7.8</v>
      </c>
      <c r="L71" s="3">
        <f t="shared" si="7"/>
        <v>8.02</v>
      </c>
      <c r="M71" s="3">
        <f t="shared" si="7"/>
        <v>7.78</v>
      </c>
      <c r="P71" s="15" t="s">
        <v>1119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41696</v>
      </c>
      <c r="S71" s="5">
        <f t="shared" ref="S71:S102" si="16">J71</f>
        <v>7.87</v>
      </c>
      <c r="T71" s="5">
        <f t="shared" ref="T71:T102" si="17">K71</f>
        <v>7.8</v>
      </c>
      <c r="U71" s="5">
        <f t="shared" ref="U71:U102" si="18">L71</f>
        <v>8.02</v>
      </c>
      <c r="V71" s="5">
        <f t="shared" ref="V71:V102" si="19">M71</f>
        <v>7.78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967</v>
      </c>
      <c r="D72" s="3" t="s">
        <v>435</v>
      </c>
      <c r="E72" s="3" t="s">
        <v>436</v>
      </c>
      <c r="F72" s="3" t="s">
        <v>435</v>
      </c>
      <c r="G72" s="3" t="s">
        <v>435</v>
      </c>
      <c r="H72" s="51" t="s">
        <v>435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965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968</v>
      </c>
      <c r="D73" s="3" t="s">
        <v>405</v>
      </c>
      <c r="E73" s="3" t="s">
        <v>405</v>
      </c>
      <c r="F73" s="3" t="s">
        <v>405</v>
      </c>
      <c r="G73" s="3" t="s">
        <v>405</v>
      </c>
      <c r="H73" s="51">
        <v>41696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966</v>
      </c>
      <c r="Q73" s="10" t="str">
        <f t="shared" si="14"/>
        <v>NADIR FIGUEI-PN</v>
      </c>
      <c r="R73" s="51">
        <f t="shared" si="15"/>
        <v>41696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1039</v>
      </c>
      <c r="D74" s="3" t="s">
        <v>1374</v>
      </c>
      <c r="E74" s="3" t="s">
        <v>1374</v>
      </c>
      <c r="F74" s="3" t="s">
        <v>1374</v>
      </c>
      <c r="G74" s="3" t="s">
        <v>1374</v>
      </c>
      <c r="H74" s="51">
        <v>41690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1037</v>
      </c>
      <c r="Q74" s="10" t="str">
        <f t="shared" si="14"/>
        <v>NET         -ON</v>
      </c>
      <c r="R74" s="51">
        <f t="shared" si="15"/>
        <v>41690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1040</v>
      </c>
      <c r="D75" s="3" t="s">
        <v>1761</v>
      </c>
      <c r="E75" s="3" t="s">
        <v>2010</v>
      </c>
      <c r="F75" s="3" t="s">
        <v>2011</v>
      </c>
      <c r="G75" s="3" t="s">
        <v>2010</v>
      </c>
      <c r="H75" s="51">
        <v>41696</v>
      </c>
      <c r="J75" s="3">
        <f t="shared" si="20"/>
        <v>29.2</v>
      </c>
      <c r="K75" s="3">
        <f t="shared" si="20"/>
        <v>29.14</v>
      </c>
      <c r="L75" s="3">
        <f t="shared" si="20"/>
        <v>29.3</v>
      </c>
      <c r="M75" s="3">
        <f t="shared" si="20"/>
        <v>29.14</v>
      </c>
      <c r="P75" s="14" t="s">
        <v>1038</v>
      </c>
      <c r="Q75" s="10" t="str">
        <f t="shared" si="14"/>
        <v>NET         -PN</v>
      </c>
      <c r="R75" s="51">
        <f t="shared" si="15"/>
        <v>41696</v>
      </c>
      <c r="S75" s="5">
        <f t="shared" si="16"/>
        <v>29.2</v>
      </c>
      <c r="T75" s="5">
        <f t="shared" si="17"/>
        <v>29.14</v>
      </c>
      <c r="U75" s="5">
        <f t="shared" si="18"/>
        <v>29.3</v>
      </c>
      <c r="V75" s="5">
        <f t="shared" si="19"/>
        <v>29.14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1130</v>
      </c>
      <c r="D76" s="3" t="s">
        <v>698</v>
      </c>
      <c r="E76" s="3" t="s">
        <v>1150</v>
      </c>
      <c r="F76" s="3" t="s">
        <v>1433</v>
      </c>
      <c r="G76" s="3" t="s">
        <v>1406</v>
      </c>
      <c r="H76" s="51">
        <v>41696</v>
      </c>
      <c r="J76" s="3">
        <f t="shared" si="20"/>
        <v>1.51</v>
      </c>
      <c r="K76" s="3">
        <f t="shared" si="20"/>
        <v>1.5</v>
      </c>
      <c r="L76" s="3">
        <f t="shared" si="20"/>
        <v>1.52</v>
      </c>
      <c r="M76" s="3">
        <f t="shared" si="20"/>
        <v>1.48</v>
      </c>
      <c r="P76" s="15" t="s">
        <v>1120</v>
      </c>
      <c r="Q76" s="10" t="str">
        <f t="shared" si="14"/>
        <v xml:space="preserve">PDG REALT   -ON  </v>
      </c>
      <c r="R76" s="51">
        <f t="shared" si="15"/>
        <v>41696</v>
      </c>
      <c r="S76" s="5">
        <f t="shared" si="16"/>
        <v>1.51</v>
      </c>
      <c r="T76" s="5">
        <f t="shared" si="17"/>
        <v>1.5</v>
      </c>
      <c r="U76" s="5">
        <f t="shared" si="18"/>
        <v>1.52</v>
      </c>
      <c r="V76" s="5">
        <f t="shared" si="19"/>
        <v>1.48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1003</v>
      </c>
      <c r="D77" s="3" t="s">
        <v>1004</v>
      </c>
      <c r="E77" s="3" t="s">
        <v>1004</v>
      </c>
      <c r="F77" s="3" t="s">
        <v>1004</v>
      </c>
      <c r="G77" s="3" t="s">
        <v>1004</v>
      </c>
      <c r="H77" s="51">
        <v>41687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1001</v>
      </c>
      <c r="Q77" s="10" t="str">
        <f t="shared" si="14"/>
        <v>PETTENATI   -ON</v>
      </c>
      <c r="R77" s="51">
        <f t="shared" si="15"/>
        <v>41687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1005</v>
      </c>
      <c r="D78" s="3" t="s">
        <v>1762</v>
      </c>
      <c r="E78" s="3" t="s">
        <v>1762</v>
      </c>
      <c r="F78" s="3" t="s">
        <v>1734</v>
      </c>
      <c r="G78" s="3" t="s">
        <v>1762</v>
      </c>
      <c r="H78" s="51">
        <v>41696</v>
      </c>
      <c r="J78" s="3">
        <f t="shared" si="20"/>
        <v>1.27</v>
      </c>
      <c r="K78" s="3">
        <f t="shared" si="20"/>
        <v>1.27</v>
      </c>
      <c r="L78" s="3">
        <f t="shared" si="20"/>
        <v>1.45</v>
      </c>
      <c r="M78" s="3">
        <f t="shared" si="20"/>
        <v>1.27</v>
      </c>
      <c r="P78" s="15" t="s">
        <v>1002</v>
      </c>
      <c r="Q78" s="10" t="str">
        <f t="shared" si="14"/>
        <v>PETTENATI   -PN</v>
      </c>
      <c r="R78" s="51">
        <f t="shared" si="15"/>
        <v>41696</v>
      </c>
      <c r="S78" s="5">
        <f t="shared" si="16"/>
        <v>1.27</v>
      </c>
      <c r="T78" s="5">
        <f t="shared" si="17"/>
        <v>1.27</v>
      </c>
      <c r="U78" s="5">
        <f t="shared" si="18"/>
        <v>1.45</v>
      </c>
      <c r="V78" s="5">
        <f t="shared" si="19"/>
        <v>1.27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1131</v>
      </c>
      <c r="D79" s="3" t="s">
        <v>136</v>
      </c>
      <c r="E79" s="3" t="s">
        <v>2012</v>
      </c>
      <c r="F79" s="3" t="s">
        <v>136</v>
      </c>
      <c r="G79" s="3" t="s">
        <v>1370</v>
      </c>
      <c r="H79" s="51">
        <v>41696</v>
      </c>
      <c r="J79" s="3">
        <f t="shared" si="20"/>
        <v>11</v>
      </c>
      <c r="K79" s="3">
        <f t="shared" si="20"/>
        <v>10.6</v>
      </c>
      <c r="L79" s="3">
        <f t="shared" si="20"/>
        <v>11</v>
      </c>
      <c r="M79" s="3">
        <f t="shared" si="20"/>
        <v>10.5</v>
      </c>
      <c r="P79" s="15" t="s">
        <v>1121</v>
      </c>
      <c r="Q79" s="10" t="str">
        <f t="shared" si="14"/>
        <v xml:space="preserve">RODOBENSIMOB-ON  </v>
      </c>
      <c r="R79" s="51">
        <f t="shared" si="15"/>
        <v>41696</v>
      </c>
      <c r="S79" s="5">
        <f t="shared" si="16"/>
        <v>11</v>
      </c>
      <c r="T79" s="5">
        <f t="shared" si="17"/>
        <v>10.6</v>
      </c>
      <c r="U79" s="5">
        <f t="shared" si="18"/>
        <v>11</v>
      </c>
      <c r="V79" s="5">
        <f t="shared" si="19"/>
        <v>10.5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1063</v>
      </c>
      <c r="D80" s="3" t="s">
        <v>113</v>
      </c>
      <c r="E80" s="3" t="s">
        <v>2013</v>
      </c>
      <c r="F80" s="3" t="s">
        <v>2014</v>
      </c>
      <c r="G80" s="3" t="s">
        <v>2015</v>
      </c>
      <c r="H80" s="51">
        <v>41696</v>
      </c>
      <c r="J80" s="3">
        <f t="shared" si="20"/>
        <v>32.01</v>
      </c>
      <c r="K80" s="3">
        <f t="shared" si="20"/>
        <v>31.5</v>
      </c>
      <c r="L80" s="3">
        <f t="shared" si="20"/>
        <v>32.25</v>
      </c>
      <c r="M80" s="3">
        <f t="shared" si="20"/>
        <v>31.37</v>
      </c>
      <c r="P80" s="15" t="s">
        <v>1062</v>
      </c>
      <c r="Q80" s="10" t="str">
        <f t="shared" si="14"/>
        <v xml:space="preserve">LOCALIZA    -ON  </v>
      </c>
      <c r="R80" s="51">
        <f t="shared" si="15"/>
        <v>41696</v>
      </c>
      <c r="S80" s="5">
        <f t="shared" si="16"/>
        <v>32.01</v>
      </c>
      <c r="T80" s="5">
        <f t="shared" si="17"/>
        <v>31.5</v>
      </c>
      <c r="U80" s="5">
        <f t="shared" si="18"/>
        <v>32.25</v>
      </c>
      <c r="V80" s="5">
        <f t="shared" si="19"/>
        <v>31.37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866</v>
      </c>
      <c r="D81" s="3" t="s">
        <v>1439</v>
      </c>
      <c r="E81" s="3" t="s">
        <v>1439</v>
      </c>
      <c r="F81" s="3" t="s">
        <v>737</v>
      </c>
      <c r="G81" s="3" t="s">
        <v>1439</v>
      </c>
      <c r="H81" s="51">
        <v>41696</v>
      </c>
      <c r="J81" s="3">
        <f t="shared" si="20"/>
        <v>0.16</v>
      </c>
      <c r="K81" s="3">
        <f t="shared" si="20"/>
        <v>0.16</v>
      </c>
      <c r="L81" s="3">
        <f t="shared" si="20"/>
        <v>0.17</v>
      </c>
      <c r="M81" s="3">
        <f t="shared" si="20"/>
        <v>0.16</v>
      </c>
      <c r="P81" s="14" t="s">
        <v>865</v>
      </c>
      <c r="Q81" s="10" t="str">
        <f t="shared" si="14"/>
        <v xml:space="preserve">RENAR       -ON  </v>
      </c>
      <c r="R81" s="51">
        <f t="shared" si="15"/>
        <v>41696</v>
      </c>
      <c r="S81" s="5">
        <f t="shared" si="16"/>
        <v>0.16</v>
      </c>
      <c r="T81" s="5">
        <f t="shared" si="17"/>
        <v>0.16</v>
      </c>
      <c r="U81" s="5">
        <f t="shared" si="18"/>
        <v>0.17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1132</v>
      </c>
      <c r="D82" s="3" t="s">
        <v>1410</v>
      </c>
      <c r="E82" s="3" t="s">
        <v>2016</v>
      </c>
      <c r="F82" s="3" t="s">
        <v>1496</v>
      </c>
      <c r="G82" s="3" t="s">
        <v>2017</v>
      </c>
      <c r="H82" s="51">
        <v>41696</v>
      </c>
      <c r="J82" s="3">
        <f t="shared" si="20"/>
        <v>1.69</v>
      </c>
      <c r="K82" s="3">
        <f t="shared" si="20"/>
        <v>1.65</v>
      </c>
      <c r="L82" s="3">
        <f t="shared" si="20"/>
        <v>1.72</v>
      </c>
      <c r="M82" s="3">
        <f t="shared" si="20"/>
        <v>1.64</v>
      </c>
      <c r="P82" s="14" t="s">
        <v>1122</v>
      </c>
      <c r="Q82" s="10" t="str">
        <f t="shared" si="14"/>
        <v xml:space="preserve">ROSSI RESID -ON  </v>
      </c>
      <c r="R82" s="51">
        <f t="shared" si="15"/>
        <v>41696</v>
      </c>
      <c r="S82" s="5">
        <f t="shared" si="16"/>
        <v>1.69</v>
      </c>
      <c r="T82" s="5">
        <f t="shared" si="17"/>
        <v>1.65</v>
      </c>
      <c r="U82" s="5">
        <f t="shared" si="18"/>
        <v>1.72</v>
      </c>
      <c r="V82" s="5">
        <f t="shared" si="19"/>
        <v>1.64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1133</v>
      </c>
      <c r="D83" s="3" t="s">
        <v>435</v>
      </c>
      <c r="E83" s="3" t="s">
        <v>728</v>
      </c>
      <c r="F83" s="3" t="s">
        <v>728</v>
      </c>
      <c r="G83" s="3" t="s">
        <v>728</v>
      </c>
      <c r="H83" s="51">
        <v>40646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1123</v>
      </c>
      <c r="Q83" s="10" t="str">
        <f t="shared" si="14"/>
        <v>SERGEN      -ON *</v>
      </c>
      <c r="R83" s="51">
        <f t="shared" si="15"/>
        <v>40646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1134</v>
      </c>
      <c r="D84" s="3" t="s">
        <v>435</v>
      </c>
      <c r="E84" s="3" t="s">
        <v>931</v>
      </c>
      <c r="F84" s="3" t="s">
        <v>931</v>
      </c>
      <c r="G84" s="3" t="s">
        <v>931</v>
      </c>
      <c r="H84" s="51">
        <v>41368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1124</v>
      </c>
      <c r="Q84" s="10" t="str">
        <f t="shared" si="14"/>
        <v>SERGEN      -PN *</v>
      </c>
      <c r="R84" s="51">
        <f t="shared" si="15"/>
        <v>41368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1010</v>
      </c>
      <c r="D85" s="3" t="s">
        <v>1057</v>
      </c>
      <c r="E85" s="3" t="s">
        <v>2018</v>
      </c>
      <c r="F85" s="3" t="s">
        <v>1764</v>
      </c>
      <c r="G85" s="3" t="s">
        <v>2018</v>
      </c>
      <c r="H85" s="51">
        <v>41696</v>
      </c>
      <c r="J85" s="3">
        <f t="shared" si="20"/>
        <v>1.4</v>
      </c>
      <c r="K85" s="3">
        <f t="shared" si="20"/>
        <v>1.36</v>
      </c>
      <c r="L85" s="3">
        <f t="shared" si="20"/>
        <v>1.42</v>
      </c>
      <c r="M85" s="3">
        <f t="shared" si="20"/>
        <v>1.36</v>
      </c>
      <c r="P85" s="14" t="s">
        <v>1009</v>
      </c>
      <c r="Q85" s="10" t="str">
        <f t="shared" si="14"/>
        <v xml:space="preserve">SPRINGS     -ON  </v>
      </c>
      <c r="R85" s="51">
        <f t="shared" si="15"/>
        <v>41696</v>
      </c>
      <c r="S85" s="5">
        <f t="shared" si="16"/>
        <v>1.4</v>
      </c>
      <c r="T85" s="5">
        <f t="shared" si="17"/>
        <v>1.36</v>
      </c>
      <c r="U85" s="5">
        <f t="shared" si="18"/>
        <v>1.42</v>
      </c>
      <c r="V85" s="5">
        <f t="shared" si="19"/>
        <v>1.36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882</v>
      </c>
      <c r="D86" s="3" t="s">
        <v>1765</v>
      </c>
      <c r="E86" s="3" t="s">
        <v>2019</v>
      </c>
      <c r="F86" s="3" t="s">
        <v>1766</v>
      </c>
      <c r="G86" s="3" t="s">
        <v>1494</v>
      </c>
      <c r="H86" s="51">
        <v>41696</v>
      </c>
      <c r="J86" s="3">
        <f t="shared" si="20"/>
        <v>4.3099999999999996</v>
      </c>
      <c r="K86" s="3">
        <f t="shared" si="20"/>
        <v>4.21</v>
      </c>
      <c r="L86" s="3">
        <f t="shared" si="20"/>
        <v>4.3899999999999997</v>
      </c>
      <c r="M86" s="3">
        <f t="shared" si="20"/>
        <v>4.1900000000000004</v>
      </c>
      <c r="P86" s="14" t="s">
        <v>881</v>
      </c>
      <c r="Q86" s="10" t="str">
        <f t="shared" si="14"/>
        <v xml:space="preserve">TIME FOR FUN-ON  </v>
      </c>
      <c r="R86" s="51">
        <f t="shared" si="15"/>
        <v>41696</v>
      </c>
      <c r="S86" s="5">
        <f t="shared" si="16"/>
        <v>4.3099999999999996</v>
      </c>
      <c r="T86" s="5">
        <f t="shared" si="17"/>
        <v>4.21</v>
      </c>
      <c r="U86" s="5">
        <f t="shared" si="18"/>
        <v>4.3899999999999997</v>
      </c>
      <c r="V86" s="5">
        <f t="shared" si="19"/>
        <v>4.1900000000000004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868</v>
      </c>
      <c r="D87" s="3" t="s">
        <v>1767</v>
      </c>
      <c r="E87" s="3" t="s">
        <v>2020</v>
      </c>
      <c r="F87" s="3" t="s">
        <v>2021</v>
      </c>
      <c r="G87" s="3" t="s">
        <v>2022</v>
      </c>
      <c r="H87" s="51">
        <v>41696</v>
      </c>
      <c r="J87" s="3">
        <f t="shared" si="20"/>
        <v>18.02</v>
      </c>
      <c r="K87" s="3">
        <f t="shared" si="20"/>
        <v>17.8</v>
      </c>
      <c r="L87" s="3">
        <f t="shared" si="20"/>
        <v>18.18</v>
      </c>
      <c r="M87" s="3">
        <f t="shared" si="20"/>
        <v>17.61</v>
      </c>
      <c r="P87" s="14" t="s">
        <v>867</v>
      </c>
      <c r="Q87" s="10" t="str">
        <f t="shared" si="14"/>
        <v xml:space="preserve">SLC AGRICOLA-ON  </v>
      </c>
      <c r="R87" s="51">
        <f t="shared" si="15"/>
        <v>41696</v>
      </c>
      <c r="S87" s="5">
        <f t="shared" si="16"/>
        <v>18.02</v>
      </c>
      <c r="T87" s="5">
        <f t="shared" si="17"/>
        <v>17.8</v>
      </c>
      <c r="U87" s="5">
        <f t="shared" si="18"/>
        <v>18.18</v>
      </c>
      <c r="V87" s="5">
        <f t="shared" si="19"/>
        <v>17.61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1050</v>
      </c>
      <c r="D88" s="3" t="s">
        <v>2023</v>
      </c>
      <c r="E88" s="3" t="s">
        <v>2024</v>
      </c>
      <c r="F88" s="3" t="s">
        <v>2024</v>
      </c>
      <c r="G88" s="3" t="s">
        <v>1498</v>
      </c>
      <c r="H88" s="51">
        <v>41696</v>
      </c>
      <c r="J88" s="3">
        <f t="shared" si="20"/>
        <v>18.54</v>
      </c>
      <c r="K88" s="3">
        <f t="shared" si="20"/>
        <v>24.99</v>
      </c>
      <c r="L88" s="3">
        <f t="shared" si="20"/>
        <v>24.99</v>
      </c>
      <c r="M88" s="3">
        <f t="shared" si="20"/>
        <v>18.5</v>
      </c>
      <c r="P88" s="14" t="s">
        <v>1048</v>
      </c>
      <c r="Q88" s="10" t="str">
        <f t="shared" si="14"/>
        <v xml:space="preserve">SARAIVA LIVR-ON  </v>
      </c>
      <c r="R88" s="51">
        <f t="shared" si="15"/>
        <v>41696</v>
      </c>
      <c r="S88" s="5">
        <f t="shared" si="16"/>
        <v>18.54</v>
      </c>
      <c r="T88" s="5">
        <f t="shared" si="17"/>
        <v>24.99</v>
      </c>
      <c r="U88" s="5">
        <f t="shared" si="18"/>
        <v>24.99</v>
      </c>
      <c r="V88" s="5">
        <f t="shared" si="19"/>
        <v>18.5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1051</v>
      </c>
      <c r="D89" s="3" t="s">
        <v>1768</v>
      </c>
      <c r="E89" s="3" t="s">
        <v>1769</v>
      </c>
      <c r="F89" s="3" t="s">
        <v>1770</v>
      </c>
      <c r="G89" s="3" t="s">
        <v>1768</v>
      </c>
      <c r="H89" s="51">
        <v>41696</v>
      </c>
      <c r="J89" s="3">
        <f t="shared" si="20"/>
        <v>20.420000000000002</v>
      </c>
      <c r="K89" s="3">
        <f t="shared" si="20"/>
        <v>20.68</v>
      </c>
      <c r="L89" s="3">
        <f t="shared" si="20"/>
        <v>20.72</v>
      </c>
      <c r="M89" s="3">
        <f t="shared" si="20"/>
        <v>20.420000000000002</v>
      </c>
      <c r="P89" s="14" t="s">
        <v>1049</v>
      </c>
      <c r="Q89" s="10" t="str">
        <f t="shared" si="14"/>
        <v xml:space="preserve">SARAIVA LIVR-PN  </v>
      </c>
      <c r="R89" s="51">
        <f t="shared" si="15"/>
        <v>41696</v>
      </c>
      <c r="S89" s="5">
        <f t="shared" si="16"/>
        <v>20.420000000000002</v>
      </c>
      <c r="T89" s="5">
        <f t="shared" si="17"/>
        <v>20.68</v>
      </c>
      <c r="U89" s="5">
        <f t="shared" si="18"/>
        <v>20.72</v>
      </c>
      <c r="V89" s="5">
        <f t="shared" si="19"/>
        <v>20.420000000000002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269</v>
      </c>
      <c r="D90" s="3" t="s">
        <v>1643</v>
      </c>
      <c r="E90" s="3" t="s">
        <v>1907</v>
      </c>
      <c r="F90" s="3" t="s">
        <v>1907</v>
      </c>
      <c r="G90" s="3" t="s">
        <v>1643</v>
      </c>
      <c r="H90" s="51">
        <v>41696</v>
      </c>
      <c r="J90" s="3">
        <f t="shared" si="20"/>
        <v>28.33</v>
      </c>
      <c r="K90" s="3">
        <f t="shared" si="20"/>
        <v>29.45</v>
      </c>
      <c r="L90" s="3">
        <f t="shared" si="20"/>
        <v>29.45</v>
      </c>
      <c r="M90" s="3">
        <f t="shared" si="20"/>
        <v>28.33</v>
      </c>
      <c r="P90" s="14" t="s">
        <v>268</v>
      </c>
      <c r="Q90" s="10" t="str">
        <f t="shared" si="14"/>
        <v xml:space="preserve">SAO MARTINHO-ON  </v>
      </c>
      <c r="R90" s="46">
        <f t="shared" si="15"/>
        <v>41696</v>
      </c>
      <c r="S90" s="6">
        <f t="shared" si="16"/>
        <v>28.33</v>
      </c>
      <c r="T90" s="6">
        <f t="shared" si="17"/>
        <v>29.45</v>
      </c>
      <c r="U90" s="6">
        <f t="shared" si="18"/>
        <v>29.45</v>
      </c>
      <c r="V90" s="6">
        <f t="shared" si="19"/>
        <v>28.33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1089</v>
      </c>
      <c r="D91" s="3" t="s">
        <v>1091</v>
      </c>
      <c r="E91" s="3" t="s">
        <v>1411</v>
      </c>
      <c r="F91" s="3" t="s">
        <v>1411</v>
      </c>
      <c r="G91" s="3" t="s">
        <v>1375</v>
      </c>
      <c r="H91" s="51">
        <v>41689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0.35</v>
      </c>
      <c r="P91" s="15" t="s">
        <v>1086</v>
      </c>
      <c r="Q91" s="10" t="str">
        <f t="shared" si="14"/>
        <v>SPRINGER    -ON</v>
      </c>
      <c r="R91" s="51">
        <f t="shared" si="15"/>
        <v>41689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0.35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1090</v>
      </c>
      <c r="D92" s="3" t="s">
        <v>1091</v>
      </c>
      <c r="E92" s="3" t="s">
        <v>1091</v>
      </c>
      <c r="F92" s="3" t="s">
        <v>1091</v>
      </c>
      <c r="G92" s="3" t="s">
        <v>1091</v>
      </c>
      <c r="H92" s="51">
        <v>41689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1087</v>
      </c>
      <c r="Q92" s="10" t="str">
        <f t="shared" si="14"/>
        <v>SPRINGER    -PNA</v>
      </c>
      <c r="R92" s="51">
        <f t="shared" si="15"/>
        <v>41689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1092</v>
      </c>
      <c r="D93" s="3" t="s">
        <v>1411</v>
      </c>
      <c r="E93" s="3" t="s">
        <v>1411</v>
      </c>
      <c r="F93" s="3" t="s">
        <v>1411</v>
      </c>
      <c r="G93" s="3" t="s">
        <v>1411</v>
      </c>
      <c r="H93" s="51">
        <v>41695</v>
      </c>
      <c r="J93" s="3">
        <f t="shared" si="20"/>
        <v>0.38</v>
      </c>
      <c r="K93" s="3">
        <f t="shared" si="20"/>
        <v>0.38</v>
      </c>
      <c r="L93" s="3">
        <f t="shared" si="20"/>
        <v>0.38</v>
      </c>
      <c r="M93" s="3">
        <f t="shared" si="20"/>
        <v>0.38</v>
      </c>
      <c r="P93" s="10" t="s">
        <v>1088</v>
      </c>
      <c r="Q93" s="10" t="str">
        <f t="shared" si="14"/>
        <v>SPRINGER    -PNB</v>
      </c>
      <c r="R93" s="51">
        <f t="shared" si="15"/>
        <v>41695</v>
      </c>
      <c r="S93" s="5">
        <f t="shared" si="16"/>
        <v>0.38</v>
      </c>
      <c r="T93" s="5">
        <f t="shared" si="17"/>
        <v>0.38</v>
      </c>
      <c r="U93" s="5">
        <f t="shared" si="18"/>
        <v>0.38</v>
      </c>
      <c r="V93" s="5">
        <f t="shared" si="19"/>
        <v>0.38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1135</v>
      </c>
      <c r="D94" s="3" t="s">
        <v>1437</v>
      </c>
      <c r="E94" s="3" t="s">
        <v>2025</v>
      </c>
      <c r="F94" s="3" t="s">
        <v>1437</v>
      </c>
      <c r="G94" s="3" t="s">
        <v>1771</v>
      </c>
      <c r="H94" s="51">
        <v>41696</v>
      </c>
      <c r="J94" s="3">
        <f t="shared" si="20"/>
        <v>7.49</v>
      </c>
      <c r="K94" s="3">
        <f t="shared" si="20"/>
        <v>7.38</v>
      </c>
      <c r="L94" s="3">
        <f t="shared" si="20"/>
        <v>7.49</v>
      </c>
      <c r="M94" s="3">
        <f t="shared" si="20"/>
        <v>7.27</v>
      </c>
      <c r="P94" s="14" t="s">
        <v>1125</v>
      </c>
      <c r="Q94" s="10" t="str">
        <f t="shared" si="14"/>
        <v xml:space="preserve">TECNISA     -ON  </v>
      </c>
      <c r="R94" s="51">
        <f t="shared" si="15"/>
        <v>41696</v>
      </c>
      <c r="S94" s="5">
        <f t="shared" si="16"/>
        <v>7.49</v>
      </c>
      <c r="T94" s="5">
        <f t="shared" si="17"/>
        <v>7.38</v>
      </c>
      <c r="U94" s="5">
        <f t="shared" si="18"/>
        <v>7.49</v>
      </c>
      <c r="V94" s="5">
        <f t="shared" si="19"/>
        <v>7.27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1035</v>
      </c>
      <c r="D95" s="3" t="s">
        <v>1772</v>
      </c>
      <c r="E95" s="3" t="s">
        <v>1850</v>
      </c>
      <c r="F95" s="3" t="s">
        <v>1850</v>
      </c>
      <c r="G95" s="3" t="s">
        <v>2026</v>
      </c>
      <c r="H95" s="51">
        <v>41696</v>
      </c>
      <c r="J95" s="3">
        <f t="shared" si="20"/>
        <v>14.05</v>
      </c>
      <c r="K95" s="3">
        <f t="shared" si="20"/>
        <v>14.37</v>
      </c>
      <c r="L95" s="3">
        <f t="shared" si="20"/>
        <v>14.37</v>
      </c>
      <c r="M95" s="3">
        <f t="shared" si="20"/>
        <v>14.03</v>
      </c>
      <c r="P95" s="14" t="s">
        <v>1033</v>
      </c>
      <c r="Q95" s="10" t="str">
        <f t="shared" si="14"/>
        <v xml:space="preserve">TECHNOS     -ON  </v>
      </c>
      <c r="R95" s="51">
        <f t="shared" si="15"/>
        <v>41696</v>
      </c>
      <c r="S95" s="5">
        <f t="shared" si="16"/>
        <v>14.05</v>
      </c>
      <c r="T95" s="5">
        <f t="shared" si="17"/>
        <v>14.37</v>
      </c>
      <c r="U95" s="5">
        <f t="shared" si="18"/>
        <v>14.37</v>
      </c>
      <c r="V95" s="5">
        <f t="shared" si="19"/>
        <v>14.03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1015</v>
      </c>
      <c r="D96" s="3" t="s">
        <v>435</v>
      </c>
      <c r="E96" s="3" t="s">
        <v>436</v>
      </c>
      <c r="F96" s="3" t="s">
        <v>435</v>
      </c>
      <c r="G96" s="3" t="s">
        <v>435</v>
      </c>
      <c r="H96" s="51" t="s">
        <v>435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1011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1016</v>
      </c>
      <c r="D97" s="3" t="s">
        <v>943</v>
      </c>
      <c r="E97" s="3" t="s">
        <v>943</v>
      </c>
      <c r="F97" s="3" t="s">
        <v>943</v>
      </c>
      <c r="G97" s="3" t="s">
        <v>943</v>
      </c>
      <c r="H97" s="51">
        <v>41670</v>
      </c>
      <c r="J97" s="3">
        <f t="shared" si="20"/>
        <v>0.54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1012</v>
      </c>
      <c r="Q97" s="10" t="str">
        <f t="shared" si="14"/>
        <v>TEC BLUMENAU-PNA</v>
      </c>
      <c r="R97" s="51">
        <f t="shared" si="15"/>
        <v>41670</v>
      </c>
      <c r="S97" s="5">
        <f t="shared" si="16"/>
        <v>0.54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1017</v>
      </c>
      <c r="D98" s="3" t="s">
        <v>435</v>
      </c>
      <c r="E98" s="3" t="s">
        <v>436</v>
      </c>
      <c r="F98" s="3" t="s">
        <v>435</v>
      </c>
      <c r="G98" s="3" t="s">
        <v>435</v>
      </c>
      <c r="H98" s="51" t="s">
        <v>435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1013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1018</v>
      </c>
      <c r="D99" s="3" t="s">
        <v>1019</v>
      </c>
      <c r="E99" s="3" t="s">
        <v>1019</v>
      </c>
      <c r="F99" s="3" t="s">
        <v>1019</v>
      </c>
      <c r="G99" s="3" t="s">
        <v>1019</v>
      </c>
      <c r="H99" s="51">
        <v>41683</v>
      </c>
      <c r="J99" s="3">
        <f t="shared" si="20"/>
        <v>0.78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1014</v>
      </c>
      <c r="Q99" s="10" t="str">
        <f t="shared" si="14"/>
        <v>TEC BLUMENAU-PNC</v>
      </c>
      <c r="R99" s="51">
        <f t="shared" si="15"/>
        <v>41683</v>
      </c>
      <c r="S99" s="5">
        <f t="shared" si="16"/>
        <v>0.78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957</v>
      </c>
      <c r="D100" s="3" t="s">
        <v>960</v>
      </c>
      <c r="E100" s="3" t="s">
        <v>958</v>
      </c>
      <c r="F100" s="3" t="s">
        <v>958</v>
      </c>
      <c r="G100" s="3" t="s">
        <v>960</v>
      </c>
      <c r="H100" s="51">
        <v>41696</v>
      </c>
      <c r="J100" s="3">
        <f t="shared" si="20"/>
        <v>0.01</v>
      </c>
      <c r="K100" s="3">
        <f t="shared" si="20"/>
        <v>0.02</v>
      </c>
      <c r="L100" s="3">
        <f t="shared" si="20"/>
        <v>0.02</v>
      </c>
      <c r="M100" s="3">
        <f t="shared" si="20"/>
        <v>0.01</v>
      </c>
      <c r="P100" s="14" t="s">
        <v>955</v>
      </c>
      <c r="Q100" s="10" t="str">
        <f t="shared" si="14"/>
        <v>TECTOY      -ON *</v>
      </c>
      <c r="R100" s="51">
        <f t="shared" si="15"/>
        <v>41696</v>
      </c>
      <c r="S100" s="5">
        <f t="shared" si="16"/>
        <v>0.01</v>
      </c>
      <c r="T100" s="5">
        <f t="shared" si="17"/>
        <v>0.02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959</v>
      </c>
      <c r="D101" s="3" t="s">
        <v>960</v>
      </c>
      <c r="E101" s="3" t="s">
        <v>960</v>
      </c>
      <c r="F101" s="3" t="s">
        <v>958</v>
      </c>
      <c r="G101" s="3" t="s">
        <v>960</v>
      </c>
      <c r="H101" s="51">
        <v>41696</v>
      </c>
      <c r="J101" s="3">
        <f t="shared" si="20"/>
        <v>0.01</v>
      </c>
      <c r="K101" s="3">
        <f t="shared" si="20"/>
        <v>0.01</v>
      </c>
      <c r="L101" s="3">
        <f t="shared" si="20"/>
        <v>0.02</v>
      </c>
      <c r="M101" s="3">
        <f t="shared" si="20"/>
        <v>0.01</v>
      </c>
      <c r="P101" s="15" t="s">
        <v>956</v>
      </c>
      <c r="Q101" s="10" t="str">
        <f t="shared" si="14"/>
        <v>TECTOY      -PN *</v>
      </c>
      <c r="R101" s="51">
        <f t="shared" si="15"/>
        <v>41696</v>
      </c>
      <c r="S101" s="5">
        <f t="shared" si="16"/>
        <v>0.01</v>
      </c>
      <c r="T101" s="5">
        <f t="shared" si="17"/>
        <v>0.01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1136</v>
      </c>
      <c r="D102" s="3" t="s">
        <v>1688</v>
      </c>
      <c r="E102" s="3" t="s">
        <v>1899</v>
      </c>
      <c r="F102" s="3" t="s">
        <v>1899</v>
      </c>
      <c r="G102" s="3" t="s">
        <v>2027</v>
      </c>
      <c r="H102" s="51">
        <v>41696</v>
      </c>
      <c r="J102" s="3">
        <f t="shared" si="20"/>
        <v>3.61</v>
      </c>
      <c r="K102" s="3">
        <f t="shared" si="20"/>
        <v>3.63</v>
      </c>
      <c r="L102" s="3">
        <f t="shared" si="20"/>
        <v>3.63</v>
      </c>
      <c r="M102" s="3">
        <f t="shared" si="20"/>
        <v>3.55</v>
      </c>
      <c r="P102" s="15" t="s">
        <v>1126</v>
      </c>
      <c r="Q102" s="10" t="str">
        <f t="shared" si="14"/>
        <v xml:space="preserve">TRISUL      -ON  </v>
      </c>
      <c r="R102" s="51">
        <f t="shared" si="15"/>
        <v>41696</v>
      </c>
      <c r="S102" s="5">
        <f t="shared" si="16"/>
        <v>3.61</v>
      </c>
      <c r="T102" s="5">
        <f t="shared" si="17"/>
        <v>3.63</v>
      </c>
      <c r="U102" s="5">
        <f t="shared" si="18"/>
        <v>3.63</v>
      </c>
      <c r="V102" s="5">
        <f t="shared" si="19"/>
        <v>3.55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888</v>
      </c>
      <c r="D103" s="3" t="s">
        <v>1774</v>
      </c>
      <c r="E103" s="3" t="s">
        <v>2028</v>
      </c>
      <c r="F103" s="3" t="s">
        <v>2029</v>
      </c>
      <c r="G103" s="3" t="s">
        <v>1774</v>
      </c>
      <c r="H103" s="51">
        <v>41696</v>
      </c>
      <c r="J103" s="3">
        <f t="shared" si="20"/>
        <v>4.53</v>
      </c>
      <c r="K103" s="3">
        <f t="shared" si="20"/>
        <v>4.5999999999999996</v>
      </c>
      <c r="L103" s="3">
        <f t="shared" si="20"/>
        <v>4.6900000000000004</v>
      </c>
      <c r="M103" s="3">
        <f t="shared" si="20"/>
        <v>4.53</v>
      </c>
      <c r="P103" s="14" t="s">
        <v>887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41696</v>
      </c>
      <c r="S103" s="5">
        <f t="shared" ref="S103:S112" si="23">J103</f>
        <v>4.53</v>
      </c>
      <c r="T103" s="5">
        <f t="shared" ref="T103:T112" si="24">K103</f>
        <v>4.5999999999999996</v>
      </c>
      <c r="U103" s="5">
        <f t="shared" ref="U103:U112" si="25">L103</f>
        <v>4.6900000000000004</v>
      </c>
      <c r="V103" s="5">
        <f t="shared" ref="V103:V112" si="26">M103</f>
        <v>4.53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864</v>
      </c>
      <c r="D104" s="3" t="s">
        <v>1578</v>
      </c>
      <c r="E104" s="3" t="s">
        <v>1402</v>
      </c>
      <c r="F104" s="3" t="s">
        <v>2030</v>
      </c>
      <c r="G104" s="3" t="s">
        <v>1578</v>
      </c>
      <c r="H104" s="51">
        <v>41696</v>
      </c>
      <c r="J104" s="3">
        <f t="shared" si="20"/>
        <v>3.04</v>
      </c>
      <c r="K104" s="3">
        <f t="shared" si="20"/>
        <v>3.05</v>
      </c>
      <c r="L104" s="3">
        <f t="shared" si="20"/>
        <v>3.09</v>
      </c>
      <c r="M104" s="3">
        <f t="shared" si="20"/>
        <v>3.04</v>
      </c>
      <c r="P104" s="15" t="s">
        <v>862</v>
      </c>
      <c r="Q104" s="10" t="str">
        <f t="shared" si="21"/>
        <v xml:space="preserve">V-AGRO      -ON  </v>
      </c>
      <c r="R104" s="51">
        <f t="shared" si="22"/>
        <v>41696</v>
      </c>
      <c r="S104" s="5">
        <f t="shared" si="23"/>
        <v>3.04</v>
      </c>
      <c r="T104" s="5">
        <f t="shared" si="24"/>
        <v>3.05</v>
      </c>
      <c r="U104" s="5">
        <f t="shared" si="25"/>
        <v>3.09</v>
      </c>
      <c r="V104" s="5">
        <f t="shared" si="26"/>
        <v>3.04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1137</v>
      </c>
      <c r="D105" s="3" t="s">
        <v>737</v>
      </c>
      <c r="E105" s="3" t="s">
        <v>737</v>
      </c>
      <c r="F105" s="3" t="s">
        <v>526</v>
      </c>
      <c r="G105" s="3" t="s">
        <v>737</v>
      </c>
      <c r="H105" s="51">
        <v>41696</v>
      </c>
      <c r="J105" s="3">
        <f t="shared" si="20"/>
        <v>0.17</v>
      </c>
      <c r="K105" s="3">
        <f t="shared" si="20"/>
        <v>0.17</v>
      </c>
      <c r="L105" s="3">
        <f t="shared" si="20"/>
        <v>0.18</v>
      </c>
      <c r="M105" s="3">
        <f t="shared" si="20"/>
        <v>0.17</v>
      </c>
      <c r="P105" s="14" t="s">
        <v>1127</v>
      </c>
      <c r="Q105" s="10" t="str">
        <f t="shared" si="21"/>
        <v xml:space="preserve">VIVER       -ON  </v>
      </c>
      <c r="R105" s="51">
        <f t="shared" si="22"/>
        <v>41696</v>
      </c>
      <c r="S105" s="5">
        <f t="shared" si="23"/>
        <v>0.17</v>
      </c>
      <c r="T105" s="5">
        <f t="shared" si="24"/>
        <v>0.17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903</v>
      </c>
      <c r="D106" s="3" t="s">
        <v>1776</v>
      </c>
      <c r="E106" s="3" t="s">
        <v>2031</v>
      </c>
      <c r="F106" s="3" t="s">
        <v>1777</v>
      </c>
      <c r="G106" s="3" t="s">
        <v>1776</v>
      </c>
      <c r="H106" s="51">
        <v>41696</v>
      </c>
      <c r="J106" s="3">
        <f t="shared" si="20"/>
        <v>23.34</v>
      </c>
      <c r="K106" s="3">
        <f t="shared" si="20"/>
        <v>23.8</v>
      </c>
      <c r="L106" s="3">
        <f t="shared" si="20"/>
        <v>23.9</v>
      </c>
      <c r="M106" s="3">
        <f t="shared" si="20"/>
        <v>23.34</v>
      </c>
      <c r="P106" s="15" t="s">
        <v>900</v>
      </c>
      <c r="Q106" s="10" t="str">
        <f t="shared" si="21"/>
        <v xml:space="preserve">VIAVAREJO   -UNT </v>
      </c>
      <c r="R106" s="51">
        <f t="shared" si="22"/>
        <v>41696</v>
      </c>
      <c r="S106" s="5">
        <f t="shared" si="23"/>
        <v>23.34</v>
      </c>
      <c r="T106" s="5">
        <f t="shared" si="24"/>
        <v>23.8</v>
      </c>
      <c r="U106" s="5">
        <f t="shared" si="25"/>
        <v>23.9</v>
      </c>
      <c r="V106" s="5">
        <f t="shared" si="26"/>
        <v>23.34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904</v>
      </c>
      <c r="D107" s="3" t="s">
        <v>1778</v>
      </c>
      <c r="E107" s="3" t="s">
        <v>1778</v>
      </c>
      <c r="F107" s="3" t="s">
        <v>1778</v>
      </c>
      <c r="G107" s="3" t="s">
        <v>1778</v>
      </c>
      <c r="H107" s="51">
        <v>41696</v>
      </c>
      <c r="J107" s="3">
        <f t="shared" si="20"/>
        <v>6.13</v>
      </c>
      <c r="K107" s="3">
        <f t="shared" si="20"/>
        <v>6.13</v>
      </c>
      <c r="L107" s="3">
        <f t="shared" si="20"/>
        <v>6.13</v>
      </c>
      <c r="M107" s="3">
        <f t="shared" si="20"/>
        <v>6.13</v>
      </c>
      <c r="P107" s="14" t="s">
        <v>901</v>
      </c>
      <c r="Q107" s="10" t="str">
        <f t="shared" si="21"/>
        <v xml:space="preserve">VIAVAREJO   -ON  </v>
      </c>
      <c r="R107" s="51">
        <f t="shared" si="22"/>
        <v>41696</v>
      </c>
      <c r="S107" s="5">
        <f t="shared" si="23"/>
        <v>6.13</v>
      </c>
      <c r="T107" s="5">
        <f t="shared" si="24"/>
        <v>6.13</v>
      </c>
      <c r="U107" s="5">
        <f t="shared" si="25"/>
        <v>6.13</v>
      </c>
      <c r="V107" s="5">
        <f t="shared" si="26"/>
        <v>6.13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905</v>
      </c>
      <c r="D108" s="3" t="s">
        <v>435</v>
      </c>
      <c r="E108" s="3" t="s">
        <v>436</v>
      </c>
      <c r="F108" s="3" t="s">
        <v>435</v>
      </c>
      <c r="G108" s="3" t="s">
        <v>435</v>
      </c>
      <c r="H108" s="51" t="s">
        <v>435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902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892</v>
      </c>
      <c r="D109" s="3" t="s">
        <v>855</v>
      </c>
      <c r="E109" s="3" t="s">
        <v>855</v>
      </c>
      <c r="F109" s="3" t="s">
        <v>855</v>
      </c>
      <c r="G109" s="3" t="s">
        <v>855</v>
      </c>
      <c r="H109" s="51">
        <v>41696</v>
      </c>
      <c r="J109" s="3">
        <f t="shared" si="20"/>
        <v>3.75</v>
      </c>
      <c r="K109" s="3">
        <f t="shared" si="20"/>
        <v>3.75</v>
      </c>
      <c r="L109" s="3">
        <f t="shared" si="20"/>
        <v>3.75</v>
      </c>
      <c r="M109" s="3">
        <f t="shared" si="20"/>
        <v>3.75</v>
      </c>
      <c r="P109" s="15" t="s">
        <v>890</v>
      </c>
      <c r="Q109" s="10" t="str">
        <f t="shared" si="21"/>
        <v>WHIRLPOOL   -ON</v>
      </c>
      <c r="R109" s="51">
        <f t="shared" si="22"/>
        <v>41696</v>
      </c>
      <c r="S109" s="5">
        <f t="shared" si="23"/>
        <v>3.75</v>
      </c>
      <c r="T109" s="5">
        <f t="shared" si="24"/>
        <v>3.75</v>
      </c>
      <c r="U109" s="5">
        <f t="shared" si="25"/>
        <v>3.75</v>
      </c>
      <c r="V109" s="5">
        <f t="shared" si="26"/>
        <v>3.75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893</v>
      </c>
      <c r="D110" s="3" t="s">
        <v>189</v>
      </c>
      <c r="E110" s="3" t="s">
        <v>189</v>
      </c>
      <c r="F110" s="3" t="s">
        <v>189</v>
      </c>
      <c r="G110" s="3" t="s">
        <v>2032</v>
      </c>
      <c r="H110" s="51">
        <v>41696</v>
      </c>
      <c r="J110" s="3">
        <f t="shared" si="20"/>
        <v>4</v>
      </c>
      <c r="K110" s="3">
        <f t="shared" si="20"/>
        <v>4</v>
      </c>
      <c r="L110" s="3">
        <f t="shared" si="20"/>
        <v>4</v>
      </c>
      <c r="M110" s="3">
        <f t="shared" si="20"/>
        <v>3.97</v>
      </c>
      <c r="P110" s="10" t="s">
        <v>891</v>
      </c>
      <c r="Q110" s="10" t="str">
        <f t="shared" si="21"/>
        <v>WHIRLPOOL   -PN</v>
      </c>
      <c r="R110" s="51">
        <f t="shared" si="22"/>
        <v>41696</v>
      </c>
      <c r="S110" s="5">
        <f t="shared" si="23"/>
        <v>4</v>
      </c>
      <c r="T110" s="5">
        <f t="shared" si="24"/>
        <v>4</v>
      </c>
      <c r="U110" s="5">
        <f t="shared" si="25"/>
        <v>4</v>
      </c>
      <c r="V110" s="5">
        <f t="shared" si="26"/>
        <v>3.97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1007</v>
      </c>
      <c r="D111" s="3" t="s">
        <v>435</v>
      </c>
      <c r="E111" s="3" t="s">
        <v>1008</v>
      </c>
      <c r="F111" s="3" t="s">
        <v>1008</v>
      </c>
      <c r="G111" s="3" t="s">
        <v>1008</v>
      </c>
      <c r="H111" s="51">
        <v>40273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1006</v>
      </c>
      <c r="Q111" s="10" t="str">
        <f t="shared" si="21"/>
        <v>WEMBLEY     -ON</v>
      </c>
      <c r="R111" s="51">
        <f t="shared" si="22"/>
        <v>40273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1366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1147</v>
      </c>
      <c r="D7" s="3" t="s">
        <v>1148</v>
      </c>
      <c r="E7" s="3" t="s">
        <v>1148</v>
      </c>
      <c r="F7" s="3" t="s">
        <v>1148</v>
      </c>
      <c r="G7" s="3" t="s">
        <v>1148</v>
      </c>
      <c r="H7" s="51">
        <v>41684</v>
      </c>
      <c r="J7" s="3">
        <f>IF($A7="",0,VALUE(CONCATENATE(LEFT(D7,LEN(D7)-3),",",RIGHT(D7,2))))</f>
        <v>1.95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1138</v>
      </c>
      <c r="Q7" s="10" t="str">
        <f t="shared" ref="Q7:Q38" si="1">IF(A7="","",C7)</f>
        <v>AZEVEDO     -ON</v>
      </c>
      <c r="R7" s="51">
        <f t="shared" ref="R7:R38" si="2">IF(A7="","",H7)</f>
        <v>41684</v>
      </c>
      <c r="S7" s="5">
        <f t="shared" ref="S7:S38" si="3">J7</f>
        <v>1.95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1149</v>
      </c>
      <c r="D8" s="3" t="s">
        <v>1150</v>
      </c>
      <c r="E8" s="3" t="s">
        <v>1406</v>
      </c>
      <c r="F8" s="3" t="s">
        <v>1150</v>
      </c>
      <c r="G8" s="3" t="s">
        <v>1406</v>
      </c>
      <c r="H8" s="51">
        <v>41696</v>
      </c>
      <c r="J8" s="3">
        <f t="shared" ref="J8:M71" si="7">IF($A8="",0,VALUE(CONCATENATE(LEFT(D8,LEN(D8)-3),",",RIGHT(D8,2))))</f>
        <v>1.5</v>
      </c>
      <c r="K8" s="3">
        <f t="shared" si="0"/>
        <v>1.48</v>
      </c>
      <c r="L8" s="3">
        <f t="shared" si="0"/>
        <v>1.5</v>
      </c>
      <c r="M8" s="3">
        <f t="shared" si="0"/>
        <v>1.48</v>
      </c>
      <c r="P8" s="15" t="s">
        <v>1139</v>
      </c>
      <c r="Q8" s="10" t="str">
        <f t="shared" si="1"/>
        <v>AZEVEDO     -PN</v>
      </c>
      <c r="R8" s="51">
        <f t="shared" si="2"/>
        <v>41696</v>
      </c>
      <c r="S8" s="5">
        <f t="shared" si="3"/>
        <v>1.5</v>
      </c>
      <c r="T8" s="5">
        <f t="shared" si="4"/>
        <v>1.48</v>
      </c>
      <c r="U8" s="5">
        <f t="shared" si="5"/>
        <v>1.5</v>
      </c>
      <c r="V8" s="5">
        <f t="shared" si="6"/>
        <v>1.48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1151</v>
      </c>
      <c r="D9" s="3" t="s">
        <v>1779</v>
      </c>
      <c r="E9" s="3" t="s">
        <v>2033</v>
      </c>
      <c r="F9" s="3" t="s">
        <v>2033</v>
      </c>
      <c r="G9" s="3" t="s">
        <v>1779</v>
      </c>
      <c r="H9" s="51">
        <v>41696</v>
      </c>
      <c r="J9" s="3">
        <f t="shared" si="7"/>
        <v>2.7</v>
      </c>
      <c r="K9" s="3">
        <f t="shared" si="0"/>
        <v>2.9</v>
      </c>
      <c r="L9" s="3">
        <f t="shared" si="0"/>
        <v>2.9</v>
      </c>
      <c r="M9" s="3">
        <f t="shared" si="0"/>
        <v>2.7</v>
      </c>
      <c r="P9" s="14" t="s">
        <v>1140</v>
      </c>
      <c r="Q9" s="10" t="str">
        <f t="shared" si="1"/>
        <v>LIX DA CUNHA-ON</v>
      </c>
      <c r="R9" s="46">
        <f t="shared" si="2"/>
        <v>41696</v>
      </c>
      <c r="S9" s="6">
        <f t="shared" si="3"/>
        <v>2.7</v>
      </c>
      <c r="T9" s="6">
        <f t="shared" si="4"/>
        <v>2.9</v>
      </c>
      <c r="U9" s="6">
        <f t="shared" si="5"/>
        <v>2.9</v>
      </c>
      <c r="V9" s="6">
        <f t="shared" si="6"/>
        <v>2.7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1152</v>
      </c>
      <c r="D10" s="3" t="s">
        <v>1780</v>
      </c>
      <c r="E10" s="3" t="s">
        <v>1499</v>
      </c>
      <c r="F10" s="3" t="s">
        <v>1992</v>
      </c>
      <c r="G10" s="3" t="s">
        <v>1781</v>
      </c>
      <c r="H10" s="51">
        <v>41696</v>
      </c>
      <c r="J10" s="3">
        <f t="shared" si="7"/>
        <v>2.99</v>
      </c>
      <c r="K10" s="3">
        <f t="shared" si="0"/>
        <v>3.1</v>
      </c>
      <c r="L10" s="3">
        <f t="shared" si="0"/>
        <v>3.13</v>
      </c>
      <c r="M10" s="3">
        <f t="shared" si="0"/>
        <v>2.95</v>
      </c>
      <c r="P10" s="14" t="s">
        <v>1141</v>
      </c>
      <c r="Q10" s="10" t="str">
        <f t="shared" si="1"/>
        <v>LIX DA CUNHA-PN</v>
      </c>
      <c r="R10" s="51">
        <f t="shared" si="2"/>
        <v>41696</v>
      </c>
      <c r="S10" s="5">
        <f t="shared" si="3"/>
        <v>2.99</v>
      </c>
      <c r="T10" s="5">
        <f t="shared" si="4"/>
        <v>3.1</v>
      </c>
      <c r="U10" s="5">
        <f t="shared" si="5"/>
        <v>3.13</v>
      </c>
      <c r="V10" s="5">
        <f t="shared" si="6"/>
        <v>2.95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1156</v>
      </c>
      <c r="D11" s="3" t="s">
        <v>435</v>
      </c>
      <c r="E11" s="3" t="s">
        <v>436</v>
      </c>
      <c r="F11" s="3" t="s">
        <v>435</v>
      </c>
      <c r="G11" s="3" t="s">
        <v>435</v>
      </c>
      <c r="H11" s="51" t="s">
        <v>435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1144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1157</v>
      </c>
      <c r="D12" s="3" t="s">
        <v>1158</v>
      </c>
      <c r="E12" s="3" t="s">
        <v>1158</v>
      </c>
      <c r="F12" s="3" t="s">
        <v>1158</v>
      </c>
      <c r="G12" s="3" t="s">
        <v>1158</v>
      </c>
      <c r="H12" s="51">
        <v>41691</v>
      </c>
      <c r="J12" s="3">
        <f t="shared" si="7"/>
        <v>11.22</v>
      </c>
      <c r="K12" s="3">
        <f t="shared" si="0"/>
        <v>11.22</v>
      </c>
      <c r="L12" s="3">
        <f t="shared" si="0"/>
        <v>11.22</v>
      </c>
      <c r="M12" s="3">
        <f t="shared" si="0"/>
        <v>11.22</v>
      </c>
      <c r="P12" s="15" t="s">
        <v>1145</v>
      </c>
      <c r="Q12" s="10" t="str">
        <f t="shared" si="1"/>
        <v>MENDES JR   -PNA</v>
      </c>
      <c r="R12" s="46">
        <f t="shared" si="2"/>
        <v>41691</v>
      </c>
      <c r="S12" s="6">
        <f t="shared" si="3"/>
        <v>11.22</v>
      </c>
      <c r="T12" s="6">
        <f t="shared" si="4"/>
        <v>11.22</v>
      </c>
      <c r="U12" s="5">
        <f t="shared" si="5"/>
        <v>11.22</v>
      </c>
      <c r="V12" s="5">
        <f t="shared" si="6"/>
        <v>11.22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1159</v>
      </c>
      <c r="D13" s="3" t="s">
        <v>1160</v>
      </c>
      <c r="E13" s="3" t="s">
        <v>1160</v>
      </c>
      <c r="F13" s="3" t="s">
        <v>1160</v>
      </c>
      <c r="G13" s="3" t="s">
        <v>1160</v>
      </c>
      <c r="H13" s="51">
        <v>41660</v>
      </c>
      <c r="J13" s="3">
        <f t="shared" si="7"/>
        <v>11.6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1146</v>
      </c>
      <c r="Q13" s="10" t="str">
        <f t="shared" si="1"/>
        <v>MENDES JR   -PNB</v>
      </c>
      <c r="R13" s="51">
        <f t="shared" si="2"/>
        <v>41660</v>
      </c>
      <c r="S13" s="5">
        <f t="shared" si="3"/>
        <v>11.6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1153</v>
      </c>
      <c r="D14" s="3" t="s">
        <v>1154</v>
      </c>
      <c r="E14" s="3" t="s">
        <v>1154</v>
      </c>
      <c r="F14" s="3" t="s">
        <v>1154</v>
      </c>
      <c r="G14" s="3" t="s">
        <v>1154</v>
      </c>
      <c r="H14" s="51">
        <v>41688</v>
      </c>
      <c r="J14" s="3">
        <f t="shared" si="7"/>
        <v>1.1499999999999999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1142</v>
      </c>
      <c r="Q14" s="10" t="str">
        <f t="shared" si="1"/>
        <v>SULTEPA     -ON</v>
      </c>
      <c r="R14" s="51">
        <f t="shared" si="2"/>
        <v>41688</v>
      </c>
      <c r="S14" s="5">
        <f t="shared" si="3"/>
        <v>1.1499999999999999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1155</v>
      </c>
      <c r="D15" s="3" t="s">
        <v>471</v>
      </c>
      <c r="E15" s="3" t="s">
        <v>1412</v>
      </c>
      <c r="F15" s="3" t="s">
        <v>1412</v>
      </c>
      <c r="G15" s="3" t="s">
        <v>471</v>
      </c>
      <c r="H15" s="51">
        <v>41690</v>
      </c>
      <c r="J15" s="3">
        <f t="shared" si="7"/>
        <v>1</v>
      </c>
      <c r="K15" s="3">
        <f t="shared" si="0"/>
        <v>1.0900000000000001</v>
      </c>
      <c r="L15" s="3">
        <f t="shared" si="0"/>
        <v>1.0900000000000001</v>
      </c>
      <c r="M15" s="3">
        <f t="shared" si="0"/>
        <v>1</v>
      </c>
      <c r="P15" s="14" t="s">
        <v>1143</v>
      </c>
      <c r="Q15" s="10" t="str">
        <f t="shared" si="1"/>
        <v>SULTEPA     -PN</v>
      </c>
      <c r="R15" s="51">
        <f t="shared" si="2"/>
        <v>41690</v>
      </c>
      <c r="S15" s="5">
        <f t="shared" si="3"/>
        <v>1</v>
      </c>
      <c r="T15" s="5">
        <f t="shared" si="4"/>
        <v>1.0900000000000001</v>
      </c>
      <c r="U15" s="5">
        <f t="shared" si="5"/>
        <v>1.0900000000000001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1168</v>
      </c>
      <c r="D16" s="3" t="s">
        <v>435</v>
      </c>
      <c r="E16" s="3" t="s">
        <v>1169</v>
      </c>
      <c r="F16" s="3" t="s">
        <v>1169</v>
      </c>
      <c r="G16" s="3" t="s">
        <v>1169</v>
      </c>
      <c r="H16" s="51">
        <v>41023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1163</v>
      </c>
      <c r="Q16" s="10" t="str">
        <f t="shared" si="1"/>
        <v>SONDOTECNICA-ON</v>
      </c>
      <c r="R16" s="51">
        <f t="shared" si="2"/>
        <v>41023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1170</v>
      </c>
      <c r="D17" s="3" t="s">
        <v>763</v>
      </c>
      <c r="E17" s="3" t="s">
        <v>763</v>
      </c>
      <c r="F17" s="3" t="s">
        <v>763</v>
      </c>
      <c r="G17" s="3" t="s">
        <v>763</v>
      </c>
      <c r="H17" s="51">
        <v>41694</v>
      </c>
      <c r="J17" s="3">
        <f t="shared" si="7"/>
        <v>40</v>
      </c>
      <c r="K17" s="3">
        <f t="shared" si="0"/>
        <v>40</v>
      </c>
      <c r="L17" s="3">
        <f t="shared" si="0"/>
        <v>40</v>
      </c>
      <c r="M17" s="3">
        <f t="shared" si="0"/>
        <v>40</v>
      </c>
      <c r="P17" s="14" t="s">
        <v>1164</v>
      </c>
      <c r="Q17" s="10" t="str">
        <f t="shared" si="1"/>
        <v>SONDOTECNICA-PNA</v>
      </c>
      <c r="R17" s="51">
        <f t="shared" si="2"/>
        <v>41694</v>
      </c>
      <c r="S17" s="5">
        <f t="shared" si="3"/>
        <v>40</v>
      </c>
      <c r="T17" s="5">
        <f t="shared" si="4"/>
        <v>40</v>
      </c>
      <c r="U17" s="5">
        <f t="shared" si="5"/>
        <v>40</v>
      </c>
      <c r="V17" s="5">
        <f t="shared" si="6"/>
        <v>40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1171</v>
      </c>
      <c r="D18" s="3" t="s">
        <v>1172</v>
      </c>
      <c r="E18" s="3" t="s">
        <v>1172</v>
      </c>
      <c r="F18" s="3" t="s">
        <v>1172</v>
      </c>
      <c r="G18" s="3" t="s">
        <v>1172</v>
      </c>
      <c r="H18" s="51">
        <v>41677</v>
      </c>
      <c r="J18" s="3">
        <f t="shared" si="7"/>
        <v>44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1165</v>
      </c>
      <c r="Q18" s="10" t="str">
        <f t="shared" si="1"/>
        <v>SONDOTECNICA-PNB</v>
      </c>
      <c r="R18" s="51">
        <f t="shared" si="2"/>
        <v>41677</v>
      </c>
      <c r="S18" s="5">
        <f t="shared" si="3"/>
        <v>44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1173</v>
      </c>
      <c r="D19" s="3" t="s">
        <v>2034</v>
      </c>
      <c r="E19" s="3" t="s">
        <v>2034</v>
      </c>
      <c r="F19" s="3" t="s">
        <v>2034</v>
      </c>
      <c r="G19" s="3" t="s">
        <v>2034</v>
      </c>
      <c r="H19" s="51">
        <v>41696</v>
      </c>
      <c r="J19" s="3">
        <f t="shared" si="7"/>
        <v>0.09</v>
      </c>
      <c r="K19" s="3">
        <f t="shared" si="0"/>
        <v>0.09</v>
      </c>
      <c r="L19" s="3">
        <f t="shared" si="0"/>
        <v>0.09</v>
      </c>
      <c r="M19" s="3">
        <f t="shared" si="0"/>
        <v>0.09</v>
      </c>
      <c r="P19" s="10" t="s">
        <v>1166</v>
      </c>
      <c r="Q19" s="10" t="str">
        <f t="shared" si="1"/>
        <v>TECNOSOLO   -ON</v>
      </c>
      <c r="R19" s="51">
        <f t="shared" si="2"/>
        <v>41696</v>
      </c>
      <c r="S19" s="5">
        <f t="shared" si="3"/>
        <v>0.09</v>
      </c>
      <c r="T19" s="5">
        <f t="shared" si="4"/>
        <v>0.09</v>
      </c>
      <c r="U19" s="5">
        <f t="shared" si="5"/>
        <v>0.09</v>
      </c>
      <c r="V19" s="5">
        <f t="shared" si="6"/>
        <v>0.09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1174</v>
      </c>
      <c r="D20" s="3" t="s">
        <v>1175</v>
      </c>
      <c r="E20" s="3" t="s">
        <v>1175</v>
      </c>
      <c r="F20" s="3" t="s">
        <v>1175</v>
      </c>
      <c r="G20" s="3" t="s">
        <v>1175</v>
      </c>
      <c r="H20" s="51">
        <v>41694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1167</v>
      </c>
      <c r="Q20" s="10" t="str">
        <f t="shared" si="1"/>
        <v>TECNOSOLO   -PN</v>
      </c>
      <c r="R20" s="51">
        <f t="shared" si="2"/>
        <v>41694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1179</v>
      </c>
      <c r="D21" s="3" t="s">
        <v>1782</v>
      </c>
      <c r="E21" s="3" t="s">
        <v>1714</v>
      </c>
      <c r="F21" s="3" t="s">
        <v>717</v>
      </c>
      <c r="G21" s="3" t="s">
        <v>2035</v>
      </c>
      <c r="H21" s="51">
        <v>41696</v>
      </c>
      <c r="J21" s="3">
        <f t="shared" si="7"/>
        <v>4.99</v>
      </c>
      <c r="K21" s="3">
        <f t="shared" si="0"/>
        <v>4.88</v>
      </c>
      <c r="L21" s="3">
        <f t="shared" si="0"/>
        <v>5.01</v>
      </c>
      <c r="M21" s="3">
        <f t="shared" si="0"/>
        <v>4.8099999999999996</v>
      </c>
      <c r="P21" s="14" t="s">
        <v>1177</v>
      </c>
      <c r="Q21" s="10" t="str">
        <f t="shared" si="1"/>
        <v xml:space="preserve">BR BROKERS  -ON  </v>
      </c>
      <c r="R21" s="51">
        <f t="shared" si="2"/>
        <v>41696</v>
      </c>
      <c r="S21" s="5">
        <f t="shared" si="3"/>
        <v>4.99</v>
      </c>
      <c r="T21" s="5">
        <f t="shared" si="4"/>
        <v>4.88</v>
      </c>
      <c r="U21" s="5">
        <f t="shared" si="5"/>
        <v>5.01</v>
      </c>
      <c r="V21" s="5">
        <f t="shared" si="6"/>
        <v>4.8099999999999996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1180</v>
      </c>
      <c r="D22" s="3" t="s">
        <v>1398</v>
      </c>
      <c r="E22" s="3" t="s">
        <v>2036</v>
      </c>
      <c r="F22" s="3" t="s">
        <v>1398</v>
      </c>
      <c r="G22" s="3" t="s">
        <v>2037</v>
      </c>
      <c r="H22" s="51">
        <v>41696</v>
      </c>
      <c r="J22" s="3">
        <f t="shared" si="7"/>
        <v>13.2</v>
      </c>
      <c r="K22" s="3">
        <f t="shared" si="0"/>
        <v>12.75</v>
      </c>
      <c r="L22" s="3">
        <f t="shared" si="0"/>
        <v>13.2</v>
      </c>
      <c r="M22" s="3">
        <f t="shared" si="0"/>
        <v>12.64</v>
      </c>
      <c r="P22" s="14" t="s">
        <v>1178</v>
      </c>
      <c r="Q22" s="10" t="str">
        <f t="shared" si="1"/>
        <v xml:space="preserve">LOPES BRASIL-ON  </v>
      </c>
      <c r="R22" s="51">
        <f t="shared" si="2"/>
        <v>41696</v>
      </c>
      <c r="S22" s="5">
        <f t="shared" si="3"/>
        <v>13.2</v>
      </c>
      <c r="T22" s="5">
        <f t="shared" si="4"/>
        <v>12.75</v>
      </c>
      <c r="U22" s="5">
        <f t="shared" si="5"/>
        <v>13.2</v>
      </c>
      <c r="V22" s="5">
        <f t="shared" si="6"/>
        <v>12.64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1187</v>
      </c>
      <c r="D23" s="3" t="s">
        <v>1783</v>
      </c>
      <c r="E23" s="3" t="s">
        <v>2038</v>
      </c>
      <c r="F23" s="3" t="s">
        <v>1783</v>
      </c>
      <c r="G23" s="3" t="s">
        <v>2038</v>
      </c>
      <c r="H23" s="51">
        <v>41696</v>
      </c>
      <c r="J23" s="3">
        <f t="shared" si="7"/>
        <v>0.15</v>
      </c>
      <c r="K23" s="3">
        <f t="shared" si="7"/>
        <v>0.14000000000000001</v>
      </c>
      <c r="L23" s="3">
        <f t="shared" si="7"/>
        <v>0.15</v>
      </c>
      <c r="M23" s="3">
        <f t="shared" si="7"/>
        <v>0.14000000000000001</v>
      </c>
      <c r="P23" s="14" t="s">
        <v>1182</v>
      </c>
      <c r="Q23" s="10" t="str">
        <f t="shared" si="1"/>
        <v>CHIARELLI   -ON</v>
      </c>
      <c r="R23" s="51">
        <f t="shared" si="2"/>
        <v>41696</v>
      </c>
      <c r="S23" s="5">
        <f t="shared" si="3"/>
        <v>0.15</v>
      </c>
      <c r="T23" s="5">
        <f t="shared" si="4"/>
        <v>0.14000000000000001</v>
      </c>
      <c r="U23" s="5">
        <f t="shared" si="5"/>
        <v>0.15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1188</v>
      </c>
      <c r="D24" s="3" t="s">
        <v>406</v>
      </c>
      <c r="E24" s="3" t="s">
        <v>406</v>
      </c>
      <c r="F24" s="3" t="s">
        <v>406</v>
      </c>
      <c r="G24" s="3" t="s">
        <v>406</v>
      </c>
      <c r="H24" s="51">
        <v>41696</v>
      </c>
      <c r="J24" s="3">
        <f t="shared" si="7"/>
        <v>0.12</v>
      </c>
      <c r="K24" s="3">
        <f t="shared" si="7"/>
        <v>0.12</v>
      </c>
      <c r="L24" s="3">
        <f t="shared" si="7"/>
        <v>0.12</v>
      </c>
      <c r="M24" s="3">
        <f t="shared" si="7"/>
        <v>0.12</v>
      </c>
      <c r="P24" s="15" t="s">
        <v>1183</v>
      </c>
      <c r="Q24" s="10" t="str">
        <f t="shared" si="1"/>
        <v>CHIARELLI   -PN</v>
      </c>
      <c r="R24" s="51">
        <f t="shared" si="2"/>
        <v>41696</v>
      </c>
      <c r="S24" s="5">
        <f t="shared" si="3"/>
        <v>0.12</v>
      </c>
      <c r="T24" s="5">
        <f t="shared" si="4"/>
        <v>0.12</v>
      </c>
      <c r="U24" s="5">
        <f t="shared" si="5"/>
        <v>0.12</v>
      </c>
      <c r="V24" s="5">
        <f t="shared" si="6"/>
        <v>0.12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1189</v>
      </c>
      <c r="D25" s="3" t="s">
        <v>492</v>
      </c>
      <c r="E25" s="3" t="s">
        <v>1190</v>
      </c>
      <c r="F25" s="3" t="s">
        <v>1190</v>
      </c>
      <c r="G25" s="3" t="s">
        <v>492</v>
      </c>
      <c r="H25" s="51">
        <v>41668</v>
      </c>
      <c r="J25" s="3">
        <f t="shared" si="7"/>
        <v>1.6</v>
      </c>
      <c r="K25" s="3">
        <f t="shared" si="7"/>
        <v>1.98</v>
      </c>
      <c r="L25" s="3">
        <f t="shared" si="7"/>
        <v>1.98</v>
      </c>
      <c r="M25" s="3">
        <f t="shared" si="7"/>
        <v>1.6</v>
      </c>
      <c r="P25" s="10" t="s">
        <v>1184</v>
      </c>
      <c r="Q25" s="10" t="str">
        <f t="shared" si="1"/>
        <v>HAGA S/A    -ON</v>
      </c>
      <c r="R25" s="51">
        <f t="shared" si="2"/>
        <v>41668</v>
      </c>
      <c r="S25" s="5">
        <f t="shared" si="3"/>
        <v>1.6</v>
      </c>
      <c r="T25" s="5">
        <f t="shared" si="4"/>
        <v>1.98</v>
      </c>
      <c r="U25" s="5">
        <f t="shared" si="5"/>
        <v>1.98</v>
      </c>
      <c r="V25" s="5">
        <f t="shared" si="6"/>
        <v>1.6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1191</v>
      </c>
      <c r="D26" s="3" t="s">
        <v>1501</v>
      </c>
      <c r="E26" s="3" t="s">
        <v>1784</v>
      </c>
      <c r="F26" s="3" t="s">
        <v>2039</v>
      </c>
      <c r="G26" s="3" t="s">
        <v>1466</v>
      </c>
      <c r="H26" s="51">
        <v>41696</v>
      </c>
      <c r="J26" s="3">
        <f t="shared" si="7"/>
        <v>1.3</v>
      </c>
      <c r="K26" s="3">
        <f t="shared" si="7"/>
        <v>1.28</v>
      </c>
      <c r="L26" s="3">
        <f t="shared" si="7"/>
        <v>1.32</v>
      </c>
      <c r="M26" s="3">
        <f t="shared" si="7"/>
        <v>1.24</v>
      </c>
      <c r="P26" s="15" t="s">
        <v>1185</v>
      </c>
      <c r="Q26" s="10" t="str">
        <f t="shared" si="1"/>
        <v>HAGA S/A    -PN</v>
      </c>
      <c r="R26" s="51">
        <f t="shared" si="2"/>
        <v>41696</v>
      </c>
      <c r="S26" s="5">
        <f t="shared" si="3"/>
        <v>1.3</v>
      </c>
      <c r="T26" s="5">
        <f t="shared" si="4"/>
        <v>1.28</v>
      </c>
      <c r="U26" s="5">
        <f t="shared" si="5"/>
        <v>1.32</v>
      </c>
      <c r="V26" s="5">
        <f t="shared" si="6"/>
        <v>1.24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1192</v>
      </c>
      <c r="D27" s="3" t="s">
        <v>1785</v>
      </c>
      <c r="E27" s="3" t="s">
        <v>2040</v>
      </c>
      <c r="F27" s="3" t="s">
        <v>2041</v>
      </c>
      <c r="G27" s="3" t="s">
        <v>2040</v>
      </c>
      <c r="H27" s="51">
        <v>41696</v>
      </c>
      <c r="J27" s="3">
        <f t="shared" si="7"/>
        <v>4.4400000000000004</v>
      </c>
      <c r="K27" s="3">
        <f t="shared" si="7"/>
        <v>4.4000000000000004</v>
      </c>
      <c r="L27" s="3">
        <f t="shared" si="7"/>
        <v>4.49</v>
      </c>
      <c r="M27" s="3">
        <f t="shared" si="7"/>
        <v>4.4000000000000004</v>
      </c>
      <c r="P27" s="15" t="s">
        <v>1186</v>
      </c>
      <c r="Q27" s="10" t="str">
        <f t="shared" si="1"/>
        <v xml:space="preserve">PORTOBELLO  -ON  </v>
      </c>
      <c r="R27" s="51">
        <f t="shared" si="2"/>
        <v>41696</v>
      </c>
      <c r="S27" s="5">
        <f t="shared" si="3"/>
        <v>4.4400000000000004</v>
      </c>
      <c r="T27" s="5">
        <f t="shared" si="4"/>
        <v>4.4000000000000004</v>
      </c>
      <c r="U27" s="5">
        <f t="shared" si="5"/>
        <v>4.49</v>
      </c>
      <c r="V27" s="5">
        <f t="shared" si="6"/>
        <v>4.4000000000000004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1201</v>
      </c>
      <c r="D28" s="3" t="s">
        <v>1623</v>
      </c>
      <c r="E28" s="3" t="s">
        <v>2042</v>
      </c>
      <c r="F28" s="3" t="s">
        <v>1786</v>
      </c>
      <c r="G28" s="3" t="s">
        <v>2042</v>
      </c>
      <c r="H28" s="51">
        <v>41696</v>
      </c>
      <c r="J28" s="3">
        <f t="shared" si="7"/>
        <v>20.65</v>
      </c>
      <c r="K28" s="3">
        <f t="shared" si="7"/>
        <v>20.43</v>
      </c>
      <c r="L28" s="3">
        <f t="shared" si="7"/>
        <v>20.79</v>
      </c>
      <c r="M28" s="3">
        <f t="shared" si="7"/>
        <v>20.43</v>
      </c>
      <c r="P28" s="15" t="s">
        <v>1193</v>
      </c>
      <c r="Q28" s="10" t="str">
        <f t="shared" si="1"/>
        <v xml:space="preserve">CONTAX      -UNT </v>
      </c>
      <c r="R28" s="51">
        <f t="shared" si="2"/>
        <v>41696</v>
      </c>
      <c r="S28" s="5">
        <f t="shared" si="3"/>
        <v>20.65</v>
      </c>
      <c r="T28" s="5">
        <f t="shared" si="4"/>
        <v>20.43</v>
      </c>
      <c r="U28" s="5">
        <f t="shared" si="5"/>
        <v>20.79</v>
      </c>
      <c r="V28" s="5">
        <f t="shared" si="6"/>
        <v>20.43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1202</v>
      </c>
      <c r="D29" s="3" t="s">
        <v>2043</v>
      </c>
      <c r="E29" s="3" t="s">
        <v>1961</v>
      </c>
      <c r="F29" s="3" t="s">
        <v>2044</v>
      </c>
      <c r="G29" s="3" t="s">
        <v>2043</v>
      </c>
      <c r="H29" s="51">
        <v>41696</v>
      </c>
      <c r="J29" s="3">
        <f>IF($A29="",0,VALUE(CONCATENATE(LEFT(D29,LEN(D29)-3),",",RIGHT(D29,2))))</f>
        <v>5.7</v>
      </c>
      <c r="K29" s="3">
        <f t="shared" si="7"/>
        <v>6</v>
      </c>
      <c r="L29" s="3">
        <f t="shared" si="7"/>
        <v>6.2</v>
      </c>
      <c r="M29" s="3">
        <f t="shared" si="7"/>
        <v>5.7</v>
      </c>
      <c r="P29" s="14" t="s">
        <v>1194</v>
      </c>
      <c r="Q29" s="10" t="str">
        <f t="shared" si="1"/>
        <v xml:space="preserve">CONTAX      -ON  </v>
      </c>
      <c r="R29" s="51">
        <f t="shared" si="2"/>
        <v>41696</v>
      </c>
      <c r="S29" s="5">
        <f t="shared" si="3"/>
        <v>5.7</v>
      </c>
      <c r="T29" s="5">
        <f t="shared" si="4"/>
        <v>6</v>
      </c>
      <c r="U29" s="5">
        <f t="shared" si="5"/>
        <v>6.2</v>
      </c>
      <c r="V29" s="5">
        <f t="shared" si="6"/>
        <v>5.7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1203</v>
      </c>
      <c r="D30" s="3" t="s">
        <v>1430</v>
      </c>
      <c r="E30" s="3" t="s">
        <v>2045</v>
      </c>
      <c r="F30" s="3" t="s">
        <v>1372</v>
      </c>
      <c r="G30" s="3" t="s">
        <v>2046</v>
      </c>
      <c r="H30" s="51">
        <v>41696</v>
      </c>
      <c r="J30" s="3">
        <f t="shared" si="7"/>
        <v>3.62</v>
      </c>
      <c r="K30" s="3">
        <f t="shared" si="7"/>
        <v>3.57</v>
      </c>
      <c r="L30" s="3">
        <f t="shared" si="7"/>
        <v>3.77</v>
      </c>
      <c r="M30" s="3">
        <f t="shared" si="7"/>
        <v>3.53</v>
      </c>
      <c r="P30" s="14" t="s">
        <v>1195</v>
      </c>
      <c r="Q30" s="10" t="str">
        <f t="shared" si="1"/>
        <v xml:space="preserve">CONTAX      -PN  </v>
      </c>
      <c r="R30" s="51">
        <f t="shared" si="2"/>
        <v>41696</v>
      </c>
      <c r="S30" s="5">
        <f t="shared" si="3"/>
        <v>3.62</v>
      </c>
      <c r="T30" s="5">
        <f t="shared" si="4"/>
        <v>3.57</v>
      </c>
      <c r="U30" s="5">
        <f t="shared" si="5"/>
        <v>3.77</v>
      </c>
      <c r="V30" s="5">
        <f t="shared" si="6"/>
        <v>3.53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1204</v>
      </c>
      <c r="D31" s="3" t="s">
        <v>1477</v>
      </c>
      <c r="E31" s="3" t="s">
        <v>2047</v>
      </c>
      <c r="F31" s="3" t="s">
        <v>1477</v>
      </c>
      <c r="G31" s="3" t="s">
        <v>2047</v>
      </c>
      <c r="H31" s="51">
        <v>41696</v>
      </c>
      <c r="J31" s="3">
        <f t="shared" si="7"/>
        <v>2.63</v>
      </c>
      <c r="K31" s="3">
        <f t="shared" si="7"/>
        <v>2.58</v>
      </c>
      <c r="L31" s="3">
        <f t="shared" si="7"/>
        <v>2.63</v>
      </c>
      <c r="M31" s="3">
        <f t="shared" si="7"/>
        <v>2.58</v>
      </c>
      <c r="P31" s="14" t="s">
        <v>1196</v>
      </c>
      <c r="Q31" s="10" t="str">
        <f t="shared" si="1"/>
        <v xml:space="preserve">CSU CARDSYST-ON  </v>
      </c>
      <c r="R31" s="51">
        <f t="shared" si="2"/>
        <v>41696</v>
      </c>
      <c r="S31" s="5">
        <f t="shared" si="3"/>
        <v>2.63</v>
      </c>
      <c r="T31" s="5">
        <f t="shared" si="4"/>
        <v>2.58</v>
      </c>
      <c r="U31" s="5">
        <f t="shared" si="5"/>
        <v>2.63</v>
      </c>
      <c r="V31" s="5">
        <f t="shared" si="6"/>
        <v>2.58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1205</v>
      </c>
      <c r="D32" s="3" t="s">
        <v>1288</v>
      </c>
      <c r="E32" s="3" t="s">
        <v>734</v>
      </c>
      <c r="F32" s="3" t="s">
        <v>1288</v>
      </c>
      <c r="G32" s="3" t="s">
        <v>734</v>
      </c>
      <c r="H32" s="51">
        <v>41691</v>
      </c>
      <c r="J32" s="3">
        <f t="shared" si="7"/>
        <v>0.44</v>
      </c>
      <c r="K32" s="3">
        <f t="shared" si="7"/>
        <v>0.43</v>
      </c>
      <c r="L32" s="3">
        <f t="shared" si="7"/>
        <v>0.44</v>
      </c>
      <c r="M32" s="3">
        <f t="shared" si="7"/>
        <v>0.43</v>
      </c>
      <c r="P32" s="14" t="s">
        <v>1197</v>
      </c>
      <c r="Q32" s="10" t="str">
        <f t="shared" si="1"/>
        <v>DTCOM-DIRECT-ON</v>
      </c>
      <c r="R32" s="51">
        <f t="shared" si="2"/>
        <v>41691</v>
      </c>
      <c r="S32" s="5">
        <f t="shared" si="3"/>
        <v>0.44</v>
      </c>
      <c r="T32" s="5">
        <f t="shared" si="4"/>
        <v>0.43</v>
      </c>
      <c r="U32" s="5">
        <f t="shared" si="5"/>
        <v>0.44</v>
      </c>
      <c r="V32" s="5">
        <f t="shared" si="6"/>
        <v>0.43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1206</v>
      </c>
      <c r="D33" s="3" t="s">
        <v>435</v>
      </c>
      <c r="E33" s="3" t="s">
        <v>436</v>
      </c>
      <c r="F33" s="3" t="s">
        <v>435</v>
      </c>
      <c r="G33" s="3" t="s">
        <v>435</v>
      </c>
      <c r="H33" s="51" t="s">
        <v>435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1198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1207</v>
      </c>
      <c r="D34" s="3" t="s">
        <v>1787</v>
      </c>
      <c r="E34" s="3" t="s">
        <v>2048</v>
      </c>
      <c r="F34" s="3" t="s">
        <v>1787</v>
      </c>
      <c r="G34" s="3" t="s">
        <v>2049</v>
      </c>
      <c r="H34" s="51">
        <v>41696</v>
      </c>
      <c r="J34" s="3">
        <f t="shared" si="7"/>
        <v>26.5</v>
      </c>
      <c r="K34" s="3">
        <f t="shared" si="7"/>
        <v>25.6</v>
      </c>
      <c r="L34" s="3">
        <f t="shared" si="7"/>
        <v>26.5</v>
      </c>
      <c r="M34" s="3">
        <f t="shared" si="7"/>
        <v>25.46</v>
      </c>
      <c r="P34" s="14" t="s">
        <v>1199</v>
      </c>
      <c r="Q34" s="10" t="str">
        <f t="shared" si="1"/>
        <v xml:space="preserve">MILLS       -ON  </v>
      </c>
      <c r="R34" s="51">
        <f t="shared" si="2"/>
        <v>41696</v>
      </c>
      <c r="S34" s="5">
        <f t="shared" si="3"/>
        <v>26.5</v>
      </c>
      <c r="T34" s="5">
        <f t="shared" si="4"/>
        <v>25.6</v>
      </c>
      <c r="U34" s="5">
        <f t="shared" si="5"/>
        <v>26.5</v>
      </c>
      <c r="V34" s="5">
        <f t="shared" si="6"/>
        <v>25.46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1208</v>
      </c>
      <c r="D35" s="3" t="s">
        <v>1788</v>
      </c>
      <c r="E35" s="3" t="s">
        <v>2050</v>
      </c>
      <c r="F35" s="3" t="s">
        <v>2050</v>
      </c>
      <c r="G35" s="3" t="s">
        <v>1790</v>
      </c>
      <c r="H35" s="51">
        <v>41696</v>
      </c>
      <c r="J35" s="3">
        <f t="shared" si="7"/>
        <v>29.38</v>
      </c>
      <c r="K35" s="3">
        <f t="shared" si="7"/>
        <v>30.51</v>
      </c>
      <c r="L35" s="3">
        <f t="shared" si="7"/>
        <v>30.51</v>
      </c>
      <c r="M35" s="3">
        <f t="shared" si="7"/>
        <v>28.86</v>
      </c>
      <c r="P35" s="14" t="s">
        <v>1200</v>
      </c>
      <c r="Q35" s="10" t="str">
        <f t="shared" si="1"/>
        <v xml:space="preserve">VALID       -ON  </v>
      </c>
      <c r="R35" s="51">
        <f t="shared" si="2"/>
        <v>41696</v>
      </c>
      <c r="S35" s="5">
        <f t="shared" si="3"/>
        <v>29.38</v>
      </c>
      <c r="T35" s="5">
        <f t="shared" si="4"/>
        <v>30.51</v>
      </c>
      <c r="U35" s="5">
        <f t="shared" si="5"/>
        <v>30.51</v>
      </c>
      <c r="V35" s="5">
        <f t="shared" si="6"/>
        <v>28.86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1214</v>
      </c>
      <c r="D36" s="3" t="s">
        <v>1608</v>
      </c>
      <c r="E36" s="3" t="s">
        <v>1564</v>
      </c>
      <c r="F36" s="3" t="s">
        <v>1454</v>
      </c>
      <c r="G36" s="3" t="s">
        <v>1545</v>
      </c>
      <c r="H36" s="51">
        <v>41696</v>
      </c>
      <c r="J36" s="3">
        <f t="shared" si="7"/>
        <v>16.149999999999999</v>
      </c>
      <c r="K36" s="3">
        <f t="shared" si="7"/>
        <v>16.59</v>
      </c>
      <c r="L36" s="3">
        <f t="shared" si="7"/>
        <v>16.8</v>
      </c>
      <c r="M36" s="3">
        <f t="shared" si="7"/>
        <v>16.14</v>
      </c>
      <c r="P36" s="14" t="s">
        <v>1210</v>
      </c>
      <c r="Q36" s="10" t="str">
        <f t="shared" si="1"/>
        <v xml:space="preserve">ARTERIS     -ON  </v>
      </c>
      <c r="R36" s="51">
        <f t="shared" si="2"/>
        <v>41696</v>
      </c>
      <c r="S36" s="5">
        <f t="shared" si="3"/>
        <v>16.149999999999999</v>
      </c>
      <c r="T36" s="5">
        <f t="shared" si="4"/>
        <v>16.59</v>
      </c>
      <c r="U36" s="5">
        <f t="shared" si="5"/>
        <v>16.8</v>
      </c>
      <c r="V36" s="5">
        <f t="shared" si="6"/>
        <v>16.14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1215</v>
      </c>
      <c r="D37" s="3" t="s">
        <v>1513</v>
      </c>
      <c r="E37" s="3" t="s">
        <v>2051</v>
      </c>
      <c r="F37" s="3" t="s">
        <v>1791</v>
      </c>
      <c r="G37" s="3" t="s">
        <v>1556</v>
      </c>
      <c r="H37" s="51">
        <v>41696</v>
      </c>
      <c r="J37" s="3">
        <f t="shared" si="7"/>
        <v>15.6</v>
      </c>
      <c r="K37" s="3">
        <f t="shared" si="7"/>
        <v>16.079999999999998</v>
      </c>
      <c r="L37" s="3">
        <f t="shared" si="7"/>
        <v>16.18</v>
      </c>
      <c r="M37" s="3">
        <f t="shared" si="7"/>
        <v>15.5</v>
      </c>
      <c r="P37" s="15" t="s">
        <v>1211</v>
      </c>
      <c r="Q37" s="10" t="str">
        <f t="shared" si="1"/>
        <v xml:space="preserve">CCR SA      -ON  </v>
      </c>
      <c r="R37" s="51">
        <f t="shared" si="2"/>
        <v>41696</v>
      </c>
      <c r="S37" s="5">
        <f t="shared" si="3"/>
        <v>15.6</v>
      </c>
      <c r="T37" s="5">
        <f t="shared" si="4"/>
        <v>16.079999999999998</v>
      </c>
      <c r="U37" s="5">
        <f t="shared" si="5"/>
        <v>16.18</v>
      </c>
      <c r="V37" s="5">
        <f t="shared" si="6"/>
        <v>15.5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1216</v>
      </c>
      <c r="D38" s="3" t="s">
        <v>778</v>
      </c>
      <c r="E38" s="3" t="s">
        <v>1980</v>
      </c>
      <c r="F38" s="3" t="s">
        <v>2052</v>
      </c>
      <c r="G38" s="3" t="s">
        <v>1792</v>
      </c>
      <c r="H38" s="51">
        <v>41696</v>
      </c>
      <c r="J38" s="3">
        <f t="shared" si="7"/>
        <v>12.52</v>
      </c>
      <c r="K38" s="3">
        <f t="shared" si="7"/>
        <v>12.44</v>
      </c>
      <c r="L38" s="3">
        <f t="shared" si="7"/>
        <v>12.86</v>
      </c>
      <c r="M38" s="3">
        <f t="shared" si="7"/>
        <v>12.32</v>
      </c>
      <c r="P38" s="15" t="s">
        <v>1212</v>
      </c>
      <c r="Q38" s="10" t="str">
        <f t="shared" si="1"/>
        <v xml:space="preserve">ECORODOVIAS -ON  </v>
      </c>
      <c r="R38" s="51">
        <f t="shared" si="2"/>
        <v>41696</v>
      </c>
      <c r="S38" s="5">
        <f t="shared" si="3"/>
        <v>12.52</v>
      </c>
      <c r="T38" s="5">
        <f t="shared" si="4"/>
        <v>12.44</v>
      </c>
      <c r="U38" s="5">
        <f t="shared" si="5"/>
        <v>12.86</v>
      </c>
      <c r="V38" s="5">
        <f t="shared" si="6"/>
        <v>12.32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1217</v>
      </c>
      <c r="D39" s="3" t="s">
        <v>1448</v>
      </c>
      <c r="E39" s="3" t="s">
        <v>2053</v>
      </c>
      <c r="F39" s="3" t="s">
        <v>2054</v>
      </c>
      <c r="G39" s="3" t="s">
        <v>1484</v>
      </c>
      <c r="H39" s="51">
        <v>41696</v>
      </c>
      <c r="J39" s="3">
        <f t="shared" si="7"/>
        <v>8.7200000000000006</v>
      </c>
      <c r="K39" s="3">
        <f t="shared" si="7"/>
        <v>8.84</v>
      </c>
      <c r="L39" s="3">
        <f t="shared" si="7"/>
        <v>8.9600000000000009</v>
      </c>
      <c r="M39" s="3">
        <f t="shared" si="7"/>
        <v>8.57</v>
      </c>
      <c r="P39" s="14" t="s">
        <v>1213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41696</v>
      </c>
      <c r="S39" s="5">
        <f t="shared" ref="S39:S70" si="10">J39</f>
        <v>8.7200000000000006</v>
      </c>
      <c r="T39" s="5">
        <f t="shared" ref="T39:T70" si="11">K39</f>
        <v>8.84</v>
      </c>
      <c r="U39" s="5">
        <f t="shared" ref="U39:U70" si="12">L39</f>
        <v>8.9600000000000009</v>
      </c>
      <c r="V39" s="5">
        <f t="shared" ref="V39:V70" si="13">M39</f>
        <v>8.57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1226</v>
      </c>
      <c r="D40" s="3" t="s">
        <v>789</v>
      </c>
      <c r="E40" s="3" t="s">
        <v>789</v>
      </c>
      <c r="F40" s="3" t="s">
        <v>789</v>
      </c>
      <c r="G40" s="3" t="s">
        <v>789</v>
      </c>
      <c r="H40" s="51">
        <v>41663</v>
      </c>
      <c r="J40" s="3">
        <f t="shared" si="7"/>
        <v>1.01</v>
      </c>
      <c r="K40" s="3">
        <f t="shared" si="7"/>
        <v>1.01</v>
      </c>
      <c r="L40" s="3">
        <f t="shared" si="7"/>
        <v>1.01</v>
      </c>
      <c r="M40" s="3">
        <f t="shared" si="7"/>
        <v>1.01</v>
      </c>
      <c r="P40" s="14" t="s">
        <v>1220</v>
      </c>
      <c r="Q40" s="10" t="str">
        <f t="shared" si="8"/>
        <v>DOC IMBITUBA-ON</v>
      </c>
      <c r="R40" s="51">
        <f t="shared" si="9"/>
        <v>41663</v>
      </c>
      <c r="S40" s="5">
        <f t="shared" si="10"/>
        <v>1.01</v>
      </c>
      <c r="T40" s="5">
        <f t="shared" si="11"/>
        <v>1.01</v>
      </c>
      <c r="U40" s="5">
        <f t="shared" si="12"/>
        <v>1.01</v>
      </c>
      <c r="V40" s="5">
        <f t="shared" si="13"/>
        <v>1.01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1227</v>
      </c>
      <c r="D41" s="3" t="s">
        <v>1505</v>
      </c>
      <c r="E41" s="3" t="s">
        <v>2055</v>
      </c>
      <c r="F41" s="3" t="s">
        <v>1505</v>
      </c>
      <c r="G41" s="3" t="s">
        <v>2055</v>
      </c>
      <c r="H41" s="51">
        <v>41696</v>
      </c>
      <c r="J41" s="3">
        <f t="shared" si="7"/>
        <v>0.68</v>
      </c>
      <c r="K41" s="3">
        <f t="shared" si="7"/>
        <v>0.66</v>
      </c>
      <c r="L41" s="3">
        <f t="shared" si="7"/>
        <v>0.68</v>
      </c>
      <c r="M41" s="3">
        <f t="shared" si="7"/>
        <v>0.66</v>
      </c>
      <c r="P41" s="14" t="s">
        <v>1221</v>
      </c>
      <c r="Q41" s="10" t="str">
        <f t="shared" si="8"/>
        <v>DOC IMBITUBA-PN</v>
      </c>
      <c r="R41" s="51">
        <f t="shared" si="9"/>
        <v>41696</v>
      </c>
      <c r="S41" s="5">
        <f t="shared" si="10"/>
        <v>0.68</v>
      </c>
      <c r="T41" s="5">
        <f t="shared" si="11"/>
        <v>0.66</v>
      </c>
      <c r="U41" s="5">
        <f t="shared" si="12"/>
        <v>0.68</v>
      </c>
      <c r="V41" s="5">
        <f t="shared" si="13"/>
        <v>0.66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1228</v>
      </c>
      <c r="D42" s="3" t="s">
        <v>1506</v>
      </c>
      <c r="E42" s="3" t="s">
        <v>2056</v>
      </c>
      <c r="F42" s="3" t="s">
        <v>1306</v>
      </c>
      <c r="G42" s="3" t="s">
        <v>2056</v>
      </c>
      <c r="H42" s="51">
        <v>41696</v>
      </c>
      <c r="J42" s="3">
        <f t="shared" si="7"/>
        <v>0.93</v>
      </c>
      <c r="K42" s="3">
        <f t="shared" si="7"/>
        <v>0.92</v>
      </c>
      <c r="L42" s="3">
        <f t="shared" si="7"/>
        <v>0.95</v>
      </c>
      <c r="M42" s="3">
        <f t="shared" si="7"/>
        <v>0.92</v>
      </c>
      <c r="P42" s="14" t="s">
        <v>1222</v>
      </c>
      <c r="Q42" s="10" t="str">
        <f t="shared" si="8"/>
        <v xml:space="preserve">LLX LOG     -ON  </v>
      </c>
      <c r="R42" s="51">
        <f t="shared" si="9"/>
        <v>41696</v>
      </c>
      <c r="S42" s="5">
        <f t="shared" si="10"/>
        <v>0.93</v>
      </c>
      <c r="T42" s="5">
        <f t="shared" si="11"/>
        <v>0.92</v>
      </c>
      <c r="U42" s="5">
        <f t="shared" si="12"/>
        <v>0.95</v>
      </c>
      <c r="V42" s="5">
        <f t="shared" si="13"/>
        <v>0.92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1230</v>
      </c>
      <c r="D43" s="3" t="s">
        <v>1794</v>
      </c>
      <c r="E43" s="3" t="s">
        <v>2057</v>
      </c>
      <c r="F43" s="3" t="s">
        <v>2058</v>
      </c>
      <c r="G43" s="3" t="s">
        <v>2057</v>
      </c>
      <c r="H43" s="51">
        <v>41696</v>
      </c>
      <c r="J43" s="3">
        <f t="shared" si="7"/>
        <v>14.86</v>
      </c>
      <c r="K43" s="3">
        <f t="shared" si="7"/>
        <v>14.66</v>
      </c>
      <c r="L43" s="3">
        <f t="shared" si="7"/>
        <v>15.1</v>
      </c>
      <c r="M43" s="3">
        <f t="shared" si="7"/>
        <v>14.66</v>
      </c>
      <c r="P43" s="14" t="s">
        <v>1223</v>
      </c>
      <c r="Q43" s="10" t="str">
        <f t="shared" si="8"/>
        <v xml:space="preserve">SANTOS BRP  -UNT </v>
      </c>
      <c r="R43" s="51">
        <f t="shared" si="9"/>
        <v>41696</v>
      </c>
      <c r="S43" s="5">
        <f t="shared" si="10"/>
        <v>14.86</v>
      </c>
      <c r="T43" s="5">
        <f t="shared" si="11"/>
        <v>14.66</v>
      </c>
      <c r="U43" s="5">
        <f t="shared" si="12"/>
        <v>15.1</v>
      </c>
      <c r="V43" s="5">
        <f t="shared" si="13"/>
        <v>14.66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1231</v>
      </c>
      <c r="D44" s="3" t="s">
        <v>435</v>
      </c>
      <c r="E44" s="3" t="s">
        <v>436</v>
      </c>
      <c r="F44" s="3" t="s">
        <v>435</v>
      </c>
      <c r="G44" s="3" t="s">
        <v>435</v>
      </c>
      <c r="H44" s="51" t="s">
        <v>435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1224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1232</v>
      </c>
      <c r="D45" s="3" t="s">
        <v>435</v>
      </c>
      <c r="E45" s="3" t="s">
        <v>436</v>
      </c>
      <c r="F45" s="3" t="s">
        <v>435</v>
      </c>
      <c r="G45" s="3" t="s">
        <v>435</v>
      </c>
      <c r="H45" s="51" t="s">
        <v>435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1225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1236</v>
      </c>
      <c r="D46" s="3" t="s">
        <v>435</v>
      </c>
      <c r="E46" s="3" t="s">
        <v>436</v>
      </c>
      <c r="F46" s="3" t="s">
        <v>435</v>
      </c>
      <c r="G46" s="3" t="s">
        <v>435</v>
      </c>
      <c r="H46" s="51" t="s">
        <v>435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1234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1237</v>
      </c>
      <c r="D47" s="3" t="s">
        <v>1469</v>
      </c>
      <c r="E47" s="3" t="s">
        <v>2059</v>
      </c>
      <c r="F47" s="3" t="s">
        <v>1470</v>
      </c>
      <c r="G47" s="3" t="s">
        <v>2060</v>
      </c>
      <c r="H47" s="51">
        <v>41696</v>
      </c>
      <c r="J47" s="3">
        <f t="shared" si="7"/>
        <v>11.3</v>
      </c>
      <c r="K47" s="3">
        <f t="shared" si="7"/>
        <v>11.19</v>
      </c>
      <c r="L47" s="3">
        <f t="shared" si="7"/>
        <v>11.44</v>
      </c>
      <c r="M47" s="3">
        <f t="shared" si="7"/>
        <v>11.08</v>
      </c>
      <c r="P47" s="10" t="s">
        <v>1235</v>
      </c>
      <c r="Q47" s="10" t="str">
        <f t="shared" si="8"/>
        <v xml:space="preserve">GOL         -PN  </v>
      </c>
      <c r="R47" s="51">
        <f t="shared" si="9"/>
        <v>41696</v>
      </c>
      <c r="S47" s="5">
        <f t="shared" si="10"/>
        <v>11.3</v>
      </c>
      <c r="T47" s="5">
        <f t="shared" si="11"/>
        <v>11.19</v>
      </c>
      <c r="U47" s="5">
        <f t="shared" si="12"/>
        <v>11.44</v>
      </c>
      <c r="V47" s="5">
        <f t="shared" si="13"/>
        <v>11.08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1242</v>
      </c>
      <c r="D48" s="3" t="s">
        <v>1508</v>
      </c>
      <c r="E48" s="3" t="s">
        <v>2061</v>
      </c>
      <c r="F48" s="3" t="s">
        <v>2061</v>
      </c>
      <c r="G48" s="3" t="s">
        <v>1778</v>
      </c>
      <c r="H48" s="51">
        <v>41696</v>
      </c>
      <c r="J48" s="3">
        <f t="shared" si="7"/>
        <v>6.7</v>
      </c>
      <c r="K48" s="3">
        <f t="shared" si="7"/>
        <v>6.8</v>
      </c>
      <c r="L48" s="3">
        <f t="shared" si="7"/>
        <v>6.8</v>
      </c>
      <c r="M48" s="3">
        <f t="shared" si="7"/>
        <v>6.13</v>
      </c>
      <c r="P48" s="14" t="s">
        <v>1239</v>
      </c>
      <c r="Q48" s="10" t="str">
        <f t="shared" si="8"/>
        <v xml:space="preserve">ALL AMER LAT-ON  </v>
      </c>
      <c r="R48" s="51">
        <f t="shared" si="9"/>
        <v>41696</v>
      </c>
      <c r="S48" s="5">
        <f t="shared" si="10"/>
        <v>6.7</v>
      </c>
      <c r="T48" s="5">
        <f t="shared" si="11"/>
        <v>6.8</v>
      </c>
      <c r="U48" s="5">
        <f t="shared" si="12"/>
        <v>6.8</v>
      </c>
      <c r="V48" s="5">
        <f t="shared" si="13"/>
        <v>6.13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1243</v>
      </c>
      <c r="D49" s="3" t="s">
        <v>677</v>
      </c>
      <c r="E49" s="3" t="s">
        <v>677</v>
      </c>
      <c r="F49" s="3" t="s">
        <v>677</v>
      </c>
      <c r="G49" s="3" t="s">
        <v>677</v>
      </c>
      <c r="H49" s="51">
        <v>41584</v>
      </c>
      <c r="J49" s="3">
        <f t="shared" si="7"/>
        <v>3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1240</v>
      </c>
      <c r="Q49" s="10" t="str">
        <f t="shared" si="8"/>
        <v>FER C ATLANT-ON</v>
      </c>
      <c r="R49" s="51">
        <f t="shared" si="9"/>
        <v>41584</v>
      </c>
      <c r="S49" s="5">
        <f t="shared" si="10"/>
        <v>3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1244</v>
      </c>
      <c r="D50" s="3" t="s">
        <v>435</v>
      </c>
      <c r="E50" s="3" t="s">
        <v>436</v>
      </c>
      <c r="F50" s="3" t="s">
        <v>435</v>
      </c>
      <c r="G50" s="3" t="s">
        <v>435</v>
      </c>
      <c r="H50" s="51" t="s">
        <v>435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1241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1249</v>
      </c>
      <c r="D51" s="3" t="s">
        <v>1678</v>
      </c>
      <c r="E51" s="3" t="s">
        <v>2062</v>
      </c>
      <c r="F51" s="3" t="s">
        <v>1679</v>
      </c>
      <c r="G51" s="3" t="s">
        <v>1797</v>
      </c>
      <c r="H51" s="51">
        <v>41696</v>
      </c>
      <c r="J51" s="3">
        <f t="shared" si="7"/>
        <v>9.18</v>
      </c>
      <c r="K51" s="3">
        <f t="shared" si="7"/>
        <v>9.19</v>
      </c>
      <c r="L51" s="3">
        <f t="shared" si="7"/>
        <v>9.23</v>
      </c>
      <c r="M51" s="3">
        <f t="shared" si="7"/>
        <v>9.08</v>
      </c>
      <c r="P51" s="14" t="s">
        <v>1246</v>
      </c>
      <c r="Q51" s="10" t="str">
        <f t="shared" si="8"/>
        <v xml:space="preserve">LOG-IN      -ON  </v>
      </c>
      <c r="R51" s="51">
        <f t="shared" si="9"/>
        <v>41696</v>
      </c>
      <c r="S51" s="5">
        <f t="shared" si="10"/>
        <v>9.18</v>
      </c>
      <c r="T51" s="5">
        <f t="shared" si="11"/>
        <v>9.19</v>
      </c>
      <c r="U51" s="5">
        <f t="shared" si="12"/>
        <v>9.23</v>
      </c>
      <c r="V51" s="5">
        <f t="shared" si="13"/>
        <v>9.08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1250</v>
      </c>
      <c r="D52" s="3" t="s">
        <v>435</v>
      </c>
      <c r="E52" s="3" t="s">
        <v>1251</v>
      </c>
      <c r="F52" s="3" t="s">
        <v>1251</v>
      </c>
      <c r="G52" s="3" t="s">
        <v>1251</v>
      </c>
      <c r="H52" s="51">
        <v>41276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1247</v>
      </c>
      <c r="Q52" s="10" t="str">
        <f t="shared" si="8"/>
        <v>TREVISA     -ON</v>
      </c>
      <c r="R52" s="51">
        <f t="shared" si="9"/>
        <v>41276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1252</v>
      </c>
      <c r="D53" s="3" t="s">
        <v>952</v>
      </c>
      <c r="E53" s="3" t="s">
        <v>952</v>
      </c>
      <c r="F53" s="3" t="s">
        <v>952</v>
      </c>
      <c r="G53" s="3" t="s">
        <v>952</v>
      </c>
      <c r="H53" s="51">
        <v>41674</v>
      </c>
      <c r="J53" s="3">
        <f t="shared" si="7"/>
        <v>31.2</v>
      </c>
      <c r="K53" s="3">
        <f t="shared" si="7"/>
        <v>31.2</v>
      </c>
      <c r="L53" s="3">
        <f t="shared" si="7"/>
        <v>31.2</v>
      </c>
      <c r="M53" s="3">
        <f t="shared" si="7"/>
        <v>31.2</v>
      </c>
      <c r="P53" s="14" t="s">
        <v>1248</v>
      </c>
      <c r="Q53" s="10" t="str">
        <f t="shared" si="8"/>
        <v>TREVISA     -PN</v>
      </c>
      <c r="R53" s="51">
        <f t="shared" si="9"/>
        <v>41674</v>
      </c>
      <c r="S53" s="5">
        <f t="shared" si="10"/>
        <v>31.2</v>
      </c>
      <c r="T53" s="5">
        <f t="shared" si="11"/>
        <v>31.2</v>
      </c>
      <c r="U53" s="5">
        <f t="shared" si="12"/>
        <v>31.2</v>
      </c>
      <c r="V53" s="5">
        <f t="shared" si="13"/>
        <v>31.2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1256</v>
      </c>
      <c r="D54" s="3" t="s">
        <v>1471</v>
      </c>
      <c r="E54" s="61" t="s">
        <v>2063</v>
      </c>
      <c r="F54" s="61" t="s">
        <v>1490</v>
      </c>
      <c r="G54" s="61" t="s">
        <v>2064</v>
      </c>
      <c r="H54" s="51">
        <v>41696</v>
      </c>
      <c r="J54" s="3">
        <f t="shared" si="7"/>
        <v>13.63</v>
      </c>
      <c r="K54" s="3">
        <f t="shared" si="7"/>
        <v>13.55</v>
      </c>
      <c r="L54" s="3">
        <f t="shared" si="7"/>
        <v>13.77</v>
      </c>
      <c r="M54" s="3">
        <f t="shared" si="7"/>
        <v>13.44</v>
      </c>
      <c r="P54" s="14" t="s">
        <v>1254</v>
      </c>
      <c r="Q54" s="10" t="str">
        <f t="shared" si="8"/>
        <v xml:space="preserve">JSL         -ON  </v>
      </c>
      <c r="R54" s="51">
        <f t="shared" si="9"/>
        <v>41696</v>
      </c>
      <c r="S54" s="5">
        <f t="shared" si="10"/>
        <v>13.63</v>
      </c>
      <c r="T54" s="5">
        <f t="shared" si="11"/>
        <v>13.55</v>
      </c>
      <c r="U54" s="5">
        <f t="shared" si="12"/>
        <v>13.77</v>
      </c>
      <c r="V54" s="5">
        <f t="shared" si="13"/>
        <v>13.44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1257</v>
      </c>
      <c r="D55" s="3" t="s">
        <v>1798</v>
      </c>
      <c r="E55" s="3" t="s">
        <v>2065</v>
      </c>
      <c r="F55" s="3" t="s">
        <v>1799</v>
      </c>
      <c r="G55" s="3" t="s">
        <v>2065</v>
      </c>
      <c r="H55" s="51">
        <v>41696</v>
      </c>
      <c r="J55" s="3">
        <f t="shared" si="7"/>
        <v>18.829999999999998</v>
      </c>
      <c r="K55" s="3">
        <f t="shared" si="7"/>
        <v>18.72</v>
      </c>
      <c r="L55" s="3">
        <f t="shared" si="7"/>
        <v>19.059999999999999</v>
      </c>
      <c r="M55" s="3">
        <f t="shared" si="7"/>
        <v>18.72</v>
      </c>
      <c r="P55" s="43" t="s">
        <v>1255</v>
      </c>
      <c r="Q55" s="10" t="str">
        <f t="shared" si="8"/>
        <v xml:space="preserve">TEGMA       -ON  </v>
      </c>
      <c r="R55" s="51">
        <f t="shared" si="9"/>
        <v>41696</v>
      </c>
      <c r="S55" s="5">
        <f t="shared" si="10"/>
        <v>18.829999999999998</v>
      </c>
      <c r="T55" s="5">
        <f t="shared" si="11"/>
        <v>18.72</v>
      </c>
      <c r="U55" s="5">
        <f t="shared" si="12"/>
        <v>19.059999999999999</v>
      </c>
      <c r="V55" s="5">
        <f t="shared" si="13"/>
        <v>18.72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1260</v>
      </c>
      <c r="D56" s="3" t="s">
        <v>1415</v>
      </c>
      <c r="E56" s="3" t="s">
        <v>1416</v>
      </c>
      <c r="F56" s="3" t="s">
        <v>1417</v>
      </c>
      <c r="G56" s="3" t="s">
        <v>1418</v>
      </c>
      <c r="H56" s="51">
        <v>41690</v>
      </c>
      <c r="J56" s="3">
        <f t="shared" si="7"/>
        <v>62.1</v>
      </c>
      <c r="K56" s="3">
        <f t="shared" si="7"/>
        <v>68.900000000000006</v>
      </c>
      <c r="L56" s="3">
        <f t="shared" si="7"/>
        <v>68.989999999999995</v>
      </c>
      <c r="M56" s="3">
        <f t="shared" si="7"/>
        <v>60.1</v>
      </c>
      <c r="P56" s="14" t="s">
        <v>1258</v>
      </c>
      <c r="Q56" s="10" t="str">
        <f t="shared" si="8"/>
        <v>WLM IND COM -ON</v>
      </c>
      <c r="R56" s="51">
        <f t="shared" si="9"/>
        <v>41690</v>
      </c>
      <c r="S56" s="5">
        <f t="shared" si="10"/>
        <v>62.1</v>
      </c>
      <c r="T56" s="5">
        <f t="shared" si="11"/>
        <v>68.900000000000006</v>
      </c>
      <c r="U56" s="5">
        <f t="shared" si="12"/>
        <v>68.989999999999995</v>
      </c>
      <c r="V56" s="5">
        <f t="shared" si="13"/>
        <v>60.1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1261</v>
      </c>
      <c r="D57" s="3" t="s">
        <v>938</v>
      </c>
      <c r="E57" s="3" t="s">
        <v>938</v>
      </c>
      <c r="F57" s="3" t="s">
        <v>938</v>
      </c>
      <c r="G57" s="3" t="s">
        <v>938</v>
      </c>
      <c r="H57" s="51">
        <v>41687</v>
      </c>
      <c r="J57" s="3">
        <f t="shared" si="7"/>
        <v>85</v>
      </c>
      <c r="K57" s="3">
        <f t="shared" si="7"/>
        <v>85</v>
      </c>
      <c r="L57" s="3">
        <f t="shared" si="7"/>
        <v>85</v>
      </c>
      <c r="M57" s="3">
        <f t="shared" si="7"/>
        <v>85</v>
      </c>
      <c r="P57" s="14" t="s">
        <v>1259</v>
      </c>
      <c r="Q57" s="10" t="str">
        <f t="shared" si="8"/>
        <v>WLM IND COM -PN</v>
      </c>
      <c r="R57" s="51">
        <f t="shared" si="9"/>
        <v>41687</v>
      </c>
      <c r="S57" s="5">
        <f t="shared" si="10"/>
        <v>85</v>
      </c>
      <c r="T57" s="5">
        <f t="shared" si="11"/>
        <v>85</v>
      </c>
      <c r="U57" s="5">
        <f t="shared" si="12"/>
        <v>85</v>
      </c>
      <c r="V57" s="5">
        <f t="shared" si="13"/>
        <v>85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1266</v>
      </c>
      <c r="D58" s="3" t="s">
        <v>1800</v>
      </c>
      <c r="E58" s="3" t="s">
        <v>2066</v>
      </c>
      <c r="F58" s="3" t="s">
        <v>1148</v>
      </c>
      <c r="G58" s="3" t="s">
        <v>2067</v>
      </c>
      <c r="H58" s="51">
        <v>41696</v>
      </c>
      <c r="J58" s="3">
        <f t="shared" si="7"/>
        <v>1.91</v>
      </c>
      <c r="K58" s="3">
        <f t="shared" si="7"/>
        <v>1.94</v>
      </c>
      <c r="L58" s="3">
        <f t="shared" si="7"/>
        <v>1.95</v>
      </c>
      <c r="M58" s="3">
        <f t="shared" si="7"/>
        <v>1.9</v>
      </c>
      <c r="P58" s="14" t="s">
        <v>1265</v>
      </c>
      <c r="Q58" s="10" t="str">
        <f t="shared" si="8"/>
        <v xml:space="preserve">METALFRIO   -ON  </v>
      </c>
      <c r="R58" s="51">
        <f t="shared" si="9"/>
        <v>41696</v>
      </c>
      <c r="S58" s="5">
        <f t="shared" si="10"/>
        <v>1.91</v>
      </c>
      <c r="T58" s="5">
        <f t="shared" si="11"/>
        <v>1.94</v>
      </c>
      <c r="U58" s="5">
        <f t="shared" si="12"/>
        <v>1.95</v>
      </c>
      <c r="V58" s="5">
        <f t="shared" si="13"/>
        <v>1.9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1270</v>
      </c>
      <c r="D59" s="3" t="s">
        <v>1801</v>
      </c>
      <c r="E59" s="61" t="s">
        <v>1487</v>
      </c>
      <c r="F59" s="61" t="s">
        <v>1487</v>
      </c>
      <c r="G59" s="61" t="s">
        <v>1801</v>
      </c>
      <c r="H59" s="51">
        <v>41696</v>
      </c>
      <c r="J59" s="3">
        <f t="shared" si="7"/>
        <v>2.0699999999999998</v>
      </c>
      <c r="K59" s="3">
        <f t="shared" si="7"/>
        <v>2.15</v>
      </c>
      <c r="L59" s="3">
        <f t="shared" si="7"/>
        <v>2.15</v>
      </c>
      <c r="M59" s="3">
        <f t="shared" si="7"/>
        <v>2.0699999999999998</v>
      </c>
      <c r="P59" s="14" t="s">
        <v>1268</v>
      </c>
      <c r="Q59" s="10" t="str">
        <f t="shared" si="8"/>
        <v xml:space="preserve">FORJA TAURUS-ON  </v>
      </c>
      <c r="R59" s="46">
        <f t="shared" si="9"/>
        <v>41696</v>
      </c>
      <c r="S59" s="6">
        <f t="shared" si="10"/>
        <v>2.0699999999999998</v>
      </c>
      <c r="T59" s="6">
        <f t="shared" si="11"/>
        <v>2.15</v>
      </c>
      <c r="U59" s="6">
        <f t="shared" si="12"/>
        <v>2.15</v>
      </c>
      <c r="V59" s="6">
        <f t="shared" si="13"/>
        <v>2.0699999999999998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1271</v>
      </c>
      <c r="D60" s="3" t="s">
        <v>1512</v>
      </c>
      <c r="E60" s="61" t="s">
        <v>534</v>
      </c>
      <c r="F60" s="61" t="s">
        <v>1272</v>
      </c>
      <c r="G60" s="61" t="s">
        <v>1410</v>
      </c>
      <c r="H60" s="51">
        <v>41696</v>
      </c>
      <c r="J60" s="3">
        <f t="shared" si="7"/>
        <v>1.73</v>
      </c>
      <c r="K60" s="3">
        <f t="shared" si="7"/>
        <v>1.7</v>
      </c>
      <c r="L60" s="3">
        <f t="shared" si="7"/>
        <v>1.75</v>
      </c>
      <c r="M60" s="3">
        <f t="shared" si="7"/>
        <v>1.69</v>
      </c>
      <c r="P60" s="14" t="s">
        <v>1269</v>
      </c>
      <c r="Q60" s="10" t="str">
        <f t="shared" si="8"/>
        <v xml:space="preserve">FORJA TAURUS-PN  </v>
      </c>
      <c r="R60" s="51">
        <f t="shared" si="9"/>
        <v>41696</v>
      </c>
      <c r="S60" s="5">
        <f t="shared" si="10"/>
        <v>1.73</v>
      </c>
      <c r="T60" s="5">
        <f t="shared" si="11"/>
        <v>1.7</v>
      </c>
      <c r="U60" s="5">
        <f t="shared" si="12"/>
        <v>1.75</v>
      </c>
      <c r="V60" s="5">
        <f t="shared" si="13"/>
        <v>1.69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1277</v>
      </c>
      <c r="D61" s="3" t="s">
        <v>435</v>
      </c>
      <c r="E61" s="3" t="s">
        <v>627</v>
      </c>
      <c r="F61" s="3" t="s">
        <v>627</v>
      </c>
      <c r="G61" s="3" t="s">
        <v>627</v>
      </c>
      <c r="H61" s="51">
        <v>41124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1273</v>
      </c>
      <c r="Q61" s="10" t="str">
        <f t="shared" si="8"/>
        <v>ACO ALTONA  -ON</v>
      </c>
      <c r="R61" s="51">
        <f t="shared" si="9"/>
        <v>41124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1278</v>
      </c>
      <c r="D62" s="3" t="s">
        <v>622</v>
      </c>
      <c r="E62" s="3" t="s">
        <v>622</v>
      </c>
      <c r="F62" s="3" t="s">
        <v>622</v>
      </c>
      <c r="G62" s="3" t="s">
        <v>622</v>
      </c>
      <c r="H62" s="51">
        <v>41687</v>
      </c>
      <c r="J62" s="3">
        <f t="shared" si="7"/>
        <v>25</v>
      </c>
      <c r="K62" s="3">
        <f t="shared" si="7"/>
        <v>25</v>
      </c>
      <c r="L62" s="3">
        <f t="shared" si="7"/>
        <v>25</v>
      </c>
      <c r="M62" s="3">
        <f t="shared" si="7"/>
        <v>25</v>
      </c>
      <c r="P62" s="14" t="s">
        <v>1274</v>
      </c>
      <c r="Q62" s="10" t="str">
        <f t="shared" si="8"/>
        <v>ACO ALTONA  -PN</v>
      </c>
      <c r="R62" s="51">
        <f t="shared" si="9"/>
        <v>41687</v>
      </c>
      <c r="S62" s="5">
        <f t="shared" si="10"/>
        <v>25</v>
      </c>
      <c r="T62" s="5">
        <f t="shared" si="11"/>
        <v>25</v>
      </c>
      <c r="U62" s="5">
        <f t="shared" si="12"/>
        <v>25</v>
      </c>
      <c r="V62" s="5">
        <f t="shared" si="13"/>
        <v>25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1279</v>
      </c>
      <c r="D63" s="3" t="s">
        <v>435</v>
      </c>
      <c r="E63" s="3" t="s">
        <v>644</v>
      </c>
      <c r="F63" s="3" t="s">
        <v>644</v>
      </c>
      <c r="G63" s="3" t="s">
        <v>644</v>
      </c>
      <c r="H63" s="51">
        <v>40693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1275</v>
      </c>
      <c r="Q63" s="10" t="str">
        <f t="shared" si="8"/>
        <v>METISA      -ON</v>
      </c>
      <c r="R63" s="51">
        <f t="shared" si="9"/>
        <v>40693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1280</v>
      </c>
      <c r="D64" s="3" t="s">
        <v>640</v>
      </c>
      <c r="E64" s="3" t="s">
        <v>640</v>
      </c>
      <c r="F64" s="3" t="s">
        <v>640</v>
      </c>
      <c r="G64" s="3" t="s">
        <v>640</v>
      </c>
      <c r="H64" s="51">
        <v>41696</v>
      </c>
      <c r="J64" s="3">
        <f t="shared" si="7"/>
        <v>17</v>
      </c>
      <c r="K64" s="3">
        <f t="shared" si="7"/>
        <v>17</v>
      </c>
      <c r="L64" s="3">
        <f t="shared" si="7"/>
        <v>17</v>
      </c>
      <c r="M64" s="3">
        <f t="shared" si="7"/>
        <v>17</v>
      </c>
      <c r="P64" s="14" t="s">
        <v>1276</v>
      </c>
      <c r="Q64" s="10" t="str">
        <f t="shared" si="8"/>
        <v>METISA      -PN</v>
      </c>
      <c r="R64" s="51">
        <f t="shared" si="9"/>
        <v>41696</v>
      </c>
      <c r="S64" s="5">
        <f t="shared" si="10"/>
        <v>17</v>
      </c>
      <c r="T64" s="5">
        <f t="shared" si="11"/>
        <v>17</v>
      </c>
      <c r="U64" s="5">
        <f t="shared" si="12"/>
        <v>17</v>
      </c>
      <c r="V64" s="5">
        <f t="shared" si="13"/>
        <v>17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1284</v>
      </c>
      <c r="D65" s="3" t="s">
        <v>435</v>
      </c>
      <c r="E65" s="3" t="s">
        <v>763</v>
      </c>
      <c r="F65" s="3" t="s">
        <v>763</v>
      </c>
      <c r="G65" s="3" t="s">
        <v>763</v>
      </c>
      <c r="H65" s="51">
        <v>40756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1282</v>
      </c>
      <c r="Q65" s="10" t="str">
        <f t="shared" si="8"/>
        <v>BAUMER      -ON</v>
      </c>
      <c r="R65" s="51">
        <f t="shared" si="9"/>
        <v>40756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1285</v>
      </c>
      <c r="D66" s="3" t="s">
        <v>2068</v>
      </c>
      <c r="E66" s="3" t="s">
        <v>1286</v>
      </c>
      <c r="F66" s="3" t="s">
        <v>1286</v>
      </c>
      <c r="G66" s="3" t="s">
        <v>2068</v>
      </c>
      <c r="H66" s="51">
        <v>41688</v>
      </c>
      <c r="J66" s="3">
        <f t="shared" si="7"/>
        <v>97</v>
      </c>
      <c r="K66" s="3">
        <f t="shared" si="7"/>
        <v>98</v>
      </c>
      <c r="L66" s="3">
        <f t="shared" si="7"/>
        <v>98</v>
      </c>
      <c r="M66" s="3">
        <f t="shared" si="7"/>
        <v>97</v>
      </c>
      <c r="P66" s="10" t="s">
        <v>1283</v>
      </c>
      <c r="Q66" s="10" t="str">
        <f t="shared" si="8"/>
        <v>BAUMER      -PN</v>
      </c>
      <c r="R66" s="51">
        <f t="shared" si="9"/>
        <v>41688</v>
      </c>
      <c r="S66" s="5">
        <f t="shared" si="10"/>
        <v>97</v>
      </c>
      <c r="T66" s="5">
        <f t="shared" si="11"/>
        <v>98</v>
      </c>
      <c r="U66" s="5">
        <f t="shared" si="12"/>
        <v>98</v>
      </c>
      <c r="V66" s="5">
        <f t="shared" si="13"/>
        <v>97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1301</v>
      </c>
      <c r="D67" s="3" t="s">
        <v>1302</v>
      </c>
      <c r="E67" s="3" t="s">
        <v>1302</v>
      </c>
      <c r="F67" s="3" t="s">
        <v>1302</v>
      </c>
      <c r="G67" s="3" t="s">
        <v>1302</v>
      </c>
      <c r="H67" s="51">
        <v>41681</v>
      </c>
      <c r="J67" s="3">
        <f t="shared" si="7"/>
        <v>45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1294</v>
      </c>
      <c r="Q67" s="10" t="str">
        <f t="shared" si="8"/>
        <v>BARDELLA    -ON</v>
      </c>
      <c r="R67" s="51">
        <f t="shared" si="9"/>
        <v>41681</v>
      </c>
      <c r="S67" s="5">
        <f t="shared" si="10"/>
        <v>45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1303</v>
      </c>
      <c r="D68" s="3" t="s">
        <v>2069</v>
      </c>
      <c r="E68" s="3" t="s">
        <v>763</v>
      </c>
      <c r="F68" s="3" t="s">
        <v>2069</v>
      </c>
      <c r="G68" s="3" t="s">
        <v>763</v>
      </c>
      <c r="H68" s="51">
        <v>41684</v>
      </c>
      <c r="J68" s="3">
        <f t="shared" si="7"/>
        <v>40.01</v>
      </c>
      <c r="K68" s="3">
        <f t="shared" si="7"/>
        <v>40</v>
      </c>
      <c r="L68" s="3">
        <f t="shared" si="7"/>
        <v>40.01</v>
      </c>
      <c r="M68" s="3">
        <f t="shared" si="7"/>
        <v>40</v>
      </c>
      <c r="P68" s="14" t="s">
        <v>1295</v>
      </c>
      <c r="Q68" s="10" t="str">
        <f t="shared" si="8"/>
        <v>BARDELLA    -PN</v>
      </c>
      <c r="R68" s="51">
        <f t="shared" si="9"/>
        <v>41684</v>
      </c>
      <c r="S68" s="5">
        <f t="shared" si="10"/>
        <v>40.01</v>
      </c>
      <c r="T68" s="5">
        <f t="shared" si="11"/>
        <v>40</v>
      </c>
      <c r="U68" s="5">
        <f t="shared" si="12"/>
        <v>40.01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1304</v>
      </c>
      <c r="D69" s="3" t="s">
        <v>1802</v>
      </c>
      <c r="E69" s="3" t="s">
        <v>2070</v>
      </c>
      <c r="F69" s="3" t="s">
        <v>1802</v>
      </c>
      <c r="G69" s="3" t="s">
        <v>2071</v>
      </c>
      <c r="H69" s="51">
        <v>41696</v>
      </c>
      <c r="J69" s="3">
        <f t="shared" si="7"/>
        <v>5.58</v>
      </c>
      <c r="K69" s="3">
        <f t="shared" si="7"/>
        <v>5.53</v>
      </c>
      <c r="L69" s="3">
        <f t="shared" si="7"/>
        <v>5.58</v>
      </c>
      <c r="M69" s="3">
        <f t="shared" si="7"/>
        <v>5.44</v>
      </c>
      <c r="P69" s="14" t="s">
        <v>1296</v>
      </c>
      <c r="Q69" s="10" t="str">
        <f t="shared" si="8"/>
        <v xml:space="preserve">INDS ROMI   -ON  </v>
      </c>
      <c r="R69" s="51">
        <f t="shared" si="9"/>
        <v>41696</v>
      </c>
      <c r="S69" s="5">
        <f t="shared" si="10"/>
        <v>5.58</v>
      </c>
      <c r="T69" s="5">
        <f t="shared" si="11"/>
        <v>5.53</v>
      </c>
      <c r="U69" s="5">
        <f t="shared" si="12"/>
        <v>5.58</v>
      </c>
      <c r="V69" s="5">
        <f t="shared" si="13"/>
        <v>5.44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1305</v>
      </c>
      <c r="D70" s="3" t="s">
        <v>789</v>
      </c>
      <c r="E70" s="3" t="s">
        <v>1689</v>
      </c>
      <c r="F70" s="3" t="s">
        <v>1689</v>
      </c>
      <c r="G70" s="3" t="s">
        <v>1373</v>
      </c>
      <c r="H70" s="51">
        <v>41696</v>
      </c>
      <c r="J70" s="3">
        <f t="shared" si="7"/>
        <v>1.01</v>
      </c>
      <c r="K70" s="3">
        <f t="shared" si="7"/>
        <v>1.02</v>
      </c>
      <c r="L70" s="3">
        <f t="shared" si="7"/>
        <v>1.02</v>
      </c>
      <c r="M70" s="3">
        <f t="shared" si="7"/>
        <v>0.99</v>
      </c>
      <c r="P70" s="14" t="s">
        <v>1297</v>
      </c>
      <c r="Q70" s="10" t="str">
        <f t="shared" si="8"/>
        <v xml:space="preserve">INEPAR      -ON  </v>
      </c>
      <c r="R70" s="51">
        <f t="shared" si="9"/>
        <v>41696</v>
      </c>
      <c r="S70" s="5">
        <f t="shared" si="10"/>
        <v>1.01</v>
      </c>
      <c r="T70" s="5">
        <f t="shared" si="11"/>
        <v>1.02</v>
      </c>
      <c r="U70" s="5">
        <f t="shared" si="12"/>
        <v>1.02</v>
      </c>
      <c r="V70" s="5">
        <f t="shared" si="13"/>
        <v>0.99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1307</v>
      </c>
      <c r="D71" s="3" t="s">
        <v>1229</v>
      </c>
      <c r="E71" s="3" t="s">
        <v>2072</v>
      </c>
      <c r="F71" s="3" t="s">
        <v>1229</v>
      </c>
      <c r="G71" s="3" t="s">
        <v>1920</v>
      </c>
      <c r="H71" s="51">
        <v>41696</v>
      </c>
      <c r="J71" s="3">
        <f t="shared" si="7"/>
        <v>0.9</v>
      </c>
      <c r="K71" s="3">
        <f t="shared" si="7"/>
        <v>0.89</v>
      </c>
      <c r="L71" s="3">
        <f t="shared" si="7"/>
        <v>0.9</v>
      </c>
      <c r="M71" s="3">
        <f t="shared" si="7"/>
        <v>0.86</v>
      </c>
      <c r="P71" s="14" t="s">
        <v>1298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41696</v>
      </c>
      <c r="S71" s="6">
        <f t="shared" ref="S71:S102" si="16">J71</f>
        <v>0.9</v>
      </c>
      <c r="T71" s="6">
        <f t="shared" ref="T71:T102" si="17">K71</f>
        <v>0.89</v>
      </c>
      <c r="U71" s="6">
        <f t="shared" ref="U71:U102" si="18">L71</f>
        <v>0.9</v>
      </c>
      <c r="V71" s="6">
        <f t="shared" ref="V71:V102" si="19">M71</f>
        <v>0.86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1308</v>
      </c>
      <c r="D72" s="3" t="s">
        <v>1803</v>
      </c>
      <c r="E72" s="3" t="s">
        <v>2073</v>
      </c>
      <c r="F72" s="3" t="s">
        <v>1804</v>
      </c>
      <c r="G72" s="3" t="s">
        <v>1805</v>
      </c>
      <c r="H72" s="51">
        <v>41696</v>
      </c>
      <c r="J72" s="3">
        <f t="shared" ref="J72:M135" si="20">IF($A72="",0,VALUE(CONCATENATE(LEFT(D72,LEN(D72)-3),",",RIGHT(D72,2))))</f>
        <v>36.54</v>
      </c>
      <c r="K72" s="3">
        <f t="shared" si="20"/>
        <v>36.200000000000003</v>
      </c>
      <c r="L72" s="3">
        <f t="shared" si="20"/>
        <v>36.590000000000003</v>
      </c>
      <c r="M72" s="3">
        <f t="shared" si="20"/>
        <v>34.68</v>
      </c>
      <c r="P72" s="15" t="s">
        <v>1299</v>
      </c>
      <c r="Q72" s="10" t="str">
        <f t="shared" si="14"/>
        <v>KEPLER WEBER-ON</v>
      </c>
      <c r="R72" s="51">
        <f t="shared" si="15"/>
        <v>41696</v>
      </c>
      <c r="S72" s="5">
        <f t="shared" si="16"/>
        <v>36.54</v>
      </c>
      <c r="T72" s="5">
        <f t="shared" si="17"/>
        <v>36.200000000000003</v>
      </c>
      <c r="U72" s="5">
        <f t="shared" si="18"/>
        <v>36.590000000000003</v>
      </c>
      <c r="V72" s="5">
        <f t="shared" si="19"/>
        <v>34.68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1309</v>
      </c>
      <c r="D73" s="3" t="s">
        <v>1058</v>
      </c>
      <c r="E73" s="3" t="s">
        <v>1058</v>
      </c>
      <c r="F73" s="3" t="s">
        <v>1058</v>
      </c>
      <c r="G73" s="3" t="s">
        <v>1058</v>
      </c>
      <c r="H73" s="51">
        <v>41634</v>
      </c>
      <c r="J73" s="3">
        <f t="shared" si="20"/>
        <v>7.5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1300</v>
      </c>
      <c r="Q73" s="10" t="str">
        <f t="shared" si="14"/>
        <v>NORDON MET  -ON *</v>
      </c>
      <c r="R73" s="51">
        <f t="shared" si="15"/>
        <v>41634</v>
      </c>
      <c r="S73" s="5">
        <f t="shared" si="16"/>
        <v>7.5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1315</v>
      </c>
      <c r="D74" s="3" t="s">
        <v>435</v>
      </c>
      <c r="E74" s="3" t="s">
        <v>436</v>
      </c>
      <c r="F74" s="3" t="s">
        <v>435</v>
      </c>
      <c r="G74" s="3" t="s">
        <v>435</v>
      </c>
      <c r="H74" s="51" t="s">
        <v>435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1312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1316</v>
      </c>
      <c r="D75" s="3" t="s">
        <v>2074</v>
      </c>
      <c r="E75" s="3" t="s">
        <v>2075</v>
      </c>
      <c r="F75" s="3" t="s">
        <v>2076</v>
      </c>
      <c r="G75" s="3" t="s">
        <v>2077</v>
      </c>
      <c r="H75" s="51">
        <v>41696</v>
      </c>
      <c r="J75" s="3">
        <f t="shared" si="20"/>
        <v>9.92</v>
      </c>
      <c r="K75" s="3">
        <f t="shared" si="20"/>
        <v>10.28</v>
      </c>
      <c r="L75" s="3">
        <f t="shared" si="20"/>
        <v>10.29</v>
      </c>
      <c r="M75" s="3">
        <f t="shared" si="20"/>
        <v>9.91</v>
      </c>
      <c r="P75" s="14" t="s">
        <v>1313</v>
      </c>
      <c r="Q75" s="10" t="str">
        <f t="shared" si="14"/>
        <v>SCHULZ      -PN</v>
      </c>
      <c r="R75" s="51">
        <f t="shared" si="15"/>
        <v>41696</v>
      </c>
      <c r="S75" s="5">
        <f t="shared" si="16"/>
        <v>9.92</v>
      </c>
      <c r="T75" s="5">
        <f t="shared" si="17"/>
        <v>10.28</v>
      </c>
      <c r="U75" s="5">
        <f t="shared" si="18"/>
        <v>10.29</v>
      </c>
      <c r="V75" s="5">
        <f t="shared" si="19"/>
        <v>9.91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1317</v>
      </c>
      <c r="D76" s="3" t="s">
        <v>1806</v>
      </c>
      <c r="E76" s="3" t="s">
        <v>1789</v>
      </c>
      <c r="F76" s="3" t="s">
        <v>2078</v>
      </c>
      <c r="G76" s="3" t="s">
        <v>1806</v>
      </c>
      <c r="H76" s="51">
        <v>41696</v>
      </c>
      <c r="J76" s="3">
        <f t="shared" si="20"/>
        <v>29.37</v>
      </c>
      <c r="K76" s="3">
        <f t="shared" si="20"/>
        <v>29.91</v>
      </c>
      <c r="L76" s="3">
        <f t="shared" si="20"/>
        <v>30.98</v>
      </c>
      <c r="M76" s="3">
        <f t="shared" si="20"/>
        <v>29.37</v>
      </c>
      <c r="P76" s="14" t="s">
        <v>1314</v>
      </c>
      <c r="Q76" s="10" t="str">
        <f t="shared" si="14"/>
        <v xml:space="preserve">WEG         -ON  </v>
      </c>
      <c r="R76" s="51">
        <f t="shared" si="15"/>
        <v>41696</v>
      </c>
      <c r="S76" s="5">
        <f t="shared" si="16"/>
        <v>29.37</v>
      </c>
      <c r="T76" s="5">
        <f t="shared" si="17"/>
        <v>29.91</v>
      </c>
      <c r="U76" s="5">
        <f t="shared" si="18"/>
        <v>30.98</v>
      </c>
      <c r="V76" s="5">
        <f t="shared" si="19"/>
        <v>29.37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1320</v>
      </c>
      <c r="D77" s="3" t="s">
        <v>1807</v>
      </c>
      <c r="E77" s="3" t="s">
        <v>2079</v>
      </c>
      <c r="F77" s="3" t="s">
        <v>2080</v>
      </c>
      <c r="G77" s="3" t="s">
        <v>1807</v>
      </c>
      <c r="H77" s="51">
        <v>41696</v>
      </c>
      <c r="J77" s="3">
        <f t="shared" si="20"/>
        <v>20.399999999999999</v>
      </c>
      <c r="K77" s="3">
        <f t="shared" si="20"/>
        <v>20.76</v>
      </c>
      <c r="L77" s="3">
        <f t="shared" si="20"/>
        <v>21.15</v>
      </c>
      <c r="M77" s="3">
        <f t="shared" si="20"/>
        <v>20.399999999999999</v>
      </c>
      <c r="P77" s="15" t="s">
        <v>1319</v>
      </c>
      <c r="Q77" s="10" t="str">
        <f t="shared" si="14"/>
        <v xml:space="preserve">EMBRAER     -ON  </v>
      </c>
      <c r="R77" s="51">
        <f t="shared" si="15"/>
        <v>41696</v>
      </c>
      <c r="S77" s="5">
        <f t="shared" si="16"/>
        <v>20.399999999999999</v>
      </c>
      <c r="T77" s="5">
        <f t="shared" si="17"/>
        <v>20.76</v>
      </c>
      <c r="U77" s="5">
        <f t="shared" si="18"/>
        <v>21.15</v>
      </c>
      <c r="V77" s="5">
        <f t="shared" si="19"/>
        <v>20.399999999999999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1324</v>
      </c>
      <c r="D78" s="3" t="s">
        <v>1325</v>
      </c>
      <c r="E78" s="3" t="s">
        <v>1325</v>
      </c>
      <c r="F78" s="3" t="s">
        <v>1325</v>
      </c>
      <c r="G78" s="3" t="s">
        <v>1325</v>
      </c>
      <c r="H78" s="51">
        <v>41680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1322</v>
      </c>
      <c r="Q78" s="10" t="str">
        <f t="shared" si="14"/>
        <v>COBRASMA    -ON</v>
      </c>
      <c r="R78" s="51">
        <f t="shared" si="15"/>
        <v>41680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1326</v>
      </c>
      <c r="D79" s="3" t="s">
        <v>1327</v>
      </c>
      <c r="E79" s="3" t="s">
        <v>1325</v>
      </c>
      <c r="F79" s="3" t="s">
        <v>1325</v>
      </c>
      <c r="G79" s="3" t="s">
        <v>1327</v>
      </c>
      <c r="H79" s="51">
        <v>41696</v>
      </c>
      <c r="J79" s="3">
        <f t="shared" si="20"/>
        <v>0.04</v>
      </c>
      <c r="K79" s="3">
        <f t="shared" si="20"/>
        <v>0.05</v>
      </c>
      <c r="L79" s="3">
        <f t="shared" si="20"/>
        <v>0.05</v>
      </c>
      <c r="M79" s="3">
        <f t="shared" si="20"/>
        <v>0.04</v>
      </c>
      <c r="P79" s="15" t="s">
        <v>1323</v>
      </c>
      <c r="Q79" s="10" t="str">
        <f t="shared" si="14"/>
        <v>COBRASMA    -PN</v>
      </c>
      <c r="R79" s="51">
        <f t="shared" si="15"/>
        <v>41696</v>
      </c>
      <c r="S79" s="5">
        <f t="shared" si="16"/>
        <v>0.04</v>
      </c>
      <c r="T79" s="5">
        <f t="shared" si="17"/>
        <v>0.05</v>
      </c>
      <c r="U79" s="5">
        <f t="shared" si="18"/>
        <v>0.05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1345</v>
      </c>
      <c r="D80" s="3" t="s">
        <v>1808</v>
      </c>
      <c r="E80" s="3" t="s">
        <v>2081</v>
      </c>
      <c r="F80" s="3" t="s">
        <v>2081</v>
      </c>
      <c r="G80" s="3" t="s">
        <v>1808</v>
      </c>
      <c r="H80" s="51">
        <v>41696</v>
      </c>
      <c r="J80" s="3">
        <f t="shared" si="20"/>
        <v>15.39</v>
      </c>
      <c r="K80" s="3">
        <f t="shared" si="20"/>
        <v>15.67</v>
      </c>
      <c r="L80" s="3">
        <f t="shared" si="20"/>
        <v>15.67</v>
      </c>
      <c r="M80" s="3">
        <f t="shared" si="20"/>
        <v>15.39</v>
      </c>
      <c r="P80" s="15" t="s">
        <v>1328</v>
      </c>
      <c r="Q80" s="10" t="str">
        <f t="shared" si="14"/>
        <v xml:space="preserve">AUTOMETAL   -ON  </v>
      </c>
      <c r="R80" s="51">
        <f t="shared" si="15"/>
        <v>41696</v>
      </c>
      <c r="S80" s="5">
        <f t="shared" si="16"/>
        <v>15.39</v>
      </c>
      <c r="T80" s="5">
        <f t="shared" si="17"/>
        <v>15.67</v>
      </c>
      <c r="U80" s="5">
        <f t="shared" si="18"/>
        <v>15.67</v>
      </c>
      <c r="V80" s="5">
        <f t="shared" si="19"/>
        <v>15.39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1346</v>
      </c>
      <c r="D81" s="3" t="s">
        <v>435</v>
      </c>
      <c r="E81" s="3" t="s">
        <v>1347</v>
      </c>
      <c r="F81" s="3" t="s">
        <v>1347</v>
      </c>
      <c r="G81" s="3" t="s">
        <v>1347</v>
      </c>
      <c r="H81" s="51">
        <v>40924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1329</v>
      </c>
      <c r="Q81" s="10" t="str">
        <f t="shared" si="14"/>
        <v>D H B       -ON</v>
      </c>
      <c r="R81" s="51">
        <f t="shared" si="15"/>
        <v>40924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1348</v>
      </c>
      <c r="D82" s="3" t="s">
        <v>435</v>
      </c>
      <c r="E82" s="3" t="s">
        <v>1055</v>
      </c>
      <c r="F82" s="3" t="s">
        <v>1055</v>
      </c>
      <c r="G82" s="3" t="s">
        <v>1055</v>
      </c>
      <c r="H82" s="51">
        <v>41523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1330</v>
      </c>
      <c r="Q82" s="10" t="str">
        <f t="shared" si="14"/>
        <v>D H B       -PN</v>
      </c>
      <c r="R82" s="51">
        <f t="shared" si="15"/>
        <v>41523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1362</v>
      </c>
      <c r="D83" s="3" t="s">
        <v>1809</v>
      </c>
      <c r="E83" s="3" t="s">
        <v>2082</v>
      </c>
      <c r="F83" s="3" t="s">
        <v>2082</v>
      </c>
      <c r="G83" s="3" t="s">
        <v>1810</v>
      </c>
      <c r="H83" s="51">
        <v>41696</v>
      </c>
      <c r="J83" s="3">
        <f t="shared" si="20"/>
        <v>23.17</v>
      </c>
      <c r="K83" s="3">
        <f t="shared" si="20"/>
        <v>23.4</v>
      </c>
      <c r="L83" s="3">
        <f t="shared" si="20"/>
        <v>23.4</v>
      </c>
      <c r="M83" s="3">
        <f t="shared" si="20"/>
        <v>22.69</v>
      </c>
      <c r="P83" s="14" t="s">
        <v>1361</v>
      </c>
      <c r="Q83" s="10" t="str">
        <f t="shared" si="14"/>
        <v xml:space="preserve">IOCHP-MAXION-ON  </v>
      </c>
      <c r="R83" s="46">
        <f t="shared" si="15"/>
        <v>41696</v>
      </c>
      <c r="S83" s="6">
        <f t="shared" si="16"/>
        <v>23.17</v>
      </c>
      <c r="T83" s="6">
        <f t="shared" si="17"/>
        <v>23.4</v>
      </c>
      <c r="U83" s="6">
        <f t="shared" si="18"/>
        <v>23.4</v>
      </c>
      <c r="V83" s="6">
        <f t="shared" si="19"/>
        <v>22.69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1349</v>
      </c>
      <c r="D84" s="3" t="s">
        <v>1811</v>
      </c>
      <c r="E84" s="3" t="s">
        <v>760</v>
      </c>
      <c r="F84" s="3" t="s">
        <v>1515</v>
      </c>
      <c r="G84" s="3" t="s">
        <v>2083</v>
      </c>
      <c r="H84" s="51">
        <v>41696</v>
      </c>
      <c r="J84" s="3">
        <f t="shared" si="20"/>
        <v>23.2</v>
      </c>
      <c r="K84" s="3">
        <f t="shared" si="20"/>
        <v>23</v>
      </c>
      <c r="L84" s="3">
        <f t="shared" si="20"/>
        <v>23.43</v>
      </c>
      <c r="M84" s="3">
        <f t="shared" si="20"/>
        <v>22.94</v>
      </c>
      <c r="P84" s="43" t="s">
        <v>1332</v>
      </c>
      <c r="Q84" s="10" t="str">
        <f t="shared" si="14"/>
        <v xml:space="preserve">METAL LEVE  -ON  </v>
      </c>
      <c r="R84" s="51">
        <f t="shared" si="15"/>
        <v>41696</v>
      </c>
      <c r="S84" s="5">
        <f t="shared" si="16"/>
        <v>23.2</v>
      </c>
      <c r="T84" s="5">
        <f t="shared" si="17"/>
        <v>23</v>
      </c>
      <c r="U84" s="5">
        <f t="shared" si="18"/>
        <v>23.43</v>
      </c>
      <c r="V84" s="5">
        <f t="shared" si="19"/>
        <v>22.94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1350</v>
      </c>
      <c r="D85" s="3" t="s">
        <v>1812</v>
      </c>
      <c r="E85" s="3" t="s">
        <v>1440</v>
      </c>
      <c r="F85" s="3" t="s">
        <v>1440</v>
      </c>
      <c r="G85" s="3" t="s">
        <v>1813</v>
      </c>
      <c r="H85" s="51">
        <v>41696</v>
      </c>
      <c r="J85" s="3">
        <f t="shared" si="20"/>
        <v>4.45</v>
      </c>
      <c r="K85" s="3">
        <f t="shared" si="20"/>
        <v>4.47</v>
      </c>
      <c r="L85" s="3">
        <f t="shared" si="20"/>
        <v>4.47</v>
      </c>
      <c r="M85" s="3">
        <f t="shared" si="20"/>
        <v>4.33</v>
      </c>
      <c r="P85" s="15" t="s">
        <v>1333</v>
      </c>
      <c r="Q85" s="10" t="str">
        <f t="shared" si="14"/>
        <v xml:space="preserve">MARCOPOLO   -ON  </v>
      </c>
      <c r="R85" s="51">
        <f t="shared" si="15"/>
        <v>41696</v>
      </c>
      <c r="S85" s="5">
        <f t="shared" si="16"/>
        <v>4.45</v>
      </c>
      <c r="T85" s="5">
        <f t="shared" si="17"/>
        <v>4.47</v>
      </c>
      <c r="U85" s="5">
        <f t="shared" si="18"/>
        <v>4.47</v>
      </c>
      <c r="V85" s="5">
        <f t="shared" si="19"/>
        <v>4.33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1351</v>
      </c>
      <c r="D86" s="3" t="s">
        <v>435</v>
      </c>
      <c r="E86" s="3" t="s">
        <v>436</v>
      </c>
      <c r="F86" s="3" t="s">
        <v>435</v>
      </c>
      <c r="G86" s="3" t="s">
        <v>435</v>
      </c>
      <c r="H86" s="51" t="s">
        <v>435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1335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1352</v>
      </c>
      <c r="D87" s="3" t="s">
        <v>435</v>
      </c>
      <c r="E87" s="3" t="s">
        <v>1353</v>
      </c>
      <c r="F87" s="3" t="s">
        <v>1353</v>
      </c>
      <c r="G87" s="3" t="s">
        <v>1353</v>
      </c>
      <c r="H87" s="51">
        <v>41534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1336</v>
      </c>
      <c r="Q87" s="10" t="str">
        <f t="shared" si="14"/>
        <v>RIOSULENSE  -PN</v>
      </c>
      <c r="R87" s="51">
        <f t="shared" si="15"/>
        <v>41534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1354</v>
      </c>
      <c r="D88" s="3" t="s">
        <v>1289</v>
      </c>
      <c r="E88" s="3" t="s">
        <v>1516</v>
      </c>
      <c r="F88" s="3" t="s">
        <v>1516</v>
      </c>
      <c r="G88" s="3" t="s">
        <v>1289</v>
      </c>
      <c r="H88" s="51">
        <v>41696</v>
      </c>
      <c r="J88" s="3">
        <f t="shared" si="20"/>
        <v>0.41</v>
      </c>
      <c r="K88" s="3">
        <f t="shared" si="20"/>
        <v>0.42</v>
      </c>
      <c r="L88" s="3">
        <f t="shared" si="20"/>
        <v>0.42</v>
      </c>
      <c r="M88" s="3">
        <f t="shared" si="20"/>
        <v>0.41</v>
      </c>
      <c r="P88" s="15" t="s">
        <v>1337</v>
      </c>
      <c r="Q88" s="10" t="str">
        <f t="shared" si="14"/>
        <v>PLASCAR PART-ON</v>
      </c>
      <c r="R88" s="51">
        <f t="shared" si="15"/>
        <v>41696</v>
      </c>
      <c r="S88" s="5">
        <f t="shared" si="16"/>
        <v>0.41</v>
      </c>
      <c r="T88" s="5">
        <f t="shared" si="17"/>
        <v>0.42</v>
      </c>
      <c r="U88" s="5">
        <f t="shared" si="18"/>
        <v>0.42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1355</v>
      </c>
      <c r="D89" s="3" t="s">
        <v>2084</v>
      </c>
      <c r="E89" s="3" t="s">
        <v>2084</v>
      </c>
      <c r="F89" s="3" t="s">
        <v>2084</v>
      </c>
      <c r="G89" s="3" t="s">
        <v>2084</v>
      </c>
      <c r="H89" s="51">
        <v>41696</v>
      </c>
      <c r="J89" s="3">
        <f t="shared" si="20"/>
        <v>7.51</v>
      </c>
      <c r="K89" s="3">
        <f t="shared" si="20"/>
        <v>7.51</v>
      </c>
      <c r="L89" s="3">
        <f t="shared" si="20"/>
        <v>7.51</v>
      </c>
      <c r="M89" s="3">
        <f t="shared" si="20"/>
        <v>7.51</v>
      </c>
      <c r="P89" s="10" t="s">
        <v>1338</v>
      </c>
      <c r="Q89" s="10" t="str">
        <f t="shared" si="14"/>
        <v xml:space="preserve">RANDON PART -ON  </v>
      </c>
      <c r="R89" s="51">
        <f t="shared" si="15"/>
        <v>41696</v>
      </c>
      <c r="S89" s="5">
        <f t="shared" si="16"/>
        <v>7.51</v>
      </c>
      <c r="T89" s="5">
        <f t="shared" si="17"/>
        <v>7.51</v>
      </c>
      <c r="U89" s="5">
        <f t="shared" si="18"/>
        <v>7.51</v>
      </c>
      <c r="V89" s="5">
        <f t="shared" si="19"/>
        <v>7.51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1356</v>
      </c>
      <c r="D90" s="3" t="s">
        <v>1413</v>
      </c>
      <c r="E90" s="3" t="s">
        <v>2085</v>
      </c>
      <c r="F90" s="3" t="s">
        <v>1504</v>
      </c>
      <c r="G90" s="3" t="s">
        <v>2086</v>
      </c>
      <c r="H90" s="51">
        <v>41696</v>
      </c>
      <c r="J90" s="3">
        <f t="shared" si="20"/>
        <v>8.6300000000000008</v>
      </c>
      <c r="K90" s="3">
        <f t="shared" si="20"/>
        <v>8.48</v>
      </c>
      <c r="L90" s="3">
        <f t="shared" si="20"/>
        <v>8.65</v>
      </c>
      <c r="M90" s="3">
        <f t="shared" si="20"/>
        <v>8.43</v>
      </c>
      <c r="P90" s="10" t="s">
        <v>1339</v>
      </c>
      <c r="Q90" s="10" t="str">
        <f t="shared" si="14"/>
        <v xml:space="preserve">RANDON PART -PN  </v>
      </c>
      <c r="R90" s="51">
        <f t="shared" si="15"/>
        <v>41696</v>
      </c>
      <c r="S90" s="5">
        <f t="shared" si="16"/>
        <v>8.6300000000000008</v>
      </c>
      <c r="T90" s="5">
        <f t="shared" si="17"/>
        <v>8.48</v>
      </c>
      <c r="U90" s="5">
        <f t="shared" si="18"/>
        <v>8.65</v>
      </c>
      <c r="V90" s="5">
        <f t="shared" si="19"/>
        <v>8.43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1357</v>
      </c>
      <c r="D91" s="3" t="s">
        <v>792</v>
      </c>
      <c r="E91" s="3" t="s">
        <v>792</v>
      </c>
      <c r="F91" s="3" t="s">
        <v>792</v>
      </c>
      <c r="G91" s="3" t="s">
        <v>792</v>
      </c>
      <c r="H91" s="51">
        <v>41695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1340</v>
      </c>
      <c r="Q91" s="10" t="str">
        <f t="shared" si="14"/>
        <v>RECRUSUL    -ON</v>
      </c>
      <c r="R91" s="51">
        <f t="shared" si="15"/>
        <v>41695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1358</v>
      </c>
      <c r="D92" s="3" t="s">
        <v>1463</v>
      </c>
      <c r="E92" s="3" t="s">
        <v>2087</v>
      </c>
      <c r="F92" s="3" t="s">
        <v>1836</v>
      </c>
      <c r="G92" s="3" t="s">
        <v>1463</v>
      </c>
      <c r="H92" s="51">
        <v>41696</v>
      </c>
      <c r="J92" s="3">
        <f t="shared" si="20"/>
        <v>17.059999999999999</v>
      </c>
      <c r="K92" s="3">
        <f t="shared" si="20"/>
        <v>17.98</v>
      </c>
      <c r="L92" s="3">
        <f t="shared" si="20"/>
        <v>18</v>
      </c>
      <c r="M92" s="3">
        <f t="shared" si="20"/>
        <v>17.059999999999999</v>
      </c>
      <c r="P92" s="16" t="s">
        <v>1342</v>
      </c>
      <c r="Q92" s="10" t="str">
        <f t="shared" si="14"/>
        <v xml:space="preserve">TUPY        -ON  </v>
      </c>
      <c r="R92" s="51">
        <f t="shared" si="15"/>
        <v>41696</v>
      </c>
      <c r="S92" s="5">
        <f t="shared" si="16"/>
        <v>17.059999999999999</v>
      </c>
      <c r="T92" s="5">
        <f t="shared" si="17"/>
        <v>17.98</v>
      </c>
      <c r="U92" s="5">
        <f t="shared" si="18"/>
        <v>18</v>
      </c>
      <c r="V92" s="5">
        <f t="shared" si="19"/>
        <v>17.059999999999999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1359</v>
      </c>
      <c r="D93" s="3" t="s">
        <v>189</v>
      </c>
      <c r="E93" s="3" t="s">
        <v>189</v>
      </c>
      <c r="F93" s="3" t="s">
        <v>189</v>
      </c>
      <c r="G93" s="3" t="s">
        <v>189</v>
      </c>
      <c r="H93" s="51">
        <v>41687</v>
      </c>
      <c r="J93" s="3">
        <f t="shared" si="20"/>
        <v>4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1343</v>
      </c>
      <c r="Q93" s="10" t="str">
        <f t="shared" si="14"/>
        <v>WETZEL S/A  -ON</v>
      </c>
      <c r="R93" s="51">
        <f t="shared" si="15"/>
        <v>41687</v>
      </c>
      <c r="S93" s="5">
        <f t="shared" si="16"/>
        <v>4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1360</v>
      </c>
      <c r="D94" s="3" t="s">
        <v>1814</v>
      </c>
      <c r="E94" s="3" t="s">
        <v>1433</v>
      </c>
      <c r="F94" s="3" t="s">
        <v>1433</v>
      </c>
      <c r="G94" s="3" t="s">
        <v>1814</v>
      </c>
      <c r="H94" s="51">
        <v>41696</v>
      </c>
      <c r="J94" s="3">
        <f t="shared" si="20"/>
        <v>1.43</v>
      </c>
      <c r="K94" s="3">
        <f t="shared" si="20"/>
        <v>1.52</v>
      </c>
      <c r="L94" s="3">
        <f t="shared" si="20"/>
        <v>1.52</v>
      </c>
      <c r="M94" s="3">
        <f t="shared" si="20"/>
        <v>1.43</v>
      </c>
      <c r="P94" s="14" t="s">
        <v>1344</v>
      </c>
      <c r="Q94" s="10" t="str">
        <f t="shared" si="14"/>
        <v>WETZEL S/A  -PN</v>
      </c>
      <c r="R94" s="51">
        <f t="shared" si="15"/>
        <v>41696</v>
      </c>
      <c r="S94" s="5">
        <f t="shared" si="16"/>
        <v>1.43</v>
      </c>
      <c r="T94" s="5">
        <f t="shared" si="17"/>
        <v>1.52</v>
      </c>
      <c r="U94" s="5">
        <f t="shared" si="18"/>
        <v>1.52</v>
      </c>
      <c r="V94" s="5">
        <f t="shared" si="19"/>
        <v>1.43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1364</v>
      </c>
      <c r="D95" s="3" t="s">
        <v>1419</v>
      </c>
      <c r="E95" s="3" t="s">
        <v>2088</v>
      </c>
      <c r="F95" s="3" t="s">
        <v>1419</v>
      </c>
      <c r="G95" s="3" t="s">
        <v>2089</v>
      </c>
      <c r="H95" s="51">
        <v>41696</v>
      </c>
      <c r="J95" s="3">
        <f t="shared" si="20"/>
        <v>4.7</v>
      </c>
      <c r="K95" s="3">
        <f t="shared" si="20"/>
        <v>4.68</v>
      </c>
      <c r="L95" s="3">
        <f t="shared" si="20"/>
        <v>4.7</v>
      </c>
      <c r="M95" s="3">
        <f t="shared" si="20"/>
        <v>4.55</v>
      </c>
      <c r="P95" s="14" t="s">
        <v>1331</v>
      </c>
      <c r="Q95" s="10" t="str">
        <f t="shared" si="14"/>
        <v xml:space="preserve">FRAS-LE     -ON  </v>
      </c>
      <c r="R95" s="51">
        <f t="shared" si="15"/>
        <v>41696</v>
      </c>
      <c r="S95" s="5">
        <f t="shared" si="16"/>
        <v>4.7</v>
      </c>
      <c r="T95" s="5">
        <f t="shared" si="17"/>
        <v>4.68</v>
      </c>
      <c r="U95" s="5">
        <f t="shared" si="18"/>
        <v>4.7</v>
      </c>
      <c r="V95" s="5">
        <f t="shared" si="19"/>
        <v>4.55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1365</v>
      </c>
      <c r="D96" s="3" t="s">
        <v>1815</v>
      </c>
      <c r="E96" s="3" t="s">
        <v>2088</v>
      </c>
      <c r="F96" s="3" t="s">
        <v>2090</v>
      </c>
      <c r="G96" s="3" t="s">
        <v>1775</v>
      </c>
      <c r="H96" s="51">
        <v>41696</v>
      </c>
      <c r="J96" s="3">
        <f t="shared" si="20"/>
        <v>4.71</v>
      </c>
      <c r="K96" s="3">
        <f t="shared" si="20"/>
        <v>4.68</v>
      </c>
      <c r="L96" s="3">
        <f t="shared" si="20"/>
        <v>4.72</v>
      </c>
      <c r="M96" s="3">
        <f t="shared" si="20"/>
        <v>4.62</v>
      </c>
      <c r="P96" s="14" t="s">
        <v>1334</v>
      </c>
      <c r="Q96" s="10" t="str">
        <f t="shared" si="14"/>
        <v xml:space="preserve">MARCOPOLO   -PN  </v>
      </c>
      <c r="R96" s="51">
        <f t="shared" si="15"/>
        <v>41696</v>
      </c>
      <c r="S96" s="5">
        <f t="shared" si="16"/>
        <v>4.71</v>
      </c>
      <c r="T96" s="5">
        <f t="shared" si="17"/>
        <v>4.68</v>
      </c>
      <c r="U96" s="5">
        <f t="shared" si="18"/>
        <v>4.72</v>
      </c>
      <c r="V96" s="5">
        <f t="shared" si="19"/>
        <v>4.62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1367</v>
      </c>
      <c r="D97" s="3" t="s">
        <v>792</v>
      </c>
      <c r="E97" s="3" t="s">
        <v>672</v>
      </c>
      <c r="F97" s="3" t="s">
        <v>672</v>
      </c>
      <c r="G97" s="3" t="s">
        <v>792</v>
      </c>
      <c r="H97" s="51">
        <v>41696</v>
      </c>
      <c r="J97" s="3">
        <f t="shared" si="20"/>
        <v>7.0000000000000007E-2</v>
      </c>
      <c r="K97" s="3">
        <f t="shared" si="20"/>
        <v>0.08</v>
      </c>
      <c r="L97" s="3">
        <f t="shared" si="20"/>
        <v>0.08</v>
      </c>
      <c r="M97" s="3">
        <f t="shared" si="20"/>
        <v>7.0000000000000007E-2</v>
      </c>
      <c r="P97" s="10" t="s">
        <v>1341</v>
      </c>
      <c r="Q97" s="10" t="str">
        <f t="shared" si="14"/>
        <v>RECRUSUL    -PN</v>
      </c>
      <c r="R97" s="51">
        <f t="shared" si="15"/>
        <v>41696</v>
      </c>
      <c r="S97" s="5">
        <f t="shared" si="16"/>
        <v>7.0000000000000007E-2</v>
      </c>
      <c r="T97" s="5">
        <f t="shared" si="17"/>
        <v>0.08</v>
      </c>
      <c r="U97" s="5">
        <f t="shared" si="18"/>
        <v>0.08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305</v>
      </c>
      <c r="B1" s="70" t="s">
        <v>389</v>
      </c>
      <c r="C1" s="70" t="s">
        <v>390</v>
      </c>
      <c r="D1" s="70" t="s">
        <v>391</v>
      </c>
      <c r="E1" s="31" t="s">
        <v>381</v>
      </c>
      <c r="F1" s="71" t="s">
        <v>308</v>
      </c>
      <c r="G1" s="71" t="s">
        <v>306</v>
      </c>
      <c r="H1" s="71" t="s">
        <v>307</v>
      </c>
      <c r="I1" s="71" t="s">
        <v>392</v>
      </c>
      <c r="J1" s="12" t="s">
        <v>393</v>
      </c>
      <c r="K1" s="65" t="s">
        <v>382</v>
      </c>
      <c r="L1" s="66" t="s">
        <v>383</v>
      </c>
      <c r="M1" s="66" t="s">
        <v>384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309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787</v>
      </c>
      <c r="B4" t="s">
        <v>385</v>
      </c>
      <c r="C4" t="s">
        <v>386</v>
      </c>
      <c r="D4" t="s">
        <v>394</v>
      </c>
      <c r="E4" t="s">
        <v>395</v>
      </c>
      <c r="F4" t="s">
        <v>387</v>
      </c>
      <c r="G4" t="s">
        <v>388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788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919</v>
      </c>
      <c r="B1" s="97" t="s">
        <v>920</v>
      </c>
      <c r="C1" s="97" t="s">
        <v>308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921</v>
      </c>
      <c r="B1" s="97" t="s">
        <v>922</v>
      </c>
      <c r="C1" s="97" t="s">
        <v>83</v>
      </c>
      <c r="D1" s="97" t="s">
        <v>924</v>
      </c>
      <c r="E1" s="97" t="s">
        <v>925</v>
      </c>
      <c r="F1" s="97" t="s">
        <v>926</v>
      </c>
      <c r="G1" s="97" t="s">
        <v>927</v>
      </c>
      <c r="H1" s="97" t="s">
        <v>928</v>
      </c>
      <c r="I1">
        <v>4</v>
      </c>
    </row>
    <row r="2" spans="1:9">
      <c r="A2" t="s">
        <v>923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929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930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2089</vt:i4>
      </vt:variant>
    </vt:vector>
  </HeadingPairs>
  <TitlesOfParts>
    <vt:vector size="2099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'Cotacao 2'!DadosExternos_262</vt:lpstr>
      <vt:lpstr>'Cotacao 3'!DadosExternos_262</vt:lpstr>
      <vt:lpstr>'Cotacao 4'!DadosExternos_262</vt:lpstr>
      <vt:lpstr>'Cotacao 5'!DadosExternos_262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4'!DadosExternos_475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2014-02-27T18:31:32Z</dcterms:modified>
</cp:coreProperties>
</file>