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60" windowWidth="12030" windowHeight="5355" tabRatio="648" activeTab="3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BORBOLETA" sheetId="5" r:id="rId6"/>
    <sheet name="TRAVA BAIXA NEW" sheetId="6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K94" i="1"/>
  <c r="L94"/>
  <c r="N94"/>
  <c r="S94"/>
  <c r="AB94"/>
  <c r="AC94"/>
  <c r="AH94"/>
  <c r="AI94"/>
  <c r="AJ94"/>
  <c r="K93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N2" i="4" l="1"/>
  <c r="N5"/>
  <c r="M2"/>
  <c r="M5"/>
  <c r="K57" i="9" l="1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AC58" l="1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I5" i="4"/>
  <c r="J5"/>
  <c r="K5" s="1"/>
  <c r="L5" s="1"/>
  <c r="O5"/>
  <c r="K52" i="9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S54" l="1"/>
  <c r="T54" s="1"/>
  <c r="AC49"/>
  <c r="AC60"/>
  <c r="S35"/>
  <c r="T35" s="1"/>
  <c r="AC39"/>
  <c r="AC43"/>
  <c r="AC47"/>
  <c r="H5" i="4"/>
  <c r="S52" i="9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7" l="1"/>
  <c r="T17" s="1"/>
  <c r="AC10"/>
  <c r="AC8"/>
  <c r="P5" i="4"/>
  <c r="AC21" i="9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AC5" l="1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Q57" l="1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58" l="1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W57" l="1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58" l="1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51" l="1"/>
  <c r="Y61"/>
  <c r="Y34"/>
  <c r="Y17"/>
  <c r="Y13"/>
  <c r="Y10"/>
  <c r="AK57" s="1"/>
  <c r="Y11"/>
  <c r="AK4"/>
  <c r="Z56" l="1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57" l="1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58" l="1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G59" i="9" l="1"/>
  <c r="AH56"/>
  <c r="AG52"/>
  <c r="AH58" s="1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H59" i="9" l="1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N4" i="4" l="1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2" i="3"/>
  <c r="K3"/>
  <c r="F3" l="1"/>
  <c r="G3" s="1"/>
  <c r="J3" s="1"/>
  <c r="H3"/>
  <c r="I3" s="1"/>
  <c r="L2" i="8" l="1"/>
  <c r="L3"/>
  <c r="L4"/>
  <c r="L5"/>
  <c r="K63" i="1" l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H5" i="6"/>
  <c r="M5" s="1"/>
  <c r="I5"/>
  <c r="K5"/>
  <c r="J5" s="1"/>
  <c r="L5" s="1"/>
  <c r="N5"/>
  <c r="O5" l="1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O94" l="1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4" i="1" l="1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X94" i="1" l="1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 s="1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S2" i="5" l="1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AB42" i="1"/>
  <c r="V32"/>
  <c r="V31"/>
  <c r="V29"/>
  <c r="V30"/>
  <c r="V28"/>
  <c r="V35"/>
  <c r="V42"/>
  <c r="F2" i="3"/>
  <c r="G2" s="1"/>
  <c r="J2" s="1"/>
  <c r="H2"/>
  <c r="I2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s="1"/>
  <c r="M92" l="1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s="1"/>
  <c r="AK94" s="1"/>
  <c r="Y92" l="1"/>
  <c r="AK92" s="1"/>
  <c r="Y93"/>
  <c r="AK93" s="1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Y2" l="1"/>
  <c r="AK2" s="1"/>
  <c r="Z93" l="1"/>
  <c r="AA93" s="1"/>
  <c r="AE93" s="1"/>
  <c r="Z94"/>
  <c r="AA94" s="1"/>
  <c r="AE94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4" l="1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3" l="1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<sst xmlns="http://schemas.openxmlformats.org/spreadsheetml/2006/main" count="681" uniqueCount="181">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</sst>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4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164" fontId="13" fillId="0" borderId="0" xfId="1" applyFont="1"/>
    <xf numFmtId="164" fontId="13" fillId="0" borderId="0" xfId="0" applyNumberFormat="1" applyFont="1"/>
    <xf numFmtId="10" fontId="13" fillId="0" borderId="0" xfId="0" applyNumberFormat="1" applyFont="1"/>
    <xf numFmtId="170" fontId="13" fillId="0" borderId="0" xfId="0" applyNumberFormat="1" applyFo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K94" headerRowDxfId="348" dataDxfId="347" totalsRowDxfId="346">
  <autoFilter ref="A1:AK94">
    <filterColumn colId="36"/>
  </autoFilter>
  <sortState ref="A2:AJ89">
    <sortCondition ref="E1:E89"/>
  </sortState>
  <tableColumns count="37">
    <tableColumn id="19" name="ID" totalsRowFunction="max" dataDxfId="345" totalsRowDxfId="344"/>
    <tableColumn id="36" name="U" dataDxfId="343" totalsRowDxfId="342"/>
    <tableColumn id="2" name="ATIVO" dataDxfId="341" totalsRowDxfId="340"/>
    <tableColumn id="3" name="T" dataDxfId="339" totalsRowDxfId="338"/>
    <tableColumn id="4" name="DATA" dataDxfId="337" totalsRowDxfId="336"/>
    <tableColumn id="5" name="QTDE" dataDxfId="335" totalsRowDxfId="334"/>
    <tableColumn id="6" name="PREÇO" totalsRowFunction="custom" dataDxfId="333" totalsRowDxfId="332">
      <totalsRowFormula>NC[[#Totals],[ID]]*14.9</totalsRowFormula>
    </tableColumn>
    <tableColumn id="37" name="PARCIAL" dataDxfId="331" totalsRowDxfId="330"/>
    <tableColumn id="40" name="AJUSTE" dataDxfId="329" totalsRowDxfId="328"/>
    <tableColumn id="7" name="[D/N]" totalsRowFunction="custom" dataDxfId="327" totalsRowDxfId="326">
      <totalsRowFormula>NC[[#Totals],[LUCRO P/ OP]]+NC[[#Totals],[PREÇO]]</totalsRowFormula>
    </tableColumn>
    <tableColumn id="34" name="DATA DE LIQUIDAÇÃO" dataDxfId="325" totalsRowDxfId="324">
      <calculatedColumnFormula>WORKDAY(NC[[#This Row],[DATA]],1,0)</calculatedColumnFormula>
    </tableColumn>
    <tableColumn id="31" name="DATA BASE" dataDxfId="323" totalsRowDxfId="322">
      <calculatedColumnFormula>EOMONTH(NC[[#This Row],[DATA DE LIQUIDAÇÃO]],0)</calculatedColumnFormula>
    </tableColumn>
    <tableColumn id="21" name="PAR" dataDxfId="321" totalsRowDxfId="320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9" totalsRowDxfId="318">
      <calculatedColumnFormula>[QTDE]*[PREÇO]</calculatedColumnFormula>
    </tableColumn>
    <tableColumn id="9" name="VALOR LÍQUIDO DAS OPERAÇÕES" dataDxfId="317" totalsRowDxfId="316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5" totalsRowDxfId="31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3" totalsRowDxfId="312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11" totalsRowDxfId="310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9" totalsRowDxfId="308">
      <calculatedColumnFormula>SETUP!$E$3 * IF([PARCIAL] &gt; 0, [QTDE] / [PARCIAL], 1)</calculatedColumnFormula>
    </tableColumn>
    <tableColumn id="12" name="CORRETAGEM" dataDxfId="307" totalsRowDxfId="306">
      <calculatedColumnFormula>SUMPRODUCT(N([DATA]=NC[[#This Row],[DATA]]),N([ID]&lt;=NC[[#This Row],[ID]]), [CORR])</calculatedColumnFormula>
    </tableColumn>
    <tableColumn id="13" name="ISS" dataDxfId="305" totalsRowDxfId="304">
      <calculatedColumnFormula>TRUNC([CORRETAGEM]*SETUP!$F$3,2)</calculatedColumnFormula>
    </tableColumn>
    <tableColumn id="15" name="OUTRAS BOVESPA" dataDxfId="303" totalsRowDxfId="302">
      <calculatedColumnFormula>ROUND([CORRETAGEM]*SETUP!$G$3,2)</calculatedColumnFormula>
    </tableColumn>
    <tableColumn id="16" name="LÍQUIDO BASE" dataDxfId="301" totalsRowDxfId="300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9" totalsRowDxfId="298">
      <calculatedColumnFormula>IF(AND(['[D/N']]="D",    [T]="CV",    [LÍQUIDO BASE] &gt; 0),    TRUNC([LÍQUIDO BASE]*0.01, 2),    0)</calculatedColumnFormula>
    </tableColumn>
    <tableColumn id="35" name="LÍQUIDO" dataDxfId="297" totalsRowDxfId="296">
      <calculatedColumnFormula>IF([PREÇO] &gt; 0,    [LÍQUIDO BASE]-SUMPRODUCT(N([DATA]=NC[[#This Row],[DATA]]),    [IRRF FONTE]),    0)</calculatedColumnFormula>
    </tableColumn>
    <tableColumn id="17" name="VALOR OP" dataDxfId="295" totalsRowDxfId="294">
      <calculatedColumnFormula>[LÍQUIDO]-SUMPRODUCT(N([DATA]=NC[[#This Row],[DATA]]),N([ID]=(NC[[#This Row],[ID]]-1)),[LÍQUIDO])</calculatedColumnFormula>
    </tableColumn>
    <tableColumn id="18" name="MEDIO P/ OP" dataDxfId="293" totalsRowDxfId="292">
      <calculatedColumnFormula>IF([T] = "VC", ABS([VALOR OP]) / [QTDE], [VALOR OP]/[QTDE])</calculatedColumnFormula>
    </tableColumn>
    <tableColumn id="20" name="IRRF" totalsRowFunction="sum" dataDxfId="291" totalsRowDxfId="290">
      <calculatedColumnFormula>TRUNC(IF(OR([T]="CV",[T]="VV"),     N2*SETUP!$H$3,     0),2)</calculatedColumnFormula>
    </tableColumn>
    <tableColumn id="24" name="SALDO" dataDxfId="289" totalsRowDxfId="288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7" totalsRowDxfId="28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5" totalsRowDxfId="284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3" totalsRowDxfId="282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81" totalsRowDxfId="280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9" totalsRowDxfId="278">
      <calculatedColumnFormula>IF([U] = "U", SUMPRODUCT(N([ID]&lt;=NC[[#This Row],[ID]]),N([DATA BASE]=NC[[#This Row],[DATA BASE]]), N(['[D/N']] = "N"),    [LUCRO P/ OP]), 0)</calculatedColumnFormula>
    </tableColumn>
    <tableColumn id="39" name="LUCRO [D]" dataDxfId="277" totalsRowDxfId="276">
      <calculatedColumnFormula>IF([U] = "U", SUMPRODUCT(N([DATA BASE]=NC[[#This Row],[DATA BASE]]), N(['[D/N']] = "D"),    [LUCRO P/ OP]), 0)</calculatedColumnFormula>
    </tableColumn>
    <tableColumn id="30" name="IRRF DT" dataDxfId="275" totalsRowDxfId="274">
      <calculatedColumnFormula>IF([U] = "U", SUMPRODUCT(N([DATA BASE]=NC[[#This Row],[DATA BASE]]), N(['[D/N']] = "D"),    [IRRF FONTE]), 0)</calculatedColumnFormula>
    </tableColumn>
    <tableColumn id="14" name="Colunas1" dataDxfId="273" totalsRowDxfId="272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1" dataDxfId="270" totalsRowDxfId="269">
  <autoFilter ref="A1:AK61"/>
  <sortState ref="A2:AK61">
    <sortCondition ref="E1:E61"/>
  </sortState>
  <tableColumns count="37">
    <tableColumn id="19" name="ID" totalsRowFunction="max" dataDxfId="268" totalsRowDxfId="267"/>
    <tableColumn id="36" name="U" dataDxfId="266" totalsRowDxfId="265"/>
    <tableColumn id="2" name="ATIVO" dataDxfId="264" totalsRowDxfId="263"/>
    <tableColumn id="3" name="T" dataDxfId="262" totalsRowDxfId="261"/>
    <tableColumn id="4" name="DATA" dataDxfId="260" totalsRowDxfId="259"/>
    <tableColumn id="5" name="QTDE" dataDxfId="258" totalsRowDxfId="257"/>
    <tableColumn id="6" name="PREÇO" dataDxfId="256" totalsRowDxfId="255"/>
    <tableColumn id="37" name="PARCIAL" dataDxfId="254" totalsRowDxfId="253"/>
    <tableColumn id="40" name="AJUSTE" dataDxfId="252" totalsRowDxfId="251"/>
    <tableColumn id="7" name="[D/N]" dataDxfId="250" totalsRowDxfId="249"/>
    <tableColumn id="34" name="DATA DE LIQUIDAÇÃO" dataDxfId="248" totalsRowDxfId="247">
      <calculatedColumnFormula>WORKDAY(NOTAS_80[[#This Row],[DATA]],1,0)</calculatedColumnFormula>
    </tableColumn>
    <tableColumn id="31" name="DATA BASE" dataDxfId="246" totalsRowDxfId="245">
      <calculatedColumnFormula>EOMONTH(NOTAS_80[[#This Row],[DATA DE LIQUIDAÇÃO]],0)</calculatedColumnFormula>
    </tableColumn>
    <tableColumn id="21" name="PAR" dataDxfId="244" totalsRowDxfId="243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42" totalsRowDxfId="241">
      <calculatedColumnFormula>[QTDE]*[PREÇO]</calculatedColumnFormula>
    </tableColumn>
    <tableColumn id="9" name="VALOR LÍQUIDO DAS OPERAÇÕES" dataDxfId="240" totalsRowDxfId="239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38" totalsRowDxfId="237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36" totalsRowDxfId="235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34" totalsRowDxfId="233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32" totalsRowDxfId="231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30" totalsRowDxfId="229">
      <calculatedColumnFormula>TRUNC([CORR BOV] * 20% * IF([PARCIAL] &gt; 0, [QTDE] / [PARCIAL], 1),2)</calculatedColumnFormula>
    </tableColumn>
    <tableColumn id="12" name="CORRETAGEM" dataDxfId="228" totalsRowDxfId="227">
      <calculatedColumnFormula>SUMPRODUCT(N([DATA]=NOTAS_80[[#This Row],[DATA]]),N([ID]&lt;=NOTAS_80[[#This Row],[ID]]), [CORR])</calculatedColumnFormula>
    </tableColumn>
    <tableColumn id="13" name="ISS" dataDxfId="226" totalsRowDxfId="225">
      <calculatedColumnFormula>TRUNC([CORRETAGEM]*SETUP!$F$3,2)</calculatedColumnFormula>
    </tableColumn>
    <tableColumn id="15" name="OUTRAS BOVESPA" dataDxfId="224" totalsRowDxfId="223">
      <calculatedColumnFormula>ROUND([CORRETAGEM]*SETUP!$G$3,2)</calculatedColumnFormula>
    </tableColumn>
    <tableColumn id="16" name="LÍQUIDO BASE" dataDxfId="222" totalsRowDxfId="221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20" totalsRowDxfId="219">
      <calculatedColumnFormula>IF(AND(['[D/N']]="D",    [T]="CV",    [LÍQUIDO BASE] &gt; 0),    TRUNC([LÍQUIDO BASE]*0.01, 2),    0)</calculatedColumnFormula>
    </tableColumn>
    <tableColumn id="35" name="LÍQUIDO" dataDxfId="218" totalsRowDxfId="217">
      <calculatedColumnFormula>IF([PREÇO] &gt; 0,    [LÍQUIDO BASE]-SUMPRODUCT(N([DATA]=NOTAS_80[[#This Row],[DATA]]),    [IRRF FONTE]),    0)</calculatedColumnFormula>
    </tableColumn>
    <tableColumn id="17" name="VALOR OP" dataDxfId="216" totalsRowDxfId="215">
      <calculatedColumnFormula>[LÍQUIDO]-SUMPRODUCT(N([DATA]=NOTAS_80[[#This Row],[DATA]]),N([ID]=(NOTAS_80[[#This Row],[ID]]-1)),[LÍQUIDO])</calculatedColumnFormula>
    </tableColumn>
    <tableColumn id="18" name="MEDIO P/ OP" dataDxfId="214" totalsRowDxfId="213">
      <calculatedColumnFormula>IF([T] = "VC", ABS([VALOR OP]) / [QTDE], [VALOR OP]/[QTDE])</calculatedColumnFormula>
    </tableColumn>
    <tableColumn id="20" name="IRRF" totalsRowFunction="sum" dataDxfId="212" totalsRowDxfId="211">
      <calculatedColumnFormula>TRUNC(IF(OR([T]="CV",[T]="VV"),     N2*SETUP!$H$3,     0),2)</calculatedColumnFormula>
    </tableColumn>
    <tableColumn id="24" name="SALDO" dataDxfId="210" totalsRowDxfId="209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08" totalsRowDxfId="207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06" totalsRowDxfId="20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04" totalsRowDxfId="203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02" totalsRowDxfId="201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00" totalsRowDxfId="199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198" totalsRowDxfId="197">
      <calculatedColumnFormula>IF([U] = "U", SUMPRODUCT(N([DATA BASE]=NOTAS_80[[#This Row],[DATA BASE]]), N(['[D/N']] = "D"),    [LUCRO P/ OP]), 0)</calculatedColumnFormula>
    </tableColumn>
    <tableColumn id="30" name="IRRF DT" dataDxfId="196" totalsRowDxfId="195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194" dataDxfId="193">
  <autoFilter ref="A1:N5"/>
  <tableColumns count="14">
    <tableColumn id="1" name="DATA" totalsRowLabel="Total" dataDxfId="192" totalsRowDxfId="191"/>
    <tableColumn id="2" name="LUCRO [N]" dataDxfId="190" totalsRowDxfId="189"/>
    <tableColumn id="3" name="DEDUÇÃO [N]" dataDxfId="188" totalsRowDxfId="187"/>
    <tableColumn id="8" name="IRRF [N]" dataDxfId="186" totalsRowDxfId="185"/>
    <tableColumn id="4" name="LUCRO [D]" dataDxfId="184" totalsRowDxfId="183"/>
    <tableColumn id="5" name="DEDUÇÃO [D]" dataDxfId="182" totalsRowDxfId="181"/>
    <tableColumn id="9" name="IRRF [D]" dataDxfId="180" totalsRowDxfId="179"/>
    <tableColumn id="6" name="ACC [N]" dataDxfId="178" totalsRowDxfId="177">
      <calculatedColumnFormula>IF([LUCRO '[N']] + [DEDUÇÃO '[N']] &gt; 0, 0, [LUCRO '[N']] + [DEDUÇÃO '[N']])</calculatedColumnFormula>
    </tableColumn>
    <tableColumn id="12" name="ACC [D]" dataDxfId="176" totalsRowDxfId="175">
      <calculatedColumnFormula>IF([LUCRO '[D']] + [DEDUÇÃO '[D']] &gt; 0, 0, [LUCRO '[D']] + [DEDUÇÃO '[D']])</calculatedColumnFormula>
    </tableColumn>
    <tableColumn id="7" name="IR DEVIDO [N]" dataDxfId="174" totalsRowDxfId="173">
      <calculatedColumnFormula>IF([ACC '[N']] = 0, ROUND(([LUCRO '[N']] + [DEDUÇÃO '[N']]) * 15%, 2) - [IRRF '[N']], 0)</calculatedColumnFormula>
    </tableColumn>
    <tableColumn id="10" name="IR DEVIDO [D]" dataDxfId="172" totalsRowDxfId="171">
      <calculatedColumnFormula>IF([ACC '[D']] = 0, ROUND(([LUCRO '[D']] + [DEDUÇÃO '[D']]) * 20%, 2) - [IRRF '[D']], 0)</calculatedColumnFormula>
    </tableColumn>
    <tableColumn id="14" name="IRRF" dataDxfId="170" totalsRowDxfId="169">
      <calculatedColumnFormula>[IRRF '[N']] + [IRRF '[D']]</calculatedColumnFormula>
    </tableColumn>
    <tableColumn id="11" name="IR DEVIDO" dataDxfId="168" totalsRowDxfId="167">
      <calculatedColumnFormula>[IR DEVIDO '[N']] + [IR DEVIDO '[D']]</calculatedColumnFormula>
    </tableColumn>
    <tableColumn id="13" name="LUCRO TOTAL" totalsRowFunction="sum" dataDxfId="166" totalsRowDxfId="165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4" totalsRowCount="1" headerRowDxfId="164" dataDxfId="163">
  <autoFilter ref="A1:K3"/>
  <tableColumns count="11">
    <tableColumn id="1" name="PAPEL" totalsRowLabel="Total" dataDxfId="162" totalsRowDxfId="10"/>
    <tableColumn id="10" name="APLICAÇÃO" dataDxfId="161" totalsRowDxfId="9"/>
    <tableColumn id="2" name="EXERCÍCIO" dataDxfId="160" totalsRowDxfId="8"/>
    <tableColumn id="3" name="PREÇO OPÇÃO" dataDxfId="159" totalsRowDxfId="7"/>
    <tableColumn id="4" name="PREÇO AÇÃO" dataDxfId="158" totalsRowDxfId="6"/>
    <tableColumn id="11" name="QTDE TMP" dataDxfId="157" totalsRowDxfId="5">
      <calculatedColumnFormula>ROUNDDOWN([APLICAÇÃO]/[PREÇO OPÇÃO], 0)</calculatedColumnFormula>
    </tableColumn>
    <tableColumn id="14" name="QTDE" dataDxfId="156" totalsRowDxfId="4">
      <calculatedColumnFormula>[QTDE TMP] - MOD([QTDE TMP], 100)</calculatedColumnFormula>
    </tableColumn>
    <tableColumn id="5" name="TARGET 100%" dataDxfId="155" totalsRowDxfId="3">
      <calculatedColumnFormula>[EXERCÍCIO] + ([PREÇO OPÇÃO] * 2)</calculatedColumnFormula>
    </tableColumn>
    <tableColumn id="6" name="ALTA 100%" dataDxfId="154" totalsRowDxfId="2">
      <calculatedColumnFormula>[TARGET 100%] / [PREÇO AÇÃO] - 1</calculatedColumnFormula>
    </tableColumn>
    <tableColumn id="12" name="LUCRO* 100%" dataDxfId="153" totalsRowDxfId="1">
      <calculatedColumnFormula>[PREÇO OPÇÃO] * [QTDE]</calculatedColumnFormula>
    </tableColumn>
    <tableColumn id="7" name="GORDURA" dataDxfId="152" totalsRowDxfId="0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6" totalsRowCount="1" headerRowDxfId="151" dataDxfId="150">
  <autoFilter ref="A1:P5"/>
  <tableColumns count="16">
    <tableColumn id="1" name="PAPEL" totalsRowLabel="Total" dataDxfId="149" totalsRowDxfId="148"/>
    <tableColumn id="10" name="RISCO" dataDxfId="147" totalsRowDxfId="146"/>
    <tableColumn id="20" name="PREÇO AÇÃO" dataDxfId="145" totalsRowDxfId="144"/>
    <tableColumn id="7" name="EXERC. VENDA" dataDxfId="143" totalsRowDxfId="142"/>
    <tableColumn id="8" name="PREÇO VENDA" dataDxfId="141" totalsRowDxfId="140"/>
    <tableColumn id="2" name="EXERC. COMPRA" dataDxfId="139" totalsRowDxfId="138"/>
    <tableColumn id="3" name="PREÇO COMPRA" dataDxfId="137" totalsRowDxfId="136"/>
    <tableColumn id="4" name="VOLUME" dataDxfId="135" totalsRowDxfId="134">
      <calculatedColumnFormula>([QTDE] * [PREÇO COMPRA]) + ([QTDE] * [PREÇO VENDA])</calculatedColumnFormula>
    </tableColumn>
    <tableColumn id="18" name="LUCRO P/ OPÇÃO" dataDxfId="133" totalsRowDxfId="132">
      <calculatedColumnFormula>[PREÇO VENDA]-[PREÇO COMPRA]</calculatedColumnFormula>
    </tableColumn>
    <tableColumn id="19" name="PERDA P/ OPÇÃO" dataDxfId="131" totalsRowDxfId="130">
      <calculatedColumnFormula>(0.01 - [PREÇO COMPRA]) + ([PREÇO VENDA] - ([EXERC. COMPRA]-[EXERC. VENDA]+0.01))</calculatedColumnFormula>
    </tableColumn>
    <tableColumn id="11" name="QTDE TMP" dataDxfId="129" totalsRowDxfId="128">
      <calculatedColumnFormula>ROUNDDOWN([RISCO]/ABS([PERDA P/ OPÇÃO]), 0)</calculatedColumnFormula>
    </tableColumn>
    <tableColumn id="14" name="QTDE" dataDxfId="127" totalsRowDxfId="126">
      <calculatedColumnFormula>[QTDE TMP] - MOD([QTDE TMP], 100)</calculatedColumnFormula>
    </tableColumn>
    <tableColumn id="5" name="LUCRO*" dataDxfId="125" totalsRowDxfId="124">
      <calculatedColumnFormula>([QTDE]*[LUCRO P/ OPÇÃO])-32</calculatedColumnFormula>
    </tableColumn>
    <tableColumn id="6" name="PERDA*" dataDxfId="123" totalsRowDxfId="122">
      <calculatedColumnFormula>[QTDE]*[PERDA P/ OPÇÃO]-32</calculatedColumnFormula>
    </tableColumn>
    <tableColumn id="21" name="% QUEDA" dataDxfId="121" totalsRowDxfId="120">
      <calculatedColumnFormula>[EXERC. VENDA]/[PREÇO AÇÃO]-1</calculatedColumnFormula>
    </tableColumn>
    <tableColumn id="22" name="RISCO : 1" dataDxfId="119" totalsRowDxfId="118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245" displayName="Tabela245" ref="A1:U3" totalsRowCount="1" headerRowDxfId="117" dataDxfId="116">
  <autoFilter ref="A1:U2"/>
  <tableColumns count="21">
    <tableColumn id="1" name="PAPEL" totalsRowLabel="Total" dataDxfId="115" totalsRowDxfId="114"/>
    <tableColumn id="10" name="BASE" dataDxfId="113" totalsRowDxfId="112"/>
    <tableColumn id="20" name="PR. AÇÃO" dataDxfId="111" totalsRowDxfId="110"/>
    <tableColumn id="2" name="EX. CP 1" dataDxfId="109" totalsRowDxfId="108"/>
    <tableColumn id="3" name="PR CP 1" dataDxfId="107" totalsRowDxfId="106"/>
    <tableColumn id="12" name="EX. VD" dataDxfId="105" totalsRowDxfId="104"/>
    <tableColumn id="13" name="PR VD" dataDxfId="103" totalsRowDxfId="102"/>
    <tableColumn id="8" name="EX. CP 2" dataDxfId="101" totalsRowDxfId="100"/>
    <tableColumn id="7" name="PR CP 2" dataDxfId="99" totalsRowDxfId="98"/>
    <tableColumn id="18" name="LUCRO UNI." dataDxfId="97" totalsRowDxfId="96">
      <calculatedColumnFormula>(([PR VD] - 0.01) * 2) + (([EX. VD] - [EX. CP 1] + 0.01) - [PR CP 1]) + (0.01 - [PR CP 2])</calculatedColumnFormula>
    </tableColumn>
    <tableColumn id="19" name="PERDA 1" dataDxfId="95" totalsRowDxfId="94">
      <calculatedColumnFormula>(0.01 - [PR CP 1]) + (([PR VD] - 0.01) * 2) + (0.01 - [PR CP 2])</calculatedColumnFormula>
    </tableColumn>
    <tableColumn id="15" name="PERDA 2" dataDxfId="93" totalsRowDxfId="92">
      <calculatedColumnFormula>(([EX. CP 2] - [EX. CP 1] + 0.01) - [PR CP 1]) + (([PR VD] - ([EX. CP 2] - [EX. VD] + 0.01)) * 2) + (0.01 - [PR CP 2])</calculatedColumnFormula>
    </tableColumn>
    <tableColumn id="16" name="PERDA" dataDxfId="91" totalsRowDxfId="90">
      <calculatedColumnFormula>IF([PERDA 1] &gt; [PERDA 2], [PERDA 2], [PERDA 1])</calculatedColumnFormula>
    </tableColumn>
    <tableColumn id="11" name="QTDE TMP" dataDxfId="89" totalsRowDxfId="88">
      <calculatedColumnFormula>ROUNDDOWN([BASE]/ABS([PERDA]), 0)</calculatedColumnFormula>
    </tableColumn>
    <tableColumn id="14" name="QTDE" dataDxfId="87" totalsRowDxfId="86">
      <calculatedColumnFormula>[QTDE TMP] - MOD([QTDE TMP], 100)</calculatedColumnFormula>
    </tableColumn>
    <tableColumn id="4" name="QTDE VD" dataDxfId="85" totalsRowDxfId="84">
      <calculatedColumnFormula>Tabela245[[#This Row],[QTDE]]*2</calculatedColumnFormula>
    </tableColumn>
    <tableColumn id="17" name="VOLUME" dataDxfId="83" totalsRowDxfId="82">
      <calculatedColumnFormula>([QTDE]*[PR CP 1] + [QTDE]*[PR CP 2])+[QTDE]*[PR VD] * 2</calculatedColumnFormula>
    </tableColumn>
    <tableColumn id="5" name="LUCRO" dataDxfId="81" totalsRowDxfId="80">
      <calculatedColumnFormula>([QTDE]*[LUCRO UNI.])</calculatedColumnFormula>
    </tableColumn>
    <tableColumn id="6" name="PERDA2" dataDxfId="79" totalsRowDxfId="78">
      <calculatedColumnFormula>[QTDE]*[PERDA]</calculatedColumnFormula>
    </tableColumn>
    <tableColumn id="21" name="% VAR" dataDxfId="77" totalsRowDxfId="76">
      <calculatedColumnFormula>[EX. VD] / [PR. AÇÃO] - 1</calculatedColumnFormula>
    </tableColumn>
    <tableColumn id="22" name="RISCO : 1" dataDxfId="75" totalsRowDxfId="74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6" totalsRowCount="1" headerRowDxfId="73" dataDxfId="72">
  <autoFilter ref="A1:O5"/>
  <tableColumns count="15">
    <tableColumn id="1" name="PAPEL" totalsRowLabel="Total" dataDxfId="71" totalsRowDxfId="70"/>
    <tableColumn id="10" name="RISCO" dataDxfId="69" totalsRowDxfId="68"/>
    <tableColumn id="20" name="PREÇO AÇÃO" dataDxfId="67" totalsRowDxfId="66"/>
    <tableColumn id="7" name="EX. VENDA" dataDxfId="65" totalsRowDxfId="64"/>
    <tableColumn id="2" name="EX. COMPRA" dataDxfId="63" totalsRowDxfId="62"/>
    <tableColumn id="3" name="PR COMPRA" dataDxfId="61" totalsRowDxfId="60"/>
    <tableColumn id="16" name="QTDE" dataDxfId="59" totalsRowDxfId="58"/>
    <tableColumn id="13" name="PERDA P/ OPÇÃO" dataDxfId="57" totalsRowDxfId="56">
      <calculatedColumnFormula>-[RISCO]/[QTDE]</calculatedColumnFormula>
    </tableColumn>
    <tableColumn id="14" name="CUSTO CP" dataDxfId="55" totalsRowDxfId="54">
      <calculatedColumnFormula>[PR COMPRA] * [QTDE]</calculatedColumnFormula>
    </tableColumn>
    <tableColumn id="15" name="LUCRO UNI" dataDxfId="53" totalsRowDxfId="52">
      <calculatedColumnFormula>[PR VENDA]-[PR COMPRA]</calculatedColumnFormula>
    </tableColumn>
    <tableColumn id="8" name="PR VENDA" dataDxfId="51" totalsRowDxfId="50">
      <calculatedColumnFormula>[PERDA P/ OPÇÃO] + ([EX. COMPRA] - [EX. VENDA] + 0.01) - 0.01 + [PR COMPRA]</calculatedColumnFormula>
    </tableColumn>
    <tableColumn id="5" name="LUCRO*" dataDxfId="49" totalsRowDxfId="48">
      <calculatedColumnFormula>([QTDE]*[LUCRO UNI])</calculatedColumnFormula>
    </tableColumn>
    <tableColumn id="6" name="PERDA*" dataDxfId="47" totalsRowDxfId="46">
      <calculatedColumnFormula>[PERDA P/ OPÇÃO]*[QTDE]</calculatedColumnFormula>
    </tableColumn>
    <tableColumn id="21" name="% QUEDA" dataDxfId="45" totalsRowDxfId="44">
      <calculatedColumnFormula>[EX. VENDA]/[PREÇO AÇÃO]-1</calculatedColumnFormula>
    </tableColumn>
    <tableColumn id="22" name="RISCO : 1" dataDxfId="43" totalsRowDxfId="42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41" dataDxfId="40">
  <autoFilter ref="A1:O5"/>
  <tableColumns count="15">
    <tableColumn id="1" name="PAPEL" totalsRowLabel="Total" dataDxfId="39" totalsRowDxfId="38"/>
    <tableColumn id="10" name="RISCO" dataDxfId="37" totalsRowDxfId="36"/>
    <tableColumn id="20" name="PREÇO AÇÃO" dataDxfId="35" totalsRowDxfId="34"/>
    <tableColumn id="7" name="EX. VENDA" dataDxfId="33" totalsRowDxfId="32"/>
    <tableColumn id="2" name="EX. COMPRA" dataDxfId="31" totalsRowDxfId="30"/>
    <tableColumn id="9" name="PR VENDA" totalsRowDxfId="29"/>
    <tableColumn id="3" name="PR COMPRA" dataDxfId="28" totalsRowDxfId="27"/>
    <tableColumn id="16" name="QTDE" dataDxfId="26" totalsRowDxfId="25"/>
    <tableColumn id="13" name="PERDA P/ OPÇÃO" dataDxfId="24" totalsRowDxfId="23">
      <calculatedColumnFormula>([PR VENDA] - ([EX. COMPRA] - [EX. VENDA] + 0.01)) + (0.01 - ([PR COMPRA]))</calculatedColumnFormula>
    </tableColumn>
    <tableColumn id="14" name="VOLUME" dataDxfId="22" totalsRowDxfId="21">
      <calculatedColumnFormula>[PR COMPRA] * [QTDE]</calculatedColumnFormula>
    </tableColumn>
    <tableColumn id="15" name="LUCRO UNI" dataDxfId="20" totalsRowDxfId="19">
      <calculatedColumnFormula>[PR VENDA]-[PR COMPRA]</calculatedColumnFormula>
    </tableColumn>
    <tableColumn id="5" name="LUCRO*" dataDxfId="18" totalsRowDxfId="17">
      <calculatedColumnFormula>([QTDE]*[LUCRO UNI])</calculatedColumnFormula>
    </tableColumn>
    <tableColumn id="6" name="PERDA*" dataDxfId="16" totalsRowDxfId="15">
      <calculatedColumnFormula>[PERDA P/ OPÇÃO]*[QTDE]</calculatedColumnFormula>
    </tableColumn>
    <tableColumn id="21" name="% QUEDA" dataDxfId="14" totalsRowDxfId="13">
      <calculatedColumnFormula>[EX. VENDA]/[PREÇO AÇÃO]-1</calculatedColumnFormula>
    </tableColumn>
    <tableColumn id="22" name="RISCO : 1" dataDxfId="12" totalsRowDxfId="11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94"/>
  <sheetViews>
    <sheetView workbookViewId="0">
      <pane xSplit="10" ySplit="1" topLeftCell="K83" activePane="bottomRight" state="frozen"/>
      <selection pane="topRight" activeCell="K1" sqref="K1"/>
      <selection pane="bottomLeft" activeCell="A2" sqref="A2"/>
      <selection pane="bottomRight" activeCell="G95" sqref="G95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8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128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118</v>
      </c>
      <c r="AJ1" s="10" t="s">
        <v>127</v>
      </c>
      <c r="AK1" s="146" t="s">
        <v>179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7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7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7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7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7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7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7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7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7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7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7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7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7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7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7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7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7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7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7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7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7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7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7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7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7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7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7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7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7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7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7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7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7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7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7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7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7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7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7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7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7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7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7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7">
        <f>NC[[#This Row],[LÍQUIDO]]/NC[[#This Row],[QTDE]]</f>
        <v>0</v>
      </c>
    </row>
    <row r="46" spans="1:37">
      <c r="A46" s="13">
        <v>45</v>
      </c>
      <c r="B46" s="13"/>
      <c r="C46" s="55" t="s">
        <v>111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7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112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7">
        <f>NC[[#This Row],[LÍQUIDO]]/NC[[#This Row],[QTDE]]</f>
        <v>0.45660000000000001</v>
      </c>
    </row>
    <row r="48" spans="1:37">
      <c r="A48" s="13">
        <v>47</v>
      </c>
      <c r="B48" s="43"/>
      <c r="C48" s="43" t="s">
        <v>114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7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7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111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7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114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7">
        <f>NC[[#This Row],[LÍQUIDO]]/NC[[#This Row],[QTDE]]</f>
        <v>1.2784249999999999</v>
      </c>
    </row>
    <row r="52" spans="1:37">
      <c r="A52" s="13">
        <v>51</v>
      </c>
      <c r="B52" s="43"/>
      <c r="C52" s="55" t="s">
        <v>115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7">
        <f>NC[[#This Row],[LÍQUIDO]]/NC[[#This Row],[QTDE]]</f>
        <v>3.253290909090909</v>
      </c>
    </row>
    <row r="53" spans="1:37">
      <c r="A53" s="13">
        <v>52</v>
      </c>
      <c r="B53" s="43"/>
      <c r="C53" s="55" t="s">
        <v>116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7">
        <f>NC[[#This Row],[LÍQUIDO]]/NC[[#This Row],[QTDE]]</f>
        <v>2.3577636363636367</v>
      </c>
    </row>
    <row r="54" spans="1:37">
      <c r="A54" s="13">
        <v>53</v>
      </c>
      <c r="B54" s="13"/>
      <c r="C54" s="55" t="s">
        <v>115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7">
        <f>NC[[#This Row],[LÍQUIDO]]/NC[[#This Row],[QTDE]]</f>
        <v>-1.9014925</v>
      </c>
    </row>
    <row r="55" spans="1:37">
      <c r="A55" s="13">
        <v>54</v>
      </c>
      <c r="B55" s="13"/>
      <c r="C55" s="55" t="s">
        <v>115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7">
        <f>NC[[#This Row],[LÍQUIDO]]/NC[[#This Row],[QTDE]]</f>
        <v>0.1160875</v>
      </c>
    </row>
    <row r="56" spans="1:37">
      <c r="A56" s="13">
        <v>55</v>
      </c>
      <c r="B56" s="13"/>
      <c r="C56" s="55" t="s">
        <v>115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7">
        <f>NC[[#This Row],[LÍQUIDO]]/NC[[#This Row],[QTDE]]</f>
        <v>-1.849809090909091</v>
      </c>
    </row>
    <row r="57" spans="1:37">
      <c r="A57" s="13">
        <v>56</v>
      </c>
      <c r="B57" s="13"/>
      <c r="C57" s="55" t="s">
        <v>116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7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112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7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7">
        <f>NC[[#This Row],[LÍQUIDO]]/NC[[#This Row],[QTDE]]</f>
        <v>0</v>
      </c>
    </row>
    <row r="60" spans="1:37">
      <c r="A60" s="13">
        <v>59</v>
      </c>
      <c r="B60" s="13"/>
      <c r="C60" s="55" t="s">
        <v>115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7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116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7">
        <f>NC[[#This Row],[LÍQUIDO]]/NC[[#This Row],[QTDE]]</f>
        <v>0.53718125000000005</v>
      </c>
    </row>
    <row r="62" spans="1:37">
      <c r="A62" s="13">
        <v>61</v>
      </c>
      <c r="B62" s="13"/>
      <c r="C62" s="55" t="s">
        <v>115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7">
        <f>NC[[#This Row],[LÍQUIDO]]/NC[[#This Row],[QTDE]]</f>
        <v>-2.2728749999999995</v>
      </c>
    </row>
    <row r="63" spans="1:37">
      <c r="A63" s="13">
        <v>62</v>
      </c>
      <c r="B63" s="13"/>
      <c r="C63" s="55" t="s">
        <v>116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7">
        <f>NC[[#This Row],[LÍQUIDO]]/NC[[#This Row],[QTDE]]</f>
        <v>1.9874687500000001</v>
      </c>
    </row>
    <row r="64" spans="1:37">
      <c r="A64" s="13">
        <v>63</v>
      </c>
      <c r="B64" s="13"/>
      <c r="C64" s="55" t="s">
        <v>131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7">
        <f>NC[[#This Row],[LÍQUIDO]]/NC[[#This Row],[QTDE]]</f>
        <v>-0.5252</v>
      </c>
    </row>
    <row r="65" spans="1:37">
      <c r="A65" s="13">
        <v>64</v>
      </c>
      <c r="B65" s="13"/>
      <c r="C65" s="55" t="s">
        <v>134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7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134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7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132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7">
        <f>NC[[#This Row],[LÍQUIDO]]/NC[[#This Row],[QTDE]]</f>
        <v>0.25605999999999995</v>
      </c>
    </row>
    <row r="68" spans="1:37">
      <c r="A68" s="13">
        <v>67</v>
      </c>
      <c r="B68" s="13"/>
      <c r="C68" s="98" t="s">
        <v>131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7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132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7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132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7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132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7">
        <f>NC[[#This Row],[LÍQUIDO]]/NC[[#This Row],[QTDE]]</f>
        <v>0.49145</v>
      </c>
    </row>
    <row r="72" spans="1:37">
      <c r="A72" s="13">
        <v>71</v>
      </c>
      <c r="B72" s="85"/>
      <c r="C72" s="85" t="s">
        <v>135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7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135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7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136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7">
        <f>NC[[#This Row],[LÍQUIDO]]/NC[[#This Row],[QTDE]]</f>
        <v>-1.8502333333333334</v>
      </c>
    </row>
    <row r="75" spans="1:37">
      <c r="A75" s="13">
        <v>74</v>
      </c>
      <c r="B75" s="85"/>
      <c r="C75" s="85" t="s">
        <v>137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7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137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7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136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7">
        <f>NC[[#This Row],[LÍQUIDO]]/NC[[#This Row],[QTDE]]</f>
        <v>3.1967666666666665</v>
      </c>
    </row>
    <row r="78" spans="1:37">
      <c r="A78" s="13">
        <v>77</v>
      </c>
      <c r="B78" s="85"/>
      <c r="C78" s="85" t="s">
        <v>138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7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138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7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139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7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139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7">
        <f>NC[[#This Row],[LÍQUIDO]]/NC[[#This Row],[QTDE]]</f>
        <v>-0.1034391304347826</v>
      </c>
    </row>
    <row r="82" spans="1:37">
      <c r="A82" s="13">
        <v>81</v>
      </c>
      <c r="B82" s="85"/>
      <c r="C82" s="85" t="s">
        <v>140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7">
        <f>NC[[#This Row],[LÍQUIDO]]/NC[[#This Row],[QTDE]]</f>
        <v>-0.191603</v>
      </c>
    </row>
    <row r="83" spans="1:37">
      <c r="A83" s="13">
        <v>82</v>
      </c>
      <c r="B83" s="85"/>
      <c r="C83" s="85" t="s">
        <v>140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7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141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7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141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7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142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7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143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7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142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7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143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7">
        <f>NC[[#This Row],[LÍQUIDO]]/NC[[#This Row],[QTDE]]</f>
        <v>0</v>
      </c>
    </row>
    <row r="90" spans="1:37">
      <c r="A90" s="13">
        <v>89</v>
      </c>
      <c r="B90" s="85"/>
      <c r="C90" s="85" t="s">
        <v>144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7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144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7">
        <f>NC[[#This Row],[LÍQUIDO]]/NC[[#This Row],[QTDE]]</f>
        <v>0.39004999999999995</v>
      </c>
    </row>
    <row r="92" spans="1:37">
      <c r="A92" s="138">
        <v>91</v>
      </c>
      <c r="B92" s="138"/>
      <c r="C92" s="138" t="s">
        <v>178</v>
      </c>
      <c r="D92" s="138" t="s">
        <v>24</v>
      </c>
      <c r="E92" s="139">
        <v>41697</v>
      </c>
      <c r="F92" s="138">
        <v>1500</v>
      </c>
      <c r="G92" s="140">
        <v>0.32</v>
      </c>
      <c r="H92" s="141"/>
      <c r="I92" s="142"/>
      <c r="J92" s="138" t="s">
        <v>6</v>
      </c>
      <c r="K92" s="139">
        <f>WORKDAY(NC[[#This Row],[DATA]],1,0)</f>
        <v>41698</v>
      </c>
      <c r="L92" s="143">
        <f>EOMONTH(NC[[#This Row],[DATA DE LIQUIDAÇÃO]],0)</f>
        <v>41698</v>
      </c>
      <c r="M92" s="13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40">
        <f>[QTDE]*[PREÇO]</f>
        <v>480</v>
      </c>
      <c r="O92" s="14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92" s="14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92" s="14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4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92" s="140">
        <f>SETUP!$E$3 * IF([PARCIAL] &gt; 0, [QTDE] / [PARCIAL], 1)</f>
        <v>14.9</v>
      </c>
      <c r="T92" s="140">
        <f>SUMPRODUCT(N([DATA]=NC[[#This Row],[DATA]]),N([ID]&lt;=NC[[#This Row],[ID]]), [CORR])</f>
        <v>14.9</v>
      </c>
      <c r="U92" s="140">
        <f>TRUNC([CORRETAGEM]*SETUP!$F$3,2)</f>
        <v>0.28999999999999998</v>
      </c>
      <c r="V92" s="140">
        <f>ROUND([CORRETAGEM]*SETUP!$G$3,2)</f>
        <v>0.57999999999999996</v>
      </c>
      <c r="W92" s="140">
        <f>[VALOR LÍQUIDO DAS OPERAÇÕES]-[TAXA DE LIQUIDAÇÃO]-[EMOLUMENTOS]-[TAXA DE REGISTRO]-[CORRETAGEM]-[ISS]-IF(['[D/N']]="D",    0,    [OUTRAS BOVESPA]) - [AJUSTE]</f>
        <v>-496.4</v>
      </c>
      <c r="X92" s="140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-496.4</v>
      </c>
      <c r="Z92" s="140">
        <f>[LÍQUIDO]-SUMPRODUCT(N([DATA]=NC[[#This Row],[DATA]]),N([ID]=(NC[[#This Row],[ID]]-1)),[LÍQUIDO])</f>
        <v>-496.4</v>
      </c>
      <c r="AA92" s="140">
        <f>IF([T] = "VC", ABS([VALOR OP]) / [QTDE], [VALOR OP]/[QTDE])</f>
        <v>-0.3309333333333333</v>
      </c>
      <c r="AB92" s="140">
        <f>TRUNC(IF(OR([T]="CV",[T]="VV"),     N92*SETUP!$H$3,     0),2)</f>
        <v>0</v>
      </c>
      <c r="AC92" s="13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1500</v>
      </c>
      <c r="AD92" s="14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0.3309333333333333</v>
      </c>
      <c r="AE92" s="14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40">
        <f>IF([LUCRO TMP] &lt;&gt; 0, [LUCRO TMP] - SUMPRODUCT(N([ATIVO]=NC[[#This Row],[ATIVO]]),N(['[D/N']]="N"),N([ID]&lt;NC[[#This Row],[ID]]),N([PAR]=NC[[#This Row],[PAR]]), [LUCRO TMP]), 0)</f>
        <v>0</v>
      </c>
      <c r="AH92" s="140">
        <f>IF([U] = "U", SUMPRODUCT(N([ID]&lt;=NC[[#This Row],[ID]]),N([DATA BASE]=NC[[#This Row],[DATA BASE]]), N(['[D/N']] = "N"),    [LUCRO P/ OP]), 0)</f>
        <v>0</v>
      </c>
      <c r="AI92" s="140">
        <f>IF([U] = "U", SUMPRODUCT(N([DATA BASE]=NC[[#This Row],[DATA BASE]]), N(['[D/N']] = "D"),    [LUCRO P/ OP]), 0)</f>
        <v>0</v>
      </c>
      <c r="AJ92" s="140">
        <f>IF([U] = "U", SUMPRODUCT(N([DATA BASE]=NC[[#This Row],[DATA BASE]]), N(['[D/N']] = "D"),    [IRRF FONTE]), 0)</f>
        <v>0</v>
      </c>
      <c r="AK92" s="147">
        <f>NC[[#This Row],[LÍQUIDO]]/NC[[#This Row],[QTDE]]</f>
        <v>-0.3309333333333333</v>
      </c>
    </row>
    <row r="93" spans="1:37">
      <c r="A93" s="13">
        <v>92</v>
      </c>
      <c r="B93" s="138"/>
      <c r="C93" s="138" t="s">
        <v>178</v>
      </c>
      <c r="D93" s="138" t="s">
        <v>25</v>
      </c>
      <c r="E93" s="139">
        <v>41698</v>
      </c>
      <c r="F93" s="138">
        <v>800</v>
      </c>
      <c r="G93" s="140">
        <v>0.66</v>
      </c>
      <c r="H93" s="141"/>
      <c r="I93" s="142"/>
      <c r="J93" s="138" t="s">
        <v>6</v>
      </c>
      <c r="K93" s="139">
        <f>WORKDAY(NC[[#This Row],[DATA]],1,0)</f>
        <v>41701</v>
      </c>
      <c r="L93" s="143">
        <f>EOMONTH(NC[[#This Row],[DATA DE LIQUIDAÇÃO]],0)</f>
        <v>41729</v>
      </c>
      <c r="M93" s="13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40">
        <f>[QTDE]*[PREÇO]</f>
        <v>528</v>
      </c>
      <c r="O93" s="14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528</v>
      </c>
      <c r="P93" s="14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0.14000000000000001</v>
      </c>
      <c r="Q93" s="14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93" s="14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93" s="140">
        <f>SETUP!$E$3 * IF([PARCIAL] &gt; 0, [QTDE] / [PARCIAL], 1)</f>
        <v>14.9</v>
      </c>
      <c r="T93" s="140">
        <f>SUMPRODUCT(N([DATA]=NC[[#This Row],[DATA]]),N([ID]&lt;=NC[[#This Row],[ID]]), [CORR])</f>
        <v>14.9</v>
      </c>
      <c r="U93" s="140">
        <f>TRUNC([CORRETAGEM]*SETUP!$F$3,2)</f>
        <v>0.28999999999999998</v>
      </c>
      <c r="V93" s="140">
        <f>ROUND([CORRETAGEM]*SETUP!$G$3,2)</f>
        <v>0.57999999999999996</v>
      </c>
      <c r="W93" s="140">
        <f>[VALOR LÍQUIDO DAS OPERAÇÕES]-[TAXA DE LIQUIDAÇÃO]-[EMOLUMENTOS]-[TAXA DE REGISTRO]-[CORRETAGEM]-[ISS]-IF(['[D/N']]="D",    0,    [OUTRAS BOVESPA]) - [AJUSTE]</f>
        <v>511.54</v>
      </c>
      <c r="X93" s="140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511.54</v>
      </c>
      <c r="Z93" s="140">
        <f>[LÍQUIDO]-SUMPRODUCT(N([DATA]=NC[[#This Row],[DATA]]),N([ID]=(NC[[#This Row],[ID]]-1)),[LÍQUIDO])</f>
        <v>511.54</v>
      </c>
      <c r="AA93" s="140">
        <f>IF([T] = "VC", ABS([VALOR OP]) / [QTDE], [VALOR OP]/[QTDE])</f>
        <v>0.63942500000000002</v>
      </c>
      <c r="AB93" s="140">
        <f>TRUNC(IF(OR([T]="CV",[T]="VV"),     N93*SETUP!$H$3,     0),2)</f>
        <v>0.02</v>
      </c>
      <c r="AC93" s="13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93" s="14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0.3309333333333333</v>
      </c>
      <c r="AE93" s="14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0.63942500000000002</v>
      </c>
      <c r="AF93" s="14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246.79333333333338</v>
      </c>
      <c r="AG93" s="140">
        <f>IF([LUCRO TMP] &lt;&gt; 0, [LUCRO TMP] - SUMPRODUCT(N([ATIVO]=NC[[#This Row],[ATIVO]]),N(['[D/N']]="N"),N([ID]&lt;NC[[#This Row],[ID]]),N([PAR]=NC[[#This Row],[PAR]]), [LUCRO TMP]), 0)</f>
        <v>246.79333333333338</v>
      </c>
      <c r="AH93" s="140">
        <f>IF([U] = "U", SUMPRODUCT(N([ID]&lt;=NC[[#This Row],[ID]]),N([DATA BASE]=NC[[#This Row],[DATA BASE]]), N(['[D/N']] = "N"),    [LUCRO P/ OP]), 0)</f>
        <v>0</v>
      </c>
      <c r="AI93" s="140">
        <f>IF([U] = "U", SUMPRODUCT(N([DATA BASE]=NC[[#This Row],[DATA BASE]]), N(['[D/N']] = "D"),    [LUCRO P/ OP]), 0)</f>
        <v>0</v>
      </c>
      <c r="AJ93" s="140">
        <f>IF([U] = "U", SUMPRODUCT(N([DATA BASE]=NC[[#This Row],[DATA BASE]]), N(['[D/N']] = "D"),    [IRRF FONTE]), 0)</f>
        <v>0</v>
      </c>
      <c r="AK93" s="147">
        <f>NC[[#This Row],[LÍQUIDO]]/NC[[#This Row],[QTDE]]</f>
        <v>0.63942500000000002</v>
      </c>
    </row>
    <row r="94" spans="1:37">
      <c r="A94" s="138">
        <v>93</v>
      </c>
      <c r="B94" s="138"/>
      <c r="C94" s="138" t="s">
        <v>178</v>
      </c>
      <c r="D94" s="138" t="s">
        <v>25</v>
      </c>
      <c r="E94" s="139">
        <v>41699</v>
      </c>
      <c r="F94" s="138">
        <v>700</v>
      </c>
      <c r="G94" s="140">
        <v>1.3</v>
      </c>
      <c r="H94" s="141"/>
      <c r="I94" s="142"/>
      <c r="J94" s="138" t="s">
        <v>6</v>
      </c>
      <c r="K94" s="139">
        <f>WORKDAY(NC[[#This Row],[DATA]],1,0)</f>
        <v>41701</v>
      </c>
      <c r="L94" s="143">
        <f>EOMONTH(NC[[#This Row],[DATA DE LIQUIDAÇÃO]],0)</f>
        <v>41729</v>
      </c>
      <c r="M94" s="13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40">
        <f>[QTDE]*[PREÇO]</f>
        <v>910</v>
      </c>
      <c r="O94" s="14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910</v>
      </c>
      <c r="P94" s="14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94" s="14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0.33</v>
      </c>
      <c r="R94" s="14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0.63</v>
      </c>
      <c r="S94" s="140">
        <f>SETUP!$E$3 * IF([PARCIAL] &gt; 0, [QTDE] / [PARCIAL], 1)</f>
        <v>14.9</v>
      </c>
      <c r="T94" s="140">
        <f>SUMPRODUCT(N([DATA]=NC[[#This Row],[DATA]]),N([ID]&lt;=NC[[#This Row],[ID]]), [CORR])</f>
        <v>14.9</v>
      </c>
      <c r="U94" s="140">
        <f>TRUNC([CORRETAGEM]*SETUP!$F$3,2)</f>
        <v>0.28999999999999998</v>
      </c>
      <c r="V94" s="140">
        <f>ROUND([CORRETAGEM]*SETUP!$G$3,2)</f>
        <v>0.57999999999999996</v>
      </c>
      <c r="W94" s="140">
        <f>[VALOR LÍQUIDO DAS OPERAÇÕES]-[TAXA DE LIQUIDAÇÃO]-[EMOLUMENTOS]-[TAXA DE REGISTRO]-[CORRETAGEM]-[ISS]-IF(['[D/N']]="D",    0,    [OUTRAS BOVESPA]) - [AJUSTE]</f>
        <v>893.02</v>
      </c>
      <c r="X94" s="140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893.02</v>
      </c>
      <c r="Z94" s="140">
        <f>[LÍQUIDO]-SUMPRODUCT(N([DATA]=NC[[#This Row],[DATA]]),N([ID]=(NC[[#This Row],[ID]]-1)),[LÍQUIDO])</f>
        <v>893.02</v>
      </c>
      <c r="AA94" s="140">
        <f>IF([T] = "VC", ABS([VALOR OP]) / [QTDE], [VALOR OP]/[QTDE])</f>
        <v>1.2757428571428571</v>
      </c>
      <c r="AB94" s="140">
        <f>TRUNC(IF(OR([T]="CV",[T]="VV"),     N94*SETUP!$H$3,     0),2)</f>
        <v>0.04</v>
      </c>
      <c r="AC94" s="13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4" s="14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-2.162857142857149E-2</v>
      </c>
      <c r="AE94" s="14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1.2757428571428571</v>
      </c>
      <c r="AF94" s="14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40">
        <f>IF([LUCRO TMP] &lt;&gt; 0, [LUCRO TMP] - SUMPRODUCT(N([ATIVO]=NC[[#This Row],[ATIVO]]),N(['[D/N']]="N"),N([ID]&lt;NC[[#This Row],[ID]]),N([PAR]=NC[[#This Row],[PAR]]), [LUCRO TMP]), 0)</f>
        <v>0</v>
      </c>
      <c r="AH94" s="140">
        <f>IF([U] = "U", SUMPRODUCT(N([ID]&lt;=NC[[#This Row],[ID]]),N([DATA BASE]=NC[[#This Row],[DATA BASE]]), N(['[D/N']] = "N"),    [LUCRO P/ OP]), 0)</f>
        <v>0</v>
      </c>
      <c r="AI94" s="140">
        <f>IF([U] = "U", SUMPRODUCT(N([DATA BASE]=NC[[#This Row],[DATA BASE]]), N(['[D/N']] = "D"),    [LUCRO P/ OP]), 0)</f>
        <v>0</v>
      </c>
      <c r="AJ94" s="140">
        <f>IF([U] = "U", SUMPRODUCT(N([DATA BASE]=NC[[#This Row],[DATA BASE]]), N(['[D/N']] = "D"),    [IRRF FONTE]), 0)</f>
        <v>0</v>
      </c>
      <c r="AK94" s="147">
        <f>NC[[#This Row],[LÍQUIDO]]/NC[[#This Row],[QTDE]]</f>
        <v>1.2757428571428571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G60" sqref="G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149</v>
      </c>
      <c r="T1" s="10" t="s">
        <v>128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118</v>
      </c>
      <c r="AK1" s="10" t="s">
        <v>127</v>
      </c>
    </row>
    <row r="2" spans="1:37">
      <c r="A2" s="13">
        <v>1</v>
      </c>
      <c r="B2" s="85"/>
      <c r="C2" s="85" t="s">
        <v>144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144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144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144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155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155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154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154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152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153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152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156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157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157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153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156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158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144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158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144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144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144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159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159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161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161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162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162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160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160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163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163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164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164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165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165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166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166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167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167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168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168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169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169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170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170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171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171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172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173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173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175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174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174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176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177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177</v>
      </c>
      <c r="D58" s="138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176</v>
      </c>
      <c r="D59" s="138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175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172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4">
        <f>SUBTOTAL(104,[ID])</f>
        <v>60</v>
      </c>
      <c r="B62" s="134"/>
      <c r="C62" s="134"/>
      <c r="D62" s="134"/>
      <c r="E62" s="134"/>
      <c r="F62" s="134"/>
      <c r="G62" s="134"/>
      <c r="H62" s="78"/>
      <c r="I62" s="15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5"/>
      <c r="Y62" s="134"/>
      <c r="Z62" s="15"/>
      <c r="AA62" s="15"/>
      <c r="AB62" s="134"/>
      <c r="AC62" s="15">
        <f>SUBTOTAL(109,[IRRF])</f>
        <v>0.72000000000000008</v>
      </c>
      <c r="AD62" s="15"/>
      <c r="AE62" s="134"/>
      <c r="AF62" s="134"/>
      <c r="AG62" s="15"/>
      <c r="AH62" s="15">
        <f>SUBTOTAL(109,[LUCRO P/ OP])</f>
        <v>1017.4900000000001</v>
      </c>
      <c r="AI62" s="15"/>
      <c r="AJ62" s="135"/>
      <c r="AK62" s="136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117</v>
      </c>
      <c r="D1" s="7" t="s">
        <v>121</v>
      </c>
      <c r="E1" s="7" t="s">
        <v>118</v>
      </c>
      <c r="F1" s="7" t="s">
        <v>119</v>
      </c>
      <c r="G1" s="7" t="s">
        <v>122</v>
      </c>
      <c r="H1" s="7" t="s">
        <v>120</v>
      </c>
      <c r="I1" s="7" t="s">
        <v>125</v>
      </c>
      <c r="J1" s="7" t="s">
        <v>123</v>
      </c>
      <c r="K1" s="7" t="s">
        <v>124</v>
      </c>
      <c r="L1" s="7" t="s">
        <v>18</v>
      </c>
      <c r="M1" s="7" t="s">
        <v>48</v>
      </c>
      <c r="N1" s="7" t="s">
        <v>126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K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4" sqref="A4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133</v>
      </c>
    </row>
    <row r="2" spans="1:11">
      <c r="A2" s="7" t="s">
        <v>180</v>
      </c>
      <c r="B2" s="25">
        <v>500</v>
      </c>
      <c r="C2" s="25">
        <v>30.18</v>
      </c>
      <c r="D2" s="25">
        <v>0.51</v>
      </c>
      <c r="E2" s="39">
        <v>29.68</v>
      </c>
      <c r="F2" s="28">
        <f>ROUNDDOWN([APLICAÇÃO]/[PREÇO OPÇÃO], 0)</f>
        <v>980</v>
      </c>
      <c r="G2" s="28">
        <f>[QTDE TMP] - MOD([QTDE TMP], 100)</f>
        <v>900</v>
      </c>
      <c r="H2" s="25">
        <f>[EXERCÍCIO] + ([PREÇO OPÇÃO] * 2)</f>
        <v>31.2</v>
      </c>
      <c r="I2" s="27">
        <f>[TARGET 100%] / [PREÇO AÇÃO] - 1</f>
        <v>5.1212938005390729E-2</v>
      </c>
      <c r="J2" s="25">
        <f>[PREÇO OPÇÃO] * [QTDE]</f>
        <v>459</v>
      </c>
      <c r="K2" s="25">
        <f>IF([PREÇO AÇÃO] &gt; [EXERCÍCIO], [PREÇO OPÇÃO] -([PREÇO AÇÃO] - [EXERCÍCIO]), [PREÇO OPÇÃO])</f>
        <v>0.51</v>
      </c>
    </row>
    <row r="3" spans="1:11">
      <c r="A3" s="7" t="s">
        <v>141</v>
      </c>
      <c r="B3" s="25">
        <v>500</v>
      </c>
      <c r="C3" s="25">
        <v>14</v>
      </c>
      <c r="D3" s="25">
        <v>0.43</v>
      </c>
      <c r="E3" s="39">
        <v>14.04</v>
      </c>
      <c r="F3" s="28">
        <f>ROUNDDOWN([APLICAÇÃO]/[PREÇO OPÇÃO], 0)</f>
        <v>1162</v>
      </c>
      <c r="G3" s="28">
        <f>[QTDE TMP] - MOD([QTDE TMP], 100)</f>
        <v>1100</v>
      </c>
      <c r="H3" s="25">
        <f>[EXERCÍCIO] + ([PREÇO OPÇÃO] * 2)</f>
        <v>14.86</v>
      </c>
      <c r="I3" s="27">
        <f>[TARGET 100%] / [PREÇO AÇÃO] - 1</f>
        <v>5.8404558404558493E-2</v>
      </c>
      <c r="J3" s="25">
        <f>[PREÇO OPÇÃO] * [QTDE]</f>
        <v>473</v>
      </c>
      <c r="K3" s="25">
        <f>IF([PREÇO AÇÃO] &gt; [EXERCÍCIO], [PREÇO OPÇÃO] -([PREÇO AÇÃO] - [EXERCÍCIO]), [PREÇO OPÇÃO])</f>
        <v>0.39000000000000085</v>
      </c>
    </row>
    <row r="4" spans="1:11">
      <c r="A4" s="125" t="s">
        <v>15</v>
      </c>
      <c r="B4" s="126"/>
      <c r="C4" s="126"/>
      <c r="D4" s="126"/>
      <c r="E4" s="126"/>
      <c r="F4" s="126"/>
      <c r="G4" s="126"/>
      <c r="H4" s="126"/>
      <c r="I4" s="126"/>
      <c r="J4" s="126"/>
      <c r="K4" s="125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6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G5" sqref="G5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113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69</v>
      </c>
      <c r="B3" s="25">
        <v>30</v>
      </c>
      <c r="C3" s="25">
        <v>29.02</v>
      </c>
      <c r="D3" s="25">
        <v>25.18</v>
      </c>
      <c r="E3" s="25">
        <v>4.0599999999999996</v>
      </c>
      <c r="F3" s="25">
        <v>27.18</v>
      </c>
      <c r="G3" s="25">
        <v>2.21</v>
      </c>
      <c r="H3" s="25">
        <f>([QTDE] * [PREÇO COMPRA]) + ([QTDE] * [PREÇO VENDA])</f>
        <v>1254</v>
      </c>
      <c r="I3" s="25">
        <f>[PREÇO VENDA]-[PREÇO COMPRA]</f>
        <v>1.8499999999999996</v>
      </c>
      <c r="J3" s="25">
        <f>(0.01 - [PREÇO COMPRA]) + ([PREÇO VENDA] - ([EXERC. COMPRA]-[EXERC. VENDA]+0.01))</f>
        <v>-0.15000000000000036</v>
      </c>
      <c r="K3" s="28">
        <f>ROUNDDOWN([RISCO]/ABS([PERDA P/ OPÇÃO]), 0)</f>
        <v>200</v>
      </c>
      <c r="L3" s="28">
        <f>[QTDE TMP] - MOD([QTDE TMP], 100)</f>
        <v>200</v>
      </c>
      <c r="M3" s="25">
        <f>([QTDE]*[LUCRO P/ OPÇÃO])-32</f>
        <v>337.99999999999994</v>
      </c>
      <c r="N3" s="25">
        <f>[QTDE]*[PERDA P/ OPÇÃO]-32</f>
        <v>-62.000000000000071</v>
      </c>
      <c r="O3" s="27">
        <f>[EXERC. VENDA]/[PREÇO AÇÃO]-1</f>
        <v>-0.13232253618194345</v>
      </c>
      <c r="P3" s="38">
        <f>[LUCRO*]/ABS([PERDA*])</f>
        <v>5.4516129032257989</v>
      </c>
    </row>
    <row r="4" spans="1:16">
      <c r="A4" s="102" t="s">
        <v>69</v>
      </c>
      <c r="B4" s="25">
        <v>20</v>
      </c>
      <c r="C4" s="25">
        <v>13.68</v>
      </c>
      <c r="D4" s="25">
        <v>12</v>
      </c>
      <c r="E4" s="25">
        <v>1.81</v>
      </c>
      <c r="F4" s="25">
        <v>13</v>
      </c>
      <c r="G4" s="25">
        <v>0.9</v>
      </c>
      <c r="H4" s="81">
        <f>([QTDE] * [PREÇO COMPRA]) + ([QTDE] * [PREÇO VENDA])</f>
        <v>542</v>
      </c>
      <c r="I4" s="81">
        <f>[PREÇO VENDA]-[PREÇO COMPRA]</f>
        <v>0.91</v>
      </c>
      <c r="J4" s="81">
        <f>(0.01 - [PREÇO COMPRA]) + ([PREÇO VENDA] - ([EXERC. COMPRA]-[EXERC. VENDA]+0.01))</f>
        <v>-8.9999999999999969E-2</v>
      </c>
      <c r="K4" s="103">
        <f>ROUNDDOWN([RISCO]/ABS([PERDA P/ OPÇÃO]), 0)</f>
        <v>222</v>
      </c>
      <c r="L4" s="103">
        <f>[QTDE TMP] - MOD([QTDE TMP], 100)</f>
        <v>200</v>
      </c>
      <c r="M4" s="81">
        <f>([QTDE]*[LUCRO P/ OPÇÃO])-32</f>
        <v>150</v>
      </c>
      <c r="N4" s="81">
        <f>[QTDE]*[PERDA P/ OPÇÃO]-32</f>
        <v>-49.999999999999993</v>
      </c>
      <c r="O4" s="82">
        <f>[EXERC. VENDA]/[PREÇO AÇÃO]-1</f>
        <v>-0.12280701754385959</v>
      </c>
      <c r="P4" s="83">
        <f>[LUCRO*]/ABS([PERDA*])</f>
        <v>3.0000000000000004</v>
      </c>
    </row>
    <row r="5" spans="1:16">
      <c r="A5" s="125" t="s">
        <v>83</v>
      </c>
      <c r="B5" s="130">
        <v>50</v>
      </c>
      <c r="C5" s="130">
        <v>34.44</v>
      </c>
      <c r="D5" s="130">
        <v>32.89</v>
      </c>
      <c r="E5" s="130">
        <v>2.14</v>
      </c>
      <c r="F5" s="130">
        <v>33.89</v>
      </c>
      <c r="G5" s="130">
        <v>1.5</v>
      </c>
      <c r="H5" s="131">
        <f>([QTDE] * [PREÇO COMPRA]) + ([QTDE] * [PREÇO VENDA])</f>
        <v>364</v>
      </c>
      <c r="I5" s="131">
        <f>[PREÇO VENDA]-[PREÇO COMPRA]</f>
        <v>0.64000000000000012</v>
      </c>
      <c r="J5" s="131">
        <f>(0.01 - [PREÇO COMPRA]) + ([PREÇO VENDA] - ([EXERC. COMPRA]-[EXERC. VENDA]+0.01))</f>
        <v>-0.35999999999999988</v>
      </c>
      <c r="K5" s="126">
        <f>ROUNDDOWN([RISCO]/ABS([PERDA P/ OPÇÃO]), 0)</f>
        <v>138</v>
      </c>
      <c r="L5" s="126">
        <f>[QTDE TMP] - MOD([QTDE TMP], 100)</f>
        <v>100</v>
      </c>
      <c r="M5" s="131">
        <f>([QTDE]*[LUCRO P/ OPÇÃO])-32</f>
        <v>32.000000000000014</v>
      </c>
      <c r="N5" s="131">
        <f>[QTDE]*[PERDA P/ OPÇÃO]-32</f>
        <v>-67.999999999999986</v>
      </c>
      <c r="O5" s="132">
        <f>[EXERC. VENDA]/[PREÇO AÇÃO]-1</f>
        <v>-4.500580720092906E-2</v>
      </c>
      <c r="P5" s="133">
        <f>[LUCRO*]/ABS([PERDA*])</f>
        <v>0.47058823529411797</v>
      </c>
    </row>
    <row r="6" spans="1:16">
      <c r="A6" s="125" t="s">
        <v>15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5"/>
      <c r="P6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P12" sqref="P12"/>
    </sheetView>
  </sheetViews>
  <sheetFormatPr defaultColWidth="11.5703125" defaultRowHeight="11.25"/>
  <cols>
    <col min="1" max="1" width="7.28515625" style="7" bestFit="1" customWidth="1"/>
    <col min="2" max="2" width="7.71093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7" width="9" style="7" bestFit="1" customWidth="1"/>
    <col min="18" max="19" width="8.2851562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113</v>
      </c>
      <c r="R1" s="123" t="s">
        <v>150</v>
      </c>
      <c r="S1" s="123" t="s">
        <v>151</v>
      </c>
      <c r="T1" s="123" t="s">
        <v>86</v>
      </c>
      <c r="U1" s="123" t="s">
        <v>78</v>
      </c>
    </row>
    <row r="2" spans="1:21">
      <c r="A2" s="7" t="s">
        <v>83</v>
      </c>
      <c r="B2" s="25">
        <v>50</v>
      </c>
      <c r="C2" s="25">
        <v>21.37</v>
      </c>
      <c r="D2" s="25">
        <v>19.829999999999998</v>
      </c>
      <c r="E2" s="25">
        <v>1.57</v>
      </c>
      <c r="F2" s="25">
        <v>21</v>
      </c>
      <c r="G2" s="25">
        <v>0.69</v>
      </c>
      <c r="H2" s="25">
        <v>21.83</v>
      </c>
      <c r="I2" s="25">
        <v>0.28999999999999998</v>
      </c>
      <c r="J2" s="25">
        <f>(([PR VD] - 0.01) * 2) + (([EX. VD] - [EX. CP 1] + 0.01) - [PR CP 1]) + (0.01 - [PR CP 2])</f>
        <v>0.6900000000000015</v>
      </c>
      <c r="K2" s="25">
        <f>(0.01 - [PR CP 1]) + (([PR VD] - 0.01) * 2) + (0.01 - [PR CP 2])</f>
        <v>-0.48000000000000015</v>
      </c>
      <c r="L2" s="25">
        <f>(([EX. CP 2] - [EX. CP 1] + 0.01) - [PR CP 1]) + (([PR VD] - ([EX. CP 2] - [EX. VD] + 0.01)) * 2) + (0.01 - [PR CP 2])</f>
        <v>-0.13999999999999696</v>
      </c>
      <c r="M2" s="25">
        <f>IF([PERDA 1] &gt; [PERDA 2], [PERDA 2], [PERDA 1])</f>
        <v>-0.48000000000000015</v>
      </c>
      <c r="N2" s="28">
        <f>ROUNDDOWN([BASE]/ABS([PERDA]), 0)</f>
        <v>104</v>
      </c>
      <c r="O2" s="28">
        <f>[QTDE TMP] - MOD([QTDE TMP], 100)</f>
        <v>100</v>
      </c>
      <c r="P2" s="28">
        <f>Tabela245[[#This Row],[QTDE]]*2</f>
        <v>200</v>
      </c>
      <c r="Q2" s="25">
        <f>([QTDE]*[PR CP 1] + [QTDE]*[PR CP 2])+[QTDE]*[PR VD] * 2</f>
        <v>324</v>
      </c>
      <c r="R2" s="39">
        <f>([QTDE]*[LUCRO UNI.])</f>
        <v>69.000000000000156</v>
      </c>
      <c r="S2" s="25">
        <f>[QTDE]*[PERDA]</f>
        <v>-48.000000000000014</v>
      </c>
      <c r="T2" s="27">
        <f>[EX. VD] / [PR. AÇÃO] - 1</f>
        <v>-1.7313991576977106E-2</v>
      </c>
      <c r="U2" s="38">
        <f>[LUCRO]/ABS([PERDA2])</f>
        <v>1.4375000000000029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E30" sqref="E30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105</v>
      </c>
      <c r="G1" s="57" t="s">
        <v>1</v>
      </c>
      <c r="H1" s="26" t="s">
        <v>75</v>
      </c>
      <c r="I1" s="26" t="s">
        <v>109</v>
      </c>
      <c r="J1" s="26" t="s">
        <v>110</v>
      </c>
      <c r="K1" s="26" t="s">
        <v>108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113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51" t="s">
        <v>7</v>
      </c>
      <c r="B1" s="151"/>
      <c r="C1" s="151" t="s">
        <v>8</v>
      </c>
      <c r="D1" s="151"/>
      <c r="E1" s="150" t="s">
        <v>9</v>
      </c>
      <c r="F1" s="150" t="s">
        <v>4</v>
      </c>
      <c r="G1" s="150" t="s">
        <v>10</v>
      </c>
      <c r="H1" s="150" t="s">
        <v>11</v>
      </c>
      <c r="I1" s="150" t="s">
        <v>23</v>
      </c>
      <c r="K1" s="149" t="s">
        <v>148</v>
      </c>
      <c r="L1" s="149"/>
      <c r="M1" s="149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50"/>
      <c r="F2" s="150"/>
      <c r="G2" s="150"/>
      <c r="H2" s="150"/>
      <c r="I2" s="150"/>
      <c r="K2" s="18" t="s">
        <v>145</v>
      </c>
      <c r="L2" s="18" t="s">
        <v>146</v>
      </c>
      <c r="M2" s="18" t="s">
        <v>147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49" t="s">
        <v>26</v>
      </c>
      <c r="B4" s="149"/>
      <c r="C4" s="149"/>
      <c r="D4" s="149"/>
      <c r="E4" s="149"/>
      <c r="F4" s="149"/>
      <c r="K4" s="17">
        <v>498.62</v>
      </c>
      <c r="L4" s="17">
        <v>0</v>
      </c>
      <c r="M4" s="104">
        <v>0.02</v>
      </c>
    </row>
    <row r="5" spans="1:13">
      <c r="A5" s="149" t="s">
        <v>7</v>
      </c>
      <c r="B5" s="149"/>
      <c r="C5" s="149"/>
      <c r="D5" s="149" t="s">
        <v>8</v>
      </c>
      <c r="E5" s="149"/>
      <c r="F5" s="149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2014-02-27T18:46:50Z</dcterms:modified>
</cp:coreProperties>
</file>