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240" yWindow="210" windowWidth="11790" windowHeight="5505"/>
  </bookViews>
  <sheets>
    <sheet name="VOLATILIDADE" sheetId="1" r:id="rId1"/>
    <sheet name="TRAVA" sheetId="3" r:id="rId2"/>
    <sheet name="TENDENCIA" sheetId="4" r:id="rId3"/>
    <sheet name="RESUMO DE PROTEÇÃO" sheetId="5" r:id="rId4"/>
    <sheet name="DIVISAO PATRIMONIO" sheetId="6" r:id="rId5"/>
    <sheet name="SETUP" sheetId="2" r:id="rId6"/>
  </sheets>
  <calcPr calcId="124519"/>
</workbook>
</file>

<file path=xl/calcChain.xml><?xml version="1.0" encoding="utf-8"?>
<calcChain xmlns="http://schemas.openxmlformats.org/spreadsheetml/2006/main">
  <c r="W2" i="4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Y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A4" i="6"/>
  <c r="A5"/>
  <c r="A2"/>
  <c r="A3"/>
  <c r="A31" i="5"/>
  <c r="D31"/>
  <c r="G31" i="4"/>
  <c r="M31"/>
  <c r="N31"/>
  <c r="S31"/>
  <c r="T31"/>
  <c r="X31"/>
  <c r="F31" i="3"/>
  <c r="G31"/>
  <c r="L31"/>
  <c r="M31"/>
  <c r="R31"/>
  <c r="S31"/>
  <c r="V31"/>
  <c r="W31"/>
  <c r="G31" i="1"/>
  <c r="L31"/>
  <c r="M31"/>
  <c r="R31"/>
  <c r="S31"/>
  <c r="V31"/>
  <c r="B31" i="5" s="1"/>
  <c r="E31" s="1"/>
  <c r="W31" i="1"/>
  <c r="V6"/>
  <c r="W6" s="1"/>
  <c r="V2"/>
  <c r="W2" s="1"/>
  <c r="V3"/>
  <c r="W3" s="1"/>
  <c r="V4"/>
  <c r="W4" s="1"/>
  <c r="V5"/>
  <c r="W5" s="1"/>
  <c r="V7"/>
  <c r="W7" s="1"/>
  <c r="V8"/>
  <c r="W8" s="1"/>
  <c r="V9"/>
  <c r="W9" s="1"/>
  <c r="V10"/>
  <c r="W10" s="1"/>
  <c r="V11"/>
  <c r="W11" s="1"/>
  <c r="V12"/>
  <c r="W12" s="1"/>
  <c r="V13"/>
  <c r="W13" s="1"/>
  <c r="V14"/>
  <c r="W14" s="1"/>
  <c r="V15"/>
  <c r="W15" s="1"/>
  <c r="V16"/>
  <c r="W16" s="1"/>
  <c r="V17"/>
  <c r="W17" s="1"/>
  <c r="V18"/>
  <c r="W18" s="1"/>
  <c r="V19"/>
  <c r="W19" s="1"/>
  <c r="V20"/>
  <c r="W20" s="1"/>
  <c r="V21"/>
  <c r="W21" s="1"/>
  <c r="V22"/>
  <c r="W22" s="1"/>
  <c r="V23"/>
  <c r="W23" s="1"/>
  <c r="V24"/>
  <c r="W24" s="1"/>
  <c r="V25"/>
  <c r="W25" s="1"/>
  <c r="V26"/>
  <c r="W26" s="1"/>
  <c r="V27"/>
  <c r="W27" s="1"/>
  <c r="V28"/>
  <c r="W28" s="1"/>
  <c r="V29"/>
  <c r="W29" s="1"/>
  <c r="V30"/>
  <c r="W30" s="1"/>
  <c r="G23" i="4"/>
  <c r="G24"/>
  <c r="G25"/>
  <c r="G26"/>
  <c r="G27"/>
  <c r="G28"/>
  <c r="G29"/>
  <c r="G30"/>
  <c r="M23"/>
  <c r="M24"/>
  <c r="M25"/>
  <c r="M26"/>
  <c r="M27"/>
  <c r="M28"/>
  <c r="M29"/>
  <c r="M30"/>
  <c r="N23"/>
  <c r="N24"/>
  <c r="N25"/>
  <c r="N26"/>
  <c r="N27"/>
  <c r="N28"/>
  <c r="N29"/>
  <c r="N30"/>
  <c r="S23"/>
  <c r="S24"/>
  <c r="S25"/>
  <c r="S26"/>
  <c r="S27"/>
  <c r="S28"/>
  <c r="S29"/>
  <c r="S30"/>
  <c r="T23"/>
  <c r="T24"/>
  <c r="T25"/>
  <c r="T26"/>
  <c r="T27"/>
  <c r="T28"/>
  <c r="T29"/>
  <c r="T30"/>
  <c r="X23"/>
  <c r="X24"/>
  <c r="X25"/>
  <c r="X26"/>
  <c r="X27"/>
  <c r="X28"/>
  <c r="X29"/>
  <c r="X30"/>
  <c r="A27" i="5"/>
  <c r="D27"/>
  <c r="A28"/>
  <c r="D28"/>
  <c r="A29"/>
  <c r="D29"/>
  <c r="A30"/>
  <c r="D30"/>
  <c r="A23"/>
  <c r="D23"/>
  <c r="A24"/>
  <c r="D24"/>
  <c r="A25"/>
  <c r="D25"/>
  <c r="A26"/>
  <c r="D26"/>
  <c r="V2" i="3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X5" l="1"/>
  <c r="X31"/>
  <c r="Z31" s="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4"/>
  <c r="X3"/>
  <c r="X2"/>
  <c r="X31" i="1"/>
  <c r="H31"/>
  <c r="I31"/>
  <c r="J31"/>
  <c r="K31"/>
  <c r="O31"/>
  <c r="P31"/>
  <c r="Q31"/>
  <c r="Y31"/>
  <c r="Z2" i="3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31" i="1" l="1"/>
  <c r="T31"/>
  <c r="N31"/>
  <c r="U31" l="1"/>
  <c r="L23" i="3" l="1"/>
  <c r="L24"/>
  <c r="L25"/>
  <c r="L26"/>
  <c r="L27"/>
  <c r="L28"/>
  <c r="L29"/>
  <c r="L30"/>
  <c r="M23"/>
  <c r="M24"/>
  <c r="M25"/>
  <c r="M26"/>
  <c r="M27"/>
  <c r="M28"/>
  <c r="M29"/>
  <c r="M30"/>
  <c r="R23"/>
  <c r="R24"/>
  <c r="R25"/>
  <c r="R26"/>
  <c r="R27"/>
  <c r="R28"/>
  <c r="R29"/>
  <c r="R30"/>
  <c r="S23"/>
  <c r="S24"/>
  <c r="S25"/>
  <c r="S26"/>
  <c r="S27"/>
  <c r="S28"/>
  <c r="S29"/>
  <c r="S30"/>
  <c r="W23"/>
  <c r="W24"/>
  <c r="W25"/>
  <c r="W26"/>
  <c r="W27"/>
  <c r="W28"/>
  <c r="W29"/>
  <c r="W30"/>
  <c r="L30" i="1" l="1"/>
  <c r="M30"/>
  <c r="R30"/>
  <c r="S30"/>
  <c r="L29"/>
  <c r="M29"/>
  <c r="R29"/>
  <c r="S29"/>
  <c r="L23" l="1"/>
  <c r="L24"/>
  <c r="L25"/>
  <c r="L26"/>
  <c r="L27"/>
  <c r="L28"/>
  <c r="M23"/>
  <c r="M24"/>
  <c r="M25"/>
  <c r="M26"/>
  <c r="M27"/>
  <c r="M28"/>
  <c r="R23"/>
  <c r="R24"/>
  <c r="R25"/>
  <c r="R26"/>
  <c r="R27"/>
  <c r="R28"/>
  <c r="S23"/>
  <c r="S24"/>
  <c r="S25"/>
  <c r="S26"/>
  <c r="S27"/>
  <c r="S28"/>
  <c r="A17" i="5"/>
  <c r="D17"/>
  <c r="A18"/>
  <c r="D18"/>
  <c r="A19"/>
  <c r="D19"/>
  <c r="A20"/>
  <c r="D20"/>
  <c r="A21"/>
  <c r="D21"/>
  <c r="A22"/>
  <c r="D22"/>
  <c r="L17" i="3"/>
  <c r="L18"/>
  <c r="L19"/>
  <c r="L20"/>
  <c r="L21"/>
  <c r="L22"/>
  <c r="M17"/>
  <c r="M18"/>
  <c r="M19"/>
  <c r="M20"/>
  <c r="M21"/>
  <c r="M22"/>
  <c r="R17"/>
  <c r="R18"/>
  <c r="R19"/>
  <c r="R20"/>
  <c r="R21"/>
  <c r="R22"/>
  <c r="S17"/>
  <c r="S18"/>
  <c r="S19"/>
  <c r="S20"/>
  <c r="S21"/>
  <c r="S22"/>
  <c r="W17"/>
  <c r="W18"/>
  <c r="W19"/>
  <c r="W20"/>
  <c r="W21"/>
  <c r="W22"/>
  <c r="G17" i="4"/>
  <c r="G18"/>
  <c r="G19"/>
  <c r="G20"/>
  <c r="G21"/>
  <c r="G22"/>
  <c r="M17"/>
  <c r="M18"/>
  <c r="M19"/>
  <c r="M20"/>
  <c r="M21"/>
  <c r="M22"/>
  <c r="N17"/>
  <c r="N18"/>
  <c r="N19"/>
  <c r="N20"/>
  <c r="N21"/>
  <c r="N22"/>
  <c r="S17"/>
  <c r="S18"/>
  <c r="S19"/>
  <c r="S20"/>
  <c r="S21"/>
  <c r="S22"/>
  <c r="T17"/>
  <c r="T18"/>
  <c r="T19"/>
  <c r="T20"/>
  <c r="T21"/>
  <c r="T22"/>
  <c r="X17"/>
  <c r="X18"/>
  <c r="X19"/>
  <c r="X20"/>
  <c r="X21"/>
  <c r="X22"/>
  <c r="L17" i="1"/>
  <c r="L18"/>
  <c r="L19"/>
  <c r="L20"/>
  <c r="L21"/>
  <c r="L22"/>
  <c r="M17"/>
  <c r="M18"/>
  <c r="M19"/>
  <c r="M20"/>
  <c r="M21"/>
  <c r="M22"/>
  <c r="R17"/>
  <c r="R18"/>
  <c r="R19"/>
  <c r="R20"/>
  <c r="R21"/>
  <c r="R22"/>
  <c r="S17"/>
  <c r="S18"/>
  <c r="S19"/>
  <c r="S20"/>
  <c r="S21"/>
  <c r="S22"/>
  <c r="A11" i="5"/>
  <c r="D11"/>
  <c r="A12"/>
  <c r="D12"/>
  <c r="A13"/>
  <c r="D13"/>
  <c r="A14"/>
  <c r="D14"/>
  <c r="A15"/>
  <c r="D15"/>
  <c r="A16"/>
  <c r="D16"/>
  <c r="L11" i="3"/>
  <c r="L12"/>
  <c r="L13"/>
  <c r="L14"/>
  <c r="L15"/>
  <c r="L16"/>
  <c r="M11"/>
  <c r="M12"/>
  <c r="M13"/>
  <c r="M14"/>
  <c r="M15"/>
  <c r="M16"/>
  <c r="R11"/>
  <c r="R12"/>
  <c r="R13"/>
  <c r="R14"/>
  <c r="R15"/>
  <c r="R16"/>
  <c r="S11"/>
  <c r="S12"/>
  <c r="S13"/>
  <c r="S14"/>
  <c r="S15"/>
  <c r="S16"/>
  <c r="W11"/>
  <c r="W12"/>
  <c r="W13"/>
  <c r="W14"/>
  <c r="W15"/>
  <c r="W16"/>
  <c r="G11" i="4"/>
  <c r="G12"/>
  <c r="G13"/>
  <c r="G14"/>
  <c r="G15"/>
  <c r="G16"/>
  <c r="M11"/>
  <c r="M12"/>
  <c r="M13"/>
  <c r="M14"/>
  <c r="M15"/>
  <c r="M16"/>
  <c r="N11"/>
  <c r="N12"/>
  <c r="N13"/>
  <c r="N14"/>
  <c r="N15"/>
  <c r="N16"/>
  <c r="S11"/>
  <c r="S12"/>
  <c r="S13"/>
  <c r="S14"/>
  <c r="S15"/>
  <c r="S16"/>
  <c r="T11"/>
  <c r="T12"/>
  <c r="T13"/>
  <c r="T14"/>
  <c r="T15"/>
  <c r="T16"/>
  <c r="X11"/>
  <c r="X12"/>
  <c r="X13"/>
  <c r="X14"/>
  <c r="X15"/>
  <c r="X16"/>
  <c r="L11" i="1"/>
  <c r="L12"/>
  <c r="L13"/>
  <c r="L14"/>
  <c r="L15"/>
  <c r="L16"/>
  <c r="M11"/>
  <c r="M12"/>
  <c r="M13"/>
  <c r="M14"/>
  <c r="M15"/>
  <c r="M16"/>
  <c r="R11"/>
  <c r="R12"/>
  <c r="R13"/>
  <c r="R14"/>
  <c r="R15"/>
  <c r="R16"/>
  <c r="S11"/>
  <c r="S12"/>
  <c r="S13"/>
  <c r="S14"/>
  <c r="S15"/>
  <c r="S16"/>
  <c r="A6" i="5"/>
  <c r="D6"/>
  <c r="F31" s="1"/>
  <c r="A7"/>
  <c r="D7"/>
  <c r="A8"/>
  <c r="D8"/>
  <c r="A9"/>
  <c r="D9"/>
  <c r="A10"/>
  <c r="D10"/>
  <c r="G10" i="4"/>
  <c r="M10"/>
  <c r="N10"/>
  <c r="S10"/>
  <c r="T10"/>
  <c r="X10"/>
  <c r="G5"/>
  <c r="G6"/>
  <c r="G7"/>
  <c r="G8"/>
  <c r="G9"/>
  <c r="M5"/>
  <c r="M6"/>
  <c r="M7"/>
  <c r="M8"/>
  <c r="M9"/>
  <c r="N5"/>
  <c r="N6"/>
  <c r="N7"/>
  <c r="N8"/>
  <c r="N9"/>
  <c r="S5"/>
  <c r="S6"/>
  <c r="S7"/>
  <c r="S8"/>
  <c r="S9"/>
  <c r="T5"/>
  <c r="T6"/>
  <c r="T7"/>
  <c r="T8"/>
  <c r="T9"/>
  <c r="B5" i="5"/>
  <c r="X5" i="4"/>
  <c r="X6"/>
  <c r="X7"/>
  <c r="X8"/>
  <c r="X9"/>
  <c r="A5" i="5"/>
  <c r="D5"/>
  <c r="L10" i="3"/>
  <c r="M10"/>
  <c r="R10"/>
  <c r="S10"/>
  <c r="W10"/>
  <c r="L6"/>
  <c r="L7"/>
  <c r="L8"/>
  <c r="L9"/>
  <c r="M6"/>
  <c r="M7"/>
  <c r="M8"/>
  <c r="M9"/>
  <c r="R6"/>
  <c r="R7"/>
  <c r="R8"/>
  <c r="R9"/>
  <c r="S6"/>
  <c r="S7"/>
  <c r="S8"/>
  <c r="S9"/>
  <c r="W6"/>
  <c r="W7"/>
  <c r="W8"/>
  <c r="W9"/>
  <c r="L5"/>
  <c r="M5"/>
  <c r="R5"/>
  <c r="S5"/>
  <c r="W5"/>
  <c r="H31" l="1"/>
  <c r="I31"/>
  <c r="J31"/>
  <c r="K31"/>
  <c r="O31"/>
  <c r="P31"/>
  <c r="Q31"/>
  <c r="Y31"/>
  <c r="G31" i="5" s="1"/>
  <c r="H31"/>
  <c r="I31"/>
  <c r="J31" s="1"/>
  <c r="D4"/>
  <c r="G4" i="4"/>
  <c r="M4"/>
  <c r="N4"/>
  <c r="S4"/>
  <c r="T4"/>
  <c r="X4"/>
  <c r="A4" i="5"/>
  <c r="D3"/>
  <c r="D2"/>
  <c r="G4" i="3"/>
  <c r="L4"/>
  <c r="M4"/>
  <c r="R4"/>
  <c r="S4"/>
  <c r="W4"/>
  <c r="A3" i="5"/>
  <c r="A2"/>
  <c r="T31" i="3" l="1"/>
  <c r="N31"/>
  <c r="G23"/>
  <c r="G24"/>
  <c r="G25"/>
  <c r="G26"/>
  <c r="G27"/>
  <c r="G28"/>
  <c r="G29"/>
  <c r="G30"/>
  <c r="G17"/>
  <c r="G18"/>
  <c r="G19"/>
  <c r="G20"/>
  <c r="G21"/>
  <c r="G22"/>
  <c r="G10"/>
  <c r="G11"/>
  <c r="G12"/>
  <c r="G13"/>
  <c r="G14"/>
  <c r="G15"/>
  <c r="G16"/>
  <c r="G5"/>
  <c r="G6"/>
  <c r="G7"/>
  <c r="G8"/>
  <c r="G9"/>
  <c r="U31" l="1"/>
  <c r="M3" i="4"/>
  <c r="N3"/>
  <c r="S3"/>
  <c r="T3"/>
  <c r="G2"/>
  <c r="H31" s="1"/>
  <c r="H23" l="1"/>
  <c r="H24"/>
  <c r="H25"/>
  <c r="H26"/>
  <c r="H27"/>
  <c r="H28"/>
  <c r="H29"/>
  <c r="H30"/>
  <c r="H17"/>
  <c r="H18"/>
  <c r="H19"/>
  <c r="H20"/>
  <c r="H21"/>
  <c r="H22"/>
  <c r="H10"/>
  <c r="H11"/>
  <c r="H12"/>
  <c r="H13"/>
  <c r="H14"/>
  <c r="H15"/>
  <c r="H16"/>
  <c r="H4"/>
  <c r="H5"/>
  <c r="H6"/>
  <c r="H7"/>
  <c r="H8"/>
  <c r="H9"/>
  <c r="H3"/>
  <c r="X3"/>
  <c r="L10" i="1"/>
  <c r="M10"/>
  <c r="R10"/>
  <c r="S10"/>
  <c r="L6"/>
  <c r="L7"/>
  <c r="L8"/>
  <c r="L9"/>
  <c r="M6"/>
  <c r="M7"/>
  <c r="M8"/>
  <c r="M9"/>
  <c r="R6"/>
  <c r="R7"/>
  <c r="R8"/>
  <c r="R9"/>
  <c r="S6"/>
  <c r="S7"/>
  <c r="S8"/>
  <c r="S9"/>
  <c r="L5"/>
  <c r="M5"/>
  <c r="R5"/>
  <c r="S5"/>
  <c r="L4"/>
  <c r="M4"/>
  <c r="R4"/>
  <c r="S4"/>
  <c r="G3" i="3"/>
  <c r="T2" i="4"/>
  <c r="S2"/>
  <c r="N2"/>
  <c r="M2"/>
  <c r="H2"/>
  <c r="S3" i="3"/>
  <c r="R3"/>
  <c r="M3"/>
  <c r="L3"/>
  <c r="S2"/>
  <c r="R2"/>
  <c r="M2"/>
  <c r="L2"/>
  <c r="G29" i="1" l="1"/>
  <c r="G30"/>
  <c r="G23"/>
  <c r="G24"/>
  <c r="G25"/>
  <c r="G26"/>
  <c r="G27"/>
  <c r="G28"/>
  <c r="G17"/>
  <c r="G18"/>
  <c r="G19"/>
  <c r="G20"/>
  <c r="G21"/>
  <c r="G22"/>
  <c r="G11"/>
  <c r="G12"/>
  <c r="G13"/>
  <c r="G14"/>
  <c r="G15"/>
  <c r="G16"/>
  <c r="F32"/>
  <c r="G2"/>
  <c r="G2" i="3"/>
  <c r="X2" i="4"/>
  <c r="W2" i="3"/>
  <c r="W3"/>
  <c r="I16" i="4" l="1"/>
  <c r="I31"/>
  <c r="I23"/>
  <c r="I24"/>
  <c r="I25"/>
  <c r="I26"/>
  <c r="I27"/>
  <c r="I28"/>
  <c r="I29"/>
  <c r="I30"/>
  <c r="I17"/>
  <c r="I18"/>
  <c r="I19"/>
  <c r="I20"/>
  <c r="I21"/>
  <c r="I22"/>
  <c r="H30" i="3"/>
  <c r="Y30" s="1"/>
  <c r="H29"/>
  <c r="Y29" s="1"/>
  <c r="H28"/>
  <c r="Y28" s="1"/>
  <c r="H27"/>
  <c r="Y27" s="1"/>
  <c r="H26"/>
  <c r="Y26" s="1"/>
  <c r="H25"/>
  <c r="Y25" s="1"/>
  <c r="H24"/>
  <c r="Y24" s="1"/>
  <c r="H23"/>
  <c r="Y23" s="1"/>
  <c r="H22"/>
  <c r="Y22" s="1"/>
  <c r="H21"/>
  <c r="Y21" s="1"/>
  <c r="H20"/>
  <c r="Y20" s="1"/>
  <c r="H19"/>
  <c r="Y19" s="1"/>
  <c r="H18"/>
  <c r="Y18" s="1"/>
  <c r="H17"/>
  <c r="Y17" s="1"/>
  <c r="H16"/>
  <c r="Y16" s="1"/>
  <c r="H15"/>
  <c r="Y15" s="1"/>
  <c r="H14"/>
  <c r="Y14" s="1"/>
  <c r="H13"/>
  <c r="Y13" s="1"/>
  <c r="H12"/>
  <c r="Y12" s="1"/>
  <c r="H11"/>
  <c r="Y11" s="1"/>
  <c r="J16" i="4"/>
  <c r="K16"/>
  <c r="L16"/>
  <c r="P16"/>
  <c r="Q16"/>
  <c r="R16"/>
  <c r="Z16"/>
  <c r="I11"/>
  <c r="I12"/>
  <c r="I13"/>
  <c r="I14"/>
  <c r="I15"/>
  <c r="H10" i="3"/>
  <c r="Y10" s="1"/>
  <c r="I4" i="4"/>
  <c r="I10"/>
  <c r="I5"/>
  <c r="I6"/>
  <c r="I7"/>
  <c r="I8"/>
  <c r="I9"/>
  <c r="J4"/>
  <c r="K4"/>
  <c r="L4"/>
  <c r="P4"/>
  <c r="Q4"/>
  <c r="R4"/>
  <c r="Z4"/>
  <c r="H9" i="3"/>
  <c r="Y9" s="1"/>
  <c r="H8"/>
  <c r="Y8" s="1"/>
  <c r="H7"/>
  <c r="Y7" s="1"/>
  <c r="H6"/>
  <c r="Y6" s="1"/>
  <c r="H5"/>
  <c r="Y5" s="1"/>
  <c r="H4"/>
  <c r="Y4" s="1"/>
  <c r="I2" i="4"/>
  <c r="I3"/>
  <c r="H3" i="3"/>
  <c r="Y3" s="1"/>
  <c r="G8" i="1"/>
  <c r="G10"/>
  <c r="G7"/>
  <c r="G6"/>
  <c r="G9"/>
  <c r="G4"/>
  <c r="G5"/>
  <c r="H2" i="3"/>
  <c r="Y2" s="1"/>
  <c r="K2" i="4"/>
  <c r="R2"/>
  <c r="J2"/>
  <c r="Q2"/>
  <c r="P2"/>
  <c r="L2"/>
  <c r="Z2"/>
  <c r="P3" i="3"/>
  <c r="O3"/>
  <c r="K3"/>
  <c r="J3"/>
  <c r="Q3"/>
  <c r="I3"/>
  <c r="L3" i="1"/>
  <c r="M3"/>
  <c r="R3"/>
  <c r="S3"/>
  <c r="J31" i="4" l="1"/>
  <c r="K31"/>
  <c r="L31"/>
  <c r="P31"/>
  <c r="Q31"/>
  <c r="R31"/>
  <c r="Z31"/>
  <c r="J30"/>
  <c r="K30"/>
  <c r="L30"/>
  <c r="P30"/>
  <c r="Q30"/>
  <c r="R30"/>
  <c r="Z30"/>
  <c r="J29"/>
  <c r="K29"/>
  <c r="L29"/>
  <c r="P29"/>
  <c r="Q29"/>
  <c r="R29"/>
  <c r="Z29"/>
  <c r="J28"/>
  <c r="K28"/>
  <c r="L28"/>
  <c r="P28"/>
  <c r="Q28"/>
  <c r="R28"/>
  <c r="Z28"/>
  <c r="J27"/>
  <c r="K27"/>
  <c r="L27"/>
  <c r="P27"/>
  <c r="Q27"/>
  <c r="R27"/>
  <c r="Z27"/>
  <c r="J26"/>
  <c r="K26"/>
  <c r="L26"/>
  <c r="P26"/>
  <c r="Q26"/>
  <c r="R26"/>
  <c r="Z26"/>
  <c r="J25"/>
  <c r="K25"/>
  <c r="L25"/>
  <c r="P25"/>
  <c r="Q25"/>
  <c r="R25"/>
  <c r="Z25"/>
  <c r="J24"/>
  <c r="K24"/>
  <c r="L24"/>
  <c r="P24"/>
  <c r="Q24"/>
  <c r="R24"/>
  <c r="Z24"/>
  <c r="J23"/>
  <c r="K23"/>
  <c r="L23"/>
  <c r="P23"/>
  <c r="Q23"/>
  <c r="R23"/>
  <c r="Z23"/>
  <c r="J22"/>
  <c r="K22"/>
  <c r="L22"/>
  <c r="P22"/>
  <c r="Q22"/>
  <c r="R22"/>
  <c r="Z22"/>
  <c r="J21"/>
  <c r="K21"/>
  <c r="L21"/>
  <c r="P21"/>
  <c r="Q21"/>
  <c r="R21"/>
  <c r="Z21"/>
  <c r="J20"/>
  <c r="K20"/>
  <c r="L20"/>
  <c r="P20"/>
  <c r="Q20"/>
  <c r="R20"/>
  <c r="Z20"/>
  <c r="J19"/>
  <c r="K19"/>
  <c r="L19"/>
  <c r="P19"/>
  <c r="Q19"/>
  <c r="R19"/>
  <c r="Z19"/>
  <c r="J18"/>
  <c r="K18"/>
  <c r="L18"/>
  <c r="P18"/>
  <c r="Q18"/>
  <c r="R18"/>
  <c r="Z18"/>
  <c r="J17"/>
  <c r="K17"/>
  <c r="L17"/>
  <c r="P17"/>
  <c r="Q17"/>
  <c r="R17"/>
  <c r="Z17"/>
  <c r="I23" i="3"/>
  <c r="J23"/>
  <c r="K23"/>
  <c r="O23"/>
  <c r="P23"/>
  <c r="Q23"/>
  <c r="I24"/>
  <c r="J24"/>
  <c r="K24"/>
  <c r="O24"/>
  <c r="P24"/>
  <c r="Q24"/>
  <c r="I25"/>
  <c r="J25"/>
  <c r="K25"/>
  <c r="O25"/>
  <c r="P25"/>
  <c r="Q25"/>
  <c r="I26"/>
  <c r="J26"/>
  <c r="K26"/>
  <c r="O26"/>
  <c r="P26"/>
  <c r="Q26"/>
  <c r="I27"/>
  <c r="J27"/>
  <c r="K27"/>
  <c r="O27"/>
  <c r="P27"/>
  <c r="Q27"/>
  <c r="I28"/>
  <c r="J28"/>
  <c r="K28"/>
  <c r="O28"/>
  <c r="P28"/>
  <c r="Q28"/>
  <c r="I29"/>
  <c r="J29"/>
  <c r="K29"/>
  <c r="O29"/>
  <c r="P29"/>
  <c r="Q29"/>
  <c r="I30"/>
  <c r="J30"/>
  <c r="K30"/>
  <c r="O30"/>
  <c r="P30"/>
  <c r="Q30"/>
  <c r="I17"/>
  <c r="J17"/>
  <c r="K17"/>
  <c r="O17"/>
  <c r="P17"/>
  <c r="Q17"/>
  <c r="I18"/>
  <c r="J18"/>
  <c r="K18"/>
  <c r="O18"/>
  <c r="P18"/>
  <c r="Q18"/>
  <c r="I19"/>
  <c r="J19"/>
  <c r="K19"/>
  <c r="O19"/>
  <c r="P19"/>
  <c r="Q19"/>
  <c r="I20"/>
  <c r="J20"/>
  <c r="K20"/>
  <c r="O20"/>
  <c r="P20"/>
  <c r="Q20"/>
  <c r="I21"/>
  <c r="J21"/>
  <c r="K21"/>
  <c r="O21"/>
  <c r="P21"/>
  <c r="Q21"/>
  <c r="I22"/>
  <c r="J22"/>
  <c r="K22"/>
  <c r="O22"/>
  <c r="P22"/>
  <c r="Q22"/>
  <c r="I11"/>
  <c r="J11"/>
  <c r="K11"/>
  <c r="O11"/>
  <c r="P11"/>
  <c r="Q11"/>
  <c r="I12"/>
  <c r="J12"/>
  <c r="K12"/>
  <c r="O12"/>
  <c r="P12"/>
  <c r="Q12"/>
  <c r="I13"/>
  <c r="J13"/>
  <c r="K13"/>
  <c r="O13"/>
  <c r="P13"/>
  <c r="Q13"/>
  <c r="I14"/>
  <c r="J14"/>
  <c r="K14"/>
  <c r="O14"/>
  <c r="P14"/>
  <c r="Q14"/>
  <c r="I15"/>
  <c r="J15"/>
  <c r="K15"/>
  <c r="O15"/>
  <c r="P15"/>
  <c r="Q15"/>
  <c r="I16"/>
  <c r="J16"/>
  <c r="K16"/>
  <c r="O16"/>
  <c r="P16"/>
  <c r="Q16"/>
  <c r="J15" i="4"/>
  <c r="K15"/>
  <c r="L15"/>
  <c r="P15"/>
  <c r="Q15"/>
  <c r="R15"/>
  <c r="Z15"/>
  <c r="J14"/>
  <c r="K14"/>
  <c r="L14"/>
  <c r="P14"/>
  <c r="Q14"/>
  <c r="R14"/>
  <c r="Z14"/>
  <c r="J13"/>
  <c r="K13"/>
  <c r="L13"/>
  <c r="P13"/>
  <c r="Q13"/>
  <c r="R13"/>
  <c r="Z13"/>
  <c r="J12"/>
  <c r="K12"/>
  <c r="L12"/>
  <c r="P12"/>
  <c r="Q12"/>
  <c r="R12"/>
  <c r="Z12"/>
  <c r="J11"/>
  <c r="K11"/>
  <c r="L11"/>
  <c r="P11"/>
  <c r="Q11"/>
  <c r="R11"/>
  <c r="Z11"/>
  <c r="U16"/>
  <c r="O16"/>
  <c r="I10" i="3"/>
  <c r="J10"/>
  <c r="K10"/>
  <c r="O10"/>
  <c r="P10"/>
  <c r="Q10"/>
  <c r="J10" i="4"/>
  <c r="K10"/>
  <c r="L10"/>
  <c r="P10"/>
  <c r="Q10"/>
  <c r="R10"/>
  <c r="Z10"/>
  <c r="J9"/>
  <c r="K9"/>
  <c r="L9"/>
  <c r="P9"/>
  <c r="Q9"/>
  <c r="R9"/>
  <c r="Z9"/>
  <c r="J8"/>
  <c r="K8"/>
  <c r="L8"/>
  <c r="P8"/>
  <c r="Q8"/>
  <c r="R8"/>
  <c r="Z8"/>
  <c r="J7"/>
  <c r="K7"/>
  <c r="L7"/>
  <c r="P7"/>
  <c r="Q7"/>
  <c r="R7"/>
  <c r="Z7"/>
  <c r="J6"/>
  <c r="K6"/>
  <c r="L6"/>
  <c r="P6"/>
  <c r="Q6"/>
  <c r="R6"/>
  <c r="Z6"/>
  <c r="J5"/>
  <c r="K5"/>
  <c r="L5"/>
  <c r="P5"/>
  <c r="Q5"/>
  <c r="R5"/>
  <c r="Z5"/>
  <c r="U4"/>
  <c r="O4"/>
  <c r="I6" i="3"/>
  <c r="J6"/>
  <c r="K6"/>
  <c r="O6"/>
  <c r="P6"/>
  <c r="Q6"/>
  <c r="I7"/>
  <c r="J7"/>
  <c r="K7"/>
  <c r="O7"/>
  <c r="P7"/>
  <c r="Q7"/>
  <c r="I8"/>
  <c r="J8"/>
  <c r="K8"/>
  <c r="O8"/>
  <c r="P8"/>
  <c r="Q8"/>
  <c r="I9"/>
  <c r="J9"/>
  <c r="K9"/>
  <c r="O9"/>
  <c r="P9"/>
  <c r="Q9"/>
  <c r="I5"/>
  <c r="J5"/>
  <c r="K5"/>
  <c r="O5"/>
  <c r="P5"/>
  <c r="Q5"/>
  <c r="I4"/>
  <c r="J4"/>
  <c r="K4"/>
  <c r="O4"/>
  <c r="P4"/>
  <c r="Q4"/>
  <c r="K3" i="4"/>
  <c r="Q3"/>
  <c r="L3"/>
  <c r="P3"/>
  <c r="J3"/>
  <c r="O3" s="1"/>
  <c r="R3"/>
  <c r="Z3"/>
  <c r="O2"/>
  <c r="P2" i="3"/>
  <c r="Q2"/>
  <c r="J2"/>
  <c r="K2"/>
  <c r="O2"/>
  <c r="I2"/>
  <c r="U2" i="4"/>
  <c r="N3" i="3"/>
  <c r="T3"/>
  <c r="G3" i="1"/>
  <c r="S2"/>
  <c r="R2"/>
  <c r="M2"/>
  <c r="L2"/>
  <c r="U31" i="4" l="1"/>
  <c r="O31"/>
  <c r="U23"/>
  <c r="O23"/>
  <c r="U24"/>
  <c r="O24"/>
  <c r="U25"/>
  <c r="O25"/>
  <c r="U26"/>
  <c r="O26"/>
  <c r="U27"/>
  <c r="O27"/>
  <c r="U28"/>
  <c r="O28"/>
  <c r="U29"/>
  <c r="O29"/>
  <c r="U30"/>
  <c r="O30"/>
  <c r="U17"/>
  <c r="O17"/>
  <c r="U18"/>
  <c r="O18"/>
  <c r="U19"/>
  <c r="O19"/>
  <c r="U20"/>
  <c r="O20"/>
  <c r="U21"/>
  <c r="O21"/>
  <c r="U22"/>
  <c r="O22"/>
  <c r="T30" i="3"/>
  <c r="N30"/>
  <c r="T29"/>
  <c r="N29"/>
  <c r="T28"/>
  <c r="N28"/>
  <c r="T27"/>
  <c r="N27"/>
  <c r="T26"/>
  <c r="N26"/>
  <c r="T25"/>
  <c r="N25"/>
  <c r="T24"/>
  <c r="N24"/>
  <c r="T23"/>
  <c r="N23"/>
  <c r="T22"/>
  <c r="N22"/>
  <c r="T21"/>
  <c r="N21"/>
  <c r="T20"/>
  <c r="N20"/>
  <c r="T19"/>
  <c r="N19"/>
  <c r="T18"/>
  <c r="N18"/>
  <c r="T17"/>
  <c r="N17"/>
  <c r="T16"/>
  <c r="N16"/>
  <c r="T15"/>
  <c r="N15"/>
  <c r="T14"/>
  <c r="N14"/>
  <c r="T13"/>
  <c r="N13"/>
  <c r="T12"/>
  <c r="N12"/>
  <c r="T11"/>
  <c r="N11"/>
  <c r="V16" i="4"/>
  <c r="U11"/>
  <c r="O11"/>
  <c r="U12"/>
  <c r="O12"/>
  <c r="U13"/>
  <c r="O13"/>
  <c r="U14"/>
  <c r="O14"/>
  <c r="U15"/>
  <c r="O15"/>
  <c r="T10" i="3"/>
  <c r="N10"/>
  <c r="U10" i="4"/>
  <c r="O10"/>
  <c r="U5"/>
  <c r="O5"/>
  <c r="U6"/>
  <c r="O6"/>
  <c r="U7"/>
  <c r="O7"/>
  <c r="U8"/>
  <c r="O8"/>
  <c r="U9"/>
  <c r="O9"/>
  <c r="V4"/>
  <c r="T9" i="3"/>
  <c r="N9"/>
  <c r="T8"/>
  <c r="N8"/>
  <c r="T7"/>
  <c r="N7"/>
  <c r="T6"/>
  <c r="N6"/>
  <c r="T5"/>
  <c r="N5"/>
  <c r="T4"/>
  <c r="N4"/>
  <c r="U3" i="4"/>
  <c r="V3" s="1"/>
  <c r="N2" i="3"/>
  <c r="T2"/>
  <c r="V2" i="4"/>
  <c r="U3" i="3"/>
  <c r="U2"/>
  <c r="V31" i="4" l="1"/>
  <c r="V30"/>
  <c r="V29"/>
  <c r="V28"/>
  <c r="V27"/>
  <c r="V26"/>
  <c r="V25"/>
  <c r="V24"/>
  <c r="V23"/>
  <c r="V22"/>
  <c r="V21"/>
  <c r="V20"/>
  <c r="V19"/>
  <c r="V18"/>
  <c r="V17"/>
  <c r="U23" i="3"/>
  <c r="U24"/>
  <c r="U25"/>
  <c r="U26"/>
  <c r="U27"/>
  <c r="U28"/>
  <c r="U29"/>
  <c r="U30"/>
  <c r="U17"/>
  <c r="U18"/>
  <c r="U19"/>
  <c r="U20"/>
  <c r="U21"/>
  <c r="U22"/>
  <c r="U11"/>
  <c r="U12"/>
  <c r="U13"/>
  <c r="U14"/>
  <c r="U15"/>
  <c r="U16"/>
  <c r="V15" i="4"/>
  <c r="V14"/>
  <c r="V13"/>
  <c r="V12"/>
  <c r="V11"/>
  <c r="U10" i="3"/>
  <c r="V10" i="4"/>
  <c r="V9"/>
  <c r="V8"/>
  <c r="V7"/>
  <c r="V6"/>
  <c r="V5"/>
  <c r="U6" i="3"/>
  <c r="U7"/>
  <c r="U8"/>
  <c r="U9"/>
  <c r="U5"/>
  <c r="U4"/>
  <c r="B27" i="5" l="1"/>
  <c r="E27"/>
  <c r="B28"/>
  <c r="E28"/>
  <c r="B29"/>
  <c r="E29"/>
  <c r="B30"/>
  <c r="E30"/>
  <c r="B23"/>
  <c r="E23"/>
  <c r="B24"/>
  <c r="E24"/>
  <c r="B25"/>
  <c r="E25"/>
  <c r="B26"/>
  <c r="E26"/>
  <c r="B17"/>
  <c r="E17" s="1"/>
  <c r="B18"/>
  <c r="E18" s="1"/>
  <c r="B19"/>
  <c r="E19" s="1"/>
  <c r="B20"/>
  <c r="E20" s="1"/>
  <c r="B21"/>
  <c r="E21" s="1"/>
  <c r="B22"/>
  <c r="E22" s="1"/>
  <c r="B11"/>
  <c r="E11" s="1"/>
  <c r="B12"/>
  <c r="E12" s="1"/>
  <c r="B13"/>
  <c r="E13" s="1"/>
  <c r="B14"/>
  <c r="E14" s="1"/>
  <c r="B15"/>
  <c r="E15" s="1"/>
  <c r="B16"/>
  <c r="E16" s="1"/>
  <c r="E5"/>
  <c r="B5" i="6" s="1"/>
  <c r="B9" i="5"/>
  <c r="E9" s="1"/>
  <c r="B8"/>
  <c r="E8" s="1"/>
  <c r="B7"/>
  <c r="E7" s="1"/>
  <c r="B10"/>
  <c r="E10" s="1"/>
  <c r="B4"/>
  <c r="E4"/>
  <c r="B4" i="6" s="1"/>
  <c r="B3" i="5"/>
  <c r="E3"/>
  <c r="B3" i="6" s="1"/>
  <c r="B2" i="5"/>
  <c r="E2" s="1"/>
  <c r="B2" i="6" s="1"/>
  <c r="B6" i="5"/>
  <c r="E6"/>
  <c r="X2" i="1"/>
  <c r="F2" i="5" s="1"/>
  <c r="X23" i="1"/>
  <c r="F23" i="5" s="1"/>
  <c r="X24" i="1"/>
  <c r="F24" i="5" s="1"/>
  <c r="X25" i="1"/>
  <c r="F25" i="5" s="1"/>
  <c r="X26" i="1"/>
  <c r="F26" i="5" s="1"/>
  <c r="X27" i="1"/>
  <c r="F27" i="5" s="1"/>
  <c r="X28" i="1"/>
  <c r="F28" i="5" s="1"/>
  <c r="X29" i="1"/>
  <c r="F29" i="5" s="1"/>
  <c r="X30" i="1"/>
  <c r="F30" i="5" s="1"/>
  <c r="X22" i="1"/>
  <c r="F22" i="5" s="1"/>
  <c r="X21" i="1"/>
  <c r="F21" i="5" s="1"/>
  <c r="X20" i="1"/>
  <c r="F20" i="5" s="1"/>
  <c r="X19" i="1"/>
  <c r="F19" i="5" s="1"/>
  <c r="X18" i="1"/>
  <c r="F18" i="5" s="1"/>
  <c r="X17" i="1"/>
  <c r="F17" i="5" s="1"/>
  <c r="X16" i="1"/>
  <c r="F16" i="5" s="1"/>
  <c r="X15" i="1"/>
  <c r="F15" i="5" s="1"/>
  <c r="X14" i="1"/>
  <c r="F14" i="5" s="1"/>
  <c r="X13" i="1"/>
  <c r="F13" i="5" s="1"/>
  <c r="X12" i="1"/>
  <c r="F12" i="5" s="1"/>
  <c r="X11" i="1"/>
  <c r="F11" i="5" s="1"/>
  <c r="X5" i="1"/>
  <c r="F5" i="5" s="1"/>
  <c r="X10" i="1"/>
  <c r="F10" i="5" s="1"/>
  <c r="X9" i="1"/>
  <c r="F9" i="5" s="1"/>
  <c r="X6" i="1"/>
  <c r="F6" i="5" s="1"/>
  <c r="X3" i="1"/>
  <c r="F3" i="5" s="1"/>
  <c r="X7" i="1"/>
  <c r="F7" i="5" s="1"/>
  <c r="X8" i="1"/>
  <c r="F8" i="5" s="1"/>
  <c r="X4" i="1"/>
  <c r="F4" i="5" s="1"/>
  <c r="F2" i="6" l="1"/>
  <c r="E2"/>
  <c r="D2"/>
  <c r="C2"/>
  <c r="F3"/>
  <c r="E3"/>
  <c r="D3"/>
  <c r="C3"/>
  <c r="C4"/>
  <c r="D4"/>
  <c r="E4"/>
  <c r="F4"/>
  <c r="Z4" i="1"/>
  <c r="Z8"/>
  <c r="Z7"/>
  <c r="Z3"/>
  <c r="Z6"/>
  <c r="Z9"/>
  <c r="Z10"/>
  <c r="Z5"/>
  <c r="Z11"/>
  <c r="Z12"/>
  <c r="Z13"/>
  <c r="Z14"/>
  <c r="Z15"/>
  <c r="Z16"/>
  <c r="Z17"/>
  <c r="Z18"/>
  <c r="Z19"/>
  <c r="Z20"/>
  <c r="Z21"/>
  <c r="Z22"/>
  <c r="Z30"/>
  <c r="Z29"/>
  <c r="Z28"/>
  <c r="Z27"/>
  <c r="Z26"/>
  <c r="Z25"/>
  <c r="Z24"/>
  <c r="Z23"/>
  <c r="Z2"/>
  <c r="C5" i="6"/>
  <c r="C6" s="1"/>
  <c r="D5"/>
  <c r="D6" s="1"/>
  <c r="E5"/>
  <c r="E6" s="1"/>
  <c r="F5"/>
  <c r="F6" s="1"/>
  <c r="B6"/>
  <c r="Y2" i="1"/>
  <c r="G2" i="5"/>
  <c r="H17" i="1"/>
  <c r="Y17" s="1"/>
  <c r="G17" i="5" s="1"/>
  <c r="I17" i="1"/>
  <c r="H18"/>
  <c r="Y18" s="1"/>
  <c r="G18" i="5" s="1"/>
  <c r="I18" i="1"/>
  <c r="H19"/>
  <c r="Y19" s="1"/>
  <c r="G19" i="5" s="1"/>
  <c r="I19" i="1"/>
  <c r="H20"/>
  <c r="Y20" s="1"/>
  <c r="G20" i="5" s="1"/>
  <c r="I20" i="1"/>
  <c r="H21"/>
  <c r="Y21" s="1"/>
  <c r="G21" i="5" s="1"/>
  <c r="I21" i="1"/>
  <c r="H22"/>
  <c r="Y22" s="1"/>
  <c r="G22" i="5" s="1"/>
  <c r="I22" i="1"/>
  <c r="H24"/>
  <c r="Y24" s="1"/>
  <c r="G24" i="5" s="1"/>
  <c r="I24" i="1"/>
  <c r="H25"/>
  <c r="Y25" s="1"/>
  <c r="G25" i="5" s="1"/>
  <c r="I25" i="1"/>
  <c r="H26"/>
  <c r="Y26" s="1"/>
  <c r="G26" i="5" s="1"/>
  <c r="I26" i="1"/>
  <c r="H27"/>
  <c r="Y27" s="1"/>
  <c r="G27" i="5" s="1"/>
  <c r="I27" i="1"/>
  <c r="H28"/>
  <c r="Y28" s="1"/>
  <c r="G28" i="5" s="1"/>
  <c r="I28" i="1"/>
  <c r="H23"/>
  <c r="Y23" s="1"/>
  <c r="G23" i="5" s="1"/>
  <c r="I23" i="1"/>
  <c r="H30"/>
  <c r="Y30" s="1"/>
  <c r="G30" i="5" s="1"/>
  <c r="I30" i="1"/>
  <c r="H29"/>
  <c r="Y29" s="1"/>
  <c r="G29" i="5" s="1"/>
  <c r="I29" i="1"/>
  <c r="H16"/>
  <c r="Y16" s="1"/>
  <c r="G16" i="5" s="1"/>
  <c r="I16" i="1"/>
  <c r="H15"/>
  <c r="Y15" s="1"/>
  <c r="G15" i="5" s="1"/>
  <c r="I15" i="1"/>
  <c r="H14"/>
  <c r="Y14" s="1"/>
  <c r="G14" i="5" s="1"/>
  <c r="I14" i="1"/>
  <c r="H13"/>
  <c r="Y13" s="1"/>
  <c r="G13" i="5" s="1"/>
  <c r="I13" i="1"/>
  <c r="H3"/>
  <c r="Y3" s="1"/>
  <c r="G3" i="5" s="1"/>
  <c r="I3" i="1"/>
  <c r="H4"/>
  <c r="Y4" s="1"/>
  <c r="G4" i="5" s="1"/>
  <c r="O4" i="1"/>
  <c r="H9"/>
  <c r="Y9" s="1"/>
  <c r="G9" i="5" s="1"/>
  <c r="O9" i="1"/>
  <c r="H7"/>
  <c r="Y7" s="1"/>
  <c r="G7" i="5" s="1"/>
  <c r="I7" i="1"/>
  <c r="H8"/>
  <c r="Y8" s="1"/>
  <c r="G8" i="5" s="1"/>
  <c r="I8" i="1"/>
  <c r="H5"/>
  <c r="I5"/>
  <c r="H10"/>
  <c r="Y10" s="1"/>
  <c r="G10" i="5" s="1"/>
  <c r="I10" i="1"/>
  <c r="H11"/>
  <c r="Y11" s="1"/>
  <c r="G11" i="5" s="1"/>
  <c r="I11" i="1"/>
  <c r="H12"/>
  <c r="Y12" s="1"/>
  <c r="G12" i="5" s="1"/>
  <c r="I12" i="1"/>
  <c r="H6"/>
  <c r="H2"/>
  <c r="I2"/>
  <c r="H2" i="5" l="1"/>
  <c r="I2"/>
  <c r="J2" s="1"/>
  <c r="H23"/>
  <c r="I23"/>
  <c r="J23" s="1"/>
  <c r="H24"/>
  <c r="I24"/>
  <c r="J24" s="1"/>
  <c r="H25"/>
  <c r="I25"/>
  <c r="J25" s="1"/>
  <c r="H26"/>
  <c r="I26"/>
  <c r="J26" s="1"/>
  <c r="H27"/>
  <c r="I27"/>
  <c r="J27" s="1"/>
  <c r="H28"/>
  <c r="I28"/>
  <c r="J28" s="1"/>
  <c r="H29"/>
  <c r="I29"/>
  <c r="J29" s="1"/>
  <c r="H30"/>
  <c r="I30"/>
  <c r="J30" s="1"/>
  <c r="H22"/>
  <c r="I22"/>
  <c r="J22" s="1"/>
  <c r="H21"/>
  <c r="I21"/>
  <c r="J21" s="1"/>
  <c r="H20"/>
  <c r="I20"/>
  <c r="J20" s="1"/>
  <c r="H19"/>
  <c r="I19"/>
  <c r="J19" s="1"/>
  <c r="H18"/>
  <c r="I18"/>
  <c r="J18" s="1"/>
  <c r="H17"/>
  <c r="I17"/>
  <c r="J17" s="1"/>
  <c r="H16"/>
  <c r="I16"/>
  <c r="J16" s="1"/>
  <c r="H15"/>
  <c r="I15"/>
  <c r="J15" s="1"/>
  <c r="H14"/>
  <c r="I14"/>
  <c r="J14" s="1"/>
  <c r="H13"/>
  <c r="I13"/>
  <c r="J13" s="1"/>
  <c r="H12"/>
  <c r="I12"/>
  <c r="J12" s="1"/>
  <c r="H11"/>
  <c r="I11"/>
  <c r="J11" s="1"/>
  <c r="H5"/>
  <c r="H10"/>
  <c r="I10"/>
  <c r="J10" s="1"/>
  <c r="H9"/>
  <c r="I9"/>
  <c r="J9" s="1"/>
  <c r="H6"/>
  <c r="H3"/>
  <c r="I3"/>
  <c r="J3" s="1"/>
  <c r="H7"/>
  <c r="I7"/>
  <c r="J7" s="1"/>
  <c r="H8"/>
  <c r="I8"/>
  <c r="J8" s="1"/>
  <c r="H4"/>
  <c r="I4"/>
  <c r="J4" s="1"/>
  <c r="J2" i="1"/>
  <c r="Q2"/>
  <c r="P2"/>
  <c r="K2"/>
  <c r="O2"/>
  <c r="T2" s="1"/>
  <c r="Y6"/>
  <c r="G6" i="5" s="1"/>
  <c r="I6" s="1"/>
  <c r="J6" s="1"/>
  <c r="Q6" i="1"/>
  <c r="J6"/>
  <c r="P6"/>
  <c r="K6"/>
  <c r="I6"/>
  <c r="N6" s="1"/>
  <c r="O6"/>
  <c r="T6" s="1"/>
  <c r="U6" s="1"/>
  <c r="Y5"/>
  <c r="G5" i="5" s="1"/>
  <c r="I5" s="1"/>
  <c r="J5" s="1"/>
  <c r="Q5" i="1"/>
  <c r="P5"/>
  <c r="J5"/>
  <c r="K5"/>
  <c r="O5"/>
  <c r="T5" s="1"/>
  <c r="O12"/>
  <c r="Q12"/>
  <c r="P12"/>
  <c r="K12"/>
  <c r="J12"/>
  <c r="N12" s="1"/>
  <c r="O11"/>
  <c r="Q11"/>
  <c r="P11"/>
  <c r="K11"/>
  <c r="J11"/>
  <c r="N11" s="1"/>
  <c r="O10"/>
  <c r="K10"/>
  <c r="Q10"/>
  <c r="J10"/>
  <c r="N10" s="1"/>
  <c r="P10"/>
  <c r="O8"/>
  <c r="K8"/>
  <c r="Q8"/>
  <c r="J8"/>
  <c r="N8" s="1"/>
  <c r="P8"/>
  <c r="O7"/>
  <c r="K7"/>
  <c r="Q7"/>
  <c r="J7"/>
  <c r="N7" s="1"/>
  <c r="P7"/>
  <c r="I9"/>
  <c r="K9"/>
  <c r="Q9"/>
  <c r="J9"/>
  <c r="P9"/>
  <c r="T9" s="1"/>
  <c r="I4"/>
  <c r="J4"/>
  <c r="Q4"/>
  <c r="P4"/>
  <c r="T4" s="1"/>
  <c r="K4"/>
  <c r="O3"/>
  <c r="J3"/>
  <c r="P3"/>
  <c r="Q3"/>
  <c r="K3"/>
  <c r="O13"/>
  <c r="Q13"/>
  <c r="P13"/>
  <c r="K13"/>
  <c r="J13"/>
  <c r="N13" s="1"/>
  <c r="O14"/>
  <c r="Q14"/>
  <c r="P14"/>
  <c r="K14"/>
  <c r="J14"/>
  <c r="N14" s="1"/>
  <c r="O15"/>
  <c r="Q15"/>
  <c r="P15"/>
  <c r="K15"/>
  <c r="J15"/>
  <c r="N15" s="1"/>
  <c r="O16"/>
  <c r="Q16"/>
  <c r="P16"/>
  <c r="K16"/>
  <c r="J16"/>
  <c r="N16" s="1"/>
  <c r="O29"/>
  <c r="Q29"/>
  <c r="P29"/>
  <c r="K29"/>
  <c r="J29"/>
  <c r="N29" s="1"/>
  <c r="O30"/>
  <c r="Q30"/>
  <c r="P30"/>
  <c r="K30"/>
  <c r="J30"/>
  <c r="N30" s="1"/>
  <c r="O23"/>
  <c r="Q23"/>
  <c r="P23"/>
  <c r="K23"/>
  <c r="J23"/>
  <c r="N23" s="1"/>
  <c r="O28"/>
  <c r="Q28"/>
  <c r="P28"/>
  <c r="K28"/>
  <c r="J28"/>
  <c r="N28" s="1"/>
  <c r="O27"/>
  <c r="Q27"/>
  <c r="P27"/>
  <c r="K27"/>
  <c r="J27"/>
  <c r="N27" s="1"/>
  <c r="O26"/>
  <c r="Q26"/>
  <c r="P26"/>
  <c r="K26"/>
  <c r="J26"/>
  <c r="N26" s="1"/>
  <c r="O25"/>
  <c r="Q25"/>
  <c r="P25"/>
  <c r="K25"/>
  <c r="J25"/>
  <c r="N25" s="1"/>
  <c r="O24"/>
  <c r="Q24"/>
  <c r="P24"/>
  <c r="K24"/>
  <c r="J24"/>
  <c r="N24" s="1"/>
  <c r="O22"/>
  <c r="Q22"/>
  <c r="P22"/>
  <c r="K22"/>
  <c r="J22"/>
  <c r="N22" s="1"/>
  <c r="O21"/>
  <c r="Q21"/>
  <c r="P21"/>
  <c r="K21"/>
  <c r="J21"/>
  <c r="N21" s="1"/>
  <c r="O20"/>
  <c r="Q20"/>
  <c r="P20"/>
  <c r="K20"/>
  <c r="J20"/>
  <c r="N20" s="1"/>
  <c r="O19"/>
  <c r="Q19"/>
  <c r="P19"/>
  <c r="K19"/>
  <c r="J19"/>
  <c r="N19" s="1"/>
  <c r="O18"/>
  <c r="Q18"/>
  <c r="P18"/>
  <c r="K18"/>
  <c r="J18"/>
  <c r="N18" s="1"/>
  <c r="O17"/>
  <c r="Q17"/>
  <c r="P17"/>
  <c r="K17"/>
  <c r="J17"/>
  <c r="N17" s="1"/>
  <c r="T17" l="1"/>
  <c r="U17" s="1"/>
  <c r="T18"/>
  <c r="U18" s="1"/>
  <c r="T19"/>
  <c r="U19" s="1"/>
  <c r="T20"/>
  <c r="U20" s="1"/>
  <c r="T21"/>
  <c r="U21" s="1"/>
  <c r="T22"/>
  <c r="U22" s="1"/>
  <c r="T24"/>
  <c r="U24" s="1"/>
  <c r="T25"/>
  <c r="U25" s="1"/>
  <c r="T26"/>
  <c r="U26" s="1"/>
  <c r="T27"/>
  <c r="U27" s="1"/>
  <c r="T28"/>
  <c r="U28" s="1"/>
  <c r="T23"/>
  <c r="U23" s="1"/>
  <c r="T30"/>
  <c r="U30" s="1"/>
  <c r="T29"/>
  <c r="U29" s="1"/>
  <c r="T16"/>
  <c r="U16" s="1"/>
  <c r="T15"/>
  <c r="U15" s="1"/>
  <c r="T14"/>
  <c r="U14" s="1"/>
  <c r="T13"/>
  <c r="U13" s="1"/>
  <c r="N3"/>
  <c r="T3"/>
  <c r="U3" s="1"/>
  <c r="N4"/>
  <c r="U4" s="1"/>
  <c r="N9"/>
  <c r="U9" s="1"/>
  <c r="T7"/>
  <c r="U7" s="1"/>
  <c r="T8"/>
  <c r="U8" s="1"/>
  <c r="T10"/>
  <c r="U10" s="1"/>
  <c r="T11"/>
  <c r="U11" s="1"/>
  <c r="T12"/>
  <c r="U12" s="1"/>
  <c r="N5"/>
  <c r="U5" s="1"/>
  <c r="N2"/>
  <c r="U2" s="1"/>
</calcChain>
</file>

<file path=xl/sharedStrings.xml><?xml version="1.0" encoding="utf-8"?>
<sst xmlns="http://schemas.openxmlformats.org/spreadsheetml/2006/main" count="109" uniqueCount="49">
  <si>
    <t>APORTE</t>
  </si>
  <si>
    <t>LUCRO</t>
  </si>
  <si>
    <t>DATA</t>
  </si>
  <si>
    <t>MONTANTE</t>
  </si>
  <si>
    <t>REINVESTIR</t>
  </si>
  <si>
    <t>APLICAÇÃO</t>
  </si>
  <si>
    <t>RENDA FIXA</t>
  </si>
  <si>
    <t>PREV LUCRO</t>
  </si>
  <si>
    <t>TOT RF</t>
  </si>
  <si>
    <t>NORMAL</t>
  </si>
  <si>
    <t>DAYTRADE</t>
  </si>
  <si>
    <t>EMOL.</t>
  </si>
  <si>
    <t>LIQUID.</t>
  </si>
  <si>
    <t>REGISTRO</t>
  </si>
  <si>
    <t>EMOL CP</t>
  </si>
  <si>
    <t>LIQD CP</t>
  </si>
  <si>
    <t>REG CP</t>
  </si>
  <si>
    <t>ISS</t>
  </si>
  <si>
    <t>TAXA CP</t>
  </si>
  <si>
    <t>OUTRAS CP</t>
  </si>
  <si>
    <t>ISS CP</t>
  </si>
  <si>
    <t>CORRETAGEM</t>
  </si>
  <si>
    <t>OUTROS</t>
  </si>
  <si>
    <t>EMOL VD</t>
  </si>
  <si>
    <t>LIQD VD</t>
  </si>
  <si>
    <t>REG VD</t>
  </si>
  <si>
    <t>ISS VD</t>
  </si>
  <si>
    <t>OUTRAS VD</t>
  </si>
  <si>
    <t>TAXA VD</t>
  </si>
  <si>
    <t>TRADE</t>
  </si>
  <si>
    <t>APORTE RF</t>
  </si>
  <si>
    <t>PATRIMÔNIO</t>
  </si>
  <si>
    <t>PERDA MAX</t>
  </si>
  <si>
    <t>SAQUE</t>
  </si>
  <si>
    <t>PROTEÇÃO MÊS</t>
  </si>
  <si>
    <t>Total</t>
  </si>
  <si>
    <t>%</t>
  </si>
  <si>
    <t>LUCRO PROTEGIDO OPÇÕES</t>
  </si>
  <si>
    <t>LUCRO LÍQUIDO AÇÕES</t>
  </si>
  <si>
    <t>% LUCRO AÇÕES</t>
  </si>
  <si>
    <t>TOTAL PROTEÇÃO</t>
  </si>
  <si>
    <t>TOTAL RF</t>
  </si>
  <si>
    <t>TOTAL PATRIMÔNIO</t>
  </si>
  <si>
    <t>TESOURO DIRETO</t>
  </si>
  <si>
    <t>FUNDO AÇÕES</t>
  </si>
  <si>
    <t>FUNDOS MM</t>
  </si>
  <si>
    <t>FUNDOS RF E REFER.</t>
  </si>
  <si>
    <t>RENTABILIDADE</t>
  </si>
  <si>
    <t>RF x PATRIMONIO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</si>
</sst>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0.0000%"/>
    <numFmt numFmtId="166" formatCode="[$R$-416]\ #,##0.00;[Red]\-[$R$-416]\ #,##0.00"/>
    <numFmt numFmtId="167" formatCode="[$-416]mmm\-yy;@"/>
    <numFmt numFmtId="168" formatCode="[$-416]mmmm\-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8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Font="1"/>
    <xf numFmtId="10" fontId="2" fillId="0" borderId="0" xfId="2" applyNumberFormat="1" applyFont="1"/>
    <xf numFmtId="14" fontId="2" fillId="0" borderId="0" xfId="0" applyNumberFormat="1" applyFont="1"/>
    <xf numFmtId="164" fontId="2" fillId="0" borderId="0" xfId="1" applyNumberFormat="1" applyFont="1"/>
    <xf numFmtId="0" fontId="6" fillId="0" borderId="0" xfId="0" applyFont="1"/>
    <xf numFmtId="165" fontId="7" fillId="0" borderId="0" xfId="0" applyNumberFormat="1" applyFont="1"/>
    <xf numFmtId="166" fontId="5" fillId="0" borderId="0" xfId="0" applyNumberFormat="1" applyFont="1"/>
    <xf numFmtId="10" fontId="5" fillId="0" borderId="0" xfId="0" applyNumberFormat="1" applyFont="1"/>
    <xf numFmtId="0" fontId="8" fillId="0" borderId="0" xfId="0" applyFont="1"/>
    <xf numFmtId="164" fontId="3" fillId="0" borderId="0" xfId="1" applyFont="1"/>
    <xf numFmtId="10" fontId="2" fillId="0" borderId="0" xfId="0" applyNumberFormat="1" applyFont="1"/>
    <xf numFmtId="164" fontId="2" fillId="0" borderId="0" xfId="0" applyNumberFormat="1" applyFont="1"/>
    <xf numFmtId="0" fontId="2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  <xf numFmtId="164" fontId="2" fillId="0" borderId="0" xfId="1" applyFont="1" applyBorder="1"/>
    <xf numFmtId="164" fontId="2" fillId="0" borderId="0" xfId="1" applyNumberFormat="1" applyFont="1" applyBorder="1"/>
    <xf numFmtId="10" fontId="2" fillId="0" borderId="0" xfId="2" applyNumberFormat="1" applyFont="1" applyBorder="1"/>
    <xf numFmtId="168" fontId="2" fillId="0" borderId="0" xfId="0" applyNumberFormat="1" applyFont="1"/>
    <xf numFmtId="0" fontId="3" fillId="0" borderId="0" xfId="0" applyFont="1" applyAlignment="1">
      <alignment horizontal="center"/>
    </xf>
    <xf numFmtId="168" fontId="3" fillId="0" borderId="0" xfId="0" applyNumberFormat="1" applyFont="1"/>
    <xf numFmtId="0" fontId="9" fillId="0" borderId="0" xfId="0" applyFont="1" applyBorder="1"/>
    <xf numFmtId="164" fontId="9" fillId="0" borderId="0" xfId="1" applyFont="1" applyBorder="1"/>
    <xf numFmtId="164" fontId="9" fillId="0" borderId="0" xfId="1" applyNumberFormat="1" applyFont="1" applyBorder="1"/>
    <xf numFmtId="10" fontId="10" fillId="0" borderId="0" xfId="2" applyNumberFormat="1" applyFont="1"/>
    <xf numFmtId="10" fontId="9" fillId="0" borderId="0" xfId="2" applyNumberFormat="1" applyFont="1"/>
    <xf numFmtId="168" fontId="3" fillId="0" borderId="2" xfId="0" applyNumberFormat="1" applyFont="1" applyBorder="1" applyAlignment="1">
      <alignment horizontal="center"/>
    </xf>
    <xf numFmtId="164" fontId="3" fillId="0" borderId="2" xfId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8" fontId="2" fillId="2" borderId="0" xfId="0" applyNumberFormat="1" applyFont="1" applyFill="1"/>
    <xf numFmtId="164" fontId="2" fillId="2" borderId="0" xfId="1" applyFont="1" applyFill="1"/>
    <xf numFmtId="43" fontId="2" fillId="2" borderId="0" xfId="0" applyNumberFormat="1" applyFont="1" applyFill="1"/>
    <xf numFmtId="164" fontId="11" fillId="0" borderId="0" xfId="1" applyFont="1" applyBorder="1"/>
    <xf numFmtId="164" fontId="11" fillId="0" borderId="0" xfId="1" applyNumberFormat="1" applyFont="1" applyBorder="1"/>
    <xf numFmtId="10" fontId="11" fillId="0" borderId="0" xfId="2" applyNumberFormat="1" applyFont="1" applyBorder="1"/>
    <xf numFmtId="164" fontId="3" fillId="0" borderId="0" xfId="1" applyNumberFormat="1" applyFont="1"/>
    <xf numFmtId="164" fontId="3" fillId="0" borderId="0" xfId="1" applyNumberFormat="1" applyFont="1" applyBorder="1"/>
    <xf numFmtId="0" fontId="3" fillId="0" borderId="0" xfId="0" applyNumberFormat="1" applyFont="1"/>
    <xf numFmtId="164" fontId="3" fillId="2" borderId="0" xfId="1" applyFont="1" applyFill="1"/>
    <xf numFmtId="10" fontId="3" fillId="0" borderId="0" xfId="2" applyNumberFormat="1" applyFont="1"/>
    <xf numFmtId="10" fontId="0" fillId="0" borderId="0" xfId="0" applyNumberFormat="1" applyFont="1"/>
    <xf numFmtId="167" fontId="2" fillId="0" borderId="0" xfId="1" applyNumberFormat="1" applyFont="1"/>
    <xf numFmtId="167" fontId="2" fillId="0" borderId="0" xfId="1" applyNumberFormat="1" applyFont="1" applyBorder="1"/>
    <xf numFmtId="164" fontId="12" fillId="0" borderId="0" xfId="1" applyFont="1"/>
    <xf numFmtId="164" fontId="12" fillId="0" borderId="0" xfId="1" applyNumberFormat="1" applyFont="1"/>
    <xf numFmtId="164" fontId="12" fillId="0" borderId="0" xfId="1" applyNumberFormat="1" applyFont="1" applyBorder="1"/>
    <xf numFmtId="0" fontId="11" fillId="0" borderId="0" xfId="0" applyFont="1"/>
    <xf numFmtId="0" fontId="11" fillId="0" borderId="0" xfId="0" applyNumberFormat="1" applyFont="1"/>
    <xf numFmtId="164" fontId="11" fillId="0" borderId="0" xfId="0" applyNumberFormat="1" applyFont="1"/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1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9" tint="-0.499984740745262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Z32" totalsRowCount="1" headerRowDxfId="172">
  <autoFilter ref="A1:Z31">
    <filterColumn colId="25"/>
  </autoFilter>
  <tableColumns count="26">
    <tableColumn id="1" name="TRADE" totalsRowLabel="Total" dataDxfId="171" totalsRowDxfId="51"/>
    <tableColumn id="2" name="DATA" dataDxfId="170" totalsRowDxfId="50"/>
    <tableColumn id="26" name="APORTE RF" dataDxfId="169" totalsRowDxfId="49" dataCellStyle="Moeda"/>
    <tableColumn id="9" name="SAQUE" dataDxfId="168" totalsRowDxfId="48" dataCellStyle="Moeda"/>
    <tableColumn id="5" name="LUCRO" dataDxfId="167" totalsRowDxfId="47" dataCellStyle="Moeda"/>
    <tableColumn id="3" name="APORTE" totalsRowFunction="sum" dataDxfId="166" totalsRowDxfId="46" dataCellStyle="Moeda">
      <calculatedColumnFormula>380</calculatedColumnFormula>
    </tableColumn>
    <tableColumn id="4" name="MONTANTE" dataDxfId="165" totalsRowDxfId="45" dataCellStyle="Moeda">
      <calculatedColumnFormula>SUMPRODUCT(N([TRADE] &lt;= Tabela1[[#This Row],[TRADE]]), [APORTE]) + SUMPRODUCT(N([TRADE] &lt;= Tabela1[[#This Row],[TRADE]]), [APORTE RF])</calculatedColumnFormula>
    </tableColumn>
    <tableColumn id="10" name="APLICAÇÃO" dataDxfId="164" totalsRowDxfId="44" dataCellStyle="Moeda">
      <calculatedColumnFormula>[MONTANTE] - SUMPRODUCT(N([TRADE] &lt;= Tabela1[[#This Row],[TRADE]]), [SAQUE]) + SUMPRODUCT(N([TRADE] &lt; Tabela1[[#This Row],[TRADE]]), [REINVESTIR])</calculatedColumnFormula>
    </tableColumn>
    <tableColumn id="11" name="EMOL CP" dataDxfId="163" totalsRowDxfId="43" dataCellStyle="Moeda">
      <calculatedColumnFormula>TRUNC([APLICAÇÃO]  * SETUP!$A$3, 2)</calculatedColumnFormula>
    </tableColumn>
    <tableColumn id="13" name="LIQD CP" dataDxfId="162" totalsRowDxfId="42" dataCellStyle="Moeda">
      <calculatedColumnFormula>TRUNC([APLICAÇÃO]  * SETUP!$B$3, 2)</calculatedColumnFormula>
    </tableColumn>
    <tableColumn id="14" name="REG CP" dataDxfId="161" totalsRowDxfId="41" dataCellStyle="Moeda">
      <calculatedColumnFormula>TRUNC([APLICAÇÃO]  * SETUP!$C$3, 2)</calculatedColumnFormula>
    </tableColumn>
    <tableColumn id="16" name="ISS CP" dataDxfId="160" totalsRowDxfId="40" dataCellStyle="Moeda">
      <calculatedColumnFormula>TRUNC(SETUP!$G$3  * SETUP!$H$3, 2)</calculatedColumnFormula>
    </tableColumn>
    <tableColumn id="19" name="OUTRAS CP" dataDxfId="159" totalsRowDxfId="39" dataCellStyle="Moeda">
      <calculatedColumnFormula>ROUND(SETUP!$G$3 * SETUP!$I$3, 2)</calculatedColumnFormula>
    </tableColumn>
    <tableColumn id="18" name="TAXA CP" dataDxfId="158" totalsRowDxfId="38" dataCellStyle="Moeda">
      <calculatedColumnFormula>SETUP!$G$3 + SUM(Tabela1[[#This Row],[EMOL CP]]:Tabela1[[#This Row],[OUTRAS CP]])</calculatedColumnFormula>
    </tableColumn>
    <tableColumn id="25" name="EMOL VD" dataDxfId="157" totalsRowDxfId="37" dataCellStyle="Moeda">
      <calculatedColumnFormula>TRUNC([APLICAÇÃO] * 2  * SETUP!$A$3, 2)</calculatedColumnFormula>
    </tableColumn>
    <tableColumn id="24" name="LIQD VD" dataDxfId="156" totalsRowDxfId="36" dataCellStyle="Moeda">
      <calculatedColumnFormula>TRUNC([APLICAÇÃO] * 2  * SETUP!$B$3, 2)</calculatedColumnFormula>
    </tableColumn>
    <tableColumn id="23" name="REG VD" dataDxfId="155" totalsRowDxfId="35" dataCellStyle="Moeda">
      <calculatedColumnFormula>TRUNC([APLICAÇÃO] * 2  * SETUP!$C$3, 2)</calculatedColumnFormula>
    </tableColumn>
    <tableColumn id="22" name="ISS VD" dataDxfId="154" totalsRowDxfId="34" dataCellStyle="Moeda">
      <calculatedColumnFormula>TRUNC(SETUP!$G$3  * SETUP!$H$3, 2)</calculatedColumnFormula>
    </tableColumn>
    <tableColumn id="21" name="OUTRAS VD" dataDxfId="153" totalsRowDxfId="33" dataCellStyle="Moeda">
      <calculatedColumnFormula>ROUND(SETUP!$G$3 * SETUP!$I$3, 2)</calculatedColumnFormula>
    </tableColumn>
    <tableColumn id="20" name="TAXA VD" dataDxfId="152" totalsRowDxfId="32" dataCellStyle="Moeda">
      <calculatedColumnFormula>SETUP!$G$3 + SUM(Tabela1[[#This Row],[EMOL VD]]:Tabela1[[#This Row],[OUTRAS VD]])</calculatedColumnFormula>
    </tableColumn>
    <tableColumn id="17" name="PREV LUCRO" dataDxfId="151" totalsRowDxfId="31" dataCellStyle="Moeda">
      <calculatedColumnFormula>((([APLICAÇÃO] * 2) - [TAXA VD]) - ([APLICAÇÃO] + [TAXA CP])) * 0.85</calculatedColumnFormula>
    </tableColumn>
    <tableColumn id="7" name="PROTEÇÃO MÊS" dataDxfId="150" totalsRowDxfId="30" dataCellStyle="Moeda">
      <calculatedColumnFormula>IF([LUCRO] &lt; 0, 0, ROUND([LUCRO]*80%, 2))</calculatedColumnFormula>
    </tableColumn>
    <tableColumn id="8" name="REINVESTIR" dataDxfId="149" totalsRowDxfId="29" dataCellStyle="Moeda">
      <calculatedColumnFormula>[LUCRO]-[PROTEÇÃO MÊS]</calculatedColumnFormula>
    </tableColumn>
    <tableColumn id="15" name="TOT RF" dataDxfId="148" totalsRowDxfId="28" dataCellStyle="Moeda">
      <calculatedColumnFormula>SUMPRODUCT(N([TRADE] &lt;= Tabela1[[#This Row],[TRADE]]), [PROTEÇÃO MÊS]) - [APORTE RF]</calculatedColumnFormula>
    </tableColumn>
    <tableColumn id="27" name="PATRIMÔNIO" dataDxfId="147" totalsRowDxfId="27" dataCellStyle="Moeda">
      <calculatedColumnFormula>[TOT RF] + [REINVESTIR] + [APLICAÇÃO]</calculatedColumnFormula>
    </tableColumn>
    <tableColumn id="30" name="%" dataDxfId="146" totalsRowDxfId="26" dataCellStyle="Porcentagem">
      <calculatedColumnFormula>IF(AND([PROTEÇÃO MÊS] &gt; 0, ([TOT RF] - [PROTEÇÃO MÊS]) &gt; 0), [PROTEÇÃO MÊS] / ([TOT RF] - [PROTEÇÃO MÊS]),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Z32" totalsRowCount="1" headerRowDxfId="145">
  <autoFilter ref="A1:Z31">
    <filterColumn colId="25"/>
  </autoFilter>
  <tableColumns count="26">
    <tableColumn id="1" name="TRADE" totalsRowLabel="Total" dataDxfId="144" totalsRowDxfId="25"/>
    <tableColumn id="2" name="DATA" dataDxfId="143" totalsRowDxfId="24"/>
    <tableColumn id="26" name="APORTE RF" dataDxfId="142" totalsRowDxfId="23" dataCellStyle="Moeda"/>
    <tableColumn id="9" name="SAQUE" dataDxfId="141" totalsRowDxfId="22" dataCellStyle="Moeda"/>
    <tableColumn id="5" name="LUCRO" dataDxfId="140" totalsRowDxfId="21" dataCellStyle="Moeda"/>
    <tableColumn id="3" name="APORTE" dataDxfId="139" totalsRowDxfId="20" dataCellStyle="Moeda">
      <calculatedColumnFormula>100</calculatedColumnFormula>
    </tableColumn>
    <tableColumn id="4" name="MONTANTE" dataDxfId="138" totalsRowDxfId="19" dataCellStyle="Moeda">
      <calculatedColumnFormula>SUMPRODUCT(N([TRADE] &lt;= Tabela13[[#This Row],[TRADE]]), [APORTE]) + SUMPRODUCT(N([TRADE] &lt;= Tabela13[[#This Row],[TRADE]]), [APORTE RF])</calculatedColumnFormula>
    </tableColumn>
    <tableColumn id="10" name="APLICAÇÃO" dataDxfId="137" totalsRowDxfId="18" dataCellStyle="Moeda">
      <calculatedColumnFormula>[MONTANTE] - SUMPRODUCT(N([TRADE] &lt;= Tabela13[[#This Row],[TRADE]]), [SAQUE]) + SUMPRODUCT(N([TRADE] &lt; Tabela13[[#This Row],[TRADE]]), [REINVESTIR])</calculatedColumnFormula>
    </tableColumn>
    <tableColumn id="11" name="EMOL CP" dataDxfId="136" totalsRowDxfId="17" dataCellStyle="Moeda">
      <calculatedColumnFormula>TRUNC([APLICAÇÃO]  * SETUP!$A$3, 2)</calculatedColumnFormula>
    </tableColumn>
    <tableColumn id="13" name="LIQD CP" dataDxfId="135" totalsRowDxfId="16" dataCellStyle="Moeda">
      <calculatedColumnFormula>TRUNC([APLICAÇÃO]  * SETUP!$B$3, 2)</calculatedColumnFormula>
    </tableColumn>
    <tableColumn id="14" name="REG CP" dataDxfId="134" totalsRowDxfId="15" dataCellStyle="Moeda">
      <calculatedColumnFormula>TRUNC([APLICAÇÃO]  * SETUP!$C$3, 2)</calculatedColumnFormula>
    </tableColumn>
    <tableColumn id="16" name="ISS CP" dataDxfId="133" totalsRowDxfId="14" dataCellStyle="Moeda">
      <calculatedColumnFormula>TRUNC(SETUP!$G$3  * SETUP!$H$3, 2)</calculatedColumnFormula>
    </tableColumn>
    <tableColumn id="19" name="OUTRAS CP" dataDxfId="132" totalsRowDxfId="13" dataCellStyle="Moeda">
      <calculatedColumnFormula>ROUND(SETUP!$G$3 * SETUP!$I$3, 2)</calculatedColumnFormula>
    </tableColumn>
    <tableColumn id="18" name="TAXA CP" dataDxfId="131" totalsRowDxfId="12" dataCellStyle="Moeda">
      <calculatedColumnFormula>SETUP!$G$3 + SUM(Tabela13[[#This Row],[EMOL CP]]:Tabela13[[#This Row],[OUTRAS CP]])</calculatedColumnFormula>
    </tableColumn>
    <tableColumn id="25" name="EMOL VD" dataDxfId="130" totalsRowDxfId="11" dataCellStyle="Moeda">
      <calculatedColumnFormula>TRUNC([APLICAÇÃO] * 2  * SETUP!$A$3, 2)</calculatedColumnFormula>
    </tableColumn>
    <tableColumn id="24" name="LIQD VD" dataDxfId="129" totalsRowDxfId="10" dataCellStyle="Moeda">
      <calculatedColumnFormula>TRUNC([APLICAÇÃO] * 2  * SETUP!$B$3, 2)</calculatedColumnFormula>
    </tableColumn>
    <tableColumn id="23" name="REG VD" dataDxfId="128" totalsRowDxfId="9" dataCellStyle="Moeda">
      <calculatedColumnFormula>TRUNC([APLICAÇÃO] * 2  * SETUP!$C$3, 2)</calculatedColumnFormula>
    </tableColumn>
    <tableColumn id="22" name="ISS VD" dataDxfId="127" totalsRowDxfId="8" dataCellStyle="Moeda">
      <calculatedColumnFormula>TRUNC(SETUP!$G$3  * SETUP!$H$3, 2)</calculatedColumnFormula>
    </tableColumn>
    <tableColumn id="21" name="OUTRAS VD" dataDxfId="126" totalsRowDxfId="7" dataCellStyle="Moeda">
      <calculatedColumnFormula>ROUND(SETUP!$G$3 * SETUP!$I$3, 2)</calculatedColumnFormula>
    </tableColumn>
    <tableColumn id="20" name="TAXA VD" dataDxfId="125" totalsRowDxfId="6" dataCellStyle="Moeda">
      <calculatedColumnFormula>SETUP!$G$3 + SUM(Tabela13[[#This Row],[EMOL VD]]:Tabela13[[#This Row],[OUTRAS VD]])</calculatedColumnFormula>
    </tableColumn>
    <tableColumn id="17" name="PREV LUCRO" dataDxfId="124" totalsRowDxfId="5" dataCellStyle="Moeda">
      <calculatedColumnFormula>((([APLICAÇÃO] * 2) - [TAXA VD]) - ([APLICAÇÃO] + [TAXA CP])) * 0.85</calculatedColumnFormula>
    </tableColumn>
    <tableColumn id="7" name="PROTEÇÃO MÊS" dataDxfId="123" totalsRowDxfId="4" dataCellStyle="Moeda">
      <calculatedColumnFormula>IF([LUCRO] &lt; 0, 0, ROUND([LUCRO]*80%, 2))</calculatedColumnFormula>
    </tableColumn>
    <tableColumn id="8" name="REINVESTIR" dataDxfId="122" totalsRowDxfId="3" dataCellStyle="Moeda">
      <calculatedColumnFormula>[LUCRO]-[PROTEÇÃO MÊS]</calculatedColumnFormula>
    </tableColumn>
    <tableColumn id="15" name="TOT RF" dataDxfId="121" totalsRowDxfId="2" dataCellStyle="Moeda">
      <calculatedColumnFormula>SUMPRODUCT(N([TRADE] &lt;= Tabela13[[#This Row],[TRADE]]), [PROTEÇÃO MÊS]) - [APORTE RF]</calculatedColumnFormula>
    </tableColumn>
    <tableColumn id="27" name="PATRIMÔNIO" dataDxfId="120" totalsRowDxfId="1" dataCellStyle="Moeda">
      <calculatedColumnFormula>[TOT RF] + [REINVESTIR] + [APLICAÇÃO]</calculatedColumnFormula>
    </tableColumn>
    <tableColumn id="6" name="%" dataDxfId="119" totalsRowDxfId="0" dataCellStyle="Porcentagem">
      <calculatedColumnFormula>IF(AND([PROTEÇÃO MÊS] &gt; 0, ([TOT RF] - [PROTEÇÃO MÊS]) &gt; 0), [PROTEÇÃO MÊS] / ([TOT RF] - [PROTEÇÃO MÊS]),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134" displayName="Tabela134" ref="A1:Z32" totalsRowCount="1" headerRowDxfId="118">
  <autoFilter ref="A1:Z31"/>
  <tableColumns count="26">
    <tableColumn id="1" name="TRADE" totalsRowLabel="Total" dataDxfId="117" totalsRowDxfId="116"/>
    <tableColumn id="2" name="DATA" dataDxfId="115" totalsRowDxfId="114"/>
    <tableColumn id="12" name="RENDA FIXA" dataDxfId="113" totalsRowDxfId="112" dataCellStyle="Moeda"/>
    <tableColumn id="26" name="APORTE RF" dataDxfId="111" totalsRowDxfId="110" dataCellStyle="Moeda"/>
    <tableColumn id="9" name="SAQUE" dataDxfId="109" totalsRowDxfId="108" dataCellStyle="Moeda"/>
    <tableColumn id="5" name="LUCRO" dataDxfId="107" totalsRowDxfId="106" dataCellStyle="Moeda"/>
    <tableColumn id="3" name="APORTE" dataDxfId="105" totalsRowDxfId="104" dataCellStyle="Moeda">
      <calculatedColumnFormula>100</calculatedColumnFormula>
    </tableColumn>
    <tableColumn id="4" name="MONTANTE" dataDxfId="103" totalsRowDxfId="102" dataCellStyle="Moeda">
      <calculatedColumnFormula>SUMPRODUCT(N([TRADE] &lt;= Tabela134[[#This Row],[TRADE]]), [APORTE]) + SUMPRODUCT(N([TRADE] &lt;= Tabela134[[#This Row],[TRADE]]), [APORTE RF])</calculatedColumnFormula>
    </tableColumn>
    <tableColumn id="10" name="APLICAÇÃO" dataDxfId="101" totalsRowDxfId="100" dataCellStyle="Moeda">
      <calculatedColumnFormula>[MONTANTE] - SUMPRODUCT(N([TRADE] &lt;= Tabela134[[#This Row],[TRADE]]), [SAQUE]) + SUMPRODUCT(N([TRADE] &lt; Tabela134[[#This Row],[TRADE]]), [REINVESTIR])</calculatedColumnFormula>
    </tableColumn>
    <tableColumn id="11" name="EMOL CP" dataDxfId="99" totalsRowDxfId="98" dataCellStyle="Moeda">
      <calculatedColumnFormula>TRUNC([APLICAÇÃO]  * SETUP!$A$3, 2)</calculatedColumnFormula>
    </tableColumn>
    <tableColumn id="13" name="LIQD CP" dataDxfId="97" totalsRowDxfId="96" dataCellStyle="Moeda">
      <calculatedColumnFormula>TRUNC([APLICAÇÃO]  * SETUP!$B$3, 2)</calculatedColumnFormula>
    </tableColumn>
    <tableColumn id="14" name="REG CP" dataDxfId="95" totalsRowDxfId="94" dataCellStyle="Moeda">
      <calculatedColumnFormula>TRUNC([APLICAÇÃO]  * SETUP!$C$3, 2)</calculatedColumnFormula>
    </tableColumn>
    <tableColumn id="16" name="ISS CP" dataDxfId="93" totalsRowDxfId="92" dataCellStyle="Moeda">
      <calculatedColumnFormula>TRUNC(SETUP!$G$3  * SETUP!$H$3, 2)</calculatedColumnFormula>
    </tableColumn>
    <tableColumn id="19" name="OUTRAS CP" dataDxfId="91" totalsRowDxfId="90" dataCellStyle="Moeda">
      <calculatedColumnFormula>ROUND(SETUP!$G$3 * SETUP!$I$3, 2)</calculatedColumnFormula>
    </tableColumn>
    <tableColumn id="18" name="TAXA CP" dataDxfId="89" totalsRowDxfId="88" dataCellStyle="Moeda">
      <calculatedColumnFormula>SETUP!$G$3 + SUM(Tabela134[[#This Row],[EMOL CP]]:Tabela134[[#This Row],[OUTRAS CP]])</calculatedColumnFormula>
    </tableColumn>
    <tableColumn id="25" name="EMOL VD" dataDxfId="87" totalsRowDxfId="86" dataCellStyle="Moeda">
      <calculatedColumnFormula>TRUNC([APLICAÇÃO] * 2  * SETUP!$A$3, 2)</calculatedColumnFormula>
    </tableColumn>
    <tableColumn id="24" name="LIQD VD" dataDxfId="85" totalsRowDxfId="84" dataCellStyle="Moeda">
      <calculatedColumnFormula>TRUNC([APLICAÇÃO] * 2  * SETUP!$B$3, 2)</calculatedColumnFormula>
    </tableColumn>
    <tableColumn id="23" name="REG VD" dataDxfId="83" totalsRowDxfId="82" dataCellStyle="Moeda">
      <calculatedColumnFormula>TRUNC([APLICAÇÃO] * 2  * SETUP!$C$3, 2)</calculatedColumnFormula>
    </tableColumn>
    <tableColumn id="22" name="ISS VD" dataDxfId="81" totalsRowDxfId="80" dataCellStyle="Moeda">
      <calculatedColumnFormula>TRUNC(SETUP!$G$3  * SETUP!$H$3, 2)</calculatedColumnFormula>
    </tableColumn>
    <tableColumn id="21" name="OUTRAS VD" dataDxfId="79" totalsRowDxfId="78" dataCellStyle="Moeda">
      <calculatedColumnFormula>ROUND(SETUP!$G$3 * SETUP!$I$3, 2)</calculatedColumnFormula>
    </tableColumn>
    <tableColumn id="20" name="TAXA VD" dataDxfId="77" totalsRowDxfId="76" dataCellStyle="Moeda">
      <calculatedColumnFormula>SETUP!$G$3 + SUM(Tabela134[[#This Row],[EMOL VD]]:Tabela134[[#This Row],[OUTRAS VD]])</calculatedColumnFormula>
    </tableColumn>
    <tableColumn id="17" name="PREV LUCRO" dataDxfId="75" totalsRowDxfId="74" dataCellStyle="Moeda">
      <calculatedColumnFormula>((([APLICAÇÃO] * 2) - [TAXA VD]) - ([APLICAÇÃO] + [TAXA CP])) * 0.85</calculatedColumnFormula>
    </tableColumn>
    <tableColumn id="7" name="PROTEÇÃO MÊS" dataDxfId="73" totalsRowDxfId="72" dataCellStyle="Moeda">
      <calculatedColumnFormula>IF([LUCRO] &lt; 0, 0, ROUND([LUCRO]*80%, 2))</calculatedColumnFormula>
    </tableColumn>
    <tableColumn id="8" name="REINVESTIR" dataDxfId="71" totalsRowDxfId="70" dataCellStyle="Moeda">
      <calculatedColumnFormula>[LUCRO]-[PROTEÇÃO MÊS]</calculatedColumnFormula>
    </tableColumn>
    <tableColumn id="15" name="TOT RF" dataDxfId="69" totalsRowDxfId="68" dataCellStyle="Moeda">
      <calculatedColumnFormula>SUMPRODUCT(N([TRADE] &lt;= Tabela13[[#This Row],[TRADE]]), [PROTEÇÃO MÊS]) - [APORTE RF]</calculatedColumnFormula>
    </tableColumn>
    <tableColumn id="27" name="PATRIMÔNIO" dataDxfId="67" totalsRowDxfId="66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1:F6" totalsRowCount="1" headerRowDxfId="65" dataDxfId="64" dataCellStyle="Moeda">
  <autoFilter ref="A1:F5">
    <filterColumn colId="0"/>
    <filterColumn colId="3"/>
    <filterColumn colId="4"/>
    <filterColumn colId="5"/>
  </autoFilter>
  <tableColumns count="6">
    <tableColumn id="6" name="DATA" totalsRowLabel="Total" dataDxfId="63" totalsRowDxfId="62" dataCellStyle="Moeda">
      <calculatedColumnFormula>'RESUMO DE PROTEÇÃO'!A2</calculatedColumnFormula>
    </tableColumn>
    <tableColumn id="1" name="APLICAÇÃO" totalsRowFunction="sum" dataDxfId="61" totalsRowDxfId="60" dataCellStyle="Moeda">
      <calculatedColumnFormula>'RESUMO DE PROTEÇÃO'!E2</calculatedColumnFormula>
    </tableColumn>
    <tableColumn id="2" name="TESOURO DIRETO" totalsRowFunction="sum" dataDxfId="59" totalsRowDxfId="58" dataCellStyle="Moeda">
      <calculatedColumnFormula>[APLICAÇÃO] * 40%</calculatedColumnFormula>
    </tableColumn>
    <tableColumn id="3" name="FUNDO AÇÕES" totalsRowFunction="sum" dataDxfId="57" totalsRowDxfId="56" dataCellStyle="Moeda">
      <calculatedColumnFormula>[APLICAÇÃO] * 10%</calculatedColumnFormula>
    </tableColumn>
    <tableColumn id="4" name="FUNDOS MM" totalsRowFunction="sum" dataDxfId="55" totalsRowDxfId="54" dataCellStyle="Moeda">
      <calculatedColumnFormula>[APLICAÇÃO] * 25%</calculatedColumnFormula>
    </tableColumn>
    <tableColumn id="5" name="FUNDOS RF E REFER." totalsRowFunction="sum" dataDxfId="53" totalsRowDxfId="52" dataCellStyle="Moeda">
      <calculatedColumnFormula>[APLICAÇÃO] * 25%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Z32"/>
  <sheetViews>
    <sheetView tabSelected="1" workbookViewId="0">
      <selection activeCell="E12" sqref="E12"/>
    </sheetView>
  </sheetViews>
  <sheetFormatPr defaultRowHeight="11.25"/>
  <cols>
    <col min="1" max="1" width="7.5703125" style="1" bestFit="1" customWidth="1"/>
    <col min="2" max="2" width="6.85546875" style="17" bestFit="1" customWidth="1"/>
    <col min="3" max="4" width="10.7109375" style="1" bestFit="1" customWidth="1"/>
    <col min="5" max="5" width="11.5703125" style="3" bestFit="1" customWidth="1"/>
    <col min="6" max="6" width="10.85546875" style="1" customWidth="1"/>
    <col min="7" max="7" width="12.85546875" style="1" hidden="1" customWidth="1"/>
    <col min="8" max="8" width="11.5703125" style="1" bestFit="1" customWidth="1"/>
    <col min="9" max="9" width="7.85546875" style="1" hidden="1" customWidth="1"/>
    <col min="10" max="10" width="7.140625" style="1" hidden="1" customWidth="1"/>
    <col min="11" max="11" width="10.5703125" style="1" hidden="1" customWidth="1"/>
    <col min="12" max="12" width="8.85546875" style="1" hidden="1" customWidth="1"/>
    <col min="13" max="18" width="9.140625" style="1" hidden="1" customWidth="1"/>
    <col min="19" max="19" width="11.42578125" style="1" hidden="1" customWidth="1"/>
    <col min="20" max="20" width="11.5703125" style="1" hidden="1" customWidth="1"/>
    <col min="21" max="21" width="11.42578125" style="11" bestFit="1" customWidth="1"/>
    <col min="22" max="22" width="13.42578125" style="1" bestFit="1" customWidth="1"/>
    <col min="23" max="23" width="11.5703125" style="1" bestFit="1" customWidth="1"/>
    <col min="24" max="24" width="12.85546875" style="2" bestFit="1" customWidth="1"/>
    <col min="25" max="25" width="12.85546875" style="1" bestFit="1" customWidth="1"/>
    <col min="26" max="26" width="7.7109375" style="4" bestFit="1" customWidth="1"/>
    <col min="27" max="16384" width="9.140625" style="1"/>
  </cols>
  <sheetData>
    <row r="1" spans="1:26">
      <c r="A1" s="2" t="s">
        <v>29</v>
      </c>
      <c r="B1" s="16" t="s">
        <v>2</v>
      </c>
      <c r="C1" s="2" t="s">
        <v>30</v>
      </c>
      <c r="D1" s="12" t="s">
        <v>33</v>
      </c>
      <c r="E1" s="12" t="s">
        <v>1</v>
      </c>
      <c r="F1" s="2" t="s">
        <v>0</v>
      </c>
      <c r="G1" s="2" t="s">
        <v>3</v>
      </c>
      <c r="H1" s="2" t="s">
        <v>5</v>
      </c>
      <c r="I1" s="2" t="s">
        <v>14</v>
      </c>
      <c r="J1" s="2" t="s">
        <v>15</v>
      </c>
      <c r="K1" s="2" t="s">
        <v>16</v>
      </c>
      <c r="L1" s="2" t="s">
        <v>20</v>
      </c>
      <c r="M1" s="2" t="s">
        <v>19</v>
      </c>
      <c r="N1" s="2" t="s">
        <v>18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7</v>
      </c>
      <c r="V1" s="2" t="s">
        <v>34</v>
      </c>
      <c r="W1" s="2" t="s">
        <v>4</v>
      </c>
      <c r="X1" s="2" t="s">
        <v>8</v>
      </c>
      <c r="Y1" s="2" t="s">
        <v>31</v>
      </c>
      <c r="Z1" s="27" t="s">
        <v>36</v>
      </c>
    </row>
    <row r="2" spans="1:26">
      <c r="A2" s="1">
        <v>1</v>
      </c>
      <c r="B2" s="17">
        <v>41000</v>
      </c>
      <c r="C2" s="3">
        <v>0</v>
      </c>
      <c r="D2" s="3">
        <v>0</v>
      </c>
      <c r="E2" s="3">
        <v>366.88</v>
      </c>
      <c r="F2" s="3">
        <v>400</v>
      </c>
      <c r="G2" s="3">
        <f>SUMPRODUCT(N([TRADE] &lt;= Tabela1[[#This Row],[TRADE]]), [APORTE]) + SUMPRODUCT(N([TRADE] &lt;= Tabela1[[#This Row],[TRADE]]), [APORTE RF])</f>
        <v>400</v>
      </c>
      <c r="H2" s="3">
        <f>[MONTANTE] - SUMPRODUCT(N([TRADE] &lt;= Tabela1[[#This Row],[TRADE]]), [SAQUE]) + SUMPRODUCT(N([TRADE] &lt; Tabela1[[#This Row],[TRADE]]), [REINVESTIR])</f>
        <v>400</v>
      </c>
      <c r="I2" s="3">
        <f>TRUNC([APLICAÇÃO]  * SETUP!$A$3, 2)</f>
        <v>0.14000000000000001</v>
      </c>
      <c r="J2" s="3">
        <f>TRUNC([APLICAÇÃO]  * SETUP!$B$3, 2)</f>
        <v>0.11</v>
      </c>
      <c r="K2" s="3">
        <f>TRUNC([APLICAÇÃO]  * SETUP!$C$3, 2)</f>
        <v>0.27</v>
      </c>
      <c r="L2" s="3">
        <f>TRUNC(SETUP!$G$3  * SETUP!$H$3, 2)</f>
        <v>0.28999999999999998</v>
      </c>
      <c r="M2" s="3">
        <f>ROUND(SETUP!$G$3 * SETUP!$I$3, 2)</f>
        <v>0.57999999999999996</v>
      </c>
      <c r="N2" s="3">
        <f>SETUP!$G$3 + SUM(Tabela1[[#This Row],[EMOL CP]]:Tabela1[[#This Row],[OUTRAS CP]])</f>
        <v>16.29</v>
      </c>
      <c r="O2" s="3">
        <f>TRUNC([APLICAÇÃO] * 2  * SETUP!$A$3, 2)</f>
        <v>0.28999999999999998</v>
      </c>
      <c r="P2" s="3">
        <f>TRUNC([APLICAÇÃO] * 2  * SETUP!$B$3, 2)</f>
        <v>0.22</v>
      </c>
      <c r="Q2" s="3">
        <f>TRUNC([APLICAÇÃO] * 2  * SETUP!$C$3, 2)</f>
        <v>0.55000000000000004</v>
      </c>
      <c r="R2" s="3">
        <f>TRUNC(SETUP!$G$3  * SETUP!$H$3, 2)</f>
        <v>0.28999999999999998</v>
      </c>
      <c r="S2" s="3">
        <f>ROUND(SETUP!$G$3 * SETUP!$I$3, 2)</f>
        <v>0.57999999999999996</v>
      </c>
      <c r="T2" s="3">
        <f>SETUP!$G$3 + SUM(Tabela1[[#This Row],[EMOL VD]]:Tabela1[[#This Row],[OUTRAS VD]])</f>
        <v>16.830000000000002</v>
      </c>
      <c r="U2" s="46">
        <f>((([APLICAÇÃO] * 2) - [TAXA VD]) - ([APLICAÇÃO] + [TAXA CP])) * 0.85</f>
        <v>311.84799999999996</v>
      </c>
      <c r="V2" s="3">
        <f>IF([LUCRO] &lt; 0, 0, ROUND([LUCRO]*80%, 2))</f>
        <v>293.5</v>
      </c>
      <c r="W2" s="3">
        <f>[LUCRO]-[PROTEÇÃO MÊS]</f>
        <v>73.38</v>
      </c>
      <c r="X2" s="12">
        <f>SUMPRODUCT(N([TRADE] &lt;= Tabela1[[#This Row],[TRADE]]), [PROTEÇÃO MÊS]) - [APORTE RF]</f>
        <v>293.5</v>
      </c>
      <c r="Y2" s="6">
        <f>[TOT RF] + [REINVESTIR]</f>
        <v>366.88</v>
      </c>
      <c r="Z2" s="28">
        <f>IF(AND([PROTEÇÃO MÊS] &gt; 0, ([TOT RF] - [PROTEÇÃO MÊS]) &gt; 0), [PROTEÇÃO MÊS] / ([TOT RF] - [PROTEÇÃO MÊS]), 0)</f>
        <v>0</v>
      </c>
    </row>
    <row r="3" spans="1:26">
      <c r="A3" s="1">
        <v>2</v>
      </c>
      <c r="B3" s="17">
        <v>41030</v>
      </c>
      <c r="C3" s="3">
        <v>0</v>
      </c>
      <c r="D3" s="3">
        <v>0</v>
      </c>
      <c r="E3" s="3">
        <v>0</v>
      </c>
      <c r="F3" s="3">
        <v>400</v>
      </c>
      <c r="G3" s="3">
        <f>SUMPRODUCT(N([TRADE] &lt;= Tabela1[[#This Row],[TRADE]]), [APORTE]) + SUMPRODUCT(N([TRADE] &lt;= Tabela1[[#This Row],[TRADE]]), [APORTE RF])</f>
        <v>800</v>
      </c>
      <c r="H3" s="3">
        <f>[MONTANTE] - SUMPRODUCT(N([TRADE] &lt;= Tabela1[[#This Row],[TRADE]]), [SAQUE]) + SUMPRODUCT(N([TRADE] &lt; Tabela1[[#This Row],[TRADE]]), [REINVESTIR])</f>
        <v>873.38</v>
      </c>
      <c r="I3" s="3">
        <f>TRUNC([APLICAÇÃO]  * SETUP!$A$3, 2)</f>
        <v>0.32</v>
      </c>
      <c r="J3" s="3">
        <f>TRUNC([APLICAÇÃO]  * SETUP!$B$3, 2)</f>
        <v>0.24</v>
      </c>
      <c r="K3" s="3">
        <f>TRUNC([APLICAÇÃO]  * SETUP!$C$3, 2)</f>
        <v>0.6</v>
      </c>
      <c r="L3" s="3">
        <f>TRUNC(SETUP!$G$3  * SETUP!$H$3, 2)</f>
        <v>0.28999999999999998</v>
      </c>
      <c r="M3" s="3">
        <f>ROUND(SETUP!$G$3 * SETUP!$I$3, 2)</f>
        <v>0.57999999999999996</v>
      </c>
      <c r="N3" s="3">
        <f>SETUP!$G$3 + SUM(Tabela1[[#This Row],[EMOL CP]]:Tabela1[[#This Row],[OUTRAS CP]])</f>
        <v>16.93</v>
      </c>
      <c r="O3" s="3">
        <f>TRUNC([APLICAÇÃO] * 2  * SETUP!$A$3, 2)</f>
        <v>0.64</v>
      </c>
      <c r="P3" s="3">
        <f>TRUNC([APLICAÇÃO] * 2  * SETUP!$B$3, 2)</f>
        <v>0.48</v>
      </c>
      <c r="Q3" s="3">
        <f>TRUNC([APLICAÇÃO] * 2  * SETUP!$C$3, 2)</f>
        <v>1.21</v>
      </c>
      <c r="R3" s="3">
        <f>TRUNC(SETUP!$G$3  * SETUP!$H$3, 2)</f>
        <v>0.28999999999999998</v>
      </c>
      <c r="S3" s="3">
        <f>ROUND(SETUP!$G$3 * SETUP!$I$3, 2)</f>
        <v>0.57999999999999996</v>
      </c>
      <c r="T3" s="3">
        <f>SETUP!$G$3 + SUM(Tabela1[[#This Row],[EMOL VD]]:Tabela1[[#This Row],[OUTRAS VD]])</f>
        <v>18.100000000000001</v>
      </c>
      <c r="U3" s="46">
        <f>((([APLICAÇÃO] * 2) - [TAXA VD]) - ([APLICAÇÃO] + [TAXA CP])) * 0.85</f>
        <v>712.59750000000008</v>
      </c>
      <c r="V3" s="3">
        <f>IF([LUCRO] &lt; 0, 0, ROUND([LUCRO]*80%, 2))</f>
        <v>0</v>
      </c>
      <c r="W3" s="3">
        <f>[LUCRO]-[PROTEÇÃO MÊS]</f>
        <v>0</v>
      </c>
      <c r="X3" s="12">
        <f>SUMPRODUCT(N([TRADE] &lt;= Tabela1[[#This Row],[TRADE]]), [PROTEÇÃO MÊS]) - [APORTE RF]</f>
        <v>293.5</v>
      </c>
      <c r="Y3" s="6">
        <f>[TOT RF] + [REINVESTIR] + [APLICAÇÃO]</f>
        <v>1166.8800000000001</v>
      </c>
      <c r="Z3" s="28">
        <f>IF(AND([PROTEÇÃO MÊS] &gt; 0, ([TOT RF] - [PROTEÇÃO MÊS]) &gt; 0), [PROTEÇÃO MÊS] / ([TOT RF] - [PROTEÇÃO MÊS]), 0)</f>
        <v>0</v>
      </c>
    </row>
    <row r="4" spans="1:26">
      <c r="A4" s="1">
        <v>3</v>
      </c>
      <c r="B4" s="17">
        <v>41061</v>
      </c>
      <c r="C4" s="3"/>
      <c r="D4" s="3"/>
      <c r="E4" s="3">
        <v>780.05</v>
      </c>
      <c r="F4" s="3">
        <v>400</v>
      </c>
      <c r="G4" s="6">
        <f>SUMPRODUCT(N([TRADE] &lt;= Tabela1[[#This Row],[TRADE]]), [APORTE]) + SUMPRODUCT(N([TRADE] &lt;= Tabela1[[#This Row],[TRADE]]), [APORTE RF])</f>
        <v>1200</v>
      </c>
      <c r="H4" s="6">
        <f>[MONTANTE] - SUMPRODUCT(N([TRADE] &lt;= Tabela1[[#This Row],[TRADE]]), [SAQUE]) + SUMPRODUCT(N([TRADE] &lt; Tabela1[[#This Row],[TRADE]]), [REINVESTIR])</f>
        <v>1273.3800000000001</v>
      </c>
      <c r="I4" s="6">
        <f>TRUNC([APLICAÇÃO]  * SETUP!$A$3, 2)</f>
        <v>0.47</v>
      </c>
      <c r="J4" s="6">
        <f>TRUNC([APLICAÇÃO]  * SETUP!$B$3, 2)</f>
        <v>0.35</v>
      </c>
      <c r="K4" s="6">
        <f>TRUNC([APLICAÇÃO]  * SETUP!$C$3, 2)</f>
        <v>0.88</v>
      </c>
      <c r="L4" s="6">
        <f>TRUNC(SETUP!$G$3  * SETUP!$H$3, 2)</f>
        <v>0.28999999999999998</v>
      </c>
      <c r="M4" s="6">
        <f>ROUND(SETUP!$G$3 * SETUP!$I$3, 2)</f>
        <v>0.57999999999999996</v>
      </c>
      <c r="N4" s="6">
        <f>SETUP!$G$3 + SUM(Tabela1[[#This Row],[EMOL CP]]:Tabela1[[#This Row],[OUTRAS CP]])</f>
        <v>17.47</v>
      </c>
      <c r="O4" s="6">
        <f>TRUNC([APLICAÇÃO] * 2  * SETUP!$A$3, 2)</f>
        <v>0.94</v>
      </c>
      <c r="P4" s="6">
        <f>TRUNC([APLICAÇÃO] * 2  * SETUP!$B$3, 2)</f>
        <v>0.7</v>
      </c>
      <c r="Q4" s="6">
        <f>TRUNC([APLICAÇÃO] * 2  * SETUP!$C$3, 2)</f>
        <v>1.76</v>
      </c>
      <c r="R4" s="6">
        <f>TRUNC(SETUP!$G$3  * SETUP!$H$3, 2)</f>
        <v>0.28999999999999998</v>
      </c>
      <c r="S4" s="6">
        <f>ROUND(SETUP!$G$3 * SETUP!$I$3, 2)</f>
        <v>0.57999999999999996</v>
      </c>
      <c r="T4" s="6">
        <f>SETUP!$G$3 + SUM(Tabela1[[#This Row],[EMOL VD]]:Tabela1[[#This Row],[OUTRAS VD]])</f>
        <v>19.170000000000002</v>
      </c>
      <c r="U4" s="47">
        <f>((([APLICAÇÃO] * 2) - [TAXA VD]) - ([APLICAÇÃO] + [TAXA CP])) * 0.85</f>
        <v>1051.229</v>
      </c>
      <c r="V4" s="6">
        <f>IF([LUCRO] &lt; 0, 0, ROUND([LUCRO]*80%, 2))</f>
        <v>624.04</v>
      </c>
      <c r="W4" s="6">
        <f>[LUCRO]-[PROTEÇÃO MÊS]</f>
        <v>156.01</v>
      </c>
      <c r="X4" s="38">
        <f>SUMPRODUCT(N([TRADE] &lt;= Tabela1[[#This Row],[TRADE]]), [PROTEÇÃO MÊS]) - [APORTE RF]</f>
        <v>917.54</v>
      </c>
      <c r="Y4" s="6">
        <f>[TOT RF] + [REINVESTIR] + [APLICAÇÃO]</f>
        <v>2346.9300000000003</v>
      </c>
      <c r="Z4" s="28">
        <f>IF(AND([PROTEÇÃO MÊS] &gt; 0, ([TOT RF] - [PROTEÇÃO MÊS]) &gt; 0), [PROTEÇÃO MÊS] / ([TOT RF] - [PROTEÇÃO MÊS]), 0)</f>
        <v>2.1262010221465077</v>
      </c>
    </row>
    <row r="5" spans="1:26">
      <c r="A5" s="1">
        <v>4</v>
      </c>
      <c r="B5" s="17">
        <v>41091</v>
      </c>
      <c r="C5" s="3"/>
      <c r="D5" s="3"/>
      <c r="E5" s="3">
        <v>-925.8</v>
      </c>
      <c r="F5" s="3">
        <v>400</v>
      </c>
      <c r="G5" s="6">
        <f>SUMPRODUCT(N([TRADE] &lt;= Tabela1[[#This Row],[TRADE]]), [APORTE]) + SUMPRODUCT(N([TRADE] &lt;= Tabela1[[#This Row],[TRADE]]), [APORTE RF])</f>
        <v>1600</v>
      </c>
      <c r="H5" s="6">
        <f>[MONTANTE] - SUMPRODUCT(N([TRADE] &lt;= Tabela1[[#This Row],[TRADE]]), [SAQUE]) + SUMPRODUCT(N([TRADE] &lt; Tabela1[[#This Row],[TRADE]]), [REINVESTIR])</f>
        <v>1829.3899999999999</v>
      </c>
      <c r="I5" s="6">
        <f>TRUNC([APLICAÇÃO]  * SETUP!$A$3, 2)</f>
        <v>0.67</v>
      </c>
      <c r="J5" s="6">
        <f>TRUNC([APLICAÇÃO]  * SETUP!$B$3, 2)</f>
        <v>0.5</v>
      </c>
      <c r="K5" s="6">
        <f>TRUNC([APLICAÇÃO]  * SETUP!$C$3, 2)</f>
        <v>1.27</v>
      </c>
      <c r="L5" s="6">
        <f>TRUNC(SETUP!$G$3  * SETUP!$H$3, 2)</f>
        <v>0.28999999999999998</v>
      </c>
      <c r="M5" s="6">
        <f>ROUND(SETUP!$G$3 * SETUP!$I$3, 2)</f>
        <v>0.57999999999999996</v>
      </c>
      <c r="N5" s="6">
        <f>SETUP!$G$3 + SUM(Tabela1[[#This Row],[EMOL CP]]:Tabela1[[#This Row],[OUTRAS CP]])</f>
        <v>18.21</v>
      </c>
      <c r="O5" s="6">
        <f>TRUNC([APLICAÇÃO] * 2  * SETUP!$A$3, 2)</f>
        <v>1.35</v>
      </c>
      <c r="P5" s="6">
        <f>TRUNC([APLICAÇÃO] * 2  * SETUP!$B$3, 2)</f>
        <v>1</v>
      </c>
      <c r="Q5" s="6">
        <f>TRUNC([APLICAÇÃO] * 2  * SETUP!$C$3, 2)</f>
        <v>2.54</v>
      </c>
      <c r="R5" s="6">
        <f>TRUNC(SETUP!$G$3  * SETUP!$H$3, 2)</f>
        <v>0.28999999999999998</v>
      </c>
      <c r="S5" s="6">
        <f>ROUND(SETUP!$G$3 * SETUP!$I$3, 2)</f>
        <v>0.57999999999999996</v>
      </c>
      <c r="T5" s="6">
        <f>SETUP!$G$3 + SUM(Tabela1[[#This Row],[EMOL VD]]:Tabela1[[#This Row],[OUTRAS VD]])</f>
        <v>20.66</v>
      </c>
      <c r="U5" s="47">
        <f>((([APLICAÇÃO] * 2) - [TAXA VD]) - ([APLICAÇÃO] + [TAXA CP])) * 0.85</f>
        <v>1521.942</v>
      </c>
      <c r="V5" s="6">
        <f>IF([LUCRO] &lt; 0, 0, ROUND([LUCRO]*80%, 2))</f>
        <v>0</v>
      </c>
      <c r="W5" s="6">
        <f>[LUCRO]-[PROTEÇÃO MÊS]</f>
        <v>-925.8</v>
      </c>
      <c r="X5" s="38">
        <f>SUMPRODUCT(N([TRADE] &lt;= Tabela1[[#This Row],[TRADE]]), [PROTEÇÃO MÊS]) - [APORTE RF]</f>
        <v>917.54</v>
      </c>
      <c r="Y5" s="6">
        <f>[TOT RF] + [REINVESTIR] + [APLICAÇÃO]</f>
        <v>1821.1299999999999</v>
      </c>
      <c r="Z5" s="28">
        <f>IF(AND([PROTEÇÃO MÊS] &gt; 0, ([TOT RF] - [PROTEÇÃO MÊS]) &gt; 0), [PROTEÇÃO MÊS] / ([TOT RF] - [PROTEÇÃO MÊS]), 0)</f>
        <v>0</v>
      </c>
    </row>
    <row r="6" spans="1:26">
      <c r="A6" s="1">
        <v>5</v>
      </c>
      <c r="B6" s="17">
        <v>41122</v>
      </c>
      <c r="C6" s="3"/>
      <c r="D6" s="3"/>
      <c r="E6" s="3">
        <v>-1826.99</v>
      </c>
      <c r="F6" s="6">
        <v>923.4</v>
      </c>
      <c r="G6" s="6">
        <f>SUMPRODUCT(N([TRADE] &lt;= Tabela1[[#This Row],[TRADE]]), [APORTE]) + SUMPRODUCT(N([TRADE] &lt;= Tabela1[[#This Row],[TRADE]]), [APORTE RF])</f>
        <v>2523.4</v>
      </c>
      <c r="H6" s="6">
        <f>[MONTANTE] - SUMPRODUCT(N([TRADE] &lt;= Tabela1[[#This Row],[TRADE]]), [SAQUE]) + SUMPRODUCT(N([TRADE] &lt; Tabela1[[#This Row],[TRADE]]), [REINVESTIR])</f>
        <v>1826.9900000000002</v>
      </c>
      <c r="I6" s="6">
        <f>TRUNC([APLICAÇÃO]  * SETUP!$A$3, 2)</f>
        <v>0.67</v>
      </c>
      <c r="J6" s="6">
        <f>TRUNC([APLICAÇÃO]  * SETUP!$B$3, 2)</f>
        <v>0.5</v>
      </c>
      <c r="K6" s="6">
        <f>TRUNC([APLICAÇÃO]  * SETUP!$C$3, 2)</f>
        <v>1.26</v>
      </c>
      <c r="L6" s="6">
        <f>TRUNC(SETUP!$G$3  * SETUP!$H$3, 2)</f>
        <v>0.28999999999999998</v>
      </c>
      <c r="M6" s="6">
        <f>ROUND(SETUP!$G$3 * SETUP!$I$3, 2)</f>
        <v>0.57999999999999996</v>
      </c>
      <c r="N6" s="6">
        <f>SETUP!$G$3 + SUM(Tabela1[[#This Row],[EMOL CP]]:Tabela1[[#This Row],[OUTRAS CP]])</f>
        <v>18.2</v>
      </c>
      <c r="O6" s="6">
        <f>TRUNC([APLICAÇÃO] * 2  * SETUP!$A$3, 2)</f>
        <v>1.35</v>
      </c>
      <c r="P6" s="6">
        <f>TRUNC([APLICAÇÃO] * 2  * SETUP!$B$3, 2)</f>
        <v>1</v>
      </c>
      <c r="Q6" s="6">
        <f>TRUNC([APLICAÇÃO] * 2  * SETUP!$C$3, 2)</f>
        <v>2.5299999999999998</v>
      </c>
      <c r="R6" s="6">
        <f>TRUNC(SETUP!$G$3  * SETUP!$H$3, 2)</f>
        <v>0.28999999999999998</v>
      </c>
      <c r="S6" s="6">
        <f>ROUND(SETUP!$G$3 * SETUP!$I$3, 2)</f>
        <v>0.57999999999999996</v>
      </c>
      <c r="T6" s="6">
        <f>SETUP!$G$3 + SUM(Tabela1[[#This Row],[EMOL VD]]:Tabela1[[#This Row],[OUTRAS VD]])</f>
        <v>20.65</v>
      </c>
      <c r="U6" s="47">
        <f>((([APLICAÇÃO] * 2) - [TAXA VD]) - ([APLICAÇÃO] + [TAXA CP])) * 0.85</f>
        <v>1519.9190000000001</v>
      </c>
      <c r="V6" s="6">
        <f>IF([LUCRO] &lt; 0, 0, ROUND([LUCRO]*80%, 2))</f>
        <v>0</v>
      </c>
      <c r="W6" s="6">
        <f>[LUCRO]-[PROTEÇÃO MÊS]</f>
        <v>-1826.99</v>
      </c>
      <c r="X6" s="38">
        <f>SUMPRODUCT(N([TRADE] &lt;= Tabela1[[#This Row],[TRADE]]), [PROTEÇÃO MÊS]) - [APORTE RF]</f>
        <v>917.54</v>
      </c>
      <c r="Y6" s="6">
        <f>[TOT RF] + [REINVESTIR] + [APLICAÇÃO]</f>
        <v>917.54000000000019</v>
      </c>
      <c r="Z6" s="28">
        <f>IF(AND([PROTEÇÃO MÊS] &gt; 0, ([TOT RF] - [PROTEÇÃO MÊS]) &gt; 0), [PROTEÇÃO MÊS] / ([TOT RF] - [PROTEÇÃO MÊS]), 0)</f>
        <v>0</v>
      </c>
    </row>
    <row r="7" spans="1:26">
      <c r="A7" s="1">
        <v>6</v>
      </c>
      <c r="B7" s="17">
        <v>41153</v>
      </c>
      <c r="C7" s="3"/>
      <c r="D7" s="3"/>
      <c r="E7" s="3">
        <v>0</v>
      </c>
      <c r="F7" s="6">
        <v>435</v>
      </c>
      <c r="G7" s="6">
        <f>SUMPRODUCT(N([TRADE] &lt;= Tabela1[[#This Row],[TRADE]]), [APORTE]) + SUMPRODUCT(N([TRADE] &lt;= Tabela1[[#This Row],[TRADE]]), [APORTE RF])</f>
        <v>2958.4</v>
      </c>
      <c r="H7" s="6">
        <f>[MONTANTE] - SUMPRODUCT(N([TRADE] &lt;= Tabela1[[#This Row],[TRADE]]), [SAQUE]) + SUMPRODUCT(N([TRADE] &lt; Tabela1[[#This Row],[TRADE]]), [REINVESTIR])</f>
        <v>435</v>
      </c>
      <c r="I7" s="6">
        <f>TRUNC([APLICAÇÃO]  * SETUP!$A$3, 2)</f>
        <v>0.16</v>
      </c>
      <c r="J7" s="6">
        <f>TRUNC([APLICAÇÃO]  * SETUP!$B$3, 2)</f>
        <v>0.11</v>
      </c>
      <c r="K7" s="6">
        <f>TRUNC([APLICAÇÃO]  * SETUP!$C$3, 2)</f>
        <v>0.3</v>
      </c>
      <c r="L7" s="6">
        <f>TRUNC(SETUP!$G$3  * SETUP!$H$3, 2)</f>
        <v>0.28999999999999998</v>
      </c>
      <c r="M7" s="6">
        <f>ROUND(SETUP!$G$3 * SETUP!$I$3, 2)</f>
        <v>0.57999999999999996</v>
      </c>
      <c r="N7" s="6">
        <f>SETUP!$G$3 + SUM(Tabela1[[#This Row],[EMOL CP]]:Tabela1[[#This Row],[OUTRAS CP]])</f>
        <v>16.34</v>
      </c>
      <c r="O7" s="6">
        <f>TRUNC([APLICAÇÃO] * 2  * SETUP!$A$3, 2)</f>
        <v>0.32</v>
      </c>
      <c r="P7" s="6">
        <f>TRUNC([APLICAÇÃO] * 2  * SETUP!$B$3, 2)</f>
        <v>0.23</v>
      </c>
      <c r="Q7" s="6">
        <f>TRUNC([APLICAÇÃO] * 2  * SETUP!$C$3, 2)</f>
        <v>0.6</v>
      </c>
      <c r="R7" s="6">
        <f>TRUNC(SETUP!$G$3  * SETUP!$H$3, 2)</f>
        <v>0.28999999999999998</v>
      </c>
      <c r="S7" s="6">
        <f>ROUND(SETUP!$G$3 * SETUP!$I$3, 2)</f>
        <v>0.57999999999999996</v>
      </c>
      <c r="T7" s="6">
        <f>SETUP!$G$3 + SUM(Tabela1[[#This Row],[EMOL VD]]:Tabela1[[#This Row],[OUTRAS VD]])</f>
        <v>16.920000000000002</v>
      </c>
      <c r="U7" s="47">
        <f>((([APLICAÇÃO] * 2) - [TAXA VD]) - ([APLICAÇÃO] + [TAXA CP])) * 0.85</f>
        <v>341.47900000000004</v>
      </c>
      <c r="V7" s="6">
        <f>IF([LUCRO] &lt; 0, 0, ROUND([LUCRO]*80%, 2))</f>
        <v>0</v>
      </c>
      <c r="W7" s="6">
        <f>[LUCRO]-[PROTEÇÃO MÊS]</f>
        <v>0</v>
      </c>
      <c r="X7" s="38">
        <f>SUMPRODUCT(N([TRADE] &lt;= Tabela1[[#This Row],[TRADE]]), [PROTEÇÃO MÊS]) - [APORTE RF]</f>
        <v>917.54</v>
      </c>
      <c r="Y7" s="6">
        <f>[TOT RF] + [REINVESTIR] + [APLICAÇÃO]</f>
        <v>1352.54</v>
      </c>
      <c r="Z7" s="28">
        <f>IF(AND([PROTEÇÃO MÊS] &gt; 0, ([TOT RF] - [PROTEÇÃO MÊS]) &gt; 0), [PROTEÇÃO MÊS] / ([TOT RF] - [PROTEÇÃO MÊS]), 0)</f>
        <v>0</v>
      </c>
    </row>
    <row r="8" spans="1:26">
      <c r="A8" s="1">
        <v>7</v>
      </c>
      <c r="B8" s="17">
        <v>41183</v>
      </c>
      <c r="C8" s="3"/>
      <c r="D8" s="3"/>
      <c r="E8" s="3">
        <v>0</v>
      </c>
      <c r="F8" s="6">
        <v>435</v>
      </c>
      <c r="G8" s="6">
        <f>SUMPRODUCT(N([TRADE] &lt;= Tabela1[[#This Row],[TRADE]]), [APORTE]) + SUMPRODUCT(N([TRADE] &lt;= Tabela1[[#This Row],[TRADE]]), [APORTE RF])</f>
        <v>3393.4</v>
      </c>
      <c r="H8" s="6">
        <f>[MONTANTE] - SUMPRODUCT(N([TRADE] &lt;= Tabela1[[#This Row],[TRADE]]), [SAQUE]) + SUMPRODUCT(N([TRADE] &lt; Tabela1[[#This Row],[TRADE]]), [REINVESTIR])</f>
        <v>870</v>
      </c>
      <c r="I8" s="6">
        <f>TRUNC([APLICAÇÃO]  * SETUP!$A$3, 2)</f>
        <v>0.32</v>
      </c>
      <c r="J8" s="6">
        <f>TRUNC([APLICAÇÃO]  * SETUP!$B$3, 2)</f>
        <v>0.23</v>
      </c>
      <c r="K8" s="6">
        <f>TRUNC([APLICAÇÃO]  * SETUP!$C$3, 2)</f>
        <v>0.6</v>
      </c>
      <c r="L8" s="6">
        <f>TRUNC(SETUP!$G$3  * SETUP!$H$3, 2)</f>
        <v>0.28999999999999998</v>
      </c>
      <c r="M8" s="6">
        <f>ROUND(SETUP!$G$3 * SETUP!$I$3, 2)</f>
        <v>0.57999999999999996</v>
      </c>
      <c r="N8" s="6">
        <f>SETUP!$G$3 + SUM(Tabela1[[#This Row],[EMOL CP]]:Tabela1[[#This Row],[OUTRAS CP]])</f>
        <v>16.920000000000002</v>
      </c>
      <c r="O8" s="6">
        <f>TRUNC([APLICAÇÃO] * 2  * SETUP!$A$3, 2)</f>
        <v>0.64</v>
      </c>
      <c r="P8" s="6">
        <f>TRUNC([APLICAÇÃO] * 2  * SETUP!$B$3, 2)</f>
        <v>0.47</v>
      </c>
      <c r="Q8" s="6">
        <f>TRUNC([APLICAÇÃO] * 2  * SETUP!$C$3, 2)</f>
        <v>1.2</v>
      </c>
      <c r="R8" s="6">
        <f>TRUNC(SETUP!$G$3  * SETUP!$H$3, 2)</f>
        <v>0.28999999999999998</v>
      </c>
      <c r="S8" s="6">
        <f>ROUND(SETUP!$G$3 * SETUP!$I$3, 2)</f>
        <v>0.57999999999999996</v>
      </c>
      <c r="T8" s="6">
        <f>SETUP!$G$3 + SUM(Tabela1[[#This Row],[EMOL VD]]:Tabela1[[#This Row],[OUTRAS VD]])</f>
        <v>18.079999999999998</v>
      </c>
      <c r="U8" s="47">
        <f>((([APLICAÇÃO] * 2) - [TAXA VD]) - ([APLICAÇÃO] + [TAXA CP])) * 0.85</f>
        <v>709.75000000000011</v>
      </c>
      <c r="V8" s="6">
        <f>IF([LUCRO] &lt; 0, 0, ROUND([LUCRO]*80%, 2))</f>
        <v>0</v>
      </c>
      <c r="W8" s="6">
        <f>[LUCRO]-[PROTEÇÃO MÊS]</f>
        <v>0</v>
      </c>
      <c r="X8" s="38">
        <f>SUMPRODUCT(N([TRADE] &lt;= Tabela1[[#This Row],[TRADE]]), [PROTEÇÃO MÊS]) - [APORTE RF]</f>
        <v>917.54</v>
      </c>
      <c r="Y8" s="6">
        <f>[TOT RF] + [REINVESTIR] + [APLICAÇÃO]</f>
        <v>1787.54</v>
      </c>
      <c r="Z8" s="28">
        <f>IF(AND([PROTEÇÃO MÊS] &gt; 0, ([TOT RF] - [PROTEÇÃO MÊS]) &gt; 0), [PROTEÇÃO MÊS] / ([TOT RF] - [PROTEÇÃO MÊS]), 0)</f>
        <v>0</v>
      </c>
    </row>
    <row r="9" spans="1:26">
      <c r="A9" s="1">
        <v>8</v>
      </c>
      <c r="B9" s="17">
        <v>41214</v>
      </c>
      <c r="C9" s="3"/>
      <c r="D9" s="3"/>
      <c r="E9" s="3">
        <v>0</v>
      </c>
      <c r="F9" s="6">
        <v>435</v>
      </c>
      <c r="G9" s="6">
        <f>SUMPRODUCT(N([TRADE] &lt;= Tabela1[[#This Row],[TRADE]]), [APORTE]) + SUMPRODUCT(N([TRADE] &lt;= Tabela1[[#This Row],[TRADE]]), [APORTE RF])</f>
        <v>3828.4</v>
      </c>
      <c r="H9" s="6">
        <f>[MONTANTE] - SUMPRODUCT(N([TRADE] &lt;= Tabela1[[#This Row],[TRADE]]), [SAQUE]) + SUMPRODUCT(N([TRADE] &lt; Tabela1[[#This Row],[TRADE]]), [REINVESTIR])</f>
        <v>1305</v>
      </c>
      <c r="I9" s="6">
        <f>TRUNC([APLICAÇÃO]  * SETUP!$A$3, 2)</f>
        <v>0.48</v>
      </c>
      <c r="J9" s="6">
        <f>TRUNC([APLICAÇÃO]  * SETUP!$B$3, 2)</f>
        <v>0.35</v>
      </c>
      <c r="K9" s="6">
        <f>TRUNC([APLICAÇÃO]  * SETUP!$C$3, 2)</f>
        <v>0.9</v>
      </c>
      <c r="L9" s="6">
        <f>TRUNC(SETUP!$G$3  * SETUP!$H$3, 2)</f>
        <v>0.28999999999999998</v>
      </c>
      <c r="M9" s="6">
        <f>ROUND(SETUP!$G$3 * SETUP!$I$3, 2)</f>
        <v>0.57999999999999996</v>
      </c>
      <c r="N9" s="6">
        <f>SETUP!$G$3 + SUM(Tabela1[[#This Row],[EMOL CP]]:Tabela1[[#This Row],[OUTRAS CP]])</f>
        <v>17.5</v>
      </c>
      <c r="O9" s="6">
        <f>TRUNC([APLICAÇÃO] * 2  * SETUP!$A$3, 2)</f>
        <v>0.96</v>
      </c>
      <c r="P9" s="6">
        <f>TRUNC([APLICAÇÃO] * 2  * SETUP!$B$3, 2)</f>
        <v>0.71</v>
      </c>
      <c r="Q9" s="6">
        <f>TRUNC([APLICAÇÃO] * 2  * SETUP!$C$3, 2)</f>
        <v>1.81</v>
      </c>
      <c r="R9" s="6">
        <f>TRUNC(SETUP!$G$3  * SETUP!$H$3, 2)</f>
        <v>0.28999999999999998</v>
      </c>
      <c r="S9" s="6">
        <f>ROUND(SETUP!$G$3 * SETUP!$I$3, 2)</f>
        <v>0.57999999999999996</v>
      </c>
      <c r="T9" s="6">
        <f>SETUP!$G$3 + SUM(Tabela1[[#This Row],[EMOL VD]]:Tabela1[[#This Row],[OUTRAS VD]])</f>
        <v>19.25</v>
      </c>
      <c r="U9" s="47">
        <f>((([APLICAÇÃO] * 2) - [TAXA VD]) - ([APLICAÇÃO] + [TAXA CP])) * 0.85</f>
        <v>1078.0125</v>
      </c>
      <c r="V9" s="6">
        <f>IF([LUCRO] &lt; 0, 0, ROUND([LUCRO]*80%, 2))</f>
        <v>0</v>
      </c>
      <c r="W9" s="6">
        <f>[LUCRO]-[PROTEÇÃO MÊS]</f>
        <v>0</v>
      </c>
      <c r="X9" s="38">
        <f>SUMPRODUCT(N([TRADE] &lt;= Tabela1[[#This Row],[TRADE]]), [PROTEÇÃO MÊS]) - [APORTE RF]</f>
        <v>917.54</v>
      </c>
      <c r="Y9" s="6">
        <f>[TOT RF] + [REINVESTIR] + [APLICAÇÃO]</f>
        <v>2222.54</v>
      </c>
      <c r="Z9" s="28">
        <f>IF(AND([PROTEÇÃO MÊS] &gt; 0, ([TOT RF] - [PROTEÇÃO MÊS]) &gt; 0), [PROTEÇÃO MÊS] / ([TOT RF] - [PROTEÇÃO MÊS]), 0)</f>
        <v>0</v>
      </c>
    </row>
    <row r="10" spans="1:26">
      <c r="A10" s="1">
        <v>9</v>
      </c>
      <c r="B10" s="17">
        <v>41244</v>
      </c>
      <c r="C10" s="3"/>
      <c r="D10" s="3"/>
      <c r="E10" s="3">
        <v>0</v>
      </c>
      <c r="F10" s="6">
        <v>435</v>
      </c>
      <c r="G10" s="6">
        <f>SUMPRODUCT(N([TRADE] &lt;= Tabela1[[#This Row],[TRADE]]), [APORTE]) + SUMPRODUCT(N([TRADE] &lt;= Tabela1[[#This Row],[TRADE]]), [APORTE RF])</f>
        <v>4263.3999999999996</v>
      </c>
      <c r="H10" s="6">
        <f>[MONTANTE] - SUMPRODUCT(N([TRADE] &lt;= Tabela1[[#This Row],[TRADE]]), [SAQUE]) + SUMPRODUCT(N([TRADE] &lt; Tabela1[[#This Row],[TRADE]]), [REINVESTIR])</f>
        <v>1739.9999999999995</v>
      </c>
      <c r="I10" s="6">
        <f>TRUNC([APLICAÇÃO]  * SETUP!$A$3, 2)</f>
        <v>0.64</v>
      </c>
      <c r="J10" s="6">
        <f>TRUNC([APLICAÇÃO]  * SETUP!$B$3, 2)</f>
        <v>0.47</v>
      </c>
      <c r="K10" s="6">
        <f>TRUNC([APLICAÇÃO]  * SETUP!$C$3, 2)</f>
        <v>1.2</v>
      </c>
      <c r="L10" s="6">
        <f>TRUNC(SETUP!$G$3  * SETUP!$H$3, 2)</f>
        <v>0.28999999999999998</v>
      </c>
      <c r="M10" s="6">
        <f>ROUND(SETUP!$G$3 * SETUP!$I$3, 2)</f>
        <v>0.57999999999999996</v>
      </c>
      <c r="N10" s="6">
        <f>SETUP!$G$3 + SUM(Tabela1[[#This Row],[EMOL CP]]:Tabela1[[#This Row],[OUTRAS CP]])</f>
        <v>18.079999999999998</v>
      </c>
      <c r="O10" s="6">
        <f>TRUNC([APLICAÇÃO] * 2  * SETUP!$A$3, 2)</f>
        <v>1.28</v>
      </c>
      <c r="P10" s="6">
        <f>TRUNC([APLICAÇÃO] * 2  * SETUP!$B$3, 2)</f>
        <v>0.95</v>
      </c>
      <c r="Q10" s="6">
        <f>TRUNC([APLICAÇÃO] * 2  * SETUP!$C$3, 2)</f>
        <v>2.41</v>
      </c>
      <c r="R10" s="6">
        <f>TRUNC(SETUP!$G$3  * SETUP!$H$3, 2)</f>
        <v>0.28999999999999998</v>
      </c>
      <c r="S10" s="6">
        <f>ROUND(SETUP!$G$3 * SETUP!$I$3, 2)</f>
        <v>0.57999999999999996</v>
      </c>
      <c r="T10" s="6">
        <f>SETUP!$G$3 + SUM(Tabela1[[#This Row],[EMOL VD]]:Tabela1[[#This Row],[OUTRAS VD]])</f>
        <v>20.41</v>
      </c>
      <c r="U10" s="47">
        <f>((([APLICAÇÃO] * 2) - [TAXA VD]) - ([APLICAÇÃO] + [TAXA CP])) * 0.85</f>
        <v>1446.2834999999998</v>
      </c>
      <c r="V10" s="6">
        <f>IF([LUCRO] &lt; 0, 0, ROUND([LUCRO]*80%, 2))</f>
        <v>0</v>
      </c>
      <c r="W10" s="6">
        <f>[LUCRO]-[PROTEÇÃO MÊS]</f>
        <v>0</v>
      </c>
      <c r="X10" s="38">
        <f>SUMPRODUCT(N([TRADE] &lt;= Tabela1[[#This Row],[TRADE]]), [PROTEÇÃO MÊS]) - [APORTE RF]</f>
        <v>917.54</v>
      </c>
      <c r="Y10" s="6">
        <f>[TOT RF] + [REINVESTIR] + [APLICAÇÃO]</f>
        <v>2657.5399999999995</v>
      </c>
      <c r="Z10" s="28">
        <f>IF(AND([PROTEÇÃO MÊS] &gt; 0, ([TOT RF] - [PROTEÇÃO MÊS]) &gt; 0), [PROTEÇÃO MÊS] / ([TOT RF] - [PROTEÇÃO MÊS]), 0)</f>
        <v>0</v>
      </c>
    </row>
    <row r="11" spans="1:26">
      <c r="A11" s="1">
        <v>10</v>
      </c>
      <c r="B11" s="17">
        <v>41275</v>
      </c>
      <c r="C11" s="3"/>
      <c r="D11" s="3"/>
      <c r="E11" s="3">
        <v>0</v>
      </c>
      <c r="F11" s="6">
        <v>435</v>
      </c>
      <c r="G11" s="6">
        <f>SUMPRODUCT(N([TRADE] &lt;= Tabela1[[#This Row],[TRADE]]), [APORTE]) + SUMPRODUCT(N([TRADE] &lt;= Tabela1[[#This Row],[TRADE]]), [APORTE RF])</f>
        <v>4698.3999999999996</v>
      </c>
      <c r="H11" s="6">
        <f>[MONTANTE] - SUMPRODUCT(N([TRADE] &lt;= Tabela1[[#This Row],[TRADE]]), [SAQUE]) + SUMPRODUCT(N([TRADE] &lt; Tabela1[[#This Row],[TRADE]]), [REINVESTIR])</f>
        <v>2174.9999999999995</v>
      </c>
      <c r="I11" s="6">
        <f>TRUNC([APLICAÇÃO]  * SETUP!$A$3, 2)</f>
        <v>0.8</v>
      </c>
      <c r="J11" s="6">
        <f>TRUNC([APLICAÇÃO]  * SETUP!$B$3, 2)</f>
        <v>0.59</v>
      </c>
      <c r="K11" s="6">
        <f>TRUNC([APLICAÇÃO]  * SETUP!$C$3, 2)</f>
        <v>1.51</v>
      </c>
      <c r="L11" s="6">
        <f>TRUNC(SETUP!$G$3  * SETUP!$H$3, 2)</f>
        <v>0.28999999999999998</v>
      </c>
      <c r="M11" s="6">
        <f>ROUND(SETUP!$G$3 * SETUP!$I$3, 2)</f>
        <v>0.57999999999999996</v>
      </c>
      <c r="N11" s="6">
        <f>SETUP!$G$3 + SUM(Tabela1[[#This Row],[EMOL CP]]:Tabela1[[#This Row],[OUTRAS CP]])</f>
        <v>18.670000000000002</v>
      </c>
      <c r="O11" s="6">
        <f>TRUNC([APLICAÇÃO] * 2  * SETUP!$A$3, 2)</f>
        <v>1.6</v>
      </c>
      <c r="P11" s="6">
        <f>TRUNC([APLICAÇÃO] * 2  * SETUP!$B$3, 2)</f>
        <v>1.19</v>
      </c>
      <c r="Q11" s="6">
        <f>TRUNC([APLICAÇÃO] * 2  * SETUP!$C$3, 2)</f>
        <v>3.02</v>
      </c>
      <c r="R11" s="6">
        <f>TRUNC(SETUP!$G$3  * SETUP!$H$3, 2)</f>
        <v>0.28999999999999998</v>
      </c>
      <c r="S11" s="6">
        <f>ROUND(SETUP!$G$3 * SETUP!$I$3, 2)</f>
        <v>0.57999999999999996</v>
      </c>
      <c r="T11" s="6">
        <f>SETUP!$G$3 + SUM(Tabela1[[#This Row],[EMOL VD]]:Tabela1[[#This Row],[OUTRAS VD]])</f>
        <v>21.580000000000002</v>
      </c>
      <c r="U11" s="47">
        <f>((([APLICAÇÃO] * 2) - [TAXA VD]) - ([APLICAÇÃO] + [TAXA CP])) * 0.85</f>
        <v>1814.5374999999995</v>
      </c>
      <c r="V11" s="6">
        <f>IF([LUCRO] &lt; 0, 0, ROUND([LUCRO]*80%, 2))</f>
        <v>0</v>
      </c>
      <c r="W11" s="6">
        <f>[LUCRO]-[PROTEÇÃO MÊS]</f>
        <v>0</v>
      </c>
      <c r="X11" s="38">
        <f>SUMPRODUCT(N([TRADE] &lt;= Tabela1[[#This Row],[TRADE]]), [PROTEÇÃO MÊS]) - [APORTE RF]</f>
        <v>917.54</v>
      </c>
      <c r="Y11" s="6">
        <f>[TOT RF] + [REINVESTIR] + [APLICAÇÃO]</f>
        <v>3092.5399999999995</v>
      </c>
      <c r="Z11" s="4">
        <f>IF(AND([PROTEÇÃO MÊS] &gt; 0, ([TOT RF] - [PROTEÇÃO MÊS]) &gt; 0), [PROTEÇÃO MÊS] / ([TOT RF] - [PROTEÇÃO MÊS]), 0)</f>
        <v>0</v>
      </c>
    </row>
    <row r="12" spans="1:26">
      <c r="A12" s="1">
        <v>11</v>
      </c>
      <c r="B12" s="17">
        <v>41306</v>
      </c>
      <c r="C12" s="3"/>
      <c r="D12" s="3"/>
      <c r="E12" s="3">
        <v>0</v>
      </c>
      <c r="F12" s="6">
        <v>435</v>
      </c>
      <c r="G12" s="6">
        <f>SUMPRODUCT(N([TRADE] &lt;= Tabela1[[#This Row],[TRADE]]), [APORTE]) + SUMPRODUCT(N([TRADE] &lt;= Tabela1[[#This Row],[TRADE]]), [APORTE RF])</f>
        <v>5133.3999999999996</v>
      </c>
      <c r="H12" s="6">
        <f>[MONTANTE] - SUMPRODUCT(N([TRADE] &lt;= Tabela1[[#This Row],[TRADE]]), [SAQUE]) + SUMPRODUCT(N([TRADE] &lt; Tabela1[[#This Row],[TRADE]]), [REINVESTIR])</f>
        <v>2609.9999999999995</v>
      </c>
      <c r="I12" s="6">
        <f>TRUNC([APLICAÇÃO]  * SETUP!$A$3, 2)</f>
        <v>0.96</v>
      </c>
      <c r="J12" s="6">
        <f>TRUNC([APLICAÇÃO]  * SETUP!$B$3, 2)</f>
        <v>0.71</v>
      </c>
      <c r="K12" s="6">
        <f>TRUNC([APLICAÇÃO]  * SETUP!$C$3, 2)</f>
        <v>1.81</v>
      </c>
      <c r="L12" s="6">
        <f>TRUNC(SETUP!$G$3  * SETUP!$H$3, 2)</f>
        <v>0.28999999999999998</v>
      </c>
      <c r="M12" s="6">
        <f>ROUND(SETUP!$G$3 * SETUP!$I$3, 2)</f>
        <v>0.57999999999999996</v>
      </c>
      <c r="N12" s="6">
        <f>SETUP!$G$3 + SUM(Tabela1[[#This Row],[EMOL CP]]:Tabela1[[#This Row],[OUTRAS CP]])</f>
        <v>19.25</v>
      </c>
      <c r="O12" s="6">
        <f>TRUNC([APLICAÇÃO] * 2  * SETUP!$A$3, 2)</f>
        <v>1.93</v>
      </c>
      <c r="P12" s="6">
        <f>TRUNC([APLICAÇÃO] * 2  * SETUP!$B$3, 2)</f>
        <v>1.43</v>
      </c>
      <c r="Q12" s="6">
        <f>TRUNC([APLICAÇÃO] * 2  * SETUP!$C$3, 2)</f>
        <v>3.62</v>
      </c>
      <c r="R12" s="6">
        <f>TRUNC(SETUP!$G$3  * SETUP!$H$3, 2)</f>
        <v>0.28999999999999998</v>
      </c>
      <c r="S12" s="6">
        <f>ROUND(SETUP!$G$3 * SETUP!$I$3, 2)</f>
        <v>0.57999999999999996</v>
      </c>
      <c r="T12" s="6">
        <f>SETUP!$G$3 + SUM(Tabela1[[#This Row],[EMOL VD]]:Tabela1[[#This Row],[OUTRAS VD]])</f>
        <v>22.75</v>
      </c>
      <c r="U12" s="47">
        <f>((([APLICAÇÃO] * 2) - [TAXA VD]) - ([APLICAÇÃO] + [TAXA CP])) * 0.85</f>
        <v>2182.7999999999997</v>
      </c>
      <c r="V12" s="6">
        <f>IF([LUCRO] &lt; 0, 0, ROUND([LUCRO]*80%, 2))</f>
        <v>0</v>
      </c>
      <c r="W12" s="6">
        <f>[LUCRO]-[PROTEÇÃO MÊS]</f>
        <v>0</v>
      </c>
      <c r="X12" s="38">
        <f>SUMPRODUCT(N([TRADE] &lt;= Tabela1[[#This Row],[TRADE]]), [PROTEÇÃO MÊS]) - [APORTE RF]</f>
        <v>917.54</v>
      </c>
      <c r="Y12" s="6">
        <f>[TOT RF] + [REINVESTIR] + [APLICAÇÃO]</f>
        <v>3527.5399999999995</v>
      </c>
      <c r="Z12" s="4">
        <f>IF(AND([PROTEÇÃO MÊS] &gt; 0, ([TOT RF] - [PROTEÇÃO MÊS]) &gt; 0), [PROTEÇÃO MÊS] / ([TOT RF] - [PROTEÇÃO MÊS]), 0)</f>
        <v>0</v>
      </c>
    </row>
    <row r="13" spans="1:26">
      <c r="A13" s="1">
        <v>12</v>
      </c>
      <c r="B13" s="17">
        <v>41334</v>
      </c>
      <c r="C13" s="3"/>
      <c r="D13" s="3"/>
      <c r="E13" s="3">
        <v>0</v>
      </c>
      <c r="F13" s="6">
        <v>700</v>
      </c>
      <c r="G13" s="6">
        <f>SUMPRODUCT(N([TRADE] &lt;= Tabela1[[#This Row],[TRADE]]), [APORTE]) + SUMPRODUCT(N([TRADE] &lt;= Tabela1[[#This Row],[TRADE]]), [APORTE RF])</f>
        <v>5833.4</v>
      </c>
      <c r="H13" s="6">
        <f>[MONTANTE] - SUMPRODUCT(N([TRADE] &lt;= Tabela1[[#This Row],[TRADE]]), [SAQUE]) + SUMPRODUCT(N([TRADE] &lt; Tabela1[[#This Row],[TRADE]]), [REINVESTIR])</f>
        <v>3309.9999999999995</v>
      </c>
      <c r="I13" s="6">
        <f>TRUNC([APLICAÇÃO]  * SETUP!$A$3, 2)</f>
        <v>1.22</v>
      </c>
      <c r="J13" s="6">
        <f>TRUNC([APLICAÇÃO]  * SETUP!$B$3, 2)</f>
        <v>0.91</v>
      </c>
      <c r="K13" s="6">
        <f>TRUNC([APLICAÇÃO]  * SETUP!$C$3, 2)</f>
        <v>2.2999999999999998</v>
      </c>
      <c r="L13" s="6">
        <f>TRUNC(SETUP!$G$3  * SETUP!$H$3, 2)</f>
        <v>0.28999999999999998</v>
      </c>
      <c r="M13" s="6">
        <f>ROUND(SETUP!$G$3 * SETUP!$I$3, 2)</f>
        <v>0.57999999999999996</v>
      </c>
      <c r="N13" s="6">
        <f>SETUP!$G$3 + SUM(Tabela1[[#This Row],[EMOL CP]]:Tabela1[[#This Row],[OUTRAS CP]])</f>
        <v>20.2</v>
      </c>
      <c r="O13" s="6">
        <f>TRUNC([APLICAÇÃO] * 2  * SETUP!$A$3, 2)</f>
        <v>2.44</v>
      </c>
      <c r="P13" s="6">
        <f>TRUNC([APLICAÇÃO] * 2  * SETUP!$B$3, 2)</f>
        <v>1.82</v>
      </c>
      <c r="Q13" s="6">
        <f>TRUNC([APLICAÇÃO] * 2  * SETUP!$C$3, 2)</f>
        <v>4.5999999999999996</v>
      </c>
      <c r="R13" s="6">
        <f>TRUNC(SETUP!$G$3  * SETUP!$H$3, 2)</f>
        <v>0.28999999999999998</v>
      </c>
      <c r="S13" s="6">
        <f>ROUND(SETUP!$G$3 * SETUP!$I$3, 2)</f>
        <v>0.57999999999999996</v>
      </c>
      <c r="T13" s="6">
        <f>SETUP!$G$3 + SUM(Tabela1[[#This Row],[EMOL VD]]:Tabela1[[#This Row],[OUTRAS VD]])</f>
        <v>24.63</v>
      </c>
      <c r="U13" s="47">
        <f>((([APLICAÇÃO] * 2) - [TAXA VD]) - ([APLICAÇÃO] + [TAXA CP])) * 0.85</f>
        <v>2775.3944999999994</v>
      </c>
      <c r="V13" s="6">
        <f>IF([LUCRO] &lt; 0, 0, ROUND([LUCRO]*80%, 2))</f>
        <v>0</v>
      </c>
      <c r="W13" s="6">
        <f>[LUCRO]-[PROTEÇÃO MÊS]</f>
        <v>0</v>
      </c>
      <c r="X13" s="38">
        <f>SUMPRODUCT(N([TRADE] &lt;= Tabela1[[#This Row],[TRADE]]), [PROTEÇÃO MÊS]) - [APORTE RF]</f>
        <v>917.54</v>
      </c>
      <c r="Y13" s="6">
        <f>[TOT RF] + [REINVESTIR] + [APLICAÇÃO]</f>
        <v>4227.5399999999991</v>
      </c>
      <c r="Z13" s="4">
        <f>IF(AND([PROTEÇÃO MÊS] &gt; 0, ([TOT RF] - [PROTEÇÃO MÊS]) &gt; 0), [PROTEÇÃO MÊS] / ([TOT RF] - [PROTEÇÃO MÊS]), 0)</f>
        <v>0</v>
      </c>
    </row>
    <row r="14" spans="1:26">
      <c r="A14" s="1">
        <v>13</v>
      </c>
      <c r="B14" s="17">
        <v>41365</v>
      </c>
      <c r="C14" s="3"/>
      <c r="D14" s="3"/>
      <c r="E14" s="3">
        <v>0</v>
      </c>
      <c r="F14" s="6">
        <v>700</v>
      </c>
      <c r="G14" s="6">
        <f>SUMPRODUCT(N([TRADE] &lt;= Tabela1[[#This Row],[TRADE]]), [APORTE]) + SUMPRODUCT(N([TRADE] &lt;= Tabela1[[#This Row],[TRADE]]), [APORTE RF])</f>
        <v>6533.4</v>
      </c>
      <c r="H14" s="6">
        <f>[MONTANTE] - SUMPRODUCT(N([TRADE] &lt;= Tabela1[[#This Row],[TRADE]]), [SAQUE]) + SUMPRODUCT(N([TRADE] &lt; Tabela1[[#This Row],[TRADE]]), [REINVESTIR])</f>
        <v>4009.9999999999995</v>
      </c>
      <c r="I14" s="6">
        <f>TRUNC([APLICAÇÃO]  * SETUP!$A$3, 2)</f>
        <v>1.48</v>
      </c>
      <c r="J14" s="6">
        <f>TRUNC([APLICAÇÃO]  * SETUP!$B$3, 2)</f>
        <v>1.1000000000000001</v>
      </c>
      <c r="K14" s="6">
        <f>TRUNC([APLICAÇÃO]  * SETUP!$C$3, 2)</f>
        <v>2.78</v>
      </c>
      <c r="L14" s="6">
        <f>TRUNC(SETUP!$G$3  * SETUP!$H$3, 2)</f>
        <v>0.28999999999999998</v>
      </c>
      <c r="M14" s="6">
        <f>ROUND(SETUP!$G$3 * SETUP!$I$3, 2)</f>
        <v>0.57999999999999996</v>
      </c>
      <c r="N14" s="6">
        <f>SETUP!$G$3 + SUM(Tabela1[[#This Row],[EMOL CP]]:Tabela1[[#This Row],[OUTRAS CP]])</f>
        <v>21.13</v>
      </c>
      <c r="O14" s="6">
        <f>TRUNC([APLICAÇÃO] * 2  * SETUP!$A$3, 2)</f>
        <v>2.96</v>
      </c>
      <c r="P14" s="6">
        <f>TRUNC([APLICAÇÃO] * 2  * SETUP!$B$3, 2)</f>
        <v>2.2000000000000002</v>
      </c>
      <c r="Q14" s="6">
        <f>TRUNC([APLICAÇÃO] * 2  * SETUP!$C$3, 2)</f>
        <v>5.57</v>
      </c>
      <c r="R14" s="6">
        <f>TRUNC(SETUP!$G$3  * SETUP!$H$3, 2)</f>
        <v>0.28999999999999998</v>
      </c>
      <c r="S14" s="6">
        <f>ROUND(SETUP!$G$3 * SETUP!$I$3, 2)</f>
        <v>0.57999999999999996</v>
      </c>
      <c r="T14" s="6">
        <f>SETUP!$G$3 + SUM(Tabela1[[#This Row],[EMOL VD]]:Tabela1[[#This Row],[OUTRAS VD]])</f>
        <v>26.5</v>
      </c>
      <c r="U14" s="47">
        <f>((([APLICAÇÃO] * 2) - [TAXA VD]) - ([APLICAÇÃO] + [TAXA CP])) * 0.85</f>
        <v>3368.0144999999993</v>
      </c>
      <c r="V14" s="6">
        <f>IF([LUCRO] &lt; 0, 0, ROUND([LUCRO]*80%, 2))</f>
        <v>0</v>
      </c>
      <c r="W14" s="6">
        <f>[LUCRO]-[PROTEÇÃO MÊS]</f>
        <v>0</v>
      </c>
      <c r="X14" s="38">
        <f>SUMPRODUCT(N([TRADE] &lt;= Tabela1[[#This Row],[TRADE]]), [PROTEÇÃO MÊS]) - [APORTE RF]</f>
        <v>917.54</v>
      </c>
      <c r="Y14" s="6">
        <f>[TOT RF] + [REINVESTIR] + [APLICAÇÃO]</f>
        <v>4927.5399999999991</v>
      </c>
      <c r="Z14" s="4">
        <f>IF(AND([PROTEÇÃO MÊS] &gt; 0, ([TOT RF] - [PROTEÇÃO MÊS]) &gt; 0), [PROTEÇÃO MÊS] / ([TOT RF] - [PROTEÇÃO MÊS]), 0)</f>
        <v>0</v>
      </c>
    </row>
    <row r="15" spans="1:26">
      <c r="A15" s="1">
        <v>14</v>
      </c>
      <c r="B15" s="17">
        <v>41395</v>
      </c>
      <c r="C15" s="3"/>
      <c r="D15" s="3"/>
      <c r="E15" s="3">
        <v>0</v>
      </c>
      <c r="F15" s="6">
        <v>700</v>
      </c>
      <c r="G15" s="6">
        <f>SUMPRODUCT(N([TRADE] &lt;= Tabela1[[#This Row],[TRADE]]), [APORTE]) + SUMPRODUCT(N([TRADE] &lt;= Tabela1[[#This Row],[TRADE]]), [APORTE RF])</f>
        <v>7233.4</v>
      </c>
      <c r="H15" s="6">
        <f>[MONTANTE] - SUMPRODUCT(N([TRADE] &lt;= Tabela1[[#This Row],[TRADE]]), [SAQUE]) + SUMPRODUCT(N([TRADE] &lt; Tabela1[[#This Row],[TRADE]]), [REINVESTIR])</f>
        <v>4710</v>
      </c>
      <c r="I15" s="6">
        <f>TRUNC([APLICAÇÃO]  * SETUP!$A$3, 2)</f>
        <v>1.74</v>
      </c>
      <c r="J15" s="6">
        <f>TRUNC([APLICAÇÃO]  * SETUP!$B$3, 2)</f>
        <v>1.29</v>
      </c>
      <c r="K15" s="6">
        <f>TRUNC([APLICAÇÃO]  * SETUP!$C$3, 2)</f>
        <v>3.27</v>
      </c>
      <c r="L15" s="6">
        <f>TRUNC(SETUP!$G$3  * SETUP!$H$3, 2)</f>
        <v>0.28999999999999998</v>
      </c>
      <c r="M15" s="6">
        <f>ROUND(SETUP!$G$3 * SETUP!$I$3, 2)</f>
        <v>0.57999999999999996</v>
      </c>
      <c r="N15" s="6">
        <f>SETUP!$G$3 + SUM(Tabela1[[#This Row],[EMOL CP]]:Tabela1[[#This Row],[OUTRAS CP]])</f>
        <v>22.07</v>
      </c>
      <c r="O15" s="6">
        <f>TRUNC([APLICAÇÃO] * 2  * SETUP!$A$3, 2)</f>
        <v>3.48</v>
      </c>
      <c r="P15" s="6">
        <f>TRUNC([APLICAÇÃO] * 2  * SETUP!$B$3, 2)</f>
        <v>2.59</v>
      </c>
      <c r="Q15" s="6">
        <f>TRUNC([APLICAÇÃO] * 2  * SETUP!$C$3, 2)</f>
        <v>6.54</v>
      </c>
      <c r="R15" s="6">
        <f>TRUNC(SETUP!$G$3  * SETUP!$H$3, 2)</f>
        <v>0.28999999999999998</v>
      </c>
      <c r="S15" s="6">
        <f>ROUND(SETUP!$G$3 * SETUP!$I$3, 2)</f>
        <v>0.57999999999999996</v>
      </c>
      <c r="T15" s="6">
        <f>SETUP!$G$3 + SUM(Tabela1[[#This Row],[EMOL VD]]:Tabela1[[#This Row],[OUTRAS VD]])</f>
        <v>28.38</v>
      </c>
      <c r="U15" s="47">
        <f>((([APLICAÇÃO] * 2) - [TAXA VD]) - ([APLICAÇÃO] + [TAXA CP])) * 0.85</f>
        <v>3960.6175000000007</v>
      </c>
      <c r="V15" s="6">
        <f>IF([LUCRO] &lt; 0, 0, ROUND([LUCRO]*80%, 2))</f>
        <v>0</v>
      </c>
      <c r="W15" s="6">
        <f>[LUCRO]-[PROTEÇÃO MÊS]</f>
        <v>0</v>
      </c>
      <c r="X15" s="38">
        <f>SUMPRODUCT(N([TRADE] &lt;= Tabela1[[#This Row],[TRADE]]), [PROTEÇÃO MÊS]) - [APORTE RF]</f>
        <v>917.54</v>
      </c>
      <c r="Y15" s="6">
        <f>[TOT RF] + [REINVESTIR] + [APLICAÇÃO]</f>
        <v>5627.54</v>
      </c>
      <c r="Z15" s="4">
        <f>IF(AND([PROTEÇÃO MÊS] &gt; 0, ([TOT RF] - [PROTEÇÃO MÊS]) &gt; 0), [PROTEÇÃO MÊS] / ([TOT RF] - [PROTEÇÃO MÊS]), 0)</f>
        <v>0</v>
      </c>
    </row>
    <row r="16" spans="1:26">
      <c r="A16" s="1">
        <v>15</v>
      </c>
      <c r="B16" s="17">
        <v>41426</v>
      </c>
      <c r="C16" s="18"/>
      <c r="D16" s="18"/>
      <c r="E16" s="18">
        <v>0</v>
      </c>
      <c r="F16" s="6">
        <v>700</v>
      </c>
      <c r="G16" s="19">
        <f>SUMPRODUCT(N([TRADE] &lt;= Tabela1[[#This Row],[TRADE]]), [APORTE]) + SUMPRODUCT(N([TRADE] &lt;= Tabela1[[#This Row],[TRADE]]), [APORTE RF])</f>
        <v>7933.4</v>
      </c>
      <c r="H16" s="19">
        <f>[MONTANTE] - SUMPRODUCT(N([TRADE] &lt;= Tabela1[[#This Row],[TRADE]]), [SAQUE]) + SUMPRODUCT(N([TRADE] &lt; Tabela1[[#This Row],[TRADE]]), [REINVESTIR])</f>
        <v>5410</v>
      </c>
      <c r="I16" s="19">
        <f>TRUNC([APLICAÇÃO]  * SETUP!$A$3, 2)</f>
        <v>2</v>
      </c>
      <c r="J16" s="19">
        <f>TRUNC([APLICAÇÃO]  * SETUP!$B$3, 2)</f>
        <v>1.48</v>
      </c>
      <c r="K16" s="19">
        <f>TRUNC([APLICAÇÃO]  * SETUP!$C$3, 2)</f>
        <v>3.75</v>
      </c>
      <c r="L16" s="19">
        <f>TRUNC(SETUP!$G$3  * SETUP!$H$3, 2)</f>
        <v>0.28999999999999998</v>
      </c>
      <c r="M16" s="19">
        <f>ROUND(SETUP!$G$3 * SETUP!$I$3, 2)</f>
        <v>0.57999999999999996</v>
      </c>
      <c r="N16" s="19">
        <f>SETUP!$G$3 + SUM(Tabela1[[#This Row],[EMOL CP]]:Tabela1[[#This Row],[OUTRAS CP]])</f>
        <v>23</v>
      </c>
      <c r="O16" s="19">
        <f>TRUNC([APLICAÇÃO] * 2  * SETUP!$A$3, 2)</f>
        <v>4</v>
      </c>
      <c r="P16" s="19">
        <f>TRUNC([APLICAÇÃO] * 2  * SETUP!$B$3, 2)</f>
        <v>2.97</v>
      </c>
      <c r="Q16" s="19">
        <f>TRUNC([APLICAÇÃO] * 2  * SETUP!$C$3, 2)</f>
        <v>7.51</v>
      </c>
      <c r="R16" s="19">
        <f>TRUNC(SETUP!$G$3  * SETUP!$H$3, 2)</f>
        <v>0.28999999999999998</v>
      </c>
      <c r="S16" s="19">
        <f>ROUND(SETUP!$G$3 * SETUP!$I$3, 2)</f>
        <v>0.57999999999999996</v>
      </c>
      <c r="T16" s="19">
        <f>SETUP!$G$3 + SUM(Tabela1[[#This Row],[EMOL VD]]:Tabela1[[#This Row],[OUTRAS VD]])</f>
        <v>30.25</v>
      </c>
      <c r="U16" s="48">
        <f>((([APLICAÇÃO] * 2) - [TAXA VD]) - ([APLICAÇÃO] + [TAXA CP])) * 0.85</f>
        <v>4553.2375000000002</v>
      </c>
      <c r="V16" s="19">
        <f>IF([LUCRO] &lt; 0, 0, ROUND([LUCRO]*80%, 2))</f>
        <v>0</v>
      </c>
      <c r="W16" s="19">
        <f>[LUCRO]-[PROTEÇÃO MÊS]</f>
        <v>0</v>
      </c>
      <c r="X16" s="39">
        <f>SUMPRODUCT(N([TRADE] &lt;= Tabela1[[#This Row],[TRADE]]), [PROTEÇÃO MÊS]) - [APORTE RF]</f>
        <v>917.54</v>
      </c>
      <c r="Y16" s="19">
        <f>[TOT RF] + [REINVESTIR] + [APLICAÇÃO]</f>
        <v>6327.54</v>
      </c>
      <c r="Z16" s="20">
        <f>IF(AND([PROTEÇÃO MÊS] &gt; 0, ([TOT RF] - [PROTEÇÃO MÊS]) &gt; 0), [PROTEÇÃO MÊS] / ([TOT RF] - [PROTEÇÃO MÊS]), 0)</f>
        <v>0</v>
      </c>
    </row>
    <row r="17" spans="1:26">
      <c r="A17" s="1">
        <v>16</v>
      </c>
      <c r="B17" s="17">
        <v>41456</v>
      </c>
      <c r="C17" s="3"/>
      <c r="D17" s="3"/>
      <c r="E17" s="3">
        <v>0</v>
      </c>
      <c r="F17" s="6">
        <v>700</v>
      </c>
      <c r="G17" s="6">
        <f>SUMPRODUCT(N([TRADE] &lt;= Tabela1[[#This Row],[TRADE]]), [APORTE]) + SUMPRODUCT(N([TRADE] &lt;= Tabela1[[#This Row],[TRADE]]), [APORTE RF])</f>
        <v>8633.4</v>
      </c>
      <c r="H17" s="6">
        <f>[MONTANTE] - SUMPRODUCT(N([TRADE] &lt;= Tabela1[[#This Row],[TRADE]]), [SAQUE]) + SUMPRODUCT(N([TRADE] &lt; Tabela1[[#This Row],[TRADE]]), [REINVESTIR])</f>
        <v>6110</v>
      </c>
      <c r="I17" s="6">
        <f>TRUNC([APLICAÇÃO]  * SETUP!$A$3, 2)</f>
        <v>2.2599999999999998</v>
      </c>
      <c r="J17" s="6">
        <f>TRUNC([APLICAÇÃO]  * SETUP!$B$3, 2)</f>
        <v>1.68</v>
      </c>
      <c r="K17" s="6">
        <f>TRUNC([APLICAÇÃO]  * SETUP!$C$3, 2)</f>
        <v>4.24</v>
      </c>
      <c r="L17" s="6">
        <f>TRUNC(SETUP!$G$3  * SETUP!$H$3, 2)</f>
        <v>0.28999999999999998</v>
      </c>
      <c r="M17" s="6">
        <f>ROUND(SETUP!$G$3 * SETUP!$I$3, 2)</f>
        <v>0.57999999999999996</v>
      </c>
      <c r="N17" s="6">
        <f>SETUP!$G$3 + SUM(Tabela1[[#This Row],[EMOL CP]]:Tabela1[[#This Row],[OUTRAS CP]])</f>
        <v>23.95</v>
      </c>
      <c r="O17" s="6">
        <f>TRUNC([APLICAÇÃO] * 2  * SETUP!$A$3, 2)</f>
        <v>4.5199999999999996</v>
      </c>
      <c r="P17" s="6">
        <f>TRUNC([APLICAÇÃO] * 2  * SETUP!$B$3, 2)</f>
        <v>3.36</v>
      </c>
      <c r="Q17" s="6">
        <f>TRUNC([APLICAÇÃO] * 2  * SETUP!$C$3, 2)</f>
        <v>8.49</v>
      </c>
      <c r="R17" s="6">
        <f>TRUNC(SETUP!$G$3  * SETUP!$H$3, 2)</f>
        <v>0.28999999999999998</v>
      </c>
      <c r="S17" s="6">
        <f>ROUND(SETUP!$G$3 * SETUP!$I$3, 2)</f>
        <v>0.57999999999999996</v>
      </c>
      <c r="T17" s="6">
        <f>SETUP!$G$3 + SUM(Tabela1[[#This Row],[EMOL VD]]:Tabela1[[#This Row],[OUTRAS VD]])</f>
        <v>32.139999999999993</v>
      </c>
      <c r="U17" s="47">
        <f>((([APLICAÇÃO] * 2) - [TAXA VD]) - ([APLICAÇÃO] + [TAXA CP])) * 0.85</f>
        <v>5145.8235000000004</v>
      </c>
      <c r="V17" s="6">
        <f>IF([LUCRO] &lt; 0, 0, ROUND([LUCRO]*80%, 2))</f>
        <v>0</v>
      </c>
      <c r="W17" s="6">
        <f>[LUCRO]-[PROTEÇÃO MÊS]</f>
        <v>0</v>
      </c>
      <c r="X17" s="38">
        <f>SUMPRODUCT(N([TRADE] &lt;= Tabela1[[#This Row],[TRADE]]), [PROTEÇÃO MÊS]) - [APORTE RF]</f>
        <v>917.54</v>
      </c>
      <c r="Y17" s="6">
        <f>[TOT RF] + [REINVESTIR] + [APLICAÇÃO]</f>
        <v>7027.54</v>
      </c>
      <c r="Z17" s="4">
        <f>IF(AND([PROTEÇÃO MÊS] &gt; 0, ([TOT RF] - [PROTEÇÃO MÊS]) &gt; 0), [PROTEÇÃO MÊS] / ([TOT RF] - [PROTEÇÃO MÊS]), 0)</f>
        <v>0</v>
      </c>
    </row>
    <row r="18" spans="1:26">
      <c r="A18" s="1">
        <v>17</v>
      </c>
      <c r="B18" s="17">
        <v>41487</v>
      </c>
      <c r="C18" s="3"/>
      <c r="D18" s="3"/>
      <c r="E18" s="3">
        <v>0</v>
      </c>
      <c r="F18" s="6">
        <v>700</v>
      </c>
      <c r="G18" s="6">
        <f>SUMPRODUCT(N([TRADE] &lt;= Tabela1[[#This Row],[TRADE]]), [APORTE]) + SUMPRODUCT(N([TRADE] &lt;= Tabela1[[#This Row],[TRADE]]), [APORTE RF])</f>
        <v>9333.4</v>
      </c>
      <c r="H18" s="6">
        <f>[MONTANTE] - SUMPRODUCT(N([TRADE] &lt;= Tabela1[[#This Row],[TRADE]]), [SAQUE]) + SUMPRODUCT(N([TRADE] &lt; Tabela1[[#This Row],[TRADE]]), [REINVESTIR])</f>
        <v>6810</v>
      </c>
      <c r="I18" s="6">
        <f>TRUNC([APLICAÇÃO]  * SETUP!$A$3, 2)</f>
        <v>2.5099999999999998</v>
      </c>
      <c r="J18" s="6">
        <f>TRUNC([APLICAÇÃO]  * SETUP!$B$3, 2)</f>
        <v>1.87</v>
      </c>
      <c r="K18" s="6">
        <f>TRUNC([APLICAÇÃO]  * SETUP!$C$3, 2)</f>
        <v>4.7300000000000004</v>
      </c>
      <c r="L18" s="6">
        <f>TRUNC(SETUP!$G$3  * SETUP!$H$3, 2)</f>
        <v>0.28999999999999998</v>
      </c>
      <c r="M18" s="6">
        <f>ROUND(SETUP!$G$3 * SETUP!$I$3, 2)</f>
        <v>0.57999999999999996</v>
      </c>
      <c r="N18" s="6">
        <f>SETUP!$G$3 + SUM(Tabela1[[#This Row],[EMOL CP]]:Tabela1[[#This Row],[OUTRAS CP]])</f>
        <v>24.88</v>
      </c>
      <c r="O18" s="6">
        <f>TRUNC([APLICAÇÃO] * 2  * SETUP!$A$3, 2)</f>
        <v>5.03</v>
      </c>
      <c r="P18" s="6">
        <f>TRUNC([APLICAÇÃO] * 2  * SETUP!$B$3, 2)</f>
        <v>3.74</v>
      </c>
      <c r="Q18" s="6">
        <f>TRUNC([APLICAÇÃO] * 2  * SETUP!$C$3, 2)</f>
        <v>9.4600000000000009</v>
      </c>
      <c r="R18" s="6">
        <f>TRUNC(SETUP!$G$3  * SETUP!$H$3, 2)</f>
        <v>0.28999999999999998</v>
      </c>
      <c r="S18" s="6">
        <f>ROUND(SETUP!$G$3 * SETUP!$I$3, 2)</f>
        <v>0.57999999999999996</v>
      </c>
      <c r="T18" s="6">
        <f>SETUP!$G$3 + SUM(Tabela1[[#This Row],[EMOL VD]]:Tabela1[[#This Row],[OUTRAS VD]])</f>
        <v>34</v>
      </c>
      <c r="U18" s="47">
        <f>((([APLICAÇÃO] * 2) - [TAXA VD]) - ([APLICAÇÃO] + [TAXA CP])) * 0.85</f>
        <v>5738.4519999999993</v>
      </c>
      <c r="V18" s="6">
        <f>IF([LUCRO] &lt; 0, 0, ROUND([LUCRO]*80%, 2))</f>
        <v>0</v>
      </c>
      <c r="W18" s="6">
        <f>[LUCRO]-[PROTEÇÃO MÊS]</f>
        <v>0</v>
      </c>
      <c r="X18" s="38">
        <f>SUMPRODUCT(N([TRADE] &lt;= Tabela1[[#This Row],[TRADE]]), [PROTEÇÃO MÊS]) - [APORTE RF]</f>
        <v>917.54</v>
      </c>
      <c r="Y18" s="6">
        <f>[TOT RF] + [REINVESTIR] + [APLICAÇÃO]</f>
        <v>7727.54</v>
      </c>
      <c r="Z18" s="4">
        <f>IF(AND([PROTEÇÃO MÊS] &gt; 0, ([TOT RF] - [PROTEÇÃO MÊS]) &gt; 0), [PROTEÇÃO MÊS] / ([TOT RF] - [PROTEÇÃO MÊS]), 0)</f>
        <v>0</v>
      </c>
    </row>
    <row r="19" spans="1:26">
      <c r="A19" s="1">
        <v>18</v>
      </c>
      <c r="B19" s="17">
        <v>41518</v>
      </c>
      <c r="C19" s="3"/>
      <c r="D19" s="3"/>
      <c r="E19" s="3">
        <v>0</v>
      </c>
      <c r="F19" s="6">
        <v>700</v>
      </c>
      <c r="G19" s="6">
        <f>SUMPRODUCT(N([TRADE] &lt;= Tabela1[[#This Row],[TRADE]]), [APORTE]) + SUMPRODUCT(N([TRADE] &lt;= Tabela1[[#This Row],[TRADE]]), [APORTE RF])</f>
        <v>10033.4</v>
      </c>
      <c r="H19" s="6">
        <f>[MONTANTE] - SUMPRODUCT(N([TRADE] &lt;= Tabela1[[#This Row],[TRADE]]), [SAQUE]) + SUMPRODUCT(N([TRADE] &lt; Tabela1[[#This Row],[TRADE]]), [REINVESTIR])</f>
        <v>7510</v>
      </c>
      <c r="I19" s="6">
        <f>TRUNC([APLICAÇÃO]  * SETUP!$A$3, 2)</f>
        <v>2.77</v>
      </c>
      <c r="J19" s="6">
        <f>TRUNC([APLICAÇÃO]  * SETUP!$B$3, 2)</f>
        <v>2.06</v>
      </c>
      <c r="K19" s="6">
        <f>TRUNC([APLICAÇÃO]  * SETUP!$C$3, 2)</f>
        <v>5.21</v>
      </c>
      <c r="L19" s="6">
        <f>TRUNC(SETUP!$G$3  * SETUP!$H$3, 2)</f>
        <v>0.28999999999999998</v>
      </c>
      <c r="M19" s="6">
        <f>ROUND(SETUP!$G$3 * SETUP!$I$3, 2)</f>
        <v>0.57999999999999996</v>
      </c>
      <c r="N19" s="6">
        <f>SETUP!$G$3 + SUM(Tabela1[[#This Row],[EMOL CP]]:Tabela1[[#This Row],[OUTRAS CP]])</f>
        <v>25.81</v>
      </c>
      <c r="O19" s="6">
        <f>TRUNC([APLICAÇÃO] * 2  * SETUP!$A$3, 2)</f>
        <v>5.55</v>
      </c>
      <c r="P19" s="6">
        <f>TRUNC([APLICAÇÃO] * 2  * SETUP!$B$3, 2)</f>
        <v>4.13</v>
      </c>
      <c r="Q19" s="6">
        <f>TRUNC([APLICAÇÃO] * 2  * SETUP!$C$3, 2)</f>
        <v>10.43</v>
      </c>
      <c r="R19" s="6">
        <f>TRUNC(SETUP!$G$3  * SETUP!$H$3, 2)</f>
        <v>0.28999999999999998</v>
      </c>
      <c r="S19" s="6">
        <f>ROUND(SETUP!$G$3 * SETUP!$I$3, 2)</f>
        <v>0.57999999999999996</v>
      </c>
      <c r="T19" s="6">
        <f>SETUP!$G$3 + SUM(Tabela1[[#This Row],[EMOL VD]]:Tabela1[[#This Row],[OUTRAS VD]])</f>
        <v>35.879999999999995</v>
      </c>
      <c r="U19" s="47">
        <f>((([APLICAÇÃO] * 2) - [TAXA VD]) - ([APLICAÇÃO] + [TAXA CP])) * 0.85</f>
        <v>6331.0635000000002</v>
      </c>
      <c r="V19" s="6">
        <f>IF([LUCRO] &lt; 0, 0, ROUND([LUCRO]*80%, 2))</f>
        <v>0</v>
      </c>
      <c r="W19" s="6">
        <f>[LUCRO]-[PROTEÇÃO MÊS]</f>
        <v>0</v>
      </c>
      <c r="X19" s="38">
        <f>SUMPRODUCT(N([TRADE] &lt;= Tabela1[[#This Row],[TRADE]]), [PROTEÇÃO MÊS]) - [APORTE RF]</f>
        <v>917.54</v>
      </c>
      <c r="Y19" s="6">
        <f>[TOT RF] + [REINVESTIR] + [APLICAÇÃO]</f>
        <v>8427.5400000000009</v>
      </c>
      <c r="Z19" s="4">
        <f>IF(AND([PROTEÇÃO MÊS] &gt; 0, ([TOT RF] - [PROTEÇÃO MÊS]) &gt; 0), [PROTEÇÃO MÊS] / ([TOT RF] - [PROTEÇÃO MÊS]), 0)</f>
        <v>0</v>
      </c>
    </row>
    <row r="20" spans="1:26">
      <c r="A20" s="1">
        <v>19</v>
      </c>
      <c r="B20" s="17">
        <v>41548</v>
      </c>
      <c r="C20" s="3"/>
      <c r="D20" s="3"/>
      <c r="E20" s="3">
        <v>0</v>
      </c>
      <c r="F20" s="6">
        <v>700</v>
      </c>
      <c r="G20" s="6">
        <f>SUMPRODUCT(N([TRADE] &lt;= Tabela1[[#This Row],[TRADE]]), [APORTE]) + SUMPRODUCT(N([TRADE] &lt;= Tabela1[[#This Row],[TRADE]]), [APORTE RF])</f>
        <v>10733.4</v>
      </c>
      <c r="H20" s="6">
        <f>[MONTANTE] - SUMPRODUCT(N([TRADE] &lt;= Tabela1[[#This Row],[TRADE]]), [SAQUE]) + SUMPRODUCT(N([TRADE] &lt; Tabela1[[#This Row],[TRADE]]), [REINVESTIR])</f>
        <v>8210</v>
      </c>
      <c r="I20" s="6">
        <f>TRUNC([APLICAÇÃO]  * SETUP!$A$3, 2)</f>
        <v>3.03</v>
      </c>
      <c r="J20" s="6">
        <f>TRUNC([APLICAÇÃO]  * SETUP!$B$3, 2)</f>
        <v>2.25</v>
      </c>
      <c r="K20" s="6">
        <f>TRUNC([APLICAÇÃO]  * SETUP!$C$3, 2)</f>
        <v>5.7</v>
      </c>
      <c r="L20" s="6">
        <f>TRUNC(SETUP!$G$3  * SETUP!$H$3, 2)</f>
        <v>0.28999999999999998</v>
      </c>
      <c r="M20" s="6">
        <f>ROUND(SETUP!$G$3 * SETUP!$I$3, 2)</f>
        <v>0.57999999999999996</v>
      </c>
      <c r="N20" s="6">
        <f>SETUP!$G$3 + SUM(Tabela1[[#This Row],[EMOL CP]]:Tabela1[[#This Row],[OUTRAS CP]])</f>
        <v>26.75</v>
      </c>
      <c r="O20" s="6">
        <f>TRUNC([APLICAÇÃO] * 2  * SETUP!$A$3, 2)</f>
        <v>6.07</v>
      </c>
      <c r="P20" s="6">
        <f>TRUNC([APLICAÇÃO] * 2  * SETUP!$B$3, 2)</f>
        <v>4.51</v>
      </c>
      <c r="Q20" s="6">
        <f>TRUNC([APLICAÇÃO] * 2  * SETUP!$C$3, 2)</f>
        <v>11.41</v>
      </c>
      <c r="R20" s="6">
        <f>TRUNC(SETUP!$G$3  * SETUP!$H$3, 2)</f>
        <v>0.28999999999999998</v>
      </c>
      <c r="S20" s="6">
        <f>ROUND(SETUP!$G$3 * SETUP!$I$3, 2)</f>
        <v>0.57999999999999996</v>
      </c>
      <c r="T20" s="6">
        <f>SETUP!$G$3 + SUM(Tabela1[[#This Row],[EMOL VD]]:Tabela1[[#This Row],[OUTRAS VD]])</f>
        <v>37.76</v>
      </c>
      <c r="U20" s="47">
        <f>((([APLICAÇÃO] * 2) - [TAXA VD]) - ([APLICAÇÃO] + [TAXA CP])) * 0.85</f>
        <v>6923.6664999999994</v>
      </c>
      <c r="V20" s="6">
        <f>IF([LUCRO] &lt; 0, 0, ROUND([LUCRO]*80%, 2))</f>
        <v>0</v>
      </c>
      <c r="W20" s="6">
        <f>[LUCRO]-[PROTEÇÃO MÊS]</f>
        <v>0</v>
      </c>
      <c r="X20" s="38">
        <f>SUMPRODUCT(N([TRADE] &lt;= Tabela1[[#This Row],[TRADE]]), [PROTEÇÃO MÊS]) - [APORTE RF]</f>
        <v>917.54</v>
      </c>
      <c r="Y20" s="6">
        <f>[TOT RF] + [REINVESTIR] + [APLICAÇÃO]</f>
        <v>9127.5400000000009</v>
      </c>
      <c r="Z20" s="4">
        <f>IF(AND([PROTEÇÃO MÊS] &gt; 0, ([TOT RF] - [PROTEÇÃO MÊS]) &gt; 0), [PROTEÇÃO MÊS] / ([TOT RF] - [PROTEÇÃO MÊS]), 0)</f>
        <v>0</v>
      </c>
    </row>
    <row r="21" spans="1:26">
      <c r="A21" s="1">
        <v>20</v>
      </c>
      <c r="B21" s="17">
        <v>41579</v>
      </c>
      <c r="C21" s="3"/>
      <c r="D21" s="3"/>
      <c r="E21" s="3">
        <v>0</v>
      </c>
      <c r="F21" s="6">
        <v>700</v>
      </c>
      <c r="G21" s="6">
        <f>SUMPRODUCT(N([TRADE] &lt;= Tabela1[[#This Row],[TRADE]]), [APORTE]) + SUMPRODUCT(N([TRADE] &lt;= Tabela1[[#This Row],[TRADE]]), [APORTE RF])</f>
        <v>11433.4</v>
      </c>
      <c r="H21" s="6">
        <f>[MONTANTE] - SUMPRODUCT(N([TRADE] &lt;= Tabela1[[#This Row],[TRADE]]), [SAQUE]) + SUMPRODUCT(N([TRADE] &lt; Tabela1[[#This Row],[TRADE]]), [REINVESTIR])</f>
        <v>8910</v>
      </c>
      <c r="I21" s="6">
        <f>TRUNC([APLICAÇÃO]  * SETUP!$A$3, 2)</f>
        <v>3.29</v>
      </c>
      <c r="J21" s="6">
        <f>TRUNC([APLICAÇÃO]  * SETUP!$B$3, 2)</f>
        <v>2.4500000000000002</v>
      </c>
      <c r="K21" s="6">
        <f>TRUNC([APLICAÇÃO]  * SETUP!$C$3, 2)</f>
        <v>6.19</v>
      </c>
      <c r="L21" s="6">
        <f>TRUNC(SETUP!$G$3  * SETUP!$H$3, 2)</f>
        <v>0.28999999999999998</v>
      </c>
      <c r="M21" s="6">
        <f>ROUND(SETUP!$G$3 * SETUP!$I$3, 2)</f>
        <v>0.57999999999999996</v>
      </c>
      <c r="N21" s="6">
        <f>SETUP!$G$3 + SUM(Tabela1[[#This Row],[EMOL CP]]:Tabela1[[#This Row],[OUTRAS CP]])</f>
        <v>27.7</v>
      </c>
      <c r="O21" s="6">
        <f>TRUNC([APLICAÇÃO] * 2  * SETUP!$A$3, 2)</f>
        <v>6.59</v>
      </c>
      <c r="P21" s="6">
        <f>TRUNC([APLICAÇÃO] * 2  * SETUP!$B$3, 2)</f>
        <v>4.9000000000000004</v>
      </c>
      <c r="Q21" s="6">
        <f>TRUNC([APLICAÇÃO] * 2  * SETUP!$C$3, 2)</f>
        <v>12.38</v>
      </c>
      <c r="R21" s="6">
        <f>TRUNC(SETUP!$G$3  * SETUP!$H$3, 2)</f>
        <v>0.28999999999999998</v>
      </c>
      <c r="S21" s="6">
        <f>ROUND(SETUP!$G$3 * SETUP!$I$3, 2)</f>
        <v>0.57999999999999996</v>
      </c>
      <c r="T21" s="6">
        <f>SETUP!$G$3 + SUM(Tabela1[[#This Row],[EMOL VD]]:Tabela1[[#This Row],[OUTRAS VD]])</f>
        <v>39.64</v>
      </c>
      <c r="U21" s="47">
        <f>((([APLICAÇÃO] * 2) - [TAXA VD]) - ([APLICAÇÃO] + [TAXA CP])) * 0.85</f>
        <v>7516.2609999999995</v>
      </c>
      <c r="V21" s="6">
        <f>IF([LUCRO] &lt; 0, 0, ROUND([LUCRO]*80%, 2))</f>
        <v>0</v>
      </c>
      <c r="W21" s="6">
        <f>[LUCRO]-[PROTEÇÃO MÊS]</f>
        <v>0</v>
      </c>
      <c r="X21" s="38">
        <f>SUMPRODUCT(N([TRADE] &lt;= Tabela1[[#This Row],[TRADE]]), [PROTEÇÃO MÊS]) - [APORTE RF]</f>
        <v>917.54</v>
      </c>
      <c r="Y21" s="6">
        <f>[TOT RF] + [REINVESTIR] + [APLICAÇÃO]</f>
        <v>9827.5400000000009</v>
      </c>
      <c r="Z21" s="4">
        <f>IF(AND([PROTEÇÃO MÊS] &gt; 0, ([TOT RF] - [PROTEÇÃO MÊS]) &gt; 0), [PROTEÇÃO MÊS] / ([TOT RF] - [PROTEÇÃO MÊS]), 0)</f>
        <v>0</v>
      </c>
    </row>
    <row r="22" spans="1:26">
      <c r="A22" s="1">
        <v>21</v>
      </c>
      <c r="B22" s="17">
        <v>41609</v>
      </c>
      <c r="C22" s="18"/>
      <c r="D22" s="18"/>
      <c r="E22" s="18">
        <v>0</v>
      </c>
      <c r="F22" s="6">
        <v>700</v>
      </c>
      <c r="G22" s="19">
        <f>SUMPRODUCT(N([TRADE] &lt;= Tabela1[[#This Row],[TRADE]]), [APORTE]) + SUMPRODUCT(N([TRADE] &lt;= Tabela1[[#This Row],[TRADE]]), [APORTE RF])</f>
        <v>12133.4</v>
      </c>
      <c r="H22" s="19">
        <f>[MONTANTE] - SUMPRODUCT(N([TRADE] &lt;= Tabela1[[#This Row],[TRADE]]), [SAQUE]) + SUMPRODUCT(N([TRADE] &lt; Tabela1[[#This Row],[TRADE]]), [REINVESTIR])</f>
        <v>9610</v>
      </c>
      <c r="I22" s="19">
        <f>TRUNC([APLICAÇÃO]  * SETUP!$A$3, 2)</f>
        <v>3.55</v>
      </c>
      <c r="J22" s="19">
        <f>TRUNC([APLICAÇÃO]  * SETUP!$B$3, 2)</f>
        <v>2.64</v>
      </c>
      <c r="K22" s="19">
        <f>TRUNC([APLICAÇÃO]  * SETUP!$C$3, 2)</f>
        <v>6.67</v>
      </c>
      <c r="L22" s="19">
        <f>TRUNC(SETUP!$G$3  * SETUP!$H$3, 2)</f>
        <v>0.28999999999999998</v>
      </c>
      <c r="M22" s="19">
        <f>ROUND(SETUP!$G$3 * SETUP!$I$3, 2)</f>
        <v>0.57999999999999996</v>
      </c>
      <c r="N22" s="19">
        <f>SETUP!$G$3 + SUM(Tabela1[[#This Row],[EMOL CP]]:Tabela1[[#This Row],[OUTRAS CP]])</f>
        <v>28.63</v>
      </c>
      <c r="O22" s="19">
        <f>TRUNC([APLICAÇÃO] * 2  * SETUP!$A$3, 2)</f>
        <v>7.11</v>
      </c>
      <c r="P22" s="19">
        <f>TRUNC([APLICAÇÃO] * 2  * SETUP!$B$3, 2)</f>
        <v>5.28</v>
      </c>
      <c r="Q22" s="19">
        <f>TRUNC([APLICAÇÃO] * 2  * SETUP!$C$3, 2)</f>
        <v>13.35</v>
      </c>
      <c r="R22" s="19">
        <f>TRUNC(SETUP!$G$3  * SETUP!$H$3, 2)</f>
        <v>0.28999999999999998</v>
      </c>
      <c r="S22" s="19">
        <f>ROUND(SETUP!$G$3 * SETUP!$I$3, 2)</f>
        <v>0.57999999999999996</v>
      </c>
      <c r="T22" s="19">
        <f>SETUP!$G$3 + SUM(Tabela1[[#This Row],[EMOL VD]]:Tabela1[[#This Row],[OUTRAS VD]])</f>
        <v>41.51</v>
      </c>
      <c r="U22" s="48">
        <f>((([APLICAÇÃO] * 2) - [TAXA VD]) - ([APLICAÇÃO] + [TAXA CP])) * 0.85</f>
        <v>8108.8810000000021</v>
      </c>
      <c r="V22" s="19">
        <f>IF([LUCRO] &lt; 0, 0, ROUND([LUCRO]*80%, 2))</f>
        <v>0</v>
      </c>
      <c r="W22" s="19">
        <f>[LUCRO]-[PROTEÇÃO MÊS]</f>
        <v>0</v>
      </c>
      <c r="X22" s="39">
        <f>SUMPRODUCT(N([TRADE] &lt;= Tabela1[[#This Row],[TRADE]]), [PROTEÇÃO MÊS]) - [APORTE RF]</f>
        <v>917.54</v>
      </c>
      <c r="Y22" s="19">
        <f>[TOT RF] + [REINVESTIR] + [APLICAÇÃO]</f>
        <v>10527.54</v>
      </c>
      <c r="Z22" s="20">
        <f>IF(AND([PROTEÇÃO MÊS] &gt; 0, ([TOT RF] - [PROTEÇÃO MÊS]) &gt; 0), [PROTEÇÃO MÊS] / ([TOT RF] - [PROTEÇÃO MÊS]), 0)</f>
        <v>0</v>
      </c>
    </row>
    <row r="23" spans="1:26">
      <c r="A23" s="1">
        <v>22</v>
      </c>
      <c r="B23" s="17">
        <v>41640</v>
      </c>
      <c r="C23" s="3"/>
      <c r="D23" s="3"/>
      <c r="E23" s="3">
        <v>0</v>
      </c>
      <c r="F23" s="6">
        <v>700</v>
      </c>
      <c r="G23" s="6">
        <f>SUMPRODUCT(N([TRADE] &lt;= Tabela1[[#This Row],[TRADE]]), [APORTE]) + SUMPRODUCT(N([TRADE] &lt;= Tabela1[[#This Row],[TRADE]]), [APORTE RF])</f>
        <v>12833.4</v>
      </c>
      <c r="H23" s="6">
        <f>[MONTANTE] - SUMPRODUCT(N([TRADE] &lt;= Tabela1[[#This Row],[TRADE]]), [SAQUE]) + SUMPRODUCT(N([TRADE] &lt; Tabela1[[#This Row],[TRADE]]), [REINVESTIR])</f>
        <v>10310</v>
      </c>
      <c r="I23" s="6">
        <f>TRUNC([APLICAÇÃO]  * SETUP!$A$3, 2)</f>
        <v>3.81</v>
      </c>
      <c r="J23" s="6">
        <f>TRUNC([APLICAÇÃO]  * SETUP!$B$3, 2)</f>
        <v>2.83</v>
      </c>
      <c r="K23" s="6">
        <f>TRUNC([APLICAÇÃO]  * SETUP!$C$3, 2)</f>
        <v>7.16</v>
      </c>
      <c r="L23" s="6">
        <f>TRUNC(SETUP!$G$3  * SETUP!$H$3, 2)</f>
        <v>0.28999999999999998</v>
      </c>
      <c r="M23" s="6">
        <f>ROUND(SETUP!$G$3 * SETUP!$I$3, 2)</f>
        <v>0.57999999999999996</v>
      </c>
      <c r="N23" s="6">
        <f>SETUP!$G$3 + SUM(Tabela1[[#This Row],[EMOL CP]]:Tabela1[[#This Row],[OUTRAS CP]])</f>
        <v>29.57</v>
      </c>
      <c r="O23" s="6">
        <f>TRUNC([APLICAÇÃO] * 2  * SETUP!$A$3, 2)</f>
        <v>7.62</v>
      </c>
      <c r="P23" s="6">
        <f>TRUNC([APLICAÇÃO] * 2  * SETUP!$B$3, 2)</f>
        <v>5.67</v>
      </c>
      <c r="Q23" s="6">
        <f>TRUNC([APLICAÇÃO] * 2  * SETUP!$C$3, 2)</f>
        <v>14.33</v>
      </c>
      <c r="R23" s="6">
        <f>TRUNC(SETUP!$G$3  * SETUP!$H$3, 2)</f>
        <v>0.28999999999999998</v>
      </c>
      <c r="S23" s="6">
        <f>ROUND(SETUP!$G$3 * SETUP!$I$3, 2)</f>
        <v>0.57999999999999996</v>
      </c>
      <c r="T23" s="6">
        <f>SETUP!$G$3 + SUM(Tabela1[[#This Row],[EMOL VD]]:Tabela1[[#This Row],[OUTRAS VD]])</f>
        <v>43.389999999999993</v>
      </c>
      <c r="U23" s="47">
        <f>((([APLICAÇÃO] * 2) - [TAXA VD]) - ([APLICAÇÃO] + [TAXA CP])) * 0.85</f>
        <v>8701.4840000000004</v>
      </c>
      <c r="V23" s="6">
        <f>IF([LUCRO] &lt; 0, 0, ROUND([LUCRO]*80%, 2))</f>
        <v>0</v>
      </c>
      <c r="W23" s="6">
        <f>[LUCRO]-[PROTEÇÃO MÊS]</f>
        <v>0</v>
      </c>
      <c r="X23" s="38">
        <f>SUMPRODUCT(N([TRADE] &lt;= Tabela1[[#This Row],[TRADE]]), [PROTEÇÃO MÊS]) - [APORTE RF]</f>
        <v>917.54</v>
      </c>
      <c r="Y23" s="6">
        <f>[TOT RF] + [REINVESTIR] + [APLICAÇÃO]</f>
        <v>11227.54</v>
      </c>
      <c r="Z23" s="4">
        <f>IF(AND([PROTEÇÃO MÊS] &gt; 0, ([TOT RF] - [PROTEÇÃO MÊS]) &gt; 0), [PROTEÇÃO MÊS] / ([TOT RF] - [PROTEÇÃO MÊS]), 0)</f>
        <v>0</v>
      </c>
    </row>
    <row r="24" spans="1:26">
      <c r="A24" s="1">
        <v>23</v>
      </c>
      <c r="B24" s="17">
        <v>41671</v>
      </c>
      <c r="C24" s="3"/>
      <c r="D24" s="3"/>
      <c r="E24" s="3">
        <v>0</v>
      </c>
      <c r="F24" s="6">
        <v>700</v>
      </c>
      <c r="G24" s="6">
        <f>SUMPRODUCT(N([TRADE] &lt;= Tabela1[[#This Row],[TRADE]]), [APORTE]) + SUMPRODUCT(N([TRADE] &lt;= Tabela1[[#This Row],[TRADE]]), [APORTE RF])</f>
        <v>13533.4</v>
      </c>
      <c r="H24" s="6">
        <f>[MONTANTE] - SUMPRODUCT(N([TRADE] &lt;= Tabela1[[#This Row],[TRADE]]), [SAQUE]) + SUMPRODUCT(N([TRADE] &lt; Tabela1[[#This Row],[TRADE]]), [REINVESTIR])</f>
        <v>11010</v>
      </c>
      <c r="I24" s="6">
        <f>TRUNC([APLICAÇÃO]  * SETUP!$A$3, 2)</f>
        <v>4.07</v>
      </c>
      <c r="J24" s="6">
        <f>TRUNC([APLICAÇÃO]  * SETUP!$B$3, 2)</f>
        <v>3.02</v>
      </c>
      <c r="K24" s="6">
        <f>TRUNC([APLICAÇÃO]  * SETUP!$C$3, 2)</f>
        <v>7.65</v>
      </c>
      <c r="L24" s="6">
        <f>TRUNC(SETUP!$G$3  * SETUP!$H$3, 2)</f>
        <v>0.28999999999999998</v>
      </c>
      <c r="M24" s="6">
        <f>ROUND(SETUP!$G$3 * SETUP!$I$3, 2)</f>
        <v>0.57999999999999996</v>
      </c>
      <c r="N24" s="6">
        <f>SETUP!$G$3 + SUM(Tabela1[[#This Row],[EMOL CP]]:Tabela1[[#This Row],[OUTRAS CP]])</f>
        <v>30.509999999999998</v>
      </c>
      <c r="O24" s="6">
        <f>TRUNC([APLICAÇÃO] * 2  * SETUP!$A$3, 2)</f>
        <v>8.14</v>
      </c>
      <c r="P24" s="6">
        <f>TRUNC([APLICAÇÃO] * 2  * SETUP!$B$3, 2)</f>
        <v>6.05</v>
      </c>
      <c r="Q24" s="6">
        <f>TRUNC([APLICAÇÃO] * 2  * SETUP!$C$3, 2)</f>
        <v>15.3</v>
      </c>
      <c r="R24" s="6">
        <f>TRUNC(SETUP!$G$3  * SETUP!$H$3, 2)</f>
        <v>0.28999999999999998</v>
      </c>
      <c r="S24" s="6">
        <f>ROUND(SETUP!$G$3 * SETUP!$I$3, 2)</f>
        <v>0.57999999999999996</v>
      </c>
      <c r="T24" s="6">
        <f>SETUP!$G$3 + SUM(Tabela1[[#This Row],[EMOL VD]]:Tabela1[[#This Row],[OUTRAS VD]])</f>
        <v>45.26</v>
      </c>
      <c r="U24" s="47">
        <f>((([APLICAÇÃO] * 2) - [TAXA VD]) - ([APLICAÇÃO] + [TAXA CP])) * 0.85</f>
        <v>9294.0955000000013</v>
      </c>
      <c r="V24" s="6">
        <f>IF([LUCRO] &lt; 0, 0, ROUND([LUCRO]*80%, 2))</f>
        <v>0</v>
      </c>
      <c r="W24" s="6">
        <f>[LUCRO]-[PROTEÇÃO MÊS]</f>
        <v>0</v>
      </c>
      <c r="X24" s="38">
        <f>SUMPRODUCT(N([TRADE] &lt;= Tabela1[[#This Row],[TRADE]]), [PROTEÇÃO MÊS]) - [APORTE RF]</f>
        <v>917.54</v>
      </c>
      <c r="Y24" s="6">
        <f>[TOT RF] + [REINVESTIR] + [APLICAÇÃO]</f>
        <v>11927.54</v>
      </c>
      <c r="Z24" s="4">
        <f>IF(AND([PROTEÇÃO MÊS] &gt; 0, ([TOT RF] - [PROTEÇÃO MÊS]) &gt; 0), [PROTEÇÃO MÊS] / ([TOT RF] - [PROTEÇÃO MÊS]), 0)</f>
        <v>0</v>
      </c>
    </row>
    <row r="25" spans="1:26">
      <c r="A25" s="1">
        <v>24</v>
      </c>
      <c r="B25" s="17">
        <v>41699</v>
      </c>
      <c r="C25" s="3"/>
      <c r="D25" s="3"/>
      <c r="E25" s="3">
        <v>0</v>
      </c>
      <c r="F25" s="6">
        <v>700</v>
      </c>
      <c r="G25" s="6">
        <f>SUMPRODUCT(N([TRADE] &lt;= Tabela1[[#This Row],[TRADE]]), [APORTE]) + SUMPRODUCT(N([TRADE] &lt;= Tabela1[[#This Row],[TRADE]]), [APORTE RF])</f>
        <v>14233.4</v>
      </c>
      <c r="H25" s="6">
        <f>[MONTANTE] - SUMPRODUCT(N([TRADE] &lt;= Tabela1[[#This Row],[TRADE]]), [SAQUE]) + SUMPRODUCT(N([TRADE] &lt; Tabela1[[#This Row],[TRADE]]), [REINVESTIR])</f>
        <v>11710</v>
      </c>
      <c r="I25" s="6">
        <f>TRUNC([APLICAÇÃO]  * SETUP!$A$3, 2)</f>
        <v>4.33</v>
      </c>
      <c r="J25" s="6">
        <f>TRUNC([APLICAÇÃO]  * SETUP!$B$3, 2)</f>
        <v>3.22</v>
      </c>
      <c r="K25" s="6">
        <f>TRUNC([APLICAÇÃO]  * SETUP!$C$3, 2)</f>
        <v>8.1300000000000008</v>
      </c>
      <c r="L25" s="6">
        <f>TRUNC(SETUP!$G$3  * SETUP!$H$3, 2)</f>
        <v>0.28999999999999998</v>
      </c>
      <c r="M25" s="6">
        <f>ROUND(SETUP!$G$3 * SETUP!$I$3, 2)</f>
        <v>0.57999999999999996</v>
      </c>
      <c r="N25" s="6">
        <f>SETUP!$G$3 + SUM(Tabela1[[#This Row],[EMOL CP]]:Tabela1[[#This Row],[OUTRAS CP]])</f>
        <v>31.450000000000003</v>
      </c>
      <c r="O25" s="6">
        <f>TRUNC([APLICAÇÃO] * 2  * SETUP!$A$3, 2)</f>
        <v>8.66</v>
      </c>
      <c r="P25" s="6">
        <f>TRUNC([APLICAÇÃO] * 2  * SETUP!$B$3, 2)</f>
        <v>6.44</v>
      </c>
      <c r="Q25" s="6">
        <f>TRUNC([APLICAÇÃO] * 2  * SETUP!$C$3, 2)</f>
        <v>16.27</v>
      </c>
      <c r="R25" s="6">
        <f>TRUNC(SETUP!$G$3  * SETUP!$H$3, 2)</f>
        <v>0.28999999999999998</v>
      </c>
      <c r="S25" s="6">
        <f>ROUND(SETUP!$G$3 * SETUP!$I$3, 2)</f>
        <v>0.57999999999999996</v>
      </c>
      <c r="T25" s="6">
        <f>SETUP!$G$3 + SUM(Tabela1[[#This Row],[EMOL VD]]:Tabela1[[#This Row],[OUTRAS VD]])</f>
        <v>47.14</v>
      </c>
      <c r="U25" s="47">
        <f>((([APLICAÇÃO] * 2) - [TAXA VD]) - ([APLICAÇÃO] + [TAXA CP])) * 0.85</f>
        <v>9886.6985000000004</v>
      </c>
      <c r="V25" s="6">
        <f>IF([LUCRO] &lt; 0, 0, ROUND([LUCRO]*80%, 2))</f>
        <v>0</v>
      </c>
      <c r="W25" s="6">
        <f>[LUCRO]-[PROTEÇÃO MÊS]</f>
        <v>0</v>
      </c>
      <c r="X25" s="38">
        <f>SUMPRODUCT(N([TRADE] &lt;= Tabela1[[#This Row],[TRADE]]), [PROTEÇÃO MÊS]) - [APORTE RF]</f>
        <v>917.54</v>
      </c>
      <c r="Y25" s="6">
        <f>[TOT RF] + [REINVESTIR] + [APLICAÇÃO]</f>
        <v>12627.54</v>
      </c>
      <c r="Z25" s="4">
        <f>IF(AND([PROTEÇÃO MÊS] &gt; 0, ([TOT RF] - [PROTEÇÃO MÊS]) &gt; 0), [PROTEÇÃO MÊS] / ([TOT RF] - [PROTEÇÃO MÊS]), 0)</f>
        <v>0</v>
      </c>
    </row>
    <row r="26" spans="1:26">
      <c r="A26" s="1">
        <v>25</v>
      </c>
      <c r="B26" s="17">
        <v>41730</v>
      </c>
      <c r="C26" s="3"/>
      <c r="D26" s="3"/>
      <c r="E26" s="3">
        <v>0</v>
      </c>
      <c r="F26" s="6">
        <v>700</v>
      </c>
      <c r="G26" s="6">
        <f>SUMPRODUCT(N([TRADE] &lt;= Tabela1[[#This Row],[TRADE]]), [APORTE]) + SUMPRODUCT(N([TRADE] &lt;= Tabela1[[#This Row],[TRADE]]), [APORTE RF])</f>
        <v>14933.4</v>
      </c>
      <c r="H26" s="6">
        <f>[MONTANTE] - SUMPRODUCT(N([TRADE] &lt;= Tabela1[[#This Row],[TRADE]]), [SAQUE]) + SUMPRODUCT(N([TRADE] &lt; Tabela1[[#This Row],[TRADE]]), [REINVESTIR])</f>
        <v>12410</v>
      </c>
      <c r="I26" s="6">
        <f>TRUNC([APLICAÇÃO]  * SETUP!$A$3, 2)</f>
        <v>4.59</v>
      </c>
      <c r="J26" s="6">
        <f>TRUNC([APLICAÇÃO]  * SETUP!$B$3, 2)</f>
        <v>3.41</v>
      </c>
      <c r="K26" s="6">
        <f>TRUNC([APLICAÇÃO]  * SETUP!$C$3, 2)</f>
        <v>8.6199999999999992</v>
      </c>
      <c r="L26" s="6">
        <f>TRUNC(SETUP!$G$3  * SETUP!$H$3, 2)</f>
        <v>0.28999999999999998</v>
      </c>
      <c r="M26" s="6">
        <f>ROUND(SETUP!$G$3 * SETUP!$I$3, 2)</f>
        <v>0.57999999999999996</v>
      </c>
      <c r="N26" s="6">
        <f>SETUP!$G$3 + SUM(Tabela1[[#This Row],[EMOL CP]]:Tabela1[[#This Row],[OUTRAS CP]])</f>
        <v>32.389999999999993</v>
      </c>
      <c r="O26" s="6">
        <f>TRUNC([APLICAÇÃO] * 2  * SETUP!$A$3, 2)</f>
        <v>9.18</v>
      </c>
      <c r="P26" s="6">
        <f>TRUNC([APLICAÇÃO] * 2  * SETUP!$B$3, 2)</f>
        <v>6.82</v>
      </c>
      <c r="Q26" s="6">
        <f>TRUNC([APLICAÇÃO] * 2  * SETUP!$C$3, 2)</f>
        <v>17.239999999999998</v>
      </c>
      <c r="R26" s="6">
        <f>TRUNC(SETUP!$G$3  * SETUP!$H$3, 2)</f>
        <v>0.28999999999999998</v>
      </c>
      <c r="S26" s="6">
        <f>ROUND(SETUP!$G$3 * SETUP!$I$3, 2)</f>
        <v>0.57999999999999996</v>
      </c>
      <c r="T26" s="6">
        <f>SETUP!$G$3 + SUM(Tabela1[[#This Row],[EMOL VD]]:Tabela1[[#This Row],[OUTRAS VD]])</f>
        <v>49.009999999999991</v>
      </c>
      <c r="U26" s="47">
        <f>((([APLICAÇÃO] * 2) - [TAXA VD]) - ([APLICAÇÃO] + [TAXA CP])) * 0.85</f>
        <v>10479.310000000001</v>
      </c>
      <c r="V26" s="6">
        <f>IF([LUCRO] &lt; 0, 0, ROUND([LUCRO]*80%, 2))</f>
        <v>0</v>
      </c>
      <c r="W26" s="6">
        <f>[LUCRO]-[PROTEÇÃO MÊS]</f>
        <v>0</v>
      </c>
      <c r="X26" s="38">
        <f>SUMPRODUCT(N([TRADE] &lt;= Tabela1[[#This Row],[TRADE]]), [PROTEÇÃO MÊS]) - [APORTE RF]</f>
        <v>917.54</v>
      </c>
      <c r="Y26" s="6">
        <f>[TOT RF] + [REINVESTIR] + [APLICAÇÃO]</f>
        <v>13327.54</v>
      </c>
      <c r="Z26" s="4">
        <f>IF(AND([PROTEÇÃO MÊS] &gt; 0, ([TOT RF] - [PROTEÇÃO MÊS]) &gt; 0), [PROTEÇÃO MÊS] / ([TOT RF] - [PROTEÇÃO MÊS]), 0)</f>
        <v>0</v>
      </c>
    </row>
    <row r="27" spans="1:26">
      <c r="A27" s="1">
        <v>26</v>
      </c>
      <c r="B27" s="17">
        <v>41760</v>
      </c>
      <c r="C27" s="3"/>
      <c r="D27" s="3"/>
      <c r="E27" s="3">
        <v>0</v>
      </c>
      <c r="F27" s="6">
        <v>700</v>
      </c>
      <c r="G27" s="6">
        <f>SUMPRODUCT(N([TRADE] &lt;= Tabela1[[#This Row],[TRADE]]), [APORTE]) + SUMPRODUCT(N([TRADE] &lt;= Tabela1[[#This Row],[TRADE]]), [APORTE RF])</f>
        <v>15633.4</v>
      </c>
      <c r="H27" s="6">
        <f>[MONTANTE] - SUMPRODUCT(N([TRADE] &lt;= Tabela1[[#This Row],[TRADE]]), [SAQUE]) + SUMPRODUCT(N([TRADE] &lt; Tabela1[[#This Row],[TRADE]]), [REINVESTIR])</f>
        <v>13110</v>
      </c>
      <c r="I27" s="6">
        <f>TRUNC([APLICAÇÃO]  * SETUP!$A$3, 2)</f>
        <v>4.8499999999999996</v>
      </c>
      <c r="J27" s="6">
        <f>TRUNC([APLICAÇÃO]  * SETUP!$B$3, 2)</f>
        <v>3.6</v>
      </c>
      <c r="K27" s="6">
        <f>TRUNC([APLICAÇÃO]  * SETUP!$C$3, 2)</f>
        <v>9.11</v>
      </c>
      <c r="L27" s="6">
        <f>TRUNC(SETUP!$G$3  * SETUP!$H$3, 2)</f>
        <v>0.28999999999999998</v>
      </c>
      <c r="M27" s="6">
        <f>ROUND(SETUP!$G$3 * SETUP!$I$3, 2)</f>
        <v>0.57999999999999996</v>
      </c>
      <c r="N27" s="6">
        <f>SETUP!$G$3 + SUM(Tabela1[[#This Row],[EMOL CP]]:Tabela1[[#This Row],[OUTRAS CP]])</f>
        <v>33.33</v>
      </c>
      <c r="O27" s="6">
        <f>TRUNC([APLICAÇÃO] * 2  * SETUP!$A$3, 2)</f>
        <v>9.6999999999999993</v>
      </c>
      <c r="P27" s="6">
        <f>TRUNC([APLICAÇÃO] * 2  * SETUP!$B$3, 2)</f>
        <v>7.21</v>
      </c>
      <c r="Q27" s="6">
        <f>TRUNC([APLICAÇÃO] * 2  * SETUP!$C$3, 2)</f>
        <v>18.22</v>
      </c>
      <c r="R27" s="6">
        <f>TRUNC(SETUP!$G$3  * SETUP!$H$3, 2)</f>
        <v>0.28999999999999998</v>
      </c>
      <c r="S27" s="6">
        <f>ROUND(SETUP!$G$3 * SETUP!$I$3, 2)</f>
        <v>0.57999999999999996</v>
      </c>
      <c r="T27" s="6">
        <f>SETUP!$G$3 + SUM(Tabela1[[#This Row],[EMOL VD]]:Tabela1[[#This Row],[OUTRAS VD]])</f>
        <v>50.899999999999991</v>
      </c>
      <c r="U27" s="47">
        <f>((([APLICAÇÃO] * 2) - [TAXA VD]) - ([APLICAÇÃO] + [TAXA CP])) * 0.85</f>
        <v>11071.904499999999</v>
      </c>
      <c r="V27" s="6">
        <f>IF([LUCRO] &lt; 0, 0, ROUND([LUCRO]*80%, 2))</f>
        <v>0</v>
      </c>
      <c r="W27" s="6">
        <f>[LUCRO]-[PROTEÇÃO MÊS]</f>
        <v>0</v>
      </c>
      <c r="X27" s="38">
        <f>SUMPRODUCT(N([TRADE] &lt;= Tabela1[[#This Row],[TRADE]]), [PROTEÇÃO MÊS]) - [APORTE RF]</f>
        <v>917.54</v>
      </c>
      <c r="Y27" s="6">
        <f>[TOT RF] + [REINVESTIR] + [APLICAÇÃO]</f>
        <v>14027.54</v>
      </c>
      <c r="Z27" s="4">
        <f>IF(AND([PROTEÇÃO MÊS] &gt; 0, ([TOT RF] - [PROTEÇÃO MÊS]) &gt; 0), [PROTEÇÃO MÊS] / ([TOT RF] - [PROTEÇÃO MÊS]), 0)</f>
        <v>0</v>
      </c>
    </row>
    <row r="28" spans="1:26">
      <c r="A28" s="1">
        <v>27</v>
      </c>
      <c r="B28" s="17">
        <v>41791</v>
      </c>
      <c r="C28" s="18"/>
      <c r="D28" s="18"/>
      <c r="E28" s="18">
        <v>0</v>
      </c>
      <c r="F28" s="6">
        <v>700</v>
      </c>
      <c r="G28" s="19">
        <f>SUMPRODUCT(N([TRADE] &lt;= Tabela1[[#This Row],[TRADE]]), [APORTE]) + SUMPRODUCT(N([TRADE] &lt;= Tabela1[[#This Row],[TRADE]]), [APORTE RF])</f>
        <v>16333.4</v>
      </c>
      <c r="H28" s="19">
        <f>[MONTANTE] - SUMPRODUCT(N([TRADE] &lt;= Tabela1[[#This Row],[TRADE]]), [SAQUE]) + SUMPRODUCT(N([TRADE] &lt; Tabela1[[#This Row],[TRADE]]), [REINVESTIR])</f>
        <v>13810</v>
      </c>
      <c r="I28" s="19">
        <f>TRUNC([APLICAÇÃO]  * SETUP!$A$3, 2)</f>
        <v>5.0999999999999996</v>
      </c>
      <c r="J28" s="19">
        <f>TRUNC([APLICAÇÃO]  * SETUP!$B$3, 2)</f>
        <v>3.79</v>
      </c>
      <c r="K28" s="19">
        <f>TRUNC([APLICAÇÃO]  * SETUP!$C$3, 2)</f>
        <v>9.59</v>
      </c>
      <c r="L28" s="19">
        <f>TRUNC(SETUP!$G$3  * SETUP!$H$3, 2)</f>
        <v>0.28999999999999998</v>
      </c>
      <c r="M28" s="19">
        <f>ROUND(SETUP!$G$3 * SETUP!$I$3, 2)</f>
        <v>0.57999999999999996</v>
      </c>
      <c r="N28" s="19">
        <f>SETUP!$G$3 + SUM(Tabela1[[#This Row],[EMOL CP]]:Tabela1[[#This Row],[OUTRAS CP]])</f>
        <v>34.25</v>
      </c>
      <c r="O28" s="19">
        <f>TRUNC([APLICAÇÃO] * 2  * SETUP!$A$3, 2)</f>
        <v>10.210000000000001</v>
      </c>
      <c r="P28" s="19">
        <f>TRUNC([APLICAÇÃO] * 2  * SETUP!$B$3, 2)</f>
        <v>7.59</v>
      </c>
      <c r="Q28" s="19">
        <f>TRUNC([APLICAÇÃO] * 2  * SETUP!$C$3, 2)</f>
        <v>19.190000000000001</v>
      </c>
      <c r="R28" s="19">
        <f>TRUNC(SETUP!$G$3  * SETUP!$H$3, 2)</f>
        <v>0.28999999999999998</v>
      </c>
      <c r="S28" s="19">
        <f>ROUND(SETUP!$G$3 * SETUP!$I$3, 2)</f>
        <v>0.57999999999999996</v>
      </c>
      <c r="T28" s="19">
        <f>SETUP!$G$3 + SUM(Tabela1[[#This Row],[EMOL VD]]:Tabela1[[#This Row],[OUTRAS VD]])</f>
        <v>52.76</v>
      </c>
      <c r="U28" s="48">
        <f>((([APLICAÇÃO] * 2) - [TAXA VD]) - ([APLICAÇÃO] + [TAXA CP])) * 0.85</f>
        <v>11664.541500000001</v>
      </c>
      <c r="V28" s="19">
        <f>IF([LUCRO] &lt; 0, 0, ROUND([LUCRO]*80%, 2))</f>
        <v>0</v>
      </c>
      <c r="W28" s="19">
        <f>[LUCRO]-[PROTEÇÃO MÊS]</f>
        <v>0</v>
      </c>
      <c r="X28" s="39">
        <f>SUMPRODUCT(N([TRADE] &lt;= Tabela1[[#This Row],[TRADE]]), [PROTEÇÃO MÊS]) - [APORTE RF]</f>
        <v>917.54</v>
      </c>
      <c r="Y28" s="19">
        <f>[TOT RF] + [REINVESTIR] + [APLICAÇÃO]</f>
        <v>14727.54</v>
      </c>
      <c r="Z28" s="20">
        <f>IF(AND([PROTEÇÃO MÊS] &gt; 0, ([TOT RF] - [PROTEÇÃO MÊS]) &gt; 0), [PROTEÇÃO MÊS] / ([TOT RF] - [PROTEÇÃO MÊS]), 0)</f>
        <v>0</v>
      </c>
    </row>
    <row r="29" spans="1:26">
      <c r="A29" s="1">
        <v>28</v>
      </c>
      <c r="B29" s="17">
        <v>41821</v>
      </c>
      <c r="C29" s="18"/>
      <c r="D29" s="18"/>
      <c r="E29" s="18">
        <v>0</v>
      </c>
      <c r="F29" s="6">
        <v>700</v>
      </c>
      <c r="G29" s="19">
        <f>SUMPRODUCT(N([TRADE] &lt;= Tabela1[[#This Row],[TRADE]]), [APORTE]) + SUMPRODUCT(N([TRADE] &lt;= Tabela1[[#This Row],[TRADE]]), [APORTE RF])</f>
        <v>17033.400000000001</v>
      </c>
      <c r="H29" s="19">
        <f>[MONTANTE] - SUMPRODUCT(N([TRADE] &lt;= Tabela1[[#This Row],[TRADE]]), [SAQUE]) + SUMPRODUCT(N([TRADE] &lt; Tabela1[[#This Row],[TRADE]]), [REINVESTIR])</f>
        <v>14510.000000000002</v>
      </c>
      <c r="I29" s="19">
        <f>TRUNC([APLICAÇÃO]  * SETUP!$A$3, 2)</f>
        <v>5.36</v>
      </c>
      <c r="J29" s="19">
        <f>TRUNC([APLICAÇÃO]  * SETUP!$B$3, 2)</f>
        <v>3.99</v>
      </c>
      <c r="K29" s="19">
        <f>TRUNC([APLICAÇÃO]  * SETUP!$C$3, 2)</f>
        <v>10.08</v>
      </c>
      <c r="L29" s="19">
        <f>TRUNC(SETUP!$G$3  * SETUP!$H$3, 2)</f>
        <v>0.28999999999999998</v>
      </c>
      <c r="M29" s="19">
        <f>ROUND(SETUP!$G$3 * SETUP!$I$3, 2)</f>
        <v>0.57999999999999996</v>
      </c>
      <c r="N29" s="19">
        <f>SETUP!$G$3 + SUM(Tabela1[[#This Row],[EMOL CP]]:Tabela1[[#This Row],[OUTRAS CP]])</f>
        <v>35.199999999999996</v>
      </c>
      <c r="O29" s="19">
        <f>TRUNC([APLICAÇÃO] * 2  * SETUP!$A$3, 2)</f>
        <v>10.73</v>
      </c>
      <c r="P29" s="19">
        <f>TRUNC([APLICAÇÃO] * 2  * SETUP!$B$3, 2)</f>
        <v>7.98</v>
      </c>
      <c r="Q29" s="19">
        <f>TRUNC([APLICAÇÃO] * 2  * SETUP!$C$3, 2)</f>
        <v>20.16</v>
      </c>
      <c r="R29" s="19">
        <f>TRUNC(SETUP!$G$3  * SETUP!$H$3, 2)</f>
        <v>0.28999999999999998</v>
      </c>
      <c r="S29" s="19">
        <f>ROUND(SETUP!$G$3 * SETUP!$I$3, 2)</f>
        <v>0.57999999999999996</v>
      </c>
      <c r="T29" s="19">
        <f>SETUP!$G$3 + SUM(Tabela1[[#This Row],[EMOL VD]]:Tabela1[[#This Row],[OUTRAS VD]])</f>
        <v>54.64</v>
      </c>
      <c r="U29" s="48">
        <f>((([APLICAÇÃO] * 2) - [TAXA VD]) - ([APLICAÇÃO] + [TAXA CP])) * 0.85</f>
        <v>12257.136</v>
      </c>
      <c r="V29" s="19">
        <f>IF([LUCRO] &lt; 0, 0, ROUND([LUCRO]*80%, 2))</f>
        <v>0</v>
      </c>
      <c r="W29" s="19">
        <f>[LUCRO]-[PROTEÇÃO MÊS]</f>
        <v>0</v>
      </c>
      <c r="X29" s="39">
        <f>SUMPRODUCT(N([TRADE] &lt;= Tabela1[[#This Row],[TRADE]]), [PROTEÇÃO MÊS]) - [APORTE RF]</f>
        <v>917.54</v>
      </c>
      <c r="Y29" s="19">
        <f>[TOT RF] + [REINVESTIR] + [APLICAÇÃO]</f>
        <v>15427.54</v>
      </c>
      <c r="Z29" s="20">
        <f>IF(AND([PROTEÇÃO MÊS] &gt; 0, ([TOT RF] - [PROTEÇÃO MÊS]) &gt; 0), [PROTEÇÃO MÊS] / ([TOT RF] - [PROTEÇÃO MÊS]), 0)</f>
        <v>0</v>
      </c>
    </row>
    <row r="30" spans="1:26">
      <c r="A30" s="1">
        <v>29</v>
      </c>
      <c r="B30" s="17">
        <v>41852</v>
      </c>
      <c r="C30" s="35"/>
      <c r="D30" s="35"/>
      <c r="E30" s="35">
        <v>0</v>
      </c>
      <c r="F30" s="36">
        <v>700</v>
      </c>
      <c r="G30" s="36">
        <f>SUMPRODUCT(N([TRADE] &lt;= Tabela1[[#This Row],[TRADE]]), [APORTE]) + SUMPRODUCT(N([TRADE] &lt;= Tabela1[[#This Row],[TRADE]]), [APORTE RF])</f>
        <v>17733.400000000001</v>
      </c>
      <c r="H30" s="36">
        <f>[MONTANTE] - SUMPRODUCT(N([TRADE] &lt;= Tabela1[[#This Row],[TRADE]]), [SAQUE]) + SUMPRODUCT(N([TRADE] &lt; Tabela1[[#This Row],[TRADE]]), [REINVESTIR])</f>
        <v>15210.000000000002</v>
      </c>
      <c r="I30" s="36">
        <f>TRUNC([APLICAÇÃO]  * SETUP!$A$3, 2)</f>
        <v>5.62</v>
      </c>
      <c r="J30" s="36">
        <f>TRUNC([APLICAÇÃO]  * SETUP!$B$3, 2)</f>
        <v>4.18</v>
      </c>
      <c r="K30" s="36">
        <f>TRUNC([APLICAÇÃO]  * SETUP!$C$3, 2)</f>
        <v>10.57</v>
      </c>
      <c r="L30" s="36">
        <f>TRUNC(SETUP!$G$3  * SETUP!$H$3, 2)</f>
        <v>0.28999999999999998</v>
      </c>
      <c r="M30" s="36">
        <f>ROUND(SETUP!$G$3 * SETUP!$I$3, 2)</f>
        <v>0.57999999999999996</v>
      </c>
      <c r="N30" s="36">
        <f>SETUP!$G$3 + SUM(Tabela1[[#This Row],[EMOL CP]]:Tabela1[[#This Row],[OUTRAS CP]])</f>
        <v>36.14</v>
      </c>
      <c r="O30" s="36">
        <f>TRUNC([APLICAÇÃO] * 2  * SETUP!$A$3, 2)</f>
        <v>11.25</v>
      </c>
      <c r="P30" s="36">
        <f>TRUNC([APLICAÇÃO] * 2  * SETUP!$B$3, 2)</f>
        <v>8.36</v>
      </c>
      <c r="Q30" s="36">
        <f>TRUNC([APLICAÇÃO] * 2  * SETUP!$C$3, 2)</f>
        <v>21.14</v>
      </c>
      <c r="R30" s="36">
        <f>TRUNC(SETUP!$G$3  * SETUP!$H$3, 2)</f>
        <v>0.28999999999999998</v>
      </c>
      <c r="S30" s="36">
        <f>ROUND(SETUP!$G$3 * SETUP!$I$3, 2)</f>
        <v>0.57999999999999996</v>
      </c>
      <c r="T30" s="36">
        <f>SETUP!$G$3 + SUM(Tabela1[[#This Row],[EMOL VD]]:Tabela1[[#This Row],[OUTRAS VD]])</f>
        <v>56.519999999999996</v>
      </c>
      <c r="U30" s="48">
        <f>((([APLICAÇÃO] * 2) - [TAXA VD]) - ([APLICAÇÃO] + [TAXA CP])) * 0.85</f>
        <v>12849.739000000001</v>
      </c>
      <c r="V30" s="36">
        <f>IF([LUCRO] &lt; 0, 0, ROUND([LUCRO]*80%, 2))</f>
        <v>0</v>
      </c>
      <c r="W30" s="36">
        <f>[LUCRO]-[PROTEÇÃO MÊS]</f>
        <v>0</v>
      </c>
      <c r="X30" s="39">
        <f>SUMPRODUCT(N([TRADE] &lt;= Tabela1[[#This Row],[TRADE]]), [PROTEÇÃO MÊS]) - [APORTE RF]</f>
        <v>917.54</v>
      </c>
      <c r="Y30" s="36">
        <f>[TOT RF] + [REINVESTIR] + [APLICAÇÃO]</f>
        <v>16127.54</v>
      </c>
      <c r="Z30" s="37">
        <f>IF(AND([PROTEÇÃO MÊS] &gt; 0, ([TOT RF] - [PROTEÇÃO MÊS]) &gt; 0), [PROTEÇÃO MÊS] / ([TOT RF] - [PROTEÇÃO MÊS]), 0)</f>
        <v>0</v>
      </c>
    </row>
    <row r="31" spans="1:26">
      <c r="A31" s="1">
        <v>30</v>
      </c>
      <c r="B31" s="17">
        <v>41883</v>
      </c>
      <c r="C31" s="18"/>
      <c r="D31" s="18"/>
      <c r="E31" s="18">
        <v>0</v>
      </c>
      <c r="F31" s="36">
        <v>700</v>
      </c>
      <c r="G31" s="19">
        <f>SUMPRODUCT(N([TRADE] &lt;= Tabela1[[#This Row],[TRADE]]), [APORTE]) + SUMPRODUCT(N([TRADE] &lt;= Tabela1[[#This Row],[TRADE]]), [APORTE RF])</f>
        <v>18433.400000000001</v>
      </c>
      <c r="H31" s="19">
        <f>[MONTANTE] - SUMPRODUCT(N([TRADE] &lt;= Tabela1[[#This Row],[TRADE]]), [SAQUE]) + SUMPRODUCT(N([TRADE] &lt; Tabela1[[#This Row],[TRADE]]), [REINVESTIR])</f>
        <v>15910.000000000002</v>
      </c>
      <c r="I31" s="19">
        <f>TRUNC([APLICAÇÃO]  * SETUP!$A$3, 2)</f>
        <v>5.88</v>
      </c>
      <c r="J31" s="19">
        <f>TRUNC([APLICAÇÃO]  * SETUP!$B$3, 2)</f>
        <v>4.37</v>
      </c>
      <c r="K31" s="19">
        <f>TRUNC([APLICAÇÃO]  * SETUP!$C$3, 2)</f>
        <v>11.05</v>
      </c>
      <c r="L31" s="19">
        <f>TRUNC(SETUP!$G$3  * SETUP!$H$3, 2)</f>
        <v>0.28999999999999998</v>
      </c>
      <c r="M31" s="19">
        <f>ROUND(SETUP!$G$3 * SETUP!$I$3, 2)</f>
        <v>0.57999999999999996</v>
      </c>
      <c r="N31" s="19">
        <f>SETUP!$G$3 + SUM(Tabela1[[#This Row],[EMOL CP]]:Tabela1[[#This Row],[OUTRAS CP]])</f>
        <v>37.07</v>
      </c>
      <c r="O31" s="19">
        <f>TRUNC([APLICAÇÃO] * 2  * SETUP!$A$3, 2)</f>
        <v>11.77</v>
      </c>
      <c r="P31" s="19">
        <f>TRUNC([APLICAÇÃO] * 2  * SETUP!$B$3, 2)</f>
        <v>8.75</v>
      </c>
      <c r="Q31" s="19">
        <f>TRUNC([APLICAÇÃO] * 2  * SETUP!$C$3, 2)</f>
        <v>22.11</v>
      </c>
      <c r="R31" s="19">
        <f>TRUNC(SETUP!$G$3  * SETUP!$H$3, 2)</f>
        <v>0.28999999999999998</v>
      </c>
      <c r="S31" s="19">
        <f>ROUND(SETUP!$G$3 * SETUP!$I$3, 2)</f>
        <v>0.57999999999999996</v>
      </c>
      <c r="T31" s="19">
        <f>SETUP!$G$3 + SUM(Tabela1[[#This Row],[EMOL VD]]:Tabela1[[#This Row],[OUTRAS VD]])</f>
        <v>58.399999999999991</v>
      </c>
      <c r="U31" s="48">
        <f>((([APLICAÇÃO] * 2) - [TAXA VD]) - ([APLICAÇÃO] + [TAXA CP])) * 0.85</f>
        <v>13442.3505</v>
      </c>
      <c r="V31" s="19">
        <f>IF([LUCRO] &lt; 0, 0, ROUND([LUCRO]*80%, 2))</f>
        <v>0</v>
      </c>
      <c r="W31" s="19">
        <f>[LUCRO]-[PROTEÇÃO MÊS]</f>
        <v>0</v>
      </c>
      <c r="X31" s="39">
        <f>SUMPRODUCT(N([TRADE] &lt;= Tabela1[[#This Row],[TRADE]]), [PROTEÇÃO MÊS]) - [APORTE RF]</f>
        <v>917.54</v>
      </c>
      <c r="Y31" s="19">
        <f>[TOT RF] + [REINVESTIR] + [APLICAÇÃO]</f>
        <v>16827.54</v>
      </c>
      <c r="Z31" s="20">
        <f>IF(AND([PROTEÇÃO MÊS] &gt; 0, ([TOT RF] - [PROTEÇÃO MÊS]) &gt; 0), [PROTEÇÃO MÊS] / ([TOT RF] - [PROTEÇÃO MÊS]), 0)</f>
        <v>0</v>
      </c>
    </row>
    <row r="32" spans="1:26" ht="15">
      <c r="A32" s="1" t="s">
        <v>35</v>
      </c>
      <c r="C32" s="15"/>
      <c r="D32" s="15"/>
      <c r="E32" s="15"/>
      <c r="F32" s="14">
        <f>SUBTOTAL(109,[APORTE])</f>
        <v>18433.400000000001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4"/>
      <c r="X32" s="40"/>
      <c r="Y32" s="14"/>
      <c r="Z32" s="43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F2:F5 Y2 F10:F31 F6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Z32"/>
  <sheetViews>
    <sheetView workbookViewId="0">
      <selection activeCell="E7" sqref="E7"/>
    </sheetView>
  </sheetViews>
  <sheetFormatPr defaultRowHeight="11.25"/>
  <cols>
    <col min="1" max="1" width="7.42578125" style="1" bestFit="1" customWidth="1"/>
    <col min="2" max="2" width="10" style="21" bestFit="1" customWidth="1"/>
    <col min="3" max="3" width="10.140625" style="1" bestFit="1" customWidth="1"/>
    <col min="4" max="4" width="8.5703125" style="1" bestFit="1" customWidth="1"/>
    <col min="5" max="5" width="10.7109375" style="3" bestFit="1" customWidth="1"/>
    <col min="6" max="6" width="8.5703125" style="1" bestFit="1" customWidth="1"/>
    <col min="7" max="7" width="12.85546875" style="1" hidden="1" customWidth="1"/>
    <col min="8" max="8" width="10.85546875" style="1" bestFit="1" customWidth="1"/>
    <col min="9" max="9" width="7.85546875" style="1" hidden="1" customWidth="1"/>
    <col min="10" max="10" width="7.140625" style="1" hidden="1" customWidth="1"/>
    <col min="11" max="11" width="10.5703125" style="1" hidden="1" customWidth="1"/>
    <col min="12" max="12" width="8.85546875" style="1" hidden="1" customWidth="1"/>
    <col min="13" max="18" width="9.140625" style="1" hidden="1" customWidth="1"/>
    <col min="19" max="19" width="11.42578125" style="1" hidden="1" customWidth="1"/>
    <col min="20" max="20" width="11.5703125" style="1" hidden="1" customWidth="1"/>
    <col min="21" max="21" width="11.28515625" style="11" bestFit="1" customWidth="1"/>
    <col min="22" max="22" width="13.28515625" style="1" bestFit="1" customWidth="1"/>
    <col min="23" max="23" width="10.5703125" style="1" bestFit="1" customWidth="1"/>
    <col min="24" max="24" width="11.5703125" style="2" bestFit="1" customWidth="1"/>
    <col min="25" max="25" width="11.85546875" style="1" bestFit="1" customWidth="1"/>
    <col min="26" max="26" width="6.85546875" style="4" bestFit="1" customWidth="1"/>
    <col min="27" max="16384" width="9.140625" style="1"/>
  </cols>
  <sheetData>
    <row r="1" spans="1:26">
      <c r="A1" s="2" t="s">
        <v>29</v>
      </c>
      <c r="B1" s="23" t="s">
        <v>2</v>
      </c>
      <c r="C1" s="2" t="s">
        <v>30</v>
      </c>
      <c r="D1" s="12" t="s">
        <v>33</v>
      </c>
      <c r="E1" s="12" t="s">
        <v>1</v>
      </c>
      <c r="F1" s="2" t="s">
        <v>0</v>
      </c>
      <c r="G1" s="2" t="s">
        <v>3</v>
      </c>
      <c r="H1" s="2" t="s">
        <v>5</v>
      </c>
      <c r="I1" s="2" t="s">
        <v>14</v>
      </c>
      <c r="J1" s="2" t="s">
        <v>15</v>
      </c>
      <c r="K1" s="2" t="s">
        <v>16</v>
      </c>
      <c r="L1" s="2" t="s">
        <v>20</v>
      </c>
      <c r="M1" s="2" t="s">
        <v>19</v>
      </c>
      <c r="N1" s="2" t="s">
        <v>18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7</v>
      </c>
      <c r="V1" s="2" t="s">
        <v>34</v>
      </c>
      <c r="W1" s="2" t="s">
        <v>4</v>
      </c>
      <c r="X1" s="2" t="s">
        <v>8</v>
      </c>
      <c r="Y1" s="2" t="s">
        <v>31</v>
      </c>
      <c r="Z1" s="42" t="s">
        <v>36</v>
      </c>
    </row>
    <row r="2" spans="1:26">
      <c r="A2" s="1">
        <v>1</v>
      </c>
      <c r="B2" s="21">
        <v>41000</v>
      </c>
      <c r="C2" s="3">
        <v>0</v>
      </c>
      <c r="D2" s="3">
        <v>0</v>
      </c>
      <c r="E2" s="3">
        <v>0</v>
      </c>
      <c r="F2" s="3">
        <v>100</v>
      </c>
      <c r="G2" s="3">
        <f>SUMPRODUCT(N([TRADE] &lt;= Tabela13[[#This Row],[TRADE]]), [APORTE]) + SUMPRODUCT(N([TRADE] &lt;= Tabela13[[#This Row],[TRADE]]), [APORTE RF])</f>
        <v>100</v>
      </c>
      <c r="H2" s="3">
        <f>[MONTANTE] - SUMPRODUCT(N([TRADE] &lt;= Tabela13[[#This Row],[TRADE]]), [SAQUE]) + SUMPRODUCT(N([TRADE] &lt; Tabela13[[#This Row],[TRADE]]), [REINVESTIR])</f>
        <v>100</v>
      </c>
      <c r="I2" s="3">
        <f>TRUNC([APLICAÇÃO]  * SETUP!$A$3, 2)</f>
        <v>0.03</v>
      </c>
      <c r="J2" s="3">
        <f>TRUNC([APLICAÇÃO]  * SETUP!$B$3, 2)</f>
        <v>0.02</v>
      </c>
      <c r="K2" s="3">
        <f>TRUNC([APLICAÇÃO]  * SETUP!$C$3, 2)</f>
        <v>0.06</v>
      </c>
      <c r="L2" s="3">
        <f>TRUNC(SETUP!$G$3  * SETUP!$H$3, 2)</f>
        <v>0.28999999999999998</v>
      </c>
      <c r="M2" s="3">
        <f>ROUND(SETUP!$G$3 * SETUP!$I$3, 2)</f>
        <v>0.57999999999999996</v>
      </c>
      <c r="N2" s="3">
        <f>SETUP!$G$3 + SUM(Tabela13[[#This Row],[EMOL CP]]:Tabela13[[#This Row],[OUTRAS CP]])</f>
        <v>15.88</v>
      </c>
      <c r="O2" s="3">
        <f>TRUNC([APLICAÇÃO] * 2  * SETUP!$A$3, 2)</f>
        <v>7.0000000000000007E-2</v>
      </c>
      <c r="P2" s="3">
        <f>TRUNC([APLICAÇÃO] * 2  * SETUP!$B$3, 2)</f>
        <v>0.05</v>
      </c>
      <c r="Q2" s="3">
        <f>TRUNC([APLICAÇÃO] * 2  * SETUP!$C$3, 2)</f>
        <v>0.13</v>
      </c>
      <c r="R2" s="3">
        <f>TRUNC(SETUP!$G$3  * SETUP!$H$3, 2)</f>
        <v>0.28999999999999998</v>
      </c>
      <c r="S2" s="3">
        <f>ROUND(SETUP!$G$3 * SETUP!$I$3, 2)</f>
        <v>0.57999999999999996</v>
      </c>
      <c r="T2" s="3">
        <f>SETUP!$G$3 + SUM(Tabela13[[#This Row],[EMOL VD]]:Tabela13[[#This Row],[OUTRAS VD]])</f>
        <v>16.02</v>
      </c>
      <c r="U2" s="3">
        <f>((([APLICAÇÃO] * 2) - [TAXA VD]) - ([APLICAÇÃO] + [TAXA CP])) * 0.85</f>
        <v>57.884999999999991</v>
      </c>
      <c r="V2" s="3">
        <f>IF([LUCRO] &lt; 0, 0, ROUND([LUCRO]*80%, 2))</f>
        <v>0</v>
      </c>
      <c r="W2" s="3">
        <f>[LUCRO]-[PROTEÇÃO MÊS]</f>
        <v>0</v>
      </c>
      <c r="X2" s="12">
        <f>SUMPRODUCT(N([TRADE] &lt;= Tabela13[[#This Row],[TRADE]]), [PROTEÇÃO MÊS]) - [APORTE RF]</f>
        <v>0</v>
      </c>
      <c r="Y2" s="6">
        <f>[TOT RF] + [REINVESTIR] + [APLICAÇÃO]</f>
        <v>100</v>
      </c>
      <c r="Z2" s="4">
        <f>IF(AND([PROTEÇÃO MÊS] &gt; 0, ([TOT RF] - [PROTEÇÃO MÊS]) &gt; 0), [PROTEÇÃO MÊS] / ([TOT RF] - [PROTEÇÃO MÊS]), 0)</f>
        <v>0</v>
      </c>
    </row>
    <row r="3" spans="1:26">
      <c r="A3" s="1">
        <v>2</v>
      </c>
      <c r="B3" s="21">
        <v>41030</v>
      </c>
      <c r="C3" s="3">
        <v>0</v>
      </c>
      <c r="D3" s="3">
        <v>0</v>
      </c>
      <c r="E3" s="3">
        <v>491.56</v>
      </c>
      <c r="F3" s="3">
        <v>0</v>
      </c>
      <c r="G3" s="3">
        <f>SUMPRODUCT(N([TRADE] &lt;= Tabela13[[#This Row],[TRADE]]), [APORTE]) + SUMPRODUCT(N([TRADE] &lt;= Tabela13[[#This Row],[TRADE]]), [APORTE RF])</f>
        <v>100</v>
      </c>
      <c r="H3" s="3">
        <f>[MONTANTE] - SUMPRODUCT(N([TRADE] &lt;= Tabela13[[#This Row],[TRADE]]), [SAQUE]) + SUMPRODUCT(N([TRADE] &lt; Tabela13[[#This Row],[TRADE]]), [REINVESTIR])</f>
        <v>100</v>
      </c>
      <c r="I3" s="3">
        <f>TRUNC([APLICAÇÃO]  * SETUP!$A$3, 2)</f>
        <v>0.03</v>
      </c>
      <c r="J3" s="3">
        <f>TRUNC([APLICAÇÃO]  * SETUP!$B$3, 2)</f>
        <v>0.02</v>
      </c>
      <c r="K3" s="3">
        <f>TRUNC([APLICAÇÃO]  * SETUP!$C$3, 2)</f>
        <v>0.06</v>
      </c>
      <c r="L3" s="3">
        <f>TRUNC(SETUP!$G$3  * SETUP!$H$3, 2)</f>
        <v>0.28999999999999998</v>
      </c>
      <c r="M3" s="3">
        <f>ROUND(SETUP!$G$3 * SETUP!$I$3, 2)</f>
        <v>0.57999999999999996</v>
      </c>
      <c r="N3" s="3">
        <f>SETUP!$G$3 + SUM(Tabela13[[#This Row],[EMOL CP]]:Tabela13[[#This Row],[OUTRAS CP]])</f>
        <v>15.88</v>
      </c>
      <c r="O3" s="3">
        <f>TRUNC([APLICAÇÃO] * 2  * SETUP!$A$3, 2)</f>
        <v>7.0000000000000007E-2</v>
      </c>
      <c r="P3" s="3">
        <f>TRUNC([APLICAÇÃO] * 2  * SETUP!$B$3, 2)</f>
        <v>0.05</v>
      </c>
      <c r="Q3" s="3">
        <f>TRUNC([APLICAÇÃO] * 2  * SETUP!$C$3, 2)</f>
        <v>0.13</v>
      </c>
      <c r="R3" s="3">
        <f>TRUNC(SETUP!$G$3  * SETUP!$H$3, 2)</f>
        <v>0.28999999999999998</v>
      </c>
      <c r="S3" s="3">
        <f>ROUND(SETUP!$G$3 * SETUP!$I$3, 2)</f>
        <v>0.57999999999999996</v>
      </c>
      <c r="T3" s="3">
        <f>SETUP!$G$3 + SUM(Tabela13[[#This Row],[EMOL VD]]:Tabela13[[#This Row],[OUTRAS VD]])</f>
        <v>16.02</v>
      </c>
      <c r="U3" s="3">
        <f>((([APLICAÇÃO] * 2) - [TAXA VD]) - ([APLICAÇÃO] + [TAXA CP])) * 0.85</f>
        <v>57.884999999999991</v>
      </c>
      <c r="V3" s="3">
        <f>IF([LUCRO] &lt; 0, 0, ROUND([LUCRO]*80%, 2))</f>
        <v>393.25</v>
      </c>
      <c r="W3" s="3">
        <f>[LUCRO]-[PROTEÇÃO MÊS]</f>
        <v>98.31</v>
      </c>
      <c r="X3" s="12">
        <f>SUMPRODUCT(N([TRADE] &lt;= Tabela13[[#This Row],[TRADE]]), [PROTEÇÃO MÊS]) - [APORTE RF]</f>
        <v>393.25</v>
      </c>
      <c r="Y3" s="6">
        <f>[TOT RF] + [REINVESTIR] + [APLICAÇÃO]</f>
        <v>591.55999999999995</v>
      </c>
      <c r="Z3" s="4">
        <f>IF(AND([PROTEÇÃO MÊS] &gt; 0, ([TOT RF] - [PROTEÇÃO MÊS]) &gt; 0), [PROTEÇÃO MÊS] / ([TOT RF] - [PROTEÇÃO MÊS]), 0)</f>
        <v>0</v>
      </c>
    </row>
    <row r="4" spans="1:26">
      <c r="A4" s="24">
        <v>3</v>
      </c>
      <c r="B4" s="21">
        <v>41061</v>
      </c>
      <c r="C4" s="25">
        <v>0</v>
      </c>
      <c r="D4" s="25">
        <v>0</v>
      </c>
      <c r="E4" s="25">
        <v>516.97</v>
      </c>
      <c r="F4" s="3">
        <v>100</v>
      </c>
      <c r="G4" s="26">
        <f>SUMPRODUCT(N([TRADE] &lt;= Tabela13[[#This Row],[TRADE]]), [APORTE]) + SUMPRODUCT(N([TRADE] &lt;= Tabela13[[#This Row],[TRADE]]), [APORTE RF])</f>
        <v>200</v>
      </c>
      <c r="H4" s="26">
        <f>[MONTANTE] - SUMPRODUCT(N([TRADE] &lt;= Tabela13[[#This Row],[TRADE]]), [SAQUE]) + SUMPRODUCT(N([TRADE] &lt; Tabela13[[#This Row],[TRADE]]), [REINVESTIR])</f>
        <v>298.31</v>
      </c>
      <c r="I4" s="26">
        <f>TRUNC([APLICAÇÃO]  * SETUP!$A$3, 2)</f>
        <v>0.11</v>
      </c>
      <c r="J4" s="26">
        <f>TRUNC([APLICAÇÃO]  * SETUP!$B$3, 2)</f>
        <v>0.08</v>
      </c>
      <c r="K4" s="26">
        <f>TRUNC([APLICAÇÃO]  * SETUP!$C$3, 2)</f>
        <v>0.2</v>
      </c>
      <c r="L4" s="26">
        <f>TRUNC(SETUP!$G$3  * SETUP!$H$3, 2)</f>
        <v>0.28999999999999998</v>
      </c>
      <c r="M4" s="26">
        <f>ROUND(SETUP!$G$3 * SETUP!$I$3, 2)</f>
        <v>0.57999999999999996</v>
      </c>
      <c r="N4" s="26">
        <f>SETUP!$G$3 + SUM(Tabela13[[#This Row],[EMOL CP]]:Tabela13[[#This Row],[OUTRAS CP]])</f>
        <v>16.16</v>
      </c>
      <c r="O4" s="26">
        <f>TRUNC([APLICAÇÃO] * 2  * SETUP!$A$3, 2)</f>
        <v>0.22</v>
      </c>
      <c r="P4" s="26">
        <f>TRUNC([APLICAÇÃO] * 2  * SETUP!$B$3, 2)</f>
        <v>0.16</v>
      </c>
      <c r="Q4" s="26">
        <f>TRUNC([APLICAÇÃO] * 2  * SETUP!$C$3, 2)</f>
        <v>0.41</v>
      </c>
      <c r="R4" s="26">
        <f>TRUNC(SETUP!$G$3  * SETUP!$H$3, 2)</f>
        <v>0.28999999999999998</v>
      </c>
      <c r="S4" s="26">
        <f>ROUND(SETUP!$G$3 * SETUP!$I$3, 2)</f>
        <v>0.57999999999999996</v>
      </c>
      <c r="T4" s="26">
        <f>SETUP!$G$3 + SUM(Tabela13[[#This Row],[EMOL VD]]:Tabela13[[#This Row],[OUTRAS VD]])</f>
        <v>16.560000000000002</v>
      </c>
      <c r="U4" s="26">
        <f>((([APLICAÇÃO] * 2) - [TAXA VD]) - ([APLICAÇÃO] + [TAXA CP])) * 0.85</f>
        <v>225.75149999999994</v>
      </c>
      <c r="V4" s="26">
        <f>IF([LUCRO] &lt; 0, 0, ROUND([LUCRO]*80%, 2))</f>
        <v>413.58</v>
      </c>
      <c r="W4" s="26">
        <f>[LUCRO]-[PROTEÇÃO MÊS]</f>
        <v>103.39000000000004</v>
      </c>
      <c r="X4" s="39">
        <f>SUMPRODUCT(N([TRADE] &lt;= Tabela13[[#This Row],[TRADE]]), [PROTEÇÃO MÊS]) - [APORTE RF]</f>
        <v>806.82999999999993</v>
      </c>
      <c r="Y4" s="26">
        <f>[TOT RF] + [REINVESTIR] + [APLICAÇÃO]</f>
        <v>1208.53</v>
      </c>
      <c r="Z4" s="20">
        <f>IF(AND([PROTEÇÃO MÊS] &gt; 0, ([TOT RF] - [PROTEÇÃO MÊS]) &gt; 0), [PROTEÇÃO MÊS] / ([TOT RF] - [PROTEÇÃO MÊS]), 0)</f>
        <v>1.0516973935155753</v>
      </c>
    </row>
    <row r="5" spans="1:26">
      <c r="A5" s="1">
        <v>4</v>
      </c>
      <c r="B5" s="21">
        <v>41091</v>
      </c>
      <c r="C5" s="25">
        <v>0</v>
      </c>
      <c r="D5" s="25">
        <v>0</v>
      </c>
      <c r="E5" s="18">
        <v>403.09</v>
      </c>
      <c r="F5" s="3">
        <v>100</v>
      </c>
      <c r="G5" s="19">
        <f>SUMPRODUCT(N([TRADE] &lt;= Tabela13[[#This Row],[TRADE]]), [APORTE]) + SUMPRODUCT(N([TRADE] &lt;= Tabela13[[#This Row],[TRADE]]), [APORTE RF])</f>
        <v>300</v>
      </c>
      <c r="H5" s="19">
        <f>[MONTANTE] - SUMPRODUCT(N([TRADE] &lt;= Tabela13[[#This Row],[TRADE]]), [SAQUE]) + SUMPRODUCT(N([TRADE] &lt; Tabela13[[#This Row],[TRADE]]), [REINVESTIR])</f>
        <v>501.70000000000005</v>
      </c>
      <c r="I5" s="19">
        <f>TRUNC([APLICAÇÃO]  * SETUP!$A$3, 2)</f>
        <v>0.18</v>
      </c>
      <c r="J5" s="19">
        <f>TRUNC([APLICAÇÃO]  * SETUP!$B$3, 2)</f>
        <v>0.13</v>
      </c>
      <c r="K5" s="19">
        <f>TRUNC([APLICAÇÃO]  * SETUP!$C$3, 2)</f>
        <v>0.34</v>
      </c>
      <c r="L5" s="19">
        <f>TRUNC(SETUP!$G$3  * SETUP!$H$3, 2)</f>
        <v>0.28999999999999998</v>
      </c>
      <c r="M5" s="19">
        <f>ROUND(SETUP!$G$3 * SETUP!$I$3, 2)</f>
        <v>0.57999999999999996</v>
      </c>
      <c r="N5" s="19">
        <f>SETUP!$G$3 + SUM(Tabela13[[#This Row],[EMOL CP]]:Tabela13[[#This Row],[OUTRAS CP]])</f>
        <v>16.420000000000002</v>
      </c>
      <c r="O5" s="19">
        <f>TRUNC([APLICAÇÃO] * 2  * SETUP!$A$3, 2)</f>
        <v>0.37</v>
      </c>
      <c r="P5" s="19">
        <f>TRUNC([APLICAÇÃO] * 2  * SETUP!$B$3, 2)</f>
        <v>0.27</v>
      </c>
      <c r="Q5" s="19">
        <f>TRUNC([APLICAÇÃO] * 2  * SETUP!$C$3, 2)</f>
        <v>0.69</v>
      </c>
      <c r="R5" s="19">
        <f>TRUNC(SETUP!$G$3  * SETUP!$H$3, 2)</f>
        <v>0.28999999999999998</v>
      </c>
      <c r="S5" s="19">
        <f>ROUND(SETUP!$G$3 * SETUP!$I$3, 2)</f>
        <v>0.57999999999999996</v>
      </c>
      <c r="T5" s="19">
        <f>SETUP!$G$3 + SUM(Tabela13[[#This Row],[EMOL VD]]:Tabela13[[#This Row],[OUTRAS VD]])</f>
        <v>17.100000000000001</v>
      </c>
      <c r="U5" s="19">
        <f>((([APLICAÇÃO] * 2) - [TAXA VD]) - ([APLICAÇÃO] + [TAXA CP])) * 0.85</f>
        <v>397.95300000000003</v>
      </c>
      <c r="V5" s="19">
        <f>IF([LUCRO] &lt; 0, 0, ROUND([LUCRO]*80%, 2))</f>
        <v>322.47000000000003</v>
      </c>
      <c r="W5" s="19">
        <f>[LUCRO]-[PROTEÇÃO MÊS]</f>
        <v>80.619999999999948</v>
      </c>
      <c r="X5" s="39">
        <f>SUMPRODUCT(N([TRADE] &lt;= Tabela13[[#This Row],[TRADE]]), [PROTEÇÃO MÊS]) - [APORTE RF]</f>
        <v>1129.3</v>
      </c>
      <c r="Y5" s="19">
        <f>[TOT RF] + [REINVESTIR] + [APLICAÇÃO]</f>
        <v>1711.62</v>
      </c>
      <c r="Z5" s="20">
        <f>IF(AND([PROTEÇÃO MÊS] &gt; 0, ([TOT RF] - [PROTEÇÃO MÊS]) &gt; 0), [PROTEÇÃO MÊS] / ([TOT RF] - [PROTEÇÃO MÊS]), 0)</f>
        <v>0.39967527236220773</v>
      </c>
    </row>
    <row r="6" spans="1:26">
      <c r="A6" s="24">
        <v>5</v>
      </c>
      <c r="B6" s="21">
        <v>41122</v>
      </c>
      <c r="C6" s="25">
        <v>0</v>
      </c>
      <c r="D6" s="25">
        <v>0</v>
      </c>
      <c r="E6" s="18">
        <v>0</v>
      </c>
      <c r="F6" s="3">
        <v>100</v>
      </c>
      <c r="G6" s="6">
        <f>SUMPRODUCT(N([TRADE] &lt;= Tabela13[[#This Row],[TRADE]]), [APORTE]) + SUMPRODUCT(N([TRADE] &lt;= Tabela13[[#This Row],[TRADE]]), [APORTE RF])</f>
        <v>400</v>
      </c>
      <c r="H6" s="6">
        <f>[MONTANTE] - SUMPRODUCT(N([TRADE] &lt;= Tabela13[[#This Row],[TRADE]]), [SAQUE]) + SUMPRODUCT(N([TRADE] &lt; Tabela13[[#This Row],[TRADE]]), [REINVESTIR])</f>
        <v>682.31999999999994</v>
      </c>
      <c r="I6" s="6">
        <f>TRUNC([APLICAÇÃO]  * SETUP!$A$3, 2)</f>
        <v>0.25</v>
      </c>
      <c r="J6" s="6">
        <f>TRUNC([APLICAÇÃO]  * SETUP!$B$3, 2)</f>
        <v>0.18</v>
      </c>
      <c r="K6" s="6">
        <f>TRUNC([APLICAÇÃO]  * SETUP!$C$3, 2)</f>
        <v>0.47</v>
      </c>
      <c r="L6" s="6">
        <f>TRUNC(SETUP!$G$3  * SETUP!$H$3, 2)</f>
        <v>0.28999999999999998</v>
      </c>
      <c r="M6" s="6">
        <f>ROUND(SETUP!$G$3 * SETUP!$I$3, 2)</f>
        <v>0.57999999999999996</v>
      </c>
      <c r="N6" s="6">
        <f>SETUP!$G$3 + SUM(Tabela13[[#This Row],[EMOL CP]]:Tabela13[[#This Row],[OUTRAS CP]])</f>
        <v>16.670000000000002</v>
      </c>
      <c r="O6" s="6">
        <f>TRUNC([APLICAÇÃO] * 2  * SETUP!$A$3, 2)</f>
        <v>0.5</v>
      </c>
      <c r="P6" s="6">
        <f>TRUNC([APLICAÇÃO] * 2  * SETUP!$B$3, 2)</f>
        <v>0.37</v>
      </c>
      <c r="Q6" s="6">
        <f>TRUNC([APLICAÇÃO] * 2  * SETUP!$C$3, 2)</f>
        <v>0.94</v>
      </c>
      <c r="R6" s="6">
        <f>TRUNC(SETUP!$G$3  * SETUP!$H$3, 2)</f>
        <v>0.28999999999999998</v>
      </c>
      <c r="S6" s="6">
        <f>ROUND(SETUP!$G$3 * SETUP!$I$3, 2)</f>
        <v>0.57999999999999996</v>
      </c>
      <c r="T6" s="6">
        <f>SETUP!$G$3 + SUM(Tabela13[[#This Row],[EMOL VD]]:Tabela13[[#This Row],[OUTRAS VD]])</f>
        <v>17.580000000000002</v>
      </c>
      <c r="U6" s="6">
        <f>((([APLICAÇÃO] * 2) - [TAXA VD]) - ([APLICAÇÃO] + [TAXA CP])) * 0.85</f>
        <v>550.85950000000003</v>
      </c>
      <c r="V6" s="6">
        <f>IF([LUCRO] &lt; 0, 0, ROUND([LUCRO]*80%, 2))</f>
        <v>0</v>
      </c>
      <c r="W6" s="6">
        <f>[LUCRO]-[PROTEÇÃO MÊS]</f>
        <v>0</v>
      </c>
      <c r="X6" s="38">
        <f>SUMPRODUCT(N([TRADE] &lt;= Tabela13[[#This Row],[TRADE]]), [PROTEÇÃO MÊS]) - [APORTE RF]</f>
        <v>1129.3</v>
      </c>
      <c r="Y6" s="6">
        <f>[TOT RF] + [REINVESTIR] + [APLICAÇÃO]</f>
        <v>1811.62</v>
      </c>
      <c r="Z6" s="4">
        <f>IF(AND([PROTEÇÃO MÊS] &gt; 0, ([TOT RF] - [PROTEÇÃO MÊS]) &gt; 0), [PROTEÇÃO MÊS] / ([TOT RF] - [PROTEÇÃO MÊS]), 0)</f>
        <v>0</v>
      </c>
    </row>
    <row r="7" spans="1:26">
      <c r="A7" s="1">
        <v>6</v>
      </c>
      <c r="B7" s="21">
        <v>41153</v>
      </c>
      <c r="C7" s="25">
        <v>0</v>
      </c>
      <c r="D7" s="25">
        <v>0</v>
      </c>
      <c r="E7" s="18">
        <v>0</v>
      </c>
      <c r="F7" s="3">
        <v>100</v>
      </c>
      <c r="G7" s="6">
        <f>SUMPRODUCT(N([TRADE] &lt;= Tabela13[[#This Row],[TRADE]]), [APORTE]) + SUMPRODUCT(N([TRADE] &lt;= Tabela13[[#This Row],[TRADE]]), [APORTE RF])</f>
        <v>500</v>
      </c>
      <c r="H7" s="6">
        <f>[MONTANTE] - SUMPRODUCT(N([TRADE] &lt;= Tabela13[[#This Row],[TRADE]]), [SAQUE]) + SUMPRODUCT(N([TRADE] &lt; Tabela13[[#This Row],[TRADE]]), [REINVESTIR])</f>
        <v>782.31999999999994</v>
      </c>
      <c r="I7" s="6">
        <f>TRUNC([APLICAÇÃO]  * SETUP!$A$3, 2)</f>
        <v>0.28000000000000003</v>
      </c>
      <c r="J7" s="6">
        <f>TRUNC([APLICAÇÃO]  * SETUP!$B$3, 2)</f>
        <v>0.21</v>
      </c>
      <c r="K7" s="6">
        <f>TRUNC([APLICAÇÃO]  * SETUP!$C$3, 2)</f>
        <v>0.54</v>
      </c>
      <c r="L7" s="6">
        <f>TRUNC(SETUP!$G$3  * SETUP!$H$3, 2)</f>
        <v>0.28999999999999998</v>
      </c>
      <c r="M7" s="6">
        <f>ROUND(SETUP!$G$3 * SETUP!$I$3, 2)</f>
        <v>0.57999999999999996</v>
      </c>
      <c r="N7" s="6">
        <f>SETUP!$G$3 + SUM(Tabela13[[#This Row],[EMOL CP]]:Tabela13[[#This Row],[OUTRAS CP]])</f>
        <v>16.8</v>
      </c>
      <c r="O7" s="6">
        <f>TRUNC([APLICAÇÃO] * 2  * SETUP!$A$3, 2)</f>
        <v>0.56999999999999995</v>
      </c>
      <c r="P7" s="6">
        <f>TRUNC([APLICAÇÃO] * 2  * SETUP!$B$3, 2)</f>
        <v>0.43</v>
      </c>
      <c r="Q7" s="6">
        <f>TRUNC([APLICAÇÃO] * 2  * SETUP!$C$3, 2)</f>
        <v>1.08</v>
      </c>
      <c r="R7" s="6">
        <f>TRUNC(SETUP!$G$3  * SETUP!$H$3, 2)</f>
        <v>0.28999999999999998</v>
      </c>
      <c r="S7" s="6">
        <f>ROUND(SETUP!$G$3 * SETUP!$I$3, 2)</f>
        <v>0.57999999999999996</v>
      </c>
      <c r="T7" s="6">
        <f>SETUP!$G$3 + SUM(Tabela13[[#This Row],[EMOL VD]]:Tabela13[[#This Row],[OUTRAS VD]])</f>
        <v>17.850000000000001</v>
      </c>
      <c r="U7" s="6">
        <f>((([APLICAÇÃO] * 2) - [TAXA VD]) - ([APLICAÇÃO] + [TAXA CP])) * 0.85</f>
        <v>635.51949999999999</v>
      </c>
      <c r="V7" s="6">
        <f>IF([LUCRO] &lt; 0, 0, ROUND([LUCRO]*80%, 2))</f>
        <v>0</v>
      </c>
      <c r="W7" s="6">
        <f>[LUCRO]-[PROTEÇÃO MÊS]</f>
        <v>0</v>
      </c>
      <c r="X7" s="38">
        <f>SUMPRODUCT(N([TRADE] &lt;= Tabela13[[#This Row],[TRADE]]), [PROTEÇÃO MÊS]) - [APORTE RF]</f>
        <v>1129.3</v>
      </c>
      <c r="Y7" s="6">
        <f>[TOT RF] + [REINVESTIR] + [APLICAÇÃO]</f>
        <v>1911.62</v>
      </c>
      <c r="Z7" s="4">
        <f>IF(AND([PROTEÇÃO MÊS] &gt; 0, ([TOT RF] - [PROTEÇÃO MÊS]) &gt; 0), [PROTEÇÃO MÊS] / ([TOT RF] - [PROTEÇÃO MÊS]), 0)</f>
        <v>0</v>
      </c>
    </row>
    <row r="8" spans="1:26">
      <c r="A8" s="24">
        <v>7</v>
      </c>
      <c r="B8" s="21">
        <v>41183</v>
      </c>
      <c r="C8" s="25">
        <v>0</v>
      </c>
      <c r="D8" s="25">
        <v>0</v>
      </c>
      <c r="E8" s="18">
        <v>0</v>
      </c>
      <c r="F8" s="3">
        <v>100</v>
      </c>
      <c r="G8" s="6">
        <f>SUMPRODUCT(N([TRADE] &lt;= Tabela13[[#This Row],[TRADE]]), [APORTE]) + SUMPRODUCT(N([TRADE] &lt;= Tabela13[[#This Row],[TRADE]]), [APORTE RF])</f>
        <v>600</v>
      </c>
      <c r="H8" s="6">
        <f>[MONTANTE] - SUMPRODUCT(N([TRADE] &lt;= Tabela13[[#This Row],[TRADE]]), [SAQUE]) + SUMPRODUCT(N([TRADE] &lt; Tabela13[[#This Row],[TRADE]]), [REINVESTIR])</f>
        <v>882.31999999999994</v>
      </c>
      <c r="I8" s="6">
        <f>TRUNC([APLICAÇÃO]  * SETUP!$A$3, 2)</f>
        <v>0.32</v>
      </c>
      <c r="J8" s="6">
        <f>TRUNC([APLICAÇÃO]  * SETUP!$B$3, 2)</f>
        <v>0.24</v>
      </c>
      <c r="K8" s="6">
        <f>TRUNC([APLICAÇÃO]  * SETUP!$C$3, 2)</f>
        <v>0.61</v>
      </c>
      <c r="L8" s="6">
        <f>TRUNC(SETUP!$G$3  * SETUP!$H$3, 2)</f>
        <v>0.28999999999999998</v>
      </c>
      <c r="M8" s="6">
        <f>ROUND(SETUP!$G$3 * SETUP!$I$3, 2)</f>
        <v>0.57999999999999996</v>
      </c>
      <c r="N8" s="6">
        <f>SETUP!$G$3 + SUM(Tabela13[[#This Row],[EMOL CP]]:Tabela13[[#This Row],[OUTRAS CP]])</f>
        <v>16.940000000000001</v>
      </c>
      <c r="O8" s="6">
        <f>TRUNC([APLICAÇÃO] * 2  * SETUP!$A$3, 2)</f>
        <v>0.65</v>
      </c>
      <c r="P8" s="6">
        <f>TRUNC([APLICAÇÃO] * 2  * SETUP!$B$3, 2)</f>
        <v>0.48</v>
      </c>
      <c r="Q8" s="6">
        <f>TRUNC([APLICAÇÃO] * 2  * SETUP!$C$3, 2)</f>
        <v>1.22</v>
      </c>
      <c r="R8" s="6">
        <f>TRUNC(SETUP!$G$3  * SETUP!$H$3, 2)</f>
        <v>0.28999999999999998</v>
      </c>
      <c r="S8" s="6">
        <f>ROUND(SETUP!$G$3 * SETUP!$I$3, 2)</f>
        <v>0.57999999999999996</v>
      </c>
      <c r="T8" s="6">
        <f>SETUP!$G$3 + SUM(Tabela13[[#This Row],[EMOL VD]]:Tabela13[[#This Row],[OUTRAS VD]])</f>
        <v>18.12</v>
      </c>
      <c r="U8" s="6">
        <f>((([APLICAÇÃO] * 2) - [TAXA VD]) - ([APLICAÇÃO] + [TAXA CP])) * 0.85</f>
        <v>720.17099999999994</v>
      </c>
      <c r="V8" s="6">
        <f>IF([LUCRO] &lt; 0, 0, ROUND([LUCRO]*80%, 2))</f>
        <v>0</v>
      </c>
      <c r="W8" s="6">
        <f>[LUCRO]-[PROTEÇÃO MÊS]</f>
        <v>0</v>
      </c>
      <c r="X8" s="38">
        <f>SUMPRODUCT(N([TRADE] &lt;= Tabela13[[#This Row],[TRADE]]), [PROTEÇÃO MÊS]) - [APORTE RF]</f>
        <v>1129.3</v>
      </c>
      <c r="Y8" s="6">
        <f>[TOT RF] + [REINVESTIR] + [APLICAÇÃO]</f>
        <v>2011.62</v>
      </c>
      <c r="Z8" s="4">
        <f>IF(AND([PROTEÇÃO MÊS] &gt; 0, ([TOT RF] - [PROTEÇÃO MÊS]) &gt; 0), [PROTEÇÃO MÊS] / ([TOT RF] - [PROTEÇÃO MÊS]), 0)</f>
        <v>0</v>
      </c>
    </row>
    <row r="9" spans="1:26">
      <c r="A9" s="1">
        <v>8</v>
      </c>
      <c r="B9" s="21">
        <v>41214</v>
      </c>
      <c r="C9" s="25">
        <v>0</v>
      </c>
      <c r="D9" s="25">
        <v>0</v>
      </c>
      <c r="E9" s="18">
        <v>0</v>
      </c>
      <c r="F9" s="3">
        <v>100</v>
      </c>
      <c r="G9" s="19">
        <f>SUMPRODUCT(N([TRADE] &lt;= Tabela13[[#This Row],[TRADE]]), [APORTE]) + SUMPRODUCT(N([TRADE] &lt;= Tabela13[[#This Row],[TRADE]]), [APORTE RF])</f>
        <v>700</v>
      </c>
      <c r="H9" s="19">
        <f>[MONTANTE] - SUMPRODUCT(N([TRADE] &lt;= Tabela13[[#This Row],[TRADE]]), [SAQUE]) + SUMPRODUCT(N([TRADE] &lt; Tabela13[[#This Row],[TRADE]]), [REINVESTIR])</f>
        <v>982.31999999999994</v>
      </c>
      <c r="I9" s="19">
        <f>TRUNC([APLICAÇÃO]  * SETUP!$A$3, 2)</f>
        <v>0.36</v>
      </c>
      <c r="J9" s="19">
        <f>TRUNC([APLICAÇÃO]  * SETUP!$B$3, 2)</f>
        <v>0.27</v>
      </c>
      <c r="K9" s="19">
        <f>TRUNC([APLICAÇÃO]  * SETUP!$C$3, 2)</f>
        <v>0.68</v>
      </c>
      <c r="L9" s="19">
        <f>TRUNC(SETUP!$G$3  * SETUP!$H$3, 2)</f>
        <v>0.28999999999999998</v>
      </c>
      <c r="M9" s="19">
        <f>ROUND(SETUP!$G$3 * SETUP!$I$3, 2)</f>
        <v>0.57999999999999996</v>
      </c>
      <c r="N9" s="19">
        <f>SETUP!$G$3 + SUM(Tabela13[[#This Row],[EMOL CP]]:Tabela13[[#This Row],[OUTRAS CP]])</f>
        <v>17.080000000000002</v>
      </c>
      <c r="O9" s="19">
        <f>TRUNC([APLICAÇÃO] * 2  * SETUP!$A$3, 2)</f>
        <v>0.72</v>
      </c>
      <c r="P9" s="19">
        <f>TRUNC([APLICAÇÃO] * 2  * SETUP!$B$3, 2)</f>
        <v>0.54</v>
      </c>
      <c r="Q9" s="19">
        <f>TRUNC([APLICAÇÃO] * 2  * SETUP!$C$3, 2)</f>
        <v>1.36</v>
      </c>
      <c r="R9" s="19">
        <f>TRUNC(SETUP!$G$3  * SETUP!$H$3, 2)</f>
        <v>0.28999999999999998</v>
      </c>
      <c r="S9" s="19">
        <f>ROUND(SETUP!$G$3 * SETUP!$I$3, 2)</f>
        <v>0.57999999999999996</v>
      </c>
      <c r="T9" s="19">
        <f>SETUP!$G$3 + SUM(Tabela13[[#This Row],[EMOL VD]]:Tabela13[[#This Row],[OUTRAS VD]])</f>
        <v>18.39</v>
      </c>
      <c r="U9" s="19">
        <f>((([APLICAÇÃO] * 2) - [TAXA VD]) - ([APLICAÇÃO] + [TAXA CP])) * 0.85</f>
        <v>804.82249999999976</v>
      </c>
      <c r="V9" s="19">
        <f>IF([LUCRO] &lt; 0, 0, ROUND([LUCRO]*80%, 2))</f>
        <v>0</v>
      </c>
      <c r="W9" s="19">
        <f>[LUCRO]-[PROTEÇÃO MÊS]</f>
        <v>0</v>
      </c>
      <c r="X9" s="39">
        <f>SUMPRODUCT(N([TRADE] &lt;= Tabela13[[#This Row],[TRADE]]), [PROTEÇÃO MÊS]) - [APORTE RF]</f>
        <v>1129.3</v>
      </c>
      <c r="Y9" s="19">
        <f>[TOT RF] + [REINVESTIR] + [APLICAÇÃO]</f>
        <v>2111.62</v>
      </c>
      <c r="Z9" s="20">
        <f>IF(AND([PROTEÇÃO MÊS] &gt; 0, ([TOT RF] - [PROTEÇÃO MÊS]) &gt; 0), [PROTEÇÃO MÊS] / ([TOT RF] - [PROTEÇÃO MÊS]), 0)</f>
        <v>0</v>
      </c>
    </row>
    <row r="10" spans="1:26">
      <c r="A10" s="24">
        <v>9</v>
      </c>
      <c r="B10" s="21">
        <v>41244</v>
      </c>
      <c r="C10" s="25">
        <v>0</v>
      </c>
      <c r="D10" s="25">
        <v>0</v>
      </c>
      <c r="E10" s="18">
        <v>0</v>
      </c>
      <c r="F10" s="3">
        <v>100</v>
      </c>
      <c r="G10" s="19">
        <f>SUMPRODUCT(N([TRADE] &lt;= Tabela13[[#This Row],[TRADE]]), [APORTE]) + SUMPRODUCT(N([TRADE] &lt;= Tabela13[[#This Row],[TRADE]]), [APORTE RF])</f>
        <v>800</v>
      </c>
      <c r="H10" s="19">
        <f>[MONTANTE] - SUMPRODUCT(N([TRADE] &lt;= Tabela13[[#This Row],[TRADE]]), [SAQUE]) + SUMPRODUCT(N([TRADE] &lt; Tabela13[[#This Row],[TRADE]]), [REINVESTIR])</f>
        <v>1082.32</v>
      </c>
      <c r="I10" s="19">
        <f>TRUNC([APLICAÇÃO]  * SETUP!$A$3, 2)</f>
        <v>0.4</v>
      </c>
      <c r="J10" s="19">
        <f>TRUNC([APLICAÇÃO]  * SETUP!$B$3, 2)</f>
        <v>0.28999999999999998</v>
      </c>
      <c r="K10" s="19">
        <f>TRUNC([APLICAÇÃO]  * SETUP!$C$3, 2)</f>
        <v>0.75</v>
      </c>
      <c r="L10" s="19">
        <f>TRUNC(SETUP!$G$3  * SETUP!$H$3, 2)</f>
        <v>0.28999999999999998</v>
      </c>
      <c r="M10" s="19">
        <f>ROUND(SETUP!$G$3 * SETUP!$I$3, 2)</f>
        <v>0.57999999999999996</v>
      </c>
      <c r="N10" s="19">
        <f>SETUP!$G$3 + SUM(Tabela13[[#This Row],[EMOL CP]]:Tabela13[[#This Row],[OUTRAS CP]])</f>
        <v>17.21</v>
      </c>
      <c r="O10" s="19">
        <f>TRUNC([APLICAÇÃO] * 2  * SETUP!$A$3, 2)</f>
        <v>0.8</v>
      </c>
      <c r="P10" s="19">
        <f>TRUNC([APLICAÇÃO] * 2  * SETUP!$B$3, 2)</f>
        <v>0.59</v>
      </c>
      <c r="Q10" s="19">
        <f>TRUNC([APLICAÇÃO] * 2  * SETUP!$C$3, 2)</f>
        <v>1.5</v>
      </c>
      <c r="R10" s="19">
        <f>TRUNC(SETUP!$G$3  * SETUP!$H$3, 2)</f>
        <v>0.28999999999999998</v>
      </c>
      <c r="S10" s="19">
        <f>ROUND(SETUP!$G$3 * SETUP!$I$3, 2)</f>
        <v>0.57999999999999996</v>
      </c>
      <c r="T10" s="19">
        <f>SETUP!$G$3 + SUM(Tabela13[[#This Row],[EMOL VD]]:Tabela13[[#This Row],[OUTRAS VD]])</f>
        <v>18.66</v>
      </c>
      <c r="U10" s="19">
        <f>((([APLICAÇÃO] * 2) - [TAXA VD]) - ([APLICAÇÃO] + [TAXA CP])) * 0.85</f>
        <v>889.48249999999996</v>
      </c>
      <c r="V10" s="19">
        <f>IF([LUCRO] &lt; 0, 0, ROUND([LUCRO]*80%, 2))</f>
        <v>0</v>
      </c>
      <c r="W10" s="19">
        <f>[LUCRO]-[PROTEÇÃO MÊS]</f>
        <v>0</v>
      </c>
      <c r="X10" s="39">
        <f>SUMPRODUCT(N([TRADE] &lt;= Tabela13[[#This Row],[TRADE]]), [PROTEÇÃO MÊS]) - [APORTE RF]</f>
        <v>1129.3</v>
      </c>
      <c r="Y10" s="19">
        <f>[TOT RF] + [REINVESTIR] + [APLICAÇÃO]</f>
        <v>2211.62</v>
      </c>
      <c r="Z10" s="20">
        <f>IF(AND([PROTEÇÃO MÊS] &gt; 0, ([TOT RF] - [PROTEÇÃO MÊS]) &gt; 0), [PROTEÇÃO MÊS] / ([TOT RF] - [PROTEÇÃO MÊS]), 0)</f>
        <v>0</v>
      </c>
    </row>
    <row r="11" spans="1:26">
      <c r="A11" s="1">
        <v>10</v>
      </c>
      <c r="B11" s="21">
        <v>41275</v>
      </c>
      <c r="C11" s="3"/>
      <c r="D11" s="3"/>
      <c r="E11" s="3">
        <v>0</v>
      </c>
      <c r="F11" s="3">
        <v>100</v>
      </c>
      <c r="G11" s="6">
        <f>SUMPRODUCT(N([TRADE] &lt;= Tabela13[[#This Row],[TRADE]]), [APORTE]) + SUMPRODUCT(N([TRADE] &lt;= Tabela13[[#This Row],[TRADE]]), [APORTE RF])</f>
        <v>900</v>
      </c>
      <c r="H11" s="6">
        <f>[MONTANTE] - SUMPRODUCT(N([TRADE] &lt;= Tabela13[[#This Row],[TRADE]]), [SAQUE]) + SUMPRODUCT(N([TRADE] &lt; Tabela13[[#This Row],[TRADE]]), [REINVESTIR])</f>
        <v>1182.32</v>
      </c>
      <c r="I11" s="6">
        <f>TRUNC([APLICAÇÃO]  * SETUP!$A$3, 2)</f>
        <v>0.43</v>
      </c>
      <c r="J11" s="6">
        <f>TRUNC([APLICAÇÃO]  * SETUP!$B$3, 2)</f>
        <v>0.32</v>
      </c>
      <c r="K11" s="6">
        <f>TRUNC([APLICAÇÃO]  * SETUP!$C$3, 2)</f>
        <v>0.82</v>
      </c>
      <c r="L11" s="6">
        <f>TRUNC(SETUP!$G$3  * SETUP!$H$3, 2)</f>
        <v>0.28999999999999998</v>
      </c>
      <c r="M11" s="6">
        <f>ROUND(SETUP!$G$3 * SETUP!$I$3, 2)</f>
        <v>0.57999999999999996</v>
      </c>
      <c r="N11" s="6">
        <f>SETUP!$G$3 + SUM(Tabela13[[#This Row],[EMOL CP]]:Tabela13[[#This Row],[OUTRAS CP]])</f>
        <v>17.34</v>
      </c>
      <c r="O11" s="6">
        <f>TRUNC([APLICAÇÃO] * 2  * SETUP!$A$3, 2)</f>
        <v>0.87</v>
      </c>
      <c r="P11" s="6">
        <f>TRUNC([APLICAÇÃO] * 2  * SETUP!$B$3, 2)</f>
        <v>0.65</v>
      </c>
      <c r="Q11" s="6">
        <f>TRUNC([APLICAÇÃO] * 2  * SETUP!$C$3, 2)</f>
        <v>1.64</v>
      </c>
      <c r="R11" s="6">
        <f>TRUNC(SETUP!$G$3  * SETUP!$H$3, 2)</f>
        <v>0.28999999999999998</v>
      </c>
      <c r="S11" s="6">
        <f>ROUND(SETUP!$G$3 * SETUP!$I$3, 2)</f>
        <v>0.57999999999999996</v>
      </c>
      <c r="T11" s="6">
        <f>SETUP!$G$3 + SUM(Tabela13[[#This Row],[EMOL VD]]:Tabela13[[#This Row],[OUTRAS VD]])</f>
        <v>18.93</v>
      </c>
      <c r="U11" s="6">
        <f>((([APLICAÇÃO] * 2) - [TAXA VD]) - ([APLICAÇÃO] + [TAXA CP])) * 0.85</f>
        <v>974.14250000000015</v>
      </c>
      <c r="V11" s="6">
        <f>IF([LUCRO] &lt; 0, 0, ROUND([LUCRO]*80%, 2))</f>
        <v>0</v>
      </c>
      <c r="W11" s="6">
        <f>[LUCRO]-[PROTEÇÃO MÊS]</f>
        <v>0</v>
      </c>
      <c r="X11" s="38">
        <f>SUMPRODUCT(N([TRADE] &lt;= Tabela13[[#This Row],[TRADE]]), [PROTEÇÃO MÊS]) - [APORTE RF]</f>
        <v>1129.3</v>
      </c>
      <c r="Y11" s="6">
        <f>[TOT RF] + [REINVESTIR] + [APLICAÇÃO]</f>
        <v>2311.62</v>
      </c>
      <c r="Z11" s="4">
        <f>IF(AND([PROTEÇÃO MÊS] &gt; 0, ([TOT RF] - [PROTEÇÃO MÊS]) &gt; 0), [PROTEÇÃO MÊS] / ([TOT RF] - [PROTEÇÃO MÊS]), 0)</f>
        <v>0</v>
      </c>
    </row>
    <row r="12" spans="1:26">
      <c r="A12" s="24">
        <v>11</v>
      </c>
      <c r="B12" s="21">
        <v>41306</v>
      </c>
      <c r="C12" s="3"/>
      <c r="D12" s="3"/>
      <c r="E12" s="3">
        <v>0</v>
      </c>
      <c r="F12" s="3">
        <v>100</v>
      </c>
      <c r="G12" s="6">
        <f>SUMPRODUCT(N([TRADE] &lt;= Tabela13[[#This Row],[TRADE]]), [APORTE]) + SUMPRODUCT(N([TRADE] &lt;= Tabela13[[#This Row],[TRADE]]), [APORTE RF])</f>
        <v>1000</v>
      </c>
      <c r="H12" s="6">
        <f>[MONTANTE] - SUMPRODUCT(N([TRADE] &lt;= Tabela13[[#This Row],[TRADE]]), [SAQUE]) + SUMPRODUCT(N([TRADE] &lt; Tabela13[[#This Row],[TRADE]]), [REINVESTIR])</f>
        <v>1282.32</v>
      </c>
      <c r="I12" s="6">
        <f>TRUNC([APLICAÇÃO]  * SETUP!$A$3, 2)</f>
        <v>0.47</v>
      </c>
      <c r="J12" s="6">
        <f>TRUNC([APLICAÇÃO]  * SETUP!$B$3, 2)</f>
        <v>0.35</v>
      </c>
      <c r="K12" s="6">
        <f>TRUNC([APLICAÇÃO]  * SETUP!$C$3, 2)</f>
        <v>0.89</v>
      </c>
      <c r="L12" s="6">
        <f>TRUNC(SETUP!$G$3  * SETUP!$H$3, 2)</f>
        <v>0.28999999999999998</v>
      </c>
      <c r="M12" s="6">
        <f>ROUND(SETUP!$G$3 * SETUP!$I$3, 2)</f>
        <v>0.57999999999999996</v>
      </c>
      <c r="N12" s="6">
        <f>SETUP!$G$3 + SUM(Tabela13[[#This Row],[EMOL CP]]:Tabela13[[#This Row],[OUTRAS CP]])</f>
        <v>17.48</v>
      </c>
      <c r="O12" s="6">
        <f>TRUNC([APLICAÇÃO] * 2  * SETUP!$A$3, 2)</f>
        <v>0.94</v>
      </c>
      <c r="P12" s="6">
        <f>TRUNC([APLICAÇÃO] * 2  * SETUP!$B$3, 2)</f>
        <v>0.7</v>
      </c>
      <c r="Q12" s="6">
        <f>TRUNC([APLICAÇÃO] * 2  * SETUP!$C$3, 2)</f>
        <v>1.78</v>
      </c>
      <c r="R12" s="6">
        <f>TRUNC(SETUP!$G$3  * SETUP!$H$3, 2)</f>
        <v>0.28999999999999998</v>
      </c>
      <c r="S12" s="6">
        <f>ROUND(SETUP!$G$3 * SETUP!$I$3, 2)</f>
        <v>0.57999999999999996</v>
      </c>
      <c r="T12" s="6">
        <f>SETUP!$G$3 + SUM(Tabela13[[#This Row],[EMOL VD]]:Tabela13[[#This Row],[OUTRAS VD]])</f>
        <v>19.190000000000001</v>
      </c>
      <c r="U12" s="6">
        <f>((([APLICAÇÃO] * 2) - [TAXA VD]) - ([APLICAÇÃO] + [TAXA CP])) * 0.85</f>
        <v>1058.8024999999998</v>
      </c>
      <c r="V12" s="6">
        <f>IF([LUCRO] &lt; 0, 0, ROUND([LUCRO]*80%, 2))</f>
        <v>0</v>
      </c>
      <c r="W12" s="6">
        <f>[LUCRO]-[PROTEÇÃO MÊS]</f>
        <v>0</v>
      </c>
      <c r="X12" s="38">
        <f>SUMPRODUCT(N([TRADE] &lt;= Tabela13[[#This Row],[TRADE]]), [PROTEÇÃO MÊS]) - [APORTE RF]</f>
        <v>1129.3</v>
      </c>
      <c r="Y12" s="6">
        <f>[TOT RF] + [REINVESTIR] + [APLICAÇÃO]</f>
        <v>2411.62</v>
      </c>
      <c r="Z12" s="4">
        <f>IF(AND([PROTEÇÃO MÊS] &gt; 0, ([TOT RF] - [PROTEÇÃO MÊS]) &gt; 0), [PROTEÇÃO MÊS] / ([TOT RF] - [PROTEÇÃO MÊS]), 0)</f>
        <v>0</v>
      </c>
    </row>
    <row r="13" spans="1:26">
      <c r="A13" s="1">
        <v>12</v>
      </c>
      <c r="B13" s="21">
        <v>41334</v>
      </c>
      <c r="C13" s="3"/>
      <c r="D13" s="3"/>
      <c r="E13" s="3">
        <v>0</v>
      </c>
      <c r="F13" s="3">
        <v>100</v>
      </c>
      <c r="G13" s="6">
        <f>SUMPRODUCT(N([TRADE] &lt;= Tabela13[[#This Row],[TRADE]]), [APORTE]) + SUMPRODUCT(N([TRADE] &lt;= Tabela13[[#This Row],[TRADE]]), [APORTE RF])</f>
        <v>1100</v>
      </c>
      <c r="H13" s="6">
        <f>[MONTANTE] - SUMPRODUCT(N([TRADE] &lt;= Tabela13[[#This Row],[TRADE]]), [SAQUE]) + SUMPRODUCT(N([TRADE] &lt; Tabela13[[#This Row],[TRADE]]), [REINVESTIR])</f>
        <v>1382.32</v>
      </c>
      <c r="I13" s="6">
        <f>TRUNC([APLICAÇÃO]  * SETUP!$A$3, 2)</f>
        <v>0.51</v>
      </c>
      <c r="J13" s="6">
        <f>TRUNC([APLICAÇÃO]  * SETUP!$B$3, 2)</f>
        <v>0.38</v>
      </c>
      <c r="K13" s="6">
        <f>TRUNC([APLICAÇÃO]  * SETUP!$C$3, 2)</f>
        <v>0.96</v>
      </c>
      <c r="L13" s="6">
        <f>TRUNC(SETUP!$G$3  * SETUP!$H$3, 2)</f>
        <v>0.28999999999999998</v>
      </c>
      <c r="M13" s="6">
        <f>ROUND(SETUP!$G$3 * SETUP!$I$3, 2)</f>
        <v>0.57999999999999996</v>
      </c>
      <c r="N13" s="6">
        <f>SETUP!$G$3 + SUM(Tabela13[[#This Row],[EMOL CP]]:Tabela13[[#This Row],[OUTRAS CP]])</f>
        <v>17.62</v>
      </c>
      <c r="O13" s="6">
        <f>TRUNC([APLICAÇÃO] * 2  * SETUP!$A$3, 2)</f>
        <v>1.02</v>
      </c>
      <c r="P13" s="6">
        <f>TRUNC([APLICAÇÃO] * 2  * SETUP!$B$3, 2)</f>
        <v>0.76</v>
      </c>
      <c r="Q13" s="6">
        <f>TRUNC([APLICAÇÃO] * 2  * SETUP!$C$3, 2)</f>
        <v>1.92</v>
      </c>
      <c r="R13" s="6">
        <f>TRUNC(SETUP!$G$3  * SETUP!$H$3, 2)</f>
        <v>0.28999999999999998</v>
      </c>
      <c r="S13" s="6">
        <f>ROUND(SETUP!$G$3 * SETUP!$I$3, 2)</f>
        <v>0.57999999999999996</v>
      </c>
      <c r="T13" s="6">
        <f>SETUP!$G$3 + SUM(Tabela13[[#This Row],[EMOL VD]]:Tabela13[[#This Row],[OUTRAS VD]])</f>
        <v>19.47</v>
      </c>
      <c r="U13" s="6">
        <f>((([APLICAÇÃO] * 2) - [TAXA VD]) - ([APLICAÇÃO] + [TAXA CP])) * 0.85</f>
        <v>1143.4455000000003</v>
      </c>
      <c r="V13" s="6">
        <f>IF([LUCRO] &lt; 0, 0, ROUND([LUCRO]*80%, 2))</f>
        <v>0</v>
      </c>
      <c r="W13" s="6">
        <f>[LUCRO]-[PROTEÇÃO MÊS]</f>
        <v>0</v>
      </c>
      <c r="X13" s="38">
        <f>SUMPRODUCT(N([TRADE] &lt;= Tabela13[[#This Row],[TRADE]]), [PROTEÇÃO MÊS]) - [APORTE RF]</f>
        <v>1129.3</v>
      </c>
      <c r="Y13" s="6">
        <f>[TOT RF] + [REINVESTIR] + [APLICAÇÃO]</f>
        <v>2511.62</v>
      </c>
      <c r="Z13" s="4">
        <f>IF(AND([PROTEÇÃO MÊS] &gt; 0, ([TOT RF] - [PROTEÇÃO MÊS]) &gt; 0), [PROTEÇÃO MÊS] / ([TOT RF] - [PROTEÇÃO MÊS]), 0)</f>
        <v>0</v>
      </c>
    </row>
    <row r="14" spans="1:26">
      <c r="A14" s="24">
        <v>13</v>
      </c>
      <c r="B14" s="21">
        <v>41365</v>
      </c>
      <c r="C14" s="3"/>
      <c r="D14" s="3"/>
      <c r="E14" s="3">
        <v>0</v>
      </c>
      <c r="F14" s="3">
        <v>100</v>
      </c>
      <c r="G14" s="6">
        <f>SUMPRODUCT(N([TRADE] &lt;= Tabela13[[#This Row],[TRADE]]), [APORTE]) + SUMPRODUCT(N([TRADE] &lt;= Tabela13[[#This Row],[TRADE]]), [APORTE RF])</f>
        <v>1200</v>
      </c>
      <c r="H14" s="6">
        <f>[MONTANTE] - SUMPRODUCT(N([TRADE] &lt;= Tabela13[[#This Row],[TRADE]]), [SAQUE]) + SUMPRODUCT(N([TRADE] &lt; Tabela13[[#This Row],[TRADE]]), [REINVESTIR])</f>
        <v>1482.32</v>
      </c>
      <c r="I14" s="6">
        <f>TRUNC([APLICAÇÃO]  * SETUP!$A$3, 2)</f>
        <v>0.54</v>
      </c>
      <c r="J14" s="6">
        <f>TRUNC([APLICAÇÃO]  * SETUP!$B$3, 2)</f>
        <v>0.4</v>
      </c>
      <c r="K14" s="6">
        <f>TRUNC([APLICAÇÃO]  * SETUP!$C$3, 2)</f>
        <v>1.03</v>
      </c>
      <c r="L14" s="6">
        <f>TRUNC(SETUP!$G$3  * SETUP!$H$3, 2)</f>
        <v>0.28999999999999998</v>
      </c>
      <c r="M14" s="6">
        <f>ROUND(SETUP!$G$3 * SETUP!$I$3, 2)</f>
        <v>0.57999999999999996</v>
      </c>
      <c r="N14" s="6">
        <f>SETUP!$G$3 + SUM(Tabela13[[#This Row],[EMOL CP]]:Tabela13[[#This Row],[OUTRAS CP]])</f>
        <v>17.740000000000002</v>
      </c>
      <c r="O14" s="6">
        <f>TRUNC([APLICAÇÃO] * 2  * SETUP!$A$3, 2)</f>
        <v>1.0900000000000001</v>
      </c>
      <c r="P14" s="6">
        <f>TRUNC([APLICAÇÃO] * 2  * SETUP!$B$3, 2)</f>
        <v>0.81</v>
      </c>
      <c r="Q14" s="6">
        <f>TRUNC([APLICAÇÃO] * 2  * SETUP!$C$3, 2)</f>
        <v>2.06</v>
      </c>
      <c r="R14" s="6">
        <f>TRUNC(SETUP!$G$3  * SETUP!$H$3, 2)</f>
        <v>0.28999999999999998</v>
      </c>
      <c r="S14" s="6">
        <f>ROUND(SETUP!$G$3 * SETUP!$I$3, 2)</f>
        <v>0.57999999999999996</v>
      </c>
      <c r="T14" s="6">
        <f>SETUP!$G$3 + SUM(Tabela13[[#This Row],[EMOL VD]]:Tabela13[[#This Row],[OUTRAS VD]])</f>
        <v>19.73</v>
      </c>
      <c r="U14" s="6">
        <f>((([APLICAÇÃO] * 2) - [TAXA VD]) - ([APLICAÇÃO] + [TAXA CP])) * 0.85</f>
        <v>1228.1224999999999</v>
      </c>
      <c r="V14" s="6">
        <f>IF([LUCRO] &lt; 0, 0, ROUND([LUCRO]*80%, 2))</f>
        <v>0</v>
      </c>
      <c r="W14" s="6">
        <f>[LUCRO]-[PROTEÇÃO MÊS]</f>
        <v>0</v>
      </c>
      <c r="X14" s="38">
        <f>SUMPRODUCT(N([TRADE] &lt;= Tabela13[[#This Row],[TRADE]]), [PROTEÇÃO MÊS]) - [APORTE RF]</f>
        <v>1129.3</v>
      </c>
      <c r="Y14" s="6">
        <f>[TOT RF] + [REINVESTIR] + [APLICAÇÃO]</f>
        <v>2611.62</v>
      </c>
      <c r="Z14" s="4">
        <f>IF(AND([PROTEÇÃO MÊS] &gt; 0, ([TOT RF] - [PROTEÇÃO MÊS]) &gt; 0), [PROTEÇÃO MÊS] / ([TOT RF] - [PROTEÇÃO MÊS]), 0)</f>
        <v>0</v>
      </c>
    </row>
    <row r="15" spans="1:26">
      <c r="A15" s="1">
        <v>14</v>
      </c>
      <c r="B15" s="21">
        <v>41395</v>
      </c>
      <c r="C15" s="3"/>
      <c r="D15" s="3"/>
      <c r="E15" s="3">
        <v>0</v>
      </c>
      <c r="F15" s="3">
        <v>100</v>
      </c>
      <c r="G15" s="6">
        <f>SUMPRODUCT(N([TRADE] &lt;= Tabela13[[#This Row],[TRADE]]), [APORTE]) + SUMPRODUCT(N([TRADE] &lt;= Tabela13[[#This Row],[TRADE]]), [APORTE RF])</f>
        <v>1300</v>
      </c>
      <c r="H15" s="6">
        <f>[MONTANTE] - SUMPRODUCT(N([TRADE] &lt;= Tabela13[[#This Row],[TRADE]]), [SAQUE]) + SUMPRODUCT(N([TRADE] &lt; Tabela13[[#This Row],[TRADE]]), [REINVESTIR])</f>
        <v>1582.32</v>
      </c>
      <c r="I15" s="6">
        <f>TRUNC([APLICAÇÃO]  * SETUP!$A$3, 2)</f>
        <v>0.57999999999999996</v>
      </c>
      <c r="J15" s="6">
        <f>TRUNC([APLICAÇÃO]  * SETUP!$B$3, 2)</f>
        <v>0.43</v>
      </c>
      <c r="K15" s="6">
        <f>TRUNC([APLICAÇÃO]  * SETUP!$C$3, 2)</f>
        <v>1.0900000000000001</v>
      </c>
      <c r="L15" s="6">
        <f>TRUNC(SETUP!$G$3  * SETUP!$H$3, 2)</f>
        <v>0.28999999999999998</v>
      </c>
      <c r="M15" s="6">
        <f>ROUND(SETUP!$G$3 * SETUP!$I$3, 2)</f>
        <v>0.57999999999999996</v>
      </c>
      <c r="N15" s="6">
        <f>SETUP!$G$3 + SUM(Tabela13[[#This Row],[EMOL CP]]:Tabela13[[#This Row],[OUTRAS CP]])</f>
        <v>17.87</v>
      </c>
      <c r="O15" s="6">
        <f>TRUNC([APLICAÇÃO] * 2  * SETUP!$A$3, 2)</f>
        <v>1.17</v>
      </c>
      <c r="P15" s="6">
        <f>TRUNC([APLICAÇÃO] * 2  * SETUP!$B$3, 2)</f>
        <v>0.87</v>
      </c>
      <c r="Q15" s="6">
        <f>TRUNC([APLICAÇÃO] * 2  * SETUP!$C$3, 2)</f>
        <v>2.19</v>
      </c>
      <c r="R15" s="6">
        <f>TRUNC(SETUP!$G$3  * SETUP!$H$3, 2)</f>
        <v>0.28999999999999998</v>
      </c>
      <c r="S15" s="6">
        <f>ROUND(SETUP!$G$3 * SETUP!$I$3, 2)</f>
        <v>0.57999999999999996</v>
      </c>
      <c r="T15" s="6">
        <f>SETUP!$G$3 + SUM(Tabela13[[#This Row],[EMOL VD]]:Tabela13[[#This Row],[OUTRAS VD]])</f>
        <v>20</v>
      </c>
      <c r="U15" s="6">
        <f>((([APLICAÇÃO] * 2) - [TAXA VD]) - ([APLICAÇÃO] + [TAXA CP])) * 0.85</f>
        <v>1312.7825</v>
      </c>
      <c r="V15" s="6">
        <f>IF([LUCRO] &lt; 0, 0, ROUND([LUCRO]*80%, 2))</f>
        <v>0</v>
      </c>
      <c r="W15" s="6">
        <f>[LUCRO]-[PROTEÇÃO MÊS]</f>
        <v>0</v>
      </c>
      <c r="X15" s="38">
        <f>SUMPRODUCT(N([TRADE] &lt;= Tabela13[[#This Row],[TRADE]]), [PROTEÇÃO MÊS]) - [APORTE RF]</f>
        <v>1129.3</v>
      </c>
      <c r="Y15" s="6">
        <f>[TOT RF] + [REINVESTIR] + [APLICAÇÃO]</f>
        <v>2711.62</v>
      </c>
      <c r="Z15" s="4">
        <f>IF(AND([PROTEÇÃO MÊS] &gt; 0, ([TOT RF] - [PROTEÇÃO MÊS]) &gt; 0), [PROTEÇÃO MÊS] / ([TOT RF] - [PROTEÇÃO MÊS]), 0)</f>
        <v>0</v>
      </c>
    </row>
    <row r="16" spans="1:26">
      <c r="A16" s="24">
        <v>15</v>
      </c>
      <c r="B16" s="21">
        <v>41426</v>
      </c>
      <c r="C16" s="18"/>
      <c r="D16" s="18"/>
      <c r="E16" s="18">
        <v>0</v>
      </c>
      <c r="F16" s="3">
        <v>100</v>
      </c>
      <c r="G16" s="19">
        <f>SUMPRODUCT(N([TRADE] &lt;= Tabela13[[#This Row],[TRADE]]), [APORTE]) + SUMPRODUCT(N([TRADE] &lt;= Tabela13[[#This Row],[TRADE]]), [APORTE RF])</f>
        <v>1400</v>
      </c>
      <c r="H16" s="19">
        <f>[MONTANTE] - SUMPRODUCT(N([TRADE] &lt;= Tabela13[[#This Row],[TRADE]]), [SAQUE]) + SUMPRODUCT(N([TRADE] &lt; Tabela13[[#This Row],[TRADE]]), [REINVESTIR])</f>
        <v>1682.32</v>
      </c>
      <c r="I16" s="19">
        <f>TRUNC([APLICAÇÃO]  * SETUP!$A$3, 2)</f>
        <v>0.62</v>
      </c>
      <c r="J16" s="19">
        <f>TRUNC([APLICAÇÃO]  * SETUP!$B$3, 2)</f>
        <v>0.46</v>
      </c>
      <c r="K16" s="19">
        <f>TRUNC([APLICAÇÃO]  * SETUP!$C$3, 2)</f>
        <v>1.1599999999999999</v>
      </c>
      <c r="L16" s="19">
        <f>TRUNC(SETUP!$G$3  * SETUP!$H$3, 2)</f>
        <v>0.28999999999999998</v>
      </c>
      <c r="M16" s="19">
        <f>ROUND(SETUP!$G$3 * SETUP!$I$3, 2)</f>
        <v>0.57999999999999996</v>
      </c>
      <c r="N16" s="19">
        <f>SETUP!$G$3 + SUM(Tabela13[[#This Row],[EMOL CP]]:Tabela13[[#This Row],[OUTRAS CP]])</f>
        <v>18.010000000000002</v>
      </c>
      <c r="O16" s="19">
        <f>TRUNC([APLICAÇÃO] * 2  * SETUP!$A$3, 2)</f>
        <v>1.24</v>
      </c>
      <c r="P16" s="19">
        <f>TRUNC([APLICAÇÃO] * 2  * SETUP!$B$3, 2)</f>
        <v>0.92</v>
      </c>
      <c r="Q16" s="19">
        <f>TRUNC([APLICAÇÃO] * 2  * SETUP!$C$3, 2)</f>
        <v>2.33</v>
      </c>
      <c r="R16" s="19">
        <f>TRUNC(SETUP!$G$3  * SETUP!$H$3, 2)</f>
        <v>0.28999999999999998</v>
      </c>
      <c r="S16" s="19">
        <f>ROUND(SETUP!$G$3 * SETUP!$I$3, 2)</f>
        <v>0.57999999999999996</v>
      </c>
      <c r="T16" s="19">
        <f>SETUP!$G$3 + SUM(Tabela13[[#This Row],[EMOL VD]]:Tabela13[[#This Row],[OUTRAS VD]])</f>
        <v>20.260000000000002</v>
      </c>
      <c r="U16" s="19">
        <f>((([APLICAÇÃO] * 2) - [TAXA VD]) - ([APLICAÇÃO] + [TAXA CP])) * 0.85</f>
        <v>1397.4424999999997</v>
      </c>
      <c r="V16" s="19">
        <f>IF([LUCRO] &lt; 0, 0, ROUND([LUCRO]*80%, 2))</f>
        <v>0</v>
      </c>
      <c r="W16" s="19">
        <f>[LUCRO]-[PROTEÇÃO MÊS]</f>
        <v>0</v>
      </c>
      <c r="X16" s="39">
        <f>SUMPRODUCT(N([TRADE] &lt;= Tabela13[[#This Row],[TRADE]]), [PROTEÇÃO MÊS]) - [APORTE RF]</f>
        <v>1129.3</v>
      </c>
      <c r="Y16" s="19">
        <f>[TOT RF] + [REINVESTIR] + [APLICAÇÃO]</f>
        <v>2811.62</v>
      </c>
      <c r="Z16" s="20">
        <f>IF(AND([PROTEÇÃO MÊS] &gt; 0, ([TOT RF] - [PROTEÇÃO MÊS]) &gt; 0), [PROTEÇÃO MÊS] / ([TOT RF] - [PROTEÇÃO MÊS]), 0)</f>
        <v>0</v>
      </c>
    </row>
    <row r="17" spans="1:26">
      <c r="A17" s="1">
        <v>16</v>
      </c>
      <c r="B17" s="21">
        <v>41456</v>
      </c>
      <c r="C17" s="3"/>
      <c r="D17" s="3"/>
      <c r="E17" s="3">
        <v>0</v>
      </c>
      <c r="F17" s="3">
        <v>100</v>
      </c>
      <c r="G17" s="6">
        <f>SUMPRODUCT(N([TRADE] &lt;= Tabela13[[#This Row],[TRADE]]), [APORTE]) + SUMPRODUCT(N([TRADE] &lt;= Tabela13[[#This Row],[TRADE]]), [APORTE RF])</f>
        <v>1500</v>
      </c>
      <c r="H17" s="6">
        <f>[MONTANTE] - SUMPRODUCT(N([TRADE] &lt;= Tabela13[[#This Row],[TRADE]]), [SAQUE]) + SUMPRODUCT(N([TRADE] &lt; Tabela13[[#This Row],[TRADE]]), [REINVESTIR])</f>
        <v>1782.32</v>
      </c>
      <c r="I17" s="6">
        <f>TRUNC([APLICAÇÃO]  * SETUP!$A$3, 2)</f>
        <v>0.65</v>
      </c>
      <c r="J17" s="6">
        <f>TRUNC([APLICAÇÃO]  * SETUP!$B$3, 2)</f>
        <v>0.49</v>
      </c>
      <c r="K17" s="6">
        <f>TRUNC([APLICAÇÃO]  * SETUP!$C$3, 2)</f>
        <v>1.23</v>
      </c>
      <c r="L17" s="6">
        <f>TRUNC(SETUP!$G$3  * SETUP!$H$3, 2)</f>
        <v>0.28999999999999998</v>
      </c>
      <c r="M17" s="6">
        <f>ROUND(SETUP!$G$3 * SETUP!$I$3, 2)</f>
        <v>0.57999999999999996</v>
      </c>
      <c r="N17" s="6">
        <f>SETUP!$G$3 + SUM(Tabela13[[#This Row],[EMOL CP]]:Tabela13[[#This Row],[OUTRAS CP]])</f>
        <v>18.14</v>
      </c>
      <c r="O17" s="6">
        <f>TRUNC([APLICAÇÃO] * 2  * SETUP!$A$3, 2)</f>
        <v>1.31</v>
      </c>
      <c r="P17" s="6">
        <f>TRUNC([APLICAÇÃO] * 2  * SETUP!$B$3, 2)</f>
        <v>0.98</v>
      </c>
      <c r="Q17" s="6">
        <f>TRUNC([APLICAÇÃO] * 2  * SETUP!$C$3, 2)</f>
        <v>2.4700000000000002</v>
      </c>
      <c r="R17" s="6">
        <f>TRUNC(SETUP!$G$3  * SETUP!$H$3, 2)</f>
        <v>0.28999999999999998</v>
      </c>
      <c r="S17" s="6">
        <f>ROUND(SETUP!$G$3 * SETUP!$I$3, 2)</f>
        <v>0.57999999999999996</v>
      </c>
      <c r="T17" s="6">
        <f>SETUP!$G$3 + SUM(Tabela13[[#This Row],[EMOL VD]]:Tabela13[[#This Row],[OUTRAS VD]])</f>
        <v>20.53</v>
      </c>
      <c r="U17" s="6">
        <f>((([APLICAÇÃO] * 2) - [TAXA VD]) - ([APLICAÇÃO] + [TAXA CP])) * 0.85</f>
        <v>1482.1024999999997</v>
      </c>
      <c r="V17" s="6">
        <f>IF([LUCRO] &lt; 0, 0, ROUND([LUCRO]*80%, 2))</f>
        <v>0</v>
      </c>
      <c r="W17" s="6">
        <f>[LUCRO]-[PROTEÇÃO MÊS]</f>
        <v>0</v>
      </c>
      <c r="X17" s="38">
        <f>SUMPRODUCT(N([TRADE] &lt;= Tabela13[[#This Row],[TRADE]]), [PROTEÇÃO MÊS]) - [APORTE RF]</f>
        <v>1129.3</v>
      </c>
      <c r="Y17" s="6">
        <f>[TOT RF] + [REINVESTIR] + [APLICAÇÃO]</f>
        <v>2911.62</v>
      </c>
      <c r="Z17" s="4">
        <f>IF(AND([PROTEÇÃO MÊS] &gt; 0, ([TOT RF] - [PROTEÇÃO MÊS]) &gt; 0), [PROTEÇÃO MÊS] / ([TOT RF] - [PROTEÇÃO MÊS]), 0)</f>
        <v>0</v>
      </c>
    </row>
    <row r="18" spans="1:26">
      <c r="A18" s="24">
        <v>17</v>
      </c>
      <c r="B18" s="21">
        <v>41487</v>
      </c>
      <c r="C18" s="3"/>
      <c r="D18" s="3"/>
      <c r="E18" s="3">
        <v>0</v>
      </c>
      <c r="F18" s="3">
        <v>100</v>
      </c>
      <c r="G18" s="6">
        <f>SUMPRODUCT(N([TRADE] &lt;= Tabela13[[#This Row],[TRADE]]), [APORTE]) + SUMPRODUCT(N([TRADE] &lt;= Tabela13[[#This Row],[TRADE]]), [APORTE RF])</f>
        <v>1600</v>
      </c>
      <c r="H18" s="6">
        <f>[MONTANTE] - SUMPRODUCT(N([TRADE] &lt;= Tabela13[[#This Row],[TRADE]]), [SAQUE]) + SUMPRODUCT(N([TRADE] &lt; Tabela13[[#This Row],[TRADE]]), [REINVESTIR])</f>
        <v>1882.32</v>
      </c>
      <c r="I18" s="6">
        <f>TRUNC([APLICAÇÃO]  * SETUP!$A$3, 2)</f>
        <v>0.69</v>
      </c>
      <c r="J18" s="6">
        <f>TRUNC([APLICAÇÃO]  * SETUP!$B$3, 2)</f>
        <v>0.51</v>
      </c>
      <c r="K18" s="6">
        <f>TRUNC([APLICAÇÃO]  * SETUP!$C$3, 2)</f>
        <v>1.3</v>
      </c>
      <c r="L18" s="6">
        <f>TRUNC(SETUP!$G$3  * SETUP!$H$3, 2)</f>
        <v>0.28999999999999998</v>
      </c>
      <c r="M18" s="6">
        <f>ROUND(SETUP!$G$3 * SETUP!$I$3, 2)</f>
        <v>0.57999999999999996</v>
      </c>
      <c r="N18" s="6">
        <f>SETUP!$G$3 + SUM(Tabela13[[#This Row],[EMOL CP]]:Tabela13[[#This Row],[OUTRAS CP]])</f>
        <v>18.27</v>
      </c>
      <c r="O18" s="6">
        <f>TRUNC([APLICAÇÃO] * 2  * SETUP!$A$3, 2)</f>
        <v>1.39</v>
      </c>
      <c r="P18" s="6">
        <f>TRUNC([APLICAÇÃO] * 2  * SETUP!$B$3, 2)</f>
        <v>1.03</v>
      </c>
      <c r="Q18" s="6">
        <f>TRUNC([APLICAÇÃO] * 2  * SETUP!$C$3, 2)</f>
        <v>2.61</v>
      </c>
      <c r="R18" s="6">
        <f>TRUNC(SETUP!$G$3  * SETUP!$H$3, 2)</f>
        <v>0.28999999999999998</v>
      </c>
      <c r="S18" s="6">
        <f>ROUND(SETUP!$G$3 * SETUP!$I$3, 2)</f>
        <v>0.57999999999999996</v>
      </c>
      <c r="T18" s="6">
        <f>SETUP!$G$3 + SUM(Tabela13[[#This Row],[EMOL VD]]:Tabela13[[#This Row],[OUTRAS VD]])</f>
        <v>20.8</v>
      </c>
      <c r="U18" s="6">
        <f>((([APLICAÇÃO] * 2) - [TAXA VD]) - ([APLICAÇÃO] + [TAXA CP])) * 0.85</f>
        <v>1566.7624999999998</v>
      </c>
      <c r="V18" s="6">
        <f>IF([LUCRO] &lt; 0, 0, ROUND([LUCRO]*80%, 2))</f>
        <v>0</v>
      </c>
      <c r="W18" s="6">
        <f>[LUCRO]-[PROTEÇÃO MÊS]</f>
        <v>0</v>
      </c>
      <c r="X18" s="38">
        <f>SUMPRODUCT(N([TRADE] &lt;= Tabela13[[#This Row],[TRADE]]), [PROTEÇÃO MÊS]) - [APORTE RF]</f>
        <v>1129.3</v>
      </c>
      <c r="Y18" s="6">
        <f>[TOT RF] + [REINVESTIR] + [APLICAÇÃO]</f>
        <v>3011.62</v>
      </c>
      <c r="Z18" s="4">
        <f>IF(AND([PROTEÇÃO MÊS] &gt; 0, ([TOT RF] - [PROTEÇÃO MÊS]) &gt; 0), [PROTEÇÃO MÊS] / ([TOT RF] - [PROTEÇÃO MÊS]), 0)</f>
        <v>0</v>
      </c>
    </row>
    <row r="19" spans="1:26">
      <c r="A19" s="1">
        <v>18</v>
      </c>
      <c r="B19" s="21">
        <v>41518</v>
      </c>
      <c r="C19" s="3"/>
      <c r="D19" s="3"/>
      <c r="E19" s="3">
        <v>0</v>
      </c>
      <c r="F19" s="3">
        <v>100</v>
      </c>
      <c r="G19" s="6">
        <f>SUMPRODUCT(N([TRADE] &lt;= Tabela13[[#This Row],[TRADE]]), [APORTE]) + SUMPRODUCT(N([TRADE] &lt;= Tabela13[[#This Row],[TRADE]]), [APORTE RF])</f>
        <v>1700</v>
      </c>
      <c r="H19" s="6">
        <f>[MONTANTE] - SUMPRODUCT(N([TRADE] &lt;= Tabela13[[#This Row],[TRADE]]), [SAQUE]) + SUMPRODUCT(N([TRADE] &lt; Tabela13[[#This Row],[TRADE]]), [REINVESTIR])</f>
        <v>1982.32</v>
      </c>
      <c r="I19" s="6">
        <f>TRUNC([APLICAÇÃO]  * SETUP!$A$3, 2)</f>
        <v>0.73</v>
      </c>
      <c r="J19" s="6">
        <f>TRUNC([APLICAÇÃO]  * SETUP!$B$3, 2)</f>
        <v>0.54</v>
      </c>
      <c r="K19" s="6">
        <f>TRUNC([APLICAÇÃO]  * SETUP!$C$3, 2)</f>
        <v>1.37</v>
      </c>
      <c r="L19" s="6">
        <f>TRUNC(SETUP!$G$3  * SETUP!$H$3, 2)</f>
        <v>0.28999999999999998</v>
      </c>
      <c r="M19" s="6">
        <f>ROUND(SETUP!$G$3 * SETUP!$I$3, 2)</f>
        <v>0.57999999999999996</v>
      </c>
      <c r="N19" s="6">
        <f>SETUP!$G$3 + SUM(Tabela13[[#This Row],[EMOL CP]]:Tabela13[[#This Row],[OUTRAS CP]])</f>
        <v>18.41</v>
      </c>
      <c r="O19" s="6">
        <f>TRUNC([APLICAÇÃO] * 2  * SETUP!$A$3, 2)</f>
        <v>1.46</v>
      </c>
      <c r="P19" s="6">
        <f>TRUNC([APLICAÇÃO] * 2  * SETUP!$B$3, 2)</f>
        <v>1.0900000000000001</v>
      </c>
      <c r="Q19" s="6">
        <f>TRUNC([APLICAÇÃO] * 2  * SETUP!$C$3, 2)</f>
        <v>2.75</v>
      </c>
      <c r="R19" s="6">
        <f>TRUNC(SETUP!$G$3  * SETUP!$H$3, 2)</f>
        <v>0.28999999999999998</v>
      </c>
      <c r="S19" s="6">
        <f>ROUND(SETUP!$G$3 * SETUP!$I$3, 2)</f>
        <v>0.57999999999999996</v>
      </c>
      <c r="T19" s="6">
        <f>SETUP!$G$3 + SUM(Tabela13[[#This Row],[EMOL VD]]:Tabela13[[#This Row],[OUTRAS VD]])</f>
        <v>21.07</v>
      </c>
      <c r="U19" s="6">
        <f>((([APLICAÇÃO] * 2) - [TAXA VD]) - ([APLICAÇÃO] + [TAXA CP])) * 0.85</f>
        <v>1651.4139999999998</v>
      </c>
      <c r="V19" s="6">
        <f>IF([LUCRO] &lt; 0, 0, ROUND([LUCRO]*80%, 2))</f>
        <v>0</v>
      </c>
      <c r="W19" s="6">
        <f>[LUCRO]-[PROTEÇÃO MÊS]</f>
        <v>0</v>
      </c>
      <c r="X19" s="38">
        <f>SUMPRODUCT(N([TRADE] &lt;= Tabela13[[#This Row],[TRADE]]), [PROTEÇÃO MÊS]) - [APORTE RF]</f>
        <v>1129.3</v>
      </c>
      <c r="Y19" s="6">
        <f>[TOT RF] + [REINVESTIR] + [APLICAÇÃO]</f>
        <v>3111.62</v>
      </c>
      <c r="Z19" s="4">
        <f>IF(AND([PROTEÇÃO MÊS] &gt; 0, ([TOT RF] - [PROTEÇÃO MÊS]) &gt; 0), [PROTEÇÃO MÊS] / ([TOT RF] - [PROTEÇÃO MÊS]), 0)</f>
        <v>0</v>
      </c>
    </row>
    <row r="20" spans="1:26">
      <c r="A20" s="24">
        <v>19</v>
      </c>
      <c r="B20" s="21">
        <v>41548</v>
      </c>
      <c r="C20" s="3"/>
      <c r="D20" s="3"/>
      <c r="E20" s="3">
        <v>0</v>
      </c>
      <c r="F20" s="3">
        <v>100</v>
      </c>
      <c r="G20" s="6">
        <f>SUMPRODUCT(N([TRADE] &lt;= Tabela13[[#This Row],[TRADE]]), [APORTE]) + SUMPRODUCT(N([TRADE] &lt;= Tabela13[[#This Row],[TRADE]]), [APORTE RF])</f>
        <v>1800</v>
      </c>
      <c r="H20" s="6">
        <f>[MONTANTE] - SUMPRODUCT(N([TRADE] &lt;= Tabela13[[#This Row],[TRADE]]), [SAQUE]) + SUMPRODUCT(N([TRADE] &lt; Tabela13[[#This Row],[TRADE]]), [REINVESTIR])</f>
        <v>2082.3200000000002</v>
      </c>
      <c r="I20" s="6">
        <f>TRUNC([APLICAÇÃO]  * SETUP!$A$3, 2)</f>
        <v>0.77</v>
      </c>
      <c r="J20" s="6">
        <f>TRUNC([APLICAÇÃO]  * SETUP!$B$3, 2)</f>
        <v>0.56999999999999995</v>
      </c>
      <c r="K20" s="6">
        <f>TRUNC([APLICAÇÃO]  * SETUP!$C$3, 2)</f>
        <v>1.44</v>
      </c>
      <c r="L20" s="6">
        <f>TRUNC(SETUP!$G$3  * SETUP!$H$3, 2)</f>
        <v>0.28999999999999998</v>
      </c>
      <c r="M20" s="6">
        <f>ROUND(SETUP!$G$3 * SETUP!$I$3, 2)</f>
        <v>0.57999999999999996</v>
      </c>
      <c r="N20" s="6">
        <f>SETUP!$G$3 + SUM(Tabela13[[#This Row],[EMOL CP]]:Tabela13[[#This Row],[OUTRAS CP]])</f>
        <v>18.55</v>
      </c>
      <c r="O20" s="6">
        <f>TRUNC([APLICAÇÃO] * 2  * SETUP!$A$3, 2)</f>
        <v>1.54</v>
      </c>
      <c r="P20" s="6">
        <f>TRUNC([APLICAÇÃO] * 2  * SETUP!$B$3, 2)</f>
        <v>1.1399999999999999</v>
      </c>
      <c r="Q20" s="6">
        <f>TRUNC([APLICAÇÃO] * 2  * SETUP!$C$3, 2)</f>
        <v>2.89</v>
      </c>
      <c r="R20" s="6">
        <f>TRUNC(SETUP!$G$3  * SETUP!$H$3, 2)</f>
        <v>0.28999999999999998</v>
      </c>
      <c r="S20" s="6">
        <f>ROUND(SETUP!$G$3 * SETUP!$I$3, 2)</f>
        <v>0.57999999999999996</v>
      </c>
      <c r="T20" s="6">
        <f>SETUP!$G$3 + SUM(Tabela13[[#This Row],[EMOL VD]]:Tabela13[[#This Row],[OUTRAS VD]])</f>
        <v>21.34</v>
      </c>
      <c r="U20" s="6">
        <f>((([APLICAÇÃO] * 2) - [TAXA VD]) - ([APLICAÇÃO] + [TAXA CP])) * 0.85</f>
        <v>1736.0654999999999</v>
      </c>
      <c r="V20" s="6">
        <f>IF([LUCRO] &lt; 0, 0, ROUND([LUCRO]*80%, 2))</f>
        <v>0</v>
      </c>
      <c r="W20" s="6">
        <f>[LUCRO]-[PROTEÇÃO MÊS]</f>
        <v>0</v>
      </c>
      <c r="X20" s="38">
        <f>SUMPRODUCT(N([TRADE] &lt;= Tabela13[[#This Row],[TRADE]]), [PROTEÇÃO MÊS]) - [APORTE RF]</f>
        <v>1129.3</v>
      </c>
      <c r="Y20" s="6">
        <f>[TOT RF] + [REINVESTIR] + [APLICAÇÃO]</f>
        <v>3211.62</v>
      </c>
      <c r="Z20" s="4">
        <f>IF(AND([PROTEÇÃO MÊS] &gt; 0, ([TOT RF] - [PROTEÇÃO MÊS]) &gt; 0), [PROTEÇÃO MÊS] / ([TOT RF] - [PROTEÇÃO MÊS]), 0)</f>
        <v>0</v>
      </c>
    </row>
    <row r="21" spans="1:26">
      <c r="A21" s="1">
        <v>20</v>
      </c>
      <c r="B21" s="21">
        <v>41579</v>
      </c>
      <c r="C21" s="3"/>
      <c r="D21" s="3"/>
      <c r="E21" s="3">
        <v>0</v>
      </c>
      <c r="F21" s="3">
        <v>100</v>
      </c>
      <c r="G21" s="6">
        <f>SUMPRODUCT(N([TRADE] &lt;= Tabela13[[#This Row],[TRADE]]), [APORTE]) + SUMPRODUCT(N([TRADE] &lt;= Tabela13[[#This Row],[TRADE]]), [APORTE RF])</f>
        <v>1900</v>
      </c>
      <c r="H21" s="6">
        <f>[MONTANTE] - SUMPRODUCT(N([TRADE] &lt;= Tabela13[[#This Row],[TRADE]]), [SAQUE]) + SUMPRODUCT(N([TRADE] &lt; Tabela13[[#This Row],[TRADE]]), [REINVESTIR])</f>
        <v>2182.3200000000002</v>
      </c>
      <c r="I21" s="6">
        <f>TRUNC([APLICAÇÃO]  * SETUP!$A$3, 2)</f>
        <v>0.8</v>
      </c>
      <c r="J21" s="6">
        <f>TRUNC([APLICAÇÃO]  * SETUP!$B$3, 2)</f>
        <v>0.6</v>
      </c>
      <c r="K21" s="6">
        <f>TRUNC([APLICAÇÃO]  * SETUP!$C$3, 2)</f>
        <v>1.51</v>
      </c>
      <c r="L21" s="6">
        <f>TRUNC(SETUP!$G$3  * SETUP!$H$3, 2)</f>
        <v>0.28999999999999998</v>
      </c>
      <c r="M21" s="6">
        <f>ROUND(SETUP!$G$3 * SETUP!$I$3, 2)</f>
        <v>0.57999999999999996</v>
      </c>
      <c r="N21" s="6">
        <f>SETUP!$G$3 + SUM(Tabela13[[#This Row],[EMOL CP]]:Tabela13[[#This Row],[OUTRAS CP]])</f>
        <v>18.68</v>
      </c>
      <c r="O21" s="6">
        <f>TRUNC([APLICAÇÃO] * 2  * SETUP!$A$3, 2)</f>
        <v>1.61</v>
      </c>
      <c r="P21" s="6">
        <f>TRUNC([APLICAÇÃO] * 2  * SETUP!$B$3, 2)</f>
        <v>1.2</v>
      </c>
      <c r="Q21" s="6">
        <f>TRUNC([APLICAÇÃO] * 2  * SETUP!$C$3, 2)</f>
        <v>3.03</v>
      </c>
      <c r="R21" s="6">
        <f>TRUNC(SETUP!$G$3  * SETUP!$H$3, 2)</f>
        <v>0.28999999999999998</v>
      </c>
      <c r="S21" s="6">
        <f>ROUND(SETUP!$G$3 * SETUP!$I$3, 2)</f>
        <v>0.57999999999999996</v>
      </c>
      <c r="T21" s="6">
        <f>SETUP!$G$3 + SUM(Tabela13[[#This Row],[EMOL VD]]:Tabela13[[#This Row],[OUTRAS VD]])</f>
        <v>21.61</v>
      </c>
      <c r="U21" s="6">
        <f>((([APLICAÇÃO] * 2) - [TAXA VD]) - ([APLICAÇÃO] + [TAXA CP])) * 0.85</f>
        <v>1820.7255000000005</v>
      </c>
      <c r="V21" s="6">
        <f>IF([LUCRO] &lt; 0, 0, ROUND([LUCRO]*80%, 2))</f>
        <v>0</v>
      </c>
      <c r="W21" s="6">
        <f>[LUCRO]-[PROTEÇÃO MÊS]</f>
        <v>0</v>
      </c>
      <c r="X21" s="38">
        <f>SUMPRODUCT(N([TRADE] &lt;= Tabela13[[#This Row],[TRADE]]), [PROTEÇÃO MÊS]) - [APORTE RF]</f>
        <v>1129.3</v>
      </c>
      <c r="Y21" s="6">
        <f>[TOT RF] + [REINVESTIR] + [APLICAÇÃO]</f>
        <v>3311.62</v>
      </c>
      <c r="Z21" s="4">
        <f>IF(AND([PROTEÇÃO MÊS] &gt; 0, ([TOT RF] - [PROTEÇÃO MÊS]) &gt; 0), [PROTEÇÃO MÊS] / ([TOT RF] - [PROTEÇÃO MÊS]), 0)</f>
        <v>0</v>
      </c>
    </row>
    <row r="22" spans="1:26">
      <c r="A22" s="24">
        <v>21</v>
      </c>
      <c r="B22" s="21">
        <v>41609</v>
      </c>
      <c r="C22" s="18"/>
      <c r="D22" s="18"/>
      <c r="E22" s="18">
        <v>0</v>
      </c>
      <c r="F22" s="3">
        <v>100</v>
      </c>
      <c r="G22" s="19">
        <f>SUMPRODUCT(N([TRADE] &lt;= Tabela13[[#This Row],[TRADE]]), [APORTE]) + SUMPRODUCT(N([TRADE] &lt;= Tabela13[[#This Row],[TRADE]]), [APORTE RF])</f>
        <v>2000</v>
      </c>
      <c r="H22" s="19">
        <f>[MONTANTE] - SUMPRODUCT(N([TRADE] &lt;= Tabela13[[#This Row],[TRADE]]), [SAQUE]) + SUMPRODUCT(N([TRADE] &lt; Tabela13[[#This Row],[TRADE]]), [REINVESTIR])</f>
        <v>2282.3200000000002</v>
      </c>
      <c r="I22" s="19">
        <f>TRUNC([APLICAÇÃO]  * SETUP!$A$3, 2)</f>
        <v>0.84</v>
      </c>
      <c r="J22" s="19">
        <f>TRUNC([APLICAÇÃO]  * SETUP!$B$3, 2)</f>
        <v>0.62</v>
      </c>
      <c r="K22" s="19">
        <f>TRUNC([APLICAÇÃO]  * SETUP!$C$3, 2)</f>
        <v>1.58</v>
      </c>
      <c r="L22" s="19">
        <f>TRUNC(SETUP!$G$3  * SETUP!$H$3, 2)</f>
        <v>0.28999999999999998</v>
      </c>
      <c r="M22" s="19">
        <f>ROUND(SETUP!$G$3 * SETUP!$I$3, 2)</f>
        <v>0.57999999999999996</v>
      </c>
      <c r="N22" s="19">
        <f>SETUP!$G$3 + SUM(Tabela13[[#This Row],[EMOL CP]]:Tabela13[[#This Row],[OUTRAS CP]])</f>
        <v>18.810000000000002</v>
      </c>
      <c r="O22" s="19">
        <f>TRUNC([APLICAÇÃO] * 2  * SETUP!$A$3, 2)</f>
        <v>1.68</v>
      </c>
      <c r="P22" s="19">
        <f>TRUNC([APLICAÇÃO] * 2  * SETUP!$B$3, 2)</f>
        <v>1.25</v>
      </c>
      <c r="Q22" s="19">
        <f>TRUNC([APLICAÇÃO] * 2  * SETUP!$C$3, 2)</f>
        <v>3.17</v>
      </c>
      <c r="R22" s="19">
        <f>TRUNC(SETUP!$G$3  * SETUP!$H$3, 2)</f>
        <v>0.28999999999999998</v>
      </c>
      <c r="S22" s="19">
        <f>ROUND(SETUP!$G$3 * SETUP!$I$3, 2)</f>
        <v>0.57999999999999996</v>
      </c>
      <c r="T22" s="19">
        <f>SETUP!$G$3 + SUM(Tabela13[[#This Row],[EMOL VD]]:Tabela13[[#This Row],[OUTRAS VD]])</f>
        <v>21.87</v>
      </c>
      <c r="U22" s="19">
        <f>((([APLICAÇÃO] * 2) - [TAXA VD]) - ([APLICAÇÃO] + [TAXA CP])) * 0.85</f>
        <v>1905.3940000000002</v>
      </c>
      <c r="V22" s="19">
        <f>IF([LUCRO] &lt; 0, 0, ROUND([LUCRO]*80%, 2))</f>
        <v>0</v>
      </c>
      <c r="W22" s="19">
        <f>[LUCRO]-[PROTEÇÃO MÊS]</f>
        <v>0</v>
      </c>
      <c r="X22" s="39">
        <f>SUMPRODUCT(N([TRADE] &lt;= Tabela13[[#This Row],[TRADE]]), [PROTEÇÃO MÊS]) - [APORTE RF]</f>
        <v>1129.3</v>
      </c>
      <c r="Y22" s="19">
        <f>[TOT RF] + [REINVESTIR] + [APLICAÇÃO]</f>
        <v>3411.62</v>
      </c>
      <c r="Z22" s="20">
        <f>IF(AND([PROTEÇÃO MÊS] &gt; 0, ([TOT RF] - [PROTEÇÃO MÊS]) &gt; 0), [PROTEÇÃO MÊS] / ([TOT RF] - [PROTEÇÃO MÊS]), 0)</f>
        <v>0</v>
      </c>
    </row>
    <row r="23" spans="1:26">
      <c r="A23" s="1">
        <v>22</v>
      </c>
      <c r="B23" s="21">
        <v>41640</v>
      </c>
      <c r="C23" s="3"/>
      <c r="D23" s="3"/>
      <c r="E23" s="3">
        <v>0</v>
      </c>
      <c r="F23" s="3">
        <v>100</v>
      </c>
      <c r="G23" s="6">
        <f>SUMPRODUCT(N([TRADE] &lt;= Tabela13[[#This Row],[TRADE]]), [APORTE]) + SUMPRODUCT(N([TRADE] &lt;= Tabela13[[#This Row],[TRADE]]), [APORTE RF])</f>
        <v>2100</v>
      </c>
      <c r="H23" s="6">
        <f>[MONTANTE] - SUMPRODUCT(N([TRADE] &lt;= Tabela13[[#This Row],[TRADE]]), [SAQUE]) + SUMPRODUCT(N([TRADE] &lt; Tabela13[[#This Row],[TRADE]]), [REINVESTIR])</f>
        <v>2382.3200000000002</v>
      </c>
      <c r="I23" s="6">
        <f>TRUNC([APLICAÇÃO]  * SETUP!$A$3, 2)</f>
        <v>0.88</v>
      </c>
      <c r="J23" s="6">
        <f>TRUNC([APLICAÇÃO]  * SETUP!$B$3, 2)</f>
        <v>0.65</v>
      </c>
      <c r="K23" s="6">
        <f>TRUNC([APLICAÇÃO]  * SETUP!$C$3, 2)</f>
        <v>1.65</v>
      </c>
      <c r="L23" s="6">
        <f>TRUNC(SETUP!$G$3  * SETUP!$H$3, 2)</f>
        <v>0.28999999999999998</v>
      </c>
      <c r="M23" s="6">
        <f>ROUND(SETUP!$G$3 * SETUP!$I$3, 2)</f>
        <v>0.57999999999999996</v>
      </c>
      <c r="N23" s="6">
        <f>SETUP!$G$3 + SUM(Tabela13[[#This Row],[EMOL CP]]:Tabela13[[#This Row],[OUTRAS CP]])</f>
        <v>18.95</v>
      </c>
      <c r="O23" s="6">
        <f>TRUNC([APLICAÇÃO] * 2  * SETUP!$A$3, 2)</f>
        <v>1.76</v>
      </c>
      <c r="P23" s="6">
        <f>TRUNC([APLICAÇÃO] * 2  * SETUP!$B$3, 2)</f>
        <v>1.31</v>
      </c>
      <c r="Q23" s="6">
        <f>TRUNC([APLICAÇÃO] * 2  * SETUP!$C$3, 2)</f>
        <v>3.31</v>
      </c>
      <c r="R23" s="6">
        <f>TRUNC(SETUP!$G$3  * SETUP!$H$3, 2)</f>
        <v>0.28999999999999998</v>
      </c>
      <c r="S23" s="6">
        <f>ROUND(SETUP!$G$3 * SETUP!$I$3, 2)</f>
        <v>0.57999999999999996</v>
      </c>
      <c r="T23" s="6">
        <f>SETUP!$G$3 + SUM(Tabela13[[#This Row],[EMOL VD]]:Tabela13[[#This Row],[OUTRAS VD]])</f>
        <v>22.150000000000002</v>
      </c>
      <c r="U23" s="6">
        <f>((([APLICAÇÃO] * 2) - [TAXA VD]) - ([APLICAÇÃO] + [TAXA CP])) * 0.85</f>
        <v>1990.0370000000005</v>
      </c>
      <c r="V23" s="6">
        <f>IF([LUCRO] &lt; 0, 0, ROUND([LUCRO]*80%, 2))</f>
        <v>0</v>
      </c>
      <c r="W23" s="6">
        <f>[LUCRO]-[PROTEÇÃO MÊS]</f>
        <v>0</v>
      </c>
      <c r="X23" s="38">
        <f>SUMPRODUCT(N([TRADE] &lt;= Tabela13[[#This Row],[TRADE]]), [PROTEÇÃO MÊS]) - [APORTE RF]</f>
        <v>1129.3</v>
      </c>
      <c r="Y23" s="6">
        <f>[TOT RF] + [REINVESTIR] + [APLICAÇÃO]</f>
        <v>3511.62</v>
      </c>
      <c r="Z23" s="4">
        <f>IF(AND([PROTEÇÃO MÊS] &gt; 0, ([TOT RF] - [PROTEÇÃO MÊS]) &gt; 0), [PROTEÇÃO MÊS] / ([TOT RF] - [PROTEÇÃO MÊS]), 0)</f>
        <v>0</v>
      </c>
    </row>
    <row r="24" spans="1:26">
      <c r="A24" s="24">
        <v>23</v>
      </c>
      <c r="B24" s="21">
        <v>41671</v>
      </c>
      <c r="C24" s="3"/>
      <c r="D24" s="3"/>
      <c r="E24" s="3">
        <v>0</v>
      </c>
      <c r="F24" s="3">
        <v>100</v>
      </c>
      <c r="G24" s="6">
        <f>SUMPRODUCT(N([TRADE] &lt;= Tabela13[[#This Row],[TRADE]]), [APORTE]) + SUMPRODUCT(N([TRADE] &lt;= Tabela13[[#This Row],[TRADE]]), [APORTE RF])</f>
        <v>2200</v>
      </c>
      <c r="H24" s="6">
        <f>[MONTANTE] - SUMPRODUCT(N([TRADE] &lt;= Tabela13[[#This Row],[TRADE]]), [SAQUE]) + SUMPRODUCT(N([TRADE] &lt; Tabela13[[#This Row],[TRADE]]), [REINVESTIR])</f>
        <v>2482.3200000000002</v>
      </c>
      <c r="I24" s="6">
        <f>TRUNC([APLICAÇÃO]  * SETUP!$A$3, 2)</f>
        <v>0.91</v>
      </c>
      <c r="J24" s="6">
        <f>TRUNC([APLICAÇÃO]  * SETUP!$B$3, 2)</f>
        <v>0.68</v>
      </c>
      <c r="K24" s="6">
        <f>TRUNC([APLICAÇÃO]  * SETUP!$C$3, 2)</f>
        <v>1.72</v>
      </c>
      <c r="L24" s="6">
        <f>TRUNC(SETUP!$G$3  * SETUP!$H$3, 2)</f>
        <v>0.28999999999999998</v>
      </c>
      <c r="M24" s="6">
        <f>ROUND(SETUP!$G$3 * SETUP!$I$3, 2)</f>
        <v>0.57999999999999996</v>
      </c>
      <c r="N24" s="6">
        <f>SETUP!$G$3 + SUM(Tabela13[[#This Row],[EMOL CP]]:Tabela13[[#This Row],[OUTRAS CP]])</f>
        <v>19.079999999999998</v>
      </c>
      <c r="O24" s="6">
        <f>TRUNC([APLICAÇÃO] * 2  * SETUP!$A$3, 2)</f>
        <v>1.83</v>
      </c>
      <c r="P24" s="6">
        <f>TRUNC([APLICAÇÃO] * 2  * SETUP!$B$3, 2)</f>
        <v>1.36</v>
      </c>
      <c r="Q24" s="6">
        <f>TRUNC([APLICAÇÃO] * 2  * SETUP!$C$3, 2)</f>
        <v>3.45</v>
      </c>
      <c r="R24" s="6">
        <f>TRUNC(SETUP!$G$3  * SETUP!$H$3, 2)</f>
        <v>0.28999999999999998</v>
      </c>
      <c r="S24" s="6">
        <f>ROUND(SETUP!$G$3 * SETUP!$I$3, 2)</f>
        <v>0.57999999999999996</v>
      </c>
      <c r="T24" s="6">
        <f>SETUP!$G$3 + SUM(Tabela13[[#This Row],[EMOL VD]]:Tabela13[[#This Row],[OUTRAS VD]])</f>
        <v>22.41</v>
      </c>
      <c r="U24" s="6">
        <f>((([APLICAÇÃO] * 2) - [TAXA VD]) - ([APLICAÇÃO] + [TAXA CP])) * 0.85</f>
        <v>2074.7055000000005</v>
      </c>
      <c r="V24" s="6">
        <f>IF([LUCRO] &lt; 0, 0, ROUND([LUCRO]*80%, 2))</f>
        <v>0</v>
      </c>
      <c r="W24" s="6">
        <f>[LUCRO]-[PROTEÇÃO MÊS]</f>
        <v>0</v>
      </c>
      <c r="X24" s="38">
        <f>SUMPRODUCT(N([TRADE] &lt;= Tabela13[[#This Row],[TRADE]]), [PROTEÇÃO MÊS]) - [APORTE RF]</f>
        <v>1129.3</v>
      </c>
      <c r="Y24" s="6">
        <f>[TOT RF] + [REINVESTIR] + [APLICAÇÃO]</f>
        <v>3611.62</v>
      </c>
      <c r="Z24" s="4">
        <f>IF(AND([PROTEÇÃO MÊS] &gt; 0, ([TOT RF] - [PROTEÇÃO MÊS]) &gt; 0), [PROTEÇÃO MÊS] / ([TOT RF] - [PROTEÇÃO MÊS]), 0)</f>
        <v>0</v>
      </c>
    </row>
    <row r="25" spans="1:26">
      <c r="A25" s="1">
        <v>24</v>
      </c>
      <c r="B25" s="21">
        <v>41699</v>
      </c>
      <c r="C25" s="3"/>
      <c r="D25" s="3"/>
      <c r="E25" s="3">
        <v>0</v>
      </c>
      <c r="F25" s="3">
        <v>100</v>
      </c>
      <c r="G25" s="6">
        <f>SUMPRODUCT(N([TRADE] &lt;= Tabela13[[#This Row],[TRADE]]), [APORTE]) + SUMPRODUCT(N([TRADE] &lt;= Tabela13[[#This Row],[TRADE]]), [APORTE RF])</f>
        <v>2300</v>
      </c>
      <c r="H25" s="6">
        <f>[MONTANTE] - SUMPRODUCT(N([TRADE] &lt;= Tabela13[[#This Row],[TRADE]]), [SAQUE]) + SUMPRODUCT(N([TRADE] &lt; Tabela13[[#This Row],[TRADE]]), [REINVESTIR])</f>
        <v>2582.3200000000002</v>
      </c>
      <c r="I25" s="6">
        <f>TRUNC([APLICAÇÃO]  * SETUP!$A$3, 2)</f>
        <v>0.95</v>
      </c>
      <c r="J25" s="6">
        <f>TRUNC([APLICAÇÃO]  * SETUP!$B$3, 2)</f>
        <v>0.71</v>
      </c>
      <c r="K25" s="6">
        <f>TRUNC([APLICAÇÃO]  * SETUP!$C$3, 2)</f>
        <v>1.79</v>
      </c>
      <c r="L25" s="6">
        <f>TRUNC(SETUP!$G$3  * SETUP!$H$3, 2)</f>
        <v>0.28999999999999998</v>
      </c>
      <c r="M25" s="6">
        <f>ROUND(SETUP!$G$3 * SETUP!$I$3, 2)</f>
        <v>0.57999999999999996</v>
      </c>
      <c r="N25" s="6">
        <f>SETUP!$G$3 + SUM(Tabela13[[#This Row],[EMOL CP]]:Tabela13[[#This Row],[OUTRAS CP]])</f>
        <v>19.22</v>
      </c>
      <c r="O25" s="6">
        <f>TRUNC([APLICAÇÃO] * 2  * SETUP!$A$3, 2)</f>
        <v>1.91</v>
      </c>
      <c r="P25" s="6">
        <f>TRUNC([APLICAÇÃO] * 2  * SETUP!$B$3, 2)</f>
        <v>1.42</v>
      </c>
      <c r="Q25" s="6">
        <f>TRUNC([APLICAÇÃO] * 2  * SETUP!$C$3, 2)</f>
        <v>3.58</v>
      </c>
      <c r="R25" s="6">
        <f>TRUNC(SETUP!$G$3  * SETUP!$H$3, 2)</f>
        <v>0.28999999999999998</v>
      </c>
      <c r="S25" s="6">
        <f>ROUND(SETUP!$G$3 * SETUP!$I$3, 2)</f>
        <v>0.57999999999999996</v>
      </c>
      <c r="T25" s="6">
        <f>SETUP!$G$3 + SUM(Tabela13[[#This Row],[EMOL VD]]:Tabela13[[#This Row],[OUTRAS VD]])</f>
        <v>22.68</v>
      </c>
      <c r="U25" s="6">
        <f>((([APLICAÇÃO] * 2) - [TAXA VD]) - ([APLICAÇÃO] + [TAXA CP])) * 0.85</f>
        <v>2159.357</v>
      </c>
      <c r="V25" s="6">
        <f>IF([LUCRO] &lt; 0, 0, ROUND([LUCRO]*80%, 2))</f>
        <v>0</v>
      </c>
      <c r="W25" s="6">
        <f>[LUCRO]-[PROTEÇÃO MÊS]</f>
        <v>0</v>
      </c>
      <c r="X25" s="38">
        <f>SUMPRODUCT(N([TRADE] &lt;= Tabela13[[#This Row],[TRADE]]), [PROTEÇÃO MÊS]) - [APORTE RF]</f>
        <v>1129.3</v>
      </c>
      <c r="Y25" s="6">
        <f>[TOT RF] + [REINVESTIR] + [APLICAÇÃO]</f>
        <v>3711.62</v>
      </c>
      <c r="Z25" s="4">
        <f>IF(AND([PROTEÇÃO MÊS] &gt; 0, ([TOT RF] - [PROTEÇÃO MÊS]) &gt; 0), [PROTEÇÃO MÊS] / ([TOT RF] - [PROTEÇÃO MÊS]), 0)</f>
        <v>0</v>
      </c>
    </row>
    <row r="26" spans="1:26">
      <c r="A26" s="24">
        <v>25</v>
      </c>
      <c r="B26" s="21">
        <v>41730</v>
      </c>
      <c r="C26" s="3"/>
      <c r="D26" s="3"/>
      <c r="E26" s="3">
        <v>0</v>
      </c>
      <c r="F26" s="3">
        <v>100</v>
      </c>
      <c r="G26" s="6">
        <f>SUMPRODUCT(N([TRADE] &lt;= Tabela13[[#This Row],[TRADE]]), [APORTE]) + SUMPRODUCT(N([TRADE] &lt;= Tabela13[[#This Row],[TRADE]]), [APORTE RF])</f>
        <v>2400</v>
      </c>
      <c r="H26" s="6">
        <f>[MONTANTE] - SUMPRODUCT(N([TRADE] &lt;= Tabela13[[#This Row],[TRADE]]), [SAQUE]) + SUMPRODUCT(N([TRADE] &lt; Tabela13[[#This Row],[TRADE]]), [REINVESTIR])</f>
        <v>2682.32</v>
      </c>
      <c r="I26" s="6">
        <f>TRUNC([APLICAÇÃO]  * SETUP!$A$3, 2)</f>
        <v>0.99</v>
      </c>
      <c r="J26" s="6">
        <f>TRUNC([APLICAÇÃO]  * SETUP!$B$3, 2)</f>
        <v>0.73</v>
      </c>
      <c r="K26" s="6">
        <f>TRUNC([APLICAÇÃO]  * SETUP!$C$3, 2)</f>
        <v>1.86</v>
      </c>
      <c r="L26" s="6">
        <f>TRUNC(SETUP!$G$3  * SETUP!$H$3, 2)</f>
        <v>0.28999999999999998</v>
      </c>
      <c r="M26" s="6">
        <f>ROUND(SETUP!$G$3 * SETUP!$I$3, 2)</f>
        <v>0.57999999999999996</v>
      </c>
      <c r="N26" s="6">
        <f>SETUP!$G$3 + SUM(Tabela13[[#This Row],[EMOL CP]]:Tabela13[[#This Row],[OUTRAS CP]])</f>
        <v>19.350000000000001</v>
      </c>
      <c r="O26" s="6">
        <f>TRUNC([APLICAÇÃO] * 2  * SETUP!$A$3, 2)</f>
        <v>1.98</v>
      </c>
      <c r="P26" s="6">
        <f>TRUNC([APLICAÇÃO] * 2  * SETUP!$B$3, 2)</f>
        <v>1.47</v>
      </c>
      <c r="Q26" s="6">
        <f>TRUNC([APLICAÇÃO] * 2  * SETUP!$C$3, 2)</f>
        <v>3.72</v>
      </c>
      <c r="R26" s="6">
        <f>TRUNC(SETUP!$G$3  * SETUP!$H$3, 2)</f>
        <v>0.28999999999999998</v>
      </c>
      <c r="S26" s="6">
        <f>ROUND(SETUP!$G$3 * SETUP!$I$3, 2)</f>
        <v>0.57999999999999996</v>
      </c>
      <c r="T26" s="6">
        <f>SETUP!$G$3 + SUM(Tabela13[[#This Row],[EMOL VD]]:Tabela13[[#This Row],[OUTRAS VD]])</f>
        <v>22.939999999999998</v>
      </c>
      <c r="U26" s="6">
        <f>((([APLICAÇÃO] * 2) - [TAXA VD]) - ([APLICAÇÃO] + [TAXA CP])) * 0.85</f>
        <v>2244.0255000000006</v>
      </c>
      <c r="V26" s="6">
        <f>IF([LUCRO] &lt; 0, 0, ROUND([LUCRO]*80%, 2))</f>
        <v>0</v>
      </c>
      <c r="W26" s="6">
        <f>[LUCRO]-[PROTEÇÃO MÊS]</f>
        <v>0</v>
      </c>
      <c r="X26" s="38">
        <f>SUMPRODUCT(N([TRADE] &lt;= Tabela13[[#This Row],[TRADE]]), [PROTEÇÃO MÊS]) - [APORTE RF]</f>
        <v>1129.3</v>
      </c>
      <c r="Y26" s="6">
        <f>[TOT RF] + [REINVESTIR] + [APLICAÇÃO]</f>
        <v>3811.62</v>
      </c>
      <c r="Z26" s="4">
        <f>IF(AND([PROTEÇÃO MÊS] &gt; 0, ([TOT RF] - [PROTEÇÃO MÊS]) &gt; 0), [PROTEÇÃO MÊS] / ([TOT RF] - [PROTEÇÃO MÊS]), 0)</f>
        <v>0</v>
      </c>
    </row>
    <row r="27" spans="1:26">
      <c r="A27" s="1">
        <v>26</v>
      </c>
      <c r="B27" s="21">
        <v>41760</v>
      </c>
      <c r="C27" s="3"/>
      <c r="D27" s="3"/>
      <c r="E27" s="3">
        <v>0</v>
      </c>
      <c r="F27" s="3">
        <v>100</v>
      </c>
      <c r="G27" s="6">
        <f>SUMPRODUCT(N([TRADE] &lt;= Tabela13[[#This Row],[TRADE]]), [APORTE]) + SUMPRODUCT(N([TRADE] &lt;= Tabela13[[#This Row],[TRADE]]), [APORTE RF])</f>
        <v>2500</v>
      </c>
      <c r="H27" s="6">
        <f>[MONTANTE] - SUMPRODUCT(N([TRADE] &lt;= Tabela13[[#This Row],[TRADE]]), [SAQUE]) + SUMPRODUCT(N([TRADE] &lt; Tabela13[[#This Row],[TRADE]]), [REINVESTIR])</f>
        <v>2782.32</v>
      </c>
      <c r="I27" s="6">
        <f>TRUNC([APLICAÇÃO]  * SETUP!$A$3, 2)</f>
        <v>1.02</v>
      </c>
      <c r="J27" s="6">
        <f>TRUNC([APLICAÇÃO]  * SETUP!$B$3, 2)</f>
        <v>0.76</v>
      </c>
      <c r="K27" s="6">
        <f>TRUNC([APLICAÇÃO]  * SETUP!$C$3, 2)</f>
        <v>1.93</v>
      </c>
      <c r="L27" s="6">
        <f>TRUNC(SETUP!$G$3  * SETUP!$H$3, 2)</f>
        <v>0.28999999999999998</v>
      </c>
      <c r="M27" s="6">
        <f>ROUND(SETUP!$G$3 * SETUP!$I$3, 2)</f>
        <v>0.57999999999999996</v>
      </c>
      <c r="N27" s="6">
        <f>SETUP!$G$3 + SUM(Tabela13[[#This Row],[EMOL CP]]:Tabela13[[#This Row],[OUTRAS CP]])</f>
        <v>19.48</v>
      </c>
      <c r="O27" s="6">
        <f>TRUNC([APLICAÇÃO] * 2  * SETUP!$A$3, 2)</f>
        <v>2.0499999999999998</v>
      </c>
      <c r="P27" s="6">
        <f>TRUNC([APLICAÇÃO] * 2  * SETUP!$B$3, 2)</f>
        <v>1.53</v>
      </c>
      <c r="Q27" s="6">
        <f>TRUNC([APLICAÇÃO] * 2  * SETUP!$C$3, 2)</f>
        <v>3.86</v>
      </c>
      <c r="R27" s="6">
        <f>TRUNC(SETUP!$G$3  * SETUP!$H$3, 2)</f>
        <v>0.28999999999999998</v>
      </c>
      <c r="S27" s="6">
        <f>ROUND(SETUP!$G$3 * SETUP!$I$3, 2)</f>
        <v>0.57999999999999996</v>
      </c>
      <c r="T27" s="6">
        <f>SETUP!$G$3 + SUM(Tabela13[[#This Row],[EMOL VD]]:Tabela13[[#This Row],[OUTRAS VD]])</f>
        <v>23.21</v>
      </c>
      <c r="U27" s="6">
        <f>((([APLICAÇÃO] * 2) - [TAXA VD]) - ([APLICAÇÃO] + [TAXA CP])) * 0.85</f>
        <v>2328.6855</v>
      </c>
      <c r="V27" s="6">
        <f>IF([LUCRO] &lt; 0, 0, ROUND([LUCRO]*80%, 2))</f>
        <v>0</v>
      </c>
      <c r="W27" s="6">
        <f>[LUCRO]-[PROTEÇÃO MÊS]</f>
        <v>0</v>
      </c>
      <c r="X27" s="38">
        <f>SUMPRODUCT(N([TRADE] &lt;= Tabela13[[#This Row],[TRADE]]), [PROTEÇÃO MÊS]) - [APORTE RF]</f>
        <v>1129.3</v>
      </c>
      <c r="Y27" s="6">
        <f>[TOT RF] + [REINVESTIR] + [APLICAÇÃO]</f>
        <v>3911.62</v>
      </c>
      <c r="Z27" s="4">
        <f>IF(AND([PROTEÇÃO MÊS] &gt; 0, ([TOT RF] - [PROTEÇÃO MÊS]) &gt; 0), [PROTEÇÃO MÊS] / ([TOT RF] - [PROTEÇÃO MÊS]), 0)</f>
        <v>0</v>
      </c>
    </row>
    <row r="28" spans="1:26">
      <c r="A28" s="24">
        <v>27</v>
      </c>
      <c r="B28" s="21">
        <v>41791</v>
      </c>
      <c r="C28" s="3"/>
      <c r="D28" s="3"/>
      <c r="E28" s="3">
        <v>0</v>
      </c>
      <c r="F28" s="3">
        <v>100</v>
      </c>
      <c r="G28" s="6">
        <f>SUMPRODUCT(N([TRADE] &lt;= Tabela13[[#This Row],[TRADE]]), [APORTE]) + SUMPRODUCT(N([TRADE] &lt;= Tabela13[[#This Row],[TRADE]]), [APORTE RF])</f>
        <v>2600</v>
      </c>
      <c r="H28" s="6">
        <f>[MONTANTE] - SUMPRODUCT(N([TRADE] &lt;= Tabela13[[#This Row],[TRADE]]), [SAQUE]) + SUMPRODUCT(N([TRADE] &lt; Tabela13[[#This Row],[TRADE]]), [REINVESTIR])</f>
        <v>2882.32</v>
      </c>
      <c r="I28" s="6">
        <f>TRUNC([APLICAÇÃO]  * SETUP!$A$3, 2)</f>
        <v>1.06</v>
      </c>
      <c r="J28" s="6">
        <f>TRUNC([APLICAÇÃO]  * SETUP!$B$3, 2)</f>
        <v>0.79</v>
      </c>
      <c r="K28" s="6">
        <f>TRUNC([APLICAÇÃO]  * SETUP!$C$3, 2)</f>
        <v>2</v>
      </c>
      <c r="L28" s="6">
        <f>TRUNC(SETUP!$G$3  * SETUP!$H$3, 2)</f>
        <v>0.28999999999999998</v>
      </c>
      <c r="M28" s="6">
        <f>ROUND(SETUP!$G$3 * SETUP!$I$3, 2)</f>
        <v>0.57999999999999996</v>
      </c>
      <c r="N28" s="6">
        <f>SETUP!$G$3 + SUM(Tabela13[[#This Row],[EMOL CP]]:Tabela13[[#This Row],[OUTRAS CP]])</f>
        <v>19.62</v>
      </c>
      <c r="O28" s="6">
        <f>TRUNC([APLICAÇÃO] * 2  * SETUP!$A$3, 2)</f>
        <v>2.13</v>
      </c>
      <c r="P28" s="6">
        <f>TRUNC([APLICAÇÃO] * 2  * SETUP!$B$3, 2)</f>
        <v>1.58</v>
      </c>
      <c r="Q28" s="6">
        <f>TRUNC([APLICAÇÃO] * 2  * SETUP!$C$3, 2)</f>
        <v>4</v>
      </c>
      <c r="R28" s="6">
        <f>TRUNC(SETUP!$G$3  * SETUP!$H$3, 2)</f>
        <v>0.28999999999999998</v>
      </c>
      <c r="S28" s="6">
        <f>ROUND(SETUP!$G$3 * SETUP!$I$3, 2)</f>
        <v>0.57999999999999996</v>
      </c>
      <c r="T28" s="6">
        <f>SETUP!$G$3 + SUM(Tabela13[[#This Row],[EMOL VD]]:Tabela13[[#This Row],[OUTRAS VD]])</f>
        <v>23.48</v>
      </c>
      <c r="U28" s="6">
        <f>((([APLICAÇÃO] * 2) - [TAXA VD]) - ([APLICAÇÃO] + [TAXA CP])) * 0.85</f>
        <v>2413.3370000000004</v>
      </c>
      <c r="V28" s="6">
        <f>IF([LUCRO] &lt; 0, 0, ROUND([LUCRO]*80%, 2))</f>
        <v>0</v>
      </c>
      <c r="W28" s="6">
        <f>[LUCRO]-[PROTEÇÃO MÊS]</f>
        <v>0</v>
      </c>
      <c r="X28" s="38">
        <f>SUMPRODUCT(N([TRADE] &lt;= Tabela13[[#This Row],[TRADE]]), [PROTEÇÃO MÊS]) - [APORTE RF]</f>
        <v>1129.3</v>
      </c>
      <c r="Y28" s="6">
        <f>[TOT RF] + [REINVESTIR] + [APLICAÇÃO]</f>
        <v>4011.62</v>
      </c>
      <c r="Z28" s="4">
        <f>IF(AND([PROTEÇÃO MÊS] &gt; 0, ([TOT RF] - [PROTEÇÃO MÊS]) &gt; 0), [PROTEÇÃO MÊS] / ([TOT RF] - [PROTEÇÃO MÊS]), 0)</f>
        <v>0</v>
      </c>
    </row>
    <row r="29" spans="1:26">
      <c r="A29" s="1">
        <v>28</v>
      </c>
      <c r="B29" s="21">
        <v>41821</v>
      </c>
      <c r="C29" s="3"/>
      <c r="D29" s="3"/>
      <c r="E29" s="3">
        <v>0</v>
      </c>
      <c r="F29" s="3">
        <v>100</v>
      </c>
      <c r="G29" s="6">
        <f>SUMPRODUCT(N([TRADE] &lt;= Tabela13[[#This Row],[TRADE]]), [APORTE]) + SUMPRODUCT(N([TRADE] &lt;= Tabela13[[#This Row],[TRADE]]), [APORTE RF])</f>
        <v>2700</v>
      </c>
      <c r="H29" s="6">
        <f>[MONTANTE] - SUMPRODUCT(N([TRADE] &lt;= Tabela13[[#This Row],[TRADE]]), [SAQUE]) + SUMPRODUCT(N([TRADE] &lt; Tabela13[[#This Row],[TRADE]]), [REINVESTIR])</f>
        <v>2982.32</v>
      </c>
      <c r="I29" s="6">
        <f>TRUNC([APLICAÇÃO]  * SETUP!$A$3, 2)</f>
        <v>1.1000000000000001</v>
      </c>
      <c r="J29" s="6">
        <f>TRUNC([APLICAÇÃO]  * SETUP!$B$3, 2)</f>
        <v>0.82</v>
      </c>
      <c r="K29" s="6">
        <f>TRUNC([APLICAÇÃO]  * SETUP!$C$3, 2)</f>
        <v>2.0699999999999998</v>
      </c>
      <c r="L29" s="6">
        <f>TRUNC(SETUP!$G$3  * SETUP!$H$3, 2)</f>
        <v>0.28999999999999998</v>
      </c>
      <c r="M29" s="6">
        <f>ROUND(SETUP!$G$3 * SETUP!$I$3, 2)</f>
        <v>0.57999999999999996</v>
      </c>
      <c r="N29" s="6">
        <f>SETUP!$G$3 + SUM(Tabela13[[#This Row],[EMOL CP]]:Tabela13[[#This Row],[OUTRAS CP]])</f>
        <v>19.759999999999998</v>
      </c>
      <c r="O29" s="6">
        <f>TRUNC([APLICAÇÃO] * 2  * SETUP!$A$3, 2)</f>
        <v>2.2000000000000002</v>
      </c>
      <c r="P29" s="6">
        <f>TRUNC([APLICAÇÃO] * 2  * SETUP!$B$3, 2)</f>
        <v>1.64</v>
      </c>
      <c r="Q29" s="6">
        <f>TRUNC([APLICAÇÃO] * 2  * SETUP!$C$3, 2)</f>
        <v>4.1399999999999997</v>
      </c>
      <c r="R29" s="6">
        <f>TRUNC(SETUP!$G$3  * SETUP!$H$3, 2)</f>
        <v>0.28999999999999998</v>
      </c>
      <c r="S29" s="6">
        <f>ROUND(SETUP!$G$3 * SETUP!$I$3, 2)</f>
        <v>0.57999999999999996</v>
      </c>
      <c r="T29" s="6">
        <f>SETUP!$G$3 + SUM(Tabela13[[#This Row],[EMOL VD]]:Tabela13[[#This Row],[OUTRAS VD]])</f>
        <v>23.75</v>
      </c>
      <c r="U29" s="6">
        <f>((([APLICAÇÃO] * 2) - [TAXA VD]) - ([APLICAÇÃO] + [TAXA CP])) * 0.85</f>
        <v>2497.9884999999999</v>
      </c>
      <c r="V29" s="6">
        <f>IF([LUCRO] &lt; 0, 0, ROUND([LUCRO]*80%, 2))</f>
        <v>0</v>
      </c>
      <c r="W29" s="6">
        <f>[LUCRO]-[PROTEÇÃO MÊS]</f>
        <v>0</v>
      </c>
      <c r="X29" s="38">
        <f>SUMPRODUCT(N([TRADE] &lt;= Tabela13[[#This Row],[TRADE]]), [PROTEÇÃO MÊS]) - [APORTE RF]</f>
        <v>1129.3</v>
      </c>
      <c r="Y29" s="6">
        <f>[TOT RF] + [REINVESTIR] + [APLICAÇÃO]</f>
        <v>4111.62</v>
      </c>
      <c r="Z29" s="4">
        <f>IF(AND([PROTEÇÃO MÊS] &gt; 0, ([TOT RF] - [PROTEÇÃO MÊS]) &gt; 0), [PROTEÇÃO MÊS] / ([TOT RF] - [PROTEÇÃO MÊS]), 0)</f>
        <v>0</v>
      </c>
    </row>
    <row r="30" spans="1:26">
      <c r="A30" s="24">
        <v>29</v>
      </c>
      <c r="B30" s="21">
        <v>41852</v>
      </c>
      <c r="C30" s="18"/>
      <c r="D30" s="18"/>
      <c r="E30" s="18">
        <v>0</v>
      </c>
      <c r="F30" s="3">
        <v>100</v>
      </c>
      <c r="G30" s="19">
        <f>SUMPRODUCT(N([TRADE] &lt;= Tabela13[[#This Row],[TRADE]]), [APORTE]) + SUMPRODUCT(N([TRADE] &lt;= Tabela13[[#This Row],[TRADE]]), [APORTE RF])</f>
        <v>2800</v>
      </c>
      <c r="H30" s="19">
        <f>[MONTANTE] - SUMPRODUCT(N([TRADE] &lt;= Tabela13[[#This Row],[TRADE]]), [SAQUE]) + SUMPRODUCT(N([TRADE] &lt; Tabela13[[#This Row],[TRADE]]), [REINVESTIR])</f>
        <v>3082.32</v>
      </c>
      <c r="I30" s="19">
        <f>TRUNC([APLICAÇÃO]  * SETUP!$A$3, 2)</f>
        <v>1.1399999999999999</v>
      </c>
      <c r="J30" s="19">
        <f>TRUNC([APLICAÇÃO]  * SETUP!$B$3, 2)</f>
        <v>0.84</v>
      </c>
      <c r="K30" s="19">
        <f>TRUNC([APLICAÇÃO]  * SETUP!$C$3, 2)</f>
        <v>2.14</v>
      </c>
      <c r="L30" s="19">
        <f>TRUNC(SETUP!$G$3  * SETUP!$H$3, 2)</f>
        <v>0.28999999999999998</v>
      </c>
      <c r="M30" s="19">
        <f>ROUND(SETUP!$G$3 * SETUP!$I$3, 2)</f>
        <v>0.57999999999999996</v>
      </c>
      <c r="N30" s="19">
        <f>SETUP!$G$3 + SUM(Tabela13[[#This Row],[EMOL CP]]:Tabela13[[#This Row],[OUTRAS CP]])</f>
        <v>19.89</v>
      </c>
      <c r="O30" s="19">
        <f>TRUNC([APLICAÇÃO] * 2  * SETUP!$A$3, 2)</f>
        <v>2.2799999999999998</v>
      </c>
      <c r="P30" s="19">
        <f>TRUNC([APLICAÇÃO] * 2  * SETUP!$B$3, 2)</f>
        <v>1.69</v>
      </c>
      <c r="Q30" s="19">
        <f>TRUNC([APLICAÇÃO] * 2  * SETUP!$C$3, 2)</f>
        <v>4.28</v>
      </c>
      <c r="R30" s="19">
        <f>TRUNC(SETUP!$G$3  * SETUP!$H$3, 2)</f>
        <v>0.28999999999999998</v>
      </c>
      <c r="S30" s="19">
        <f>ROUND(SETUP!$G$3 * SETUP!$I$3, 2)</f>
        <v>0.57999999999999996</v>
      </c>
      <c r="T30" s="19">
        <f>SETUP!$G$3 + SUM(Tabela13[[#This Row],[EMOL VD]]:Tabela13[[#This Row],[OUTRAS VD]])</f>
        <v>24.02</v>
      </c>
      <c r="U30" s="19">
        <f>((([APLICAÇÃO] * 2) - [TAXA VD]) - ([APLICAÇÃO] + [TAXA CP])) * 0.85</f>
        <v>2582.6484999999998</v>
      </c>
      <c r="V30" s="19">
        <f>IF([LUCRO] &lt; 0, 0, ROUND([LUCRO]*80%, 2))</f>
        <v>0</v>
      </c>
      <c r="W30" s="19">
        <f>[LUCRO]-[PROTEÇÃO MÊS]</f>
        <v>0</v>
      </c>
      <c r="X30" s="39">
        <f>SUMPRODUCT(N([TRADE] &lt;= Tabela13[[#This Row],[TRADE]]), [PROTEÇÃO MÊS]) - [APORTE RF]</f>
        <v>1129.3</v>
      </c>
      <c r="Y30" s="19">
        <f>[TOT RF] + [REINVESTIR] + [APLICAÇÃO]</f>
        <v>4211.62</v>
      </c>
      <c r="Z30" s="20">
        <f>IF(AND([PROTEÇÃO MÊS] &gt; 0, ([TOT RF] - [PROTEÇÃO MÊS]) &gt; 0), [PROTEÇÃO MÊS] / ([TOT RF] - [PROTEÇÃO MÊS]), 0)</f>
        <v>0</v>
      </c>
    </row>
    <row r="31" spans="1:26">
      <c r="A31" s="1">
        <v>30</v>
      </c>
      <c r="B31" s="21">
        <v>41883</v>
      </c>
      <c r="C31" s="18"/>
      <c r="D31" s="18"/>
      <c r="E31" s="18">
        <v>0</v>
      </c>
      <c r="F31" s="19">
        <f>100</f>
        <v>100</v>
      </c>
      <c r="G31" s="19">
        <f>SUMPRODUCT(N([TRADE] &lt;= Tabela13[[#This Row],[TRADE]]), [APORTE]) + SUMPRODUCT(N([TRADE] &lt;= Tabela13[[#This Row],[TRADE]]), [APORTE RF])</f>
        <v>2900</v>
      </c>
      <c r="H31" s="19">
        <f>[MONTANTE] - SUMPRODUCT(N([TRADE] &lt;= Tabela13[[#This Row],[TRADE]]), [SAQUE]) + SUMPRODUCT(N([TRADE] &lt; Tabela13[[#This Row],[TRADE]]), [REINVESTIR])</f>
        <v>3182.32</v>
      </c>
      <c r="I31" s="19">
        <f>TRUNC([APLICAÇÃO]  * SETUP!$A$3, 2)</f>
        <v>1.17</v>
      </c>
      <c r="J31" s="19">
        <f>TRUNC([APLICAÇÃO]  * SETUP!$B$3, 2)</f>
        <v>0.87</v>
      </c>
      <c r="K31" s="19">
        <f>TRUNC([APLICAÇÃO]  * SETUP!$C$3, 2)</f>
        <v>2.21</v>
      </c>
      <c r="L31" s="19">
        <f>TRUNC(SETUP!$G$3  * SETUP!$H$3, 2)</f>
        <v>0.28999999999999998</v>
      </c>
      <c r="M31" s="19">
        <f>ROUND(SETUP!$G$3 * SETUP!$I$3, 2)</f>
        <v>0.57999999999999996</v>
      </c>
      <c r="N31" s="19">
        <f>SETUP!$G$3 + SUM(Tabela13[[#This Row],[EMOL CP]]:Tabela13[[#This Row],[OUTRAS CP]])</f>
        <v>20.02</v>
      </c>
      <c r="O31" s="19">
        <f>TRUNC([APLICAÇÃO] * 2  * SETUP!$A$3, 2)</f>
        <v>2.35</v>
      </c>
      <c r="P31" s="19">
        <f>TRUNC([APLICAÇÃO] * 2  * SETUP!$B$3, 2)</f>
        <v>1.75</v>
      </c>
      <c r="Q31" s="19">
        <f>TRUNC([APLICAÇÃO] * 2  * SETUP!$C$3, 2)</f>
        <v>4.42</v>
      </c>
      <c r="R31" s="19">
        <f>TRUNC(SETUP!$G$3  * SETUP!$H$3, 2)</f>
        <v>0.28999999999999998</v>
      </c>
      <c r="S31" s="19">
        <f>ROUND(SETUP!$G$3 * SETUP!$I$3, 2)</f>
        <v>0.57999999999999996</v>
      </c>
      <c r="T31" s="19">
        <f>SETUP!$G$3 + SUM(Tabela13[[#This Row],[EMOL VD]]:Tabela13[[#This Row],[OUTRAS VD]])</f>
        <v>24.29</v>
      </c>
      <c r="U31" s="19">
        <f>((([APLICAÇÃO] * 2) - [TAXA VD]) - ([APLICAÇÃO] + [TAXA CP])) * 0.85</f>
        <v>2667.3085000000001</v>
      </c>
      <c r="V31" s="19">
        <f>IF([LUCRO] &lt; 0, 0, ROUND([LUCRO]*80%, 2))</f>
        <v>0</v>
      </c>
      <c r="W31" s="19">
        <f>[LUCRO]-[PROTEÇÃO MÊS]</f>
        <v>0</v>
      </c>
      <c r="X31" s="39">
        <f>SUMPRODUCT(N([TRADE] &lt;= Tabela13[[#This Row],[TRADE]]), [PROTEÇÃO MÊS]) - [APORTE RF]</f>
        <v>1129.3</v>
      </c>
      <c r="Y31" s="19">
        <f>[TOT RF] + [REINVESTIR] + [APLICAÇÃO]</f>
        <v>4311.62</v>
      </c>
      <c r="Z31" s="20">
        <f>IF(AND([PROTEÇÃO MÊS] &gt; 0, ([TOT RF] - [PROTEÇÃO MÊS]) &gt; 0), [PROTEÇÃO MÊS] / ([TOT RF] - [PROTEÇÃO MÊS]), 0)</f>
        <v>0</v>
      </c>
    </row>
    <row r="32" spans="1:26">
      <c r="A32" s="1" t="s">
        <v>35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40"/>
      <c r="Y32" s="14"/>
      <c r="Z32" s="13"/>
    </row>
  </sheetData>
  <pageMargins left="0.511811024" right="0.511811024" top="0.78740157499999996" bottom="0.78740157499999996" header="0.31496062000000002" footer="0.31496062000000002"/>
  <ignoredErrors>
    <ignoredError sqref="F2:F3 F4:F30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Z32"/>
  <sheetViews>
    <sheetView workbookViewId="0">
      <selection activeCell="F5" sqref="F5"/>
    </sheetView>
  </sheetViews>
  <sheetFormatPr defaultRowHeight="11.25"/>
  <cols>
    <col min="1" max="1" width="7.5703125" style="1" bestFit="1" customWidth="1"/>
    <col min="2" max="2" width="9" style="1" bestFit="1" customWidth="1"/>
    <col min="3" max="3" width="11.570312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1" bestFit="1" customWidth="1"/>
    <col min="23" max="23" width="13.42578125" style="1" bestFit="1" customWidth="1"/>
    <col min="24" max="24" width="11.5703125" style="1" bestFit="1" customWidth="1"/>
    <col min="25" max="26" width="12.85546875" style="1" bestFit="1" customWidth="1"/>
    <col min="27" max="16384" width="9.140625" style="1"/>
  </cols>
  <sheetData>
    <row r="1" spans="1:26">
      <c r="A1" s="2" t="s">
        <v>29</v>
      </c>
      <c r="B1" s="2" t="s">
        <v>2</v>
      </c>
      <c r="C1" s="2" t="s">
        <v>6</v>
      </c>
      <c r="D1" s="2" t="s">
        <v>30</v>
      </c>
      <c r="E1" s="12" t="s">
        <v>33</v>
      </c>
      <c r="F1" s="12" t="s">
        <v>1</v>
      </c>
      <c r="G1" s="2" t="s">
        <v>0</v>
      </c>
      <c r="H1" s="2" t="s">
        <v>3</v>
      </c>
      <c r="I1" s="2" t="s">
        <v>5</v>
      </c>
      <c r="J1" s="2" t="s">
        <v>14</v>
      </c>
      <c r="K1" s="2" t="s">
        <v>15</v>
      </c>
      <c r="L1" s="2" t="s">
        <v>16</v>
      </c>
      <c r="M1" s="2" t="s">
        <v>20</v>
      </c>
      <c r="N1" s="2" t="s">
        <v>19</v>
      </c>
      <c r="O1" s="2" t="s">
        <v>18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7</v>
      </c>
      <c r="W1" s="2" t="s">
        <v>34</v>
      </c>
      <c r="X1" s="2" t="s">
        <v>4</v>
      </c>
      <c r="Y1" s="2" t="s">
        <v>8</v>
      </c>
      <c r="Z1" s="2" t="s">
        <v>31</v>
      </c>
    </row>
    <row r="2" spans="1:26">
      <c r="A2" s="1">
        <v>1</v>
      </c>
      <c r="B2" s="5">
        <v>41000</v>
      </c>
      <c r="C2" s="3">
        <v>0</v>
      </c>
      <c r="D2" s="3">
        <v>0</v>
      </c>
      <c r="E2" s="3">
        <v>0</v>
      </c>
      <c r="F2" s="3">
        <v>0</v>
      </c>
      <c r="G2" s="3">
        <f>100</f>
        <v>100</v>
      </c>
      <c r="H2" s="3">
        <f>SUMPRODUCT(N([TRADE] &lt;= Tabela134[[#This Row],[TRADE]]), [APORTE]) + SUMPRODUCT(N([TRADE] &lt;= Tabela134[[#This Row],[TRADE]]), [APORTE RF])</f>
        <v>100</v>
      </c>
      <c r="I2" s="3">
        <f>[MONTANTE] - SUMPRODUCT(N([TRADE] &lt;= Tabela134[[#This Row],[TRADE]]), [SAQUE]) + SUMPRODUCT(N([TRADE] &lt; Tabela134[[#This Row],[TRADE]]), [REINVESTIR])</f>
        <v>100</v>
      </c>
      <c r="J2" s="3">
        <f>TRUNC([APLICAÇÃO]  * SETUP!$A$3, 2)</f>
        <v>0.03</v>
      </c>
      <c r="K2" s="3">
        <f>TRUNC([APLICAÇÃO]  * SETUP!$B$3, 2)</f>
        <v>0.02</v>
      </c>
      <c r="L2" s="3">
        <f>TRUNC([APLICAÇÃO]  * SETUP!$C$3, 2)</f>
        <v>0.06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SUM(Tabela134[[#This Row],[EMOL CP]]:Tabela134[[#This Row],[OUTRAS CP]])</f>
        <v>15.88</v>
      </c>
      <c r="P2" s="3">
        <f>TRUNC([APLICAÇÃO] * 2  * SETUP!$A$3, 2)</f>
        <v>7.0000000000000007E-2</v>
      </c>
      <c r="Q2" s="3">
        <f>TRUNC([APLICAÇÃO] * 2  * SETUP!$B$3, 2)</f>
        <v>0.05</v>
      </c>
      <c r="R2" s="3">
        <f>TRUNC([APLICAÇÃO] * 2  * SETUP!$C$3, 2)</f>
        <v>0.13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SUM(Tabela134[[#This Row],[EMOL VD]]:Tabela134[[#This Row],[OUTRAS VD]])</f>
        <v>16.02</v>
      </c>
      <c r="V2" s="3">
        <f>((([APLICAÇÃO] * 2) - [TAXA VD]) - ([APLICAÇÃO] + [TAXA CP])) * 0.85</f>
        <v>57.884999999999991</v>
      </c>
      <c r="W2" s="3">
        <f>IF([LUCRO] &lt; 0, 0, ROUND([LUCRO]*80%, 2))</f>
        <v>0</v>
      </c>
      <c r="X2" s="3">
        <f>[LUCRO]-[PROTEÇÃO MÊS]</f>
        <v>0</v>
      </c>
      <c r="Y2" s="3">
        <f>SUMPRODUCT(N([TRADE] &lt;= Tabela13[[#This Row],[TRADE]]), [PROTEÇÃO MÊS]) - [APORTE RF]</f>
        <v>0</v>
      </c>
      <c r="Z2" s="6">
        <f>[TOT RF] + [REINVESTIR] + [APLICAÇÃO]</f>
        <v>100</v>
      </c>
    </row>
    <row r="3" spans="1:26">
      <c r="A3" s="1">
        <v>2</v>
      </c>
      <c r="B3" s="5">
        <v>41030</v>
      </c>
      <c r="C3" s="3">
        <v>0</v>
      </c>
      <c r="D3" s="3"/>
      <c r="E3" s="3"/>
      <c r="F3" s="3">
        <v>-59.79</v>
      </c>
      <c r="G3" s="6">
        <v>0</v>
      </c>
      <c r="H3" s="6">
        <f>SUMPRODUCT(N([TRADE] &lt;= Tabela134[[#This Row],[TRADE]]), [APORTE]) + SUMPRODUCT(N([TRADE] &lt;= Tabela134[[#This Row],[TRADE]]), [APORTE RF])</f>
        <v>100</v>
      </c>
      <c r="I3" s="6">
        <f>[MONTANTE] - SUMPRODUCT(N([TRADE] &lt;= Tabela134[[#This Row],[TRADE]]), [SAQUE]) + SUMPRODUCT(N([TRADE] &lt; Tabela134[[#This Row],[TRADE]]), [REINVESTIR])</f>
        <v>100</v>
      </c>
      <c r="J3" s="6">
        <f>TRUNC([APLICAÇÃO]  * SETUP!$A$3, 2)</f>
        <v>0.03</v>
      </c>
      <c r="K3" s="6">
        <f>TRUNC([APLICAÇÃO]  * SETUP!$B$3, 2)</f>
        <v>0.02</v>
      </c>
      <c r="L3" s="6">
        <f>TRUNC([APLICAÇÃO]  * SETUP!$C$3, 2)</f>
        <v>0.06</v>
      </c>
      <c r="M3" s="6">
        <f>TRUNC(SETUP!$G$3  * SETUP!$H$3, 2)</f>
        <v>0.28999999999999998</v>
      </c>
      <c r="N3" s="6">
        <f>ROUND(SETUP!$G$3 * SETUP!$I$3, 2)</f>
        <v>0.57999999999999996</v>
      </c>
      <c r="O3" s="6">
        <f>SETUP!$G$3 + SUM(Tabela134[[#This Row],[EMOL CP]]:Tabela134[[#This Row],[OUTRAS CP]])</f>
        <v>15.88</v>
      </c>
      <c r="P3" s="6">
        <f>TRUNC([APLICAÇÃO] * 2  * SETUP!$A$3, 2)</f>
        <v>7.0000000000000007E-2</v>
      </c>
      <c r="Q3" s="6">
        <f>TRUNC([APLICAÇÃO] * 2  * SETUP!$B$3, 2)</f>
        <v>0.05</v>
      </c>
      <c r="R3" s="6">
        <f>TRUNC([APLICAÇÃO] * 2  * SETUP!$C$3, 2)</f>
        <v>0.13</v>
      </c>
      <c r="S3" s="6">
        <f>TRUNC(SETUP!$G$3  * SETUP!$H$3, 2)</f>
        <v>0.28999999999999998</v>
      </c>
      <c r="T3" s="6">
        <f>ROUND(SETUP!$G$3 * SETUP!$I$3, 2)</f>
        <v>0.57999999999999996</v>
      </c>
      <c r="U3" s="6">
        <f>SETUP!$G$3 + SUM(Tabela134[[#This Row],[EMOL VD]]:Tabela134[[#This Row],[OUTRAS VD]])</f>
        <v>16.02</v>
      </c>
      <c r="V3" s="6">
        <f>((([APLICAÇÃO] * 2) - [TAXA VD]) - ([APLICAÇÃO] + [TAXA CP])) * 0.85</f>
        <v>57.884999999999991</v>
      </c>
      <c r="W3" s="6">
        <f>IF([LUCRO] &lt; 0, 0, ROUND([LUCRO]*80%, 2))</f>
        <v>0</v>
      </c>
      <c r="X3" s="6">
        <f>[LUCRO]-[PROTEÇÃO MÊS]</f>
        <v>-59.79</v>
      </c>
      <c r="Y3" s="6">
        <f>SUMPRODUCT(N([TRADE] &lt;= Tabela13[[#This Row],[TRADE]]), [PROTEÇÃO MÊS]) - [APORTE RF]</f>
        <v>0</v>
      </c>
      <c r="Z3" s="6">
        <f>[TOT RF] + [REINVESTIR] + [APLICAÇÃO]</f>
        <v>40.21</v>
      </c>
    </row>
    <row r="4" spans="1:26">
      <c r="A4" s="1">
        <v>3</v>
      </c>
      <c r="B4" s="5">
        <v>41061</v>
      </c>
      <c r="C4" s="25"/>
      <c r="D4" s="25"/>
      <c r="E4" s="25"/>
      <c r="F4" s="25">
        <v>0</v>
      </c>
      <c r="G4" s="26">
        <f>100</f>
        <v>100</v>
      </c>
      <c r="H4" s="26">
        <f>SUMPRODUCT(N([TRADE] &lt;= Tabela134[[#This Row],[TRADE]]), [APORTE]) + SUMPRODUCT(N([TRADE] &lt;= Tabela134[[#This Row],[TRADE]]), [APORTE RF])</f>
        <v>200</v>
      </c>
      <c r="I4" s="26">
        <f>[MONTANTE] - SUMPRODUCT(N([TRADE] &lt;= Tabela134[[#This Row],[TRADE]]), [SAQUE]) + SUMPRODUCT(N([TRADE] &lt; Tabela134[[#This Row],[TRADE]]), [REINVESTIR])</f>
        <v>140.21</v>
      </c>
      <c r="J4" s="26">
        <f>TRUNC([APLICAÇÃO]  * SETUP!$A$3, 2)</f>
        <v>0.05</v>
      </c>
      <c r="K4" s="26">
        <f>TRUNC([APLICAÇÃO]  * SETUP!$B$3, 2)</f>
        <v>0.03</v>
      </c>
      <c r="L4" s="26">
        <f>TRUNC([APLICAÇÃO]  * SETUP!$C$3, 2)</f>
        <v>0.09</v>
      </c>
      <c r="M4" s="26">
        <f>TRUNC(SETUP!$G$3  * SETUP!$H$3, 2)</f>
        <v>0.28999999999999998</v>
      </c>
      <c r="N4" s="26">
        <f>ROUND(SETUP!$G$3 * SETUP!$I$3, 2)</f>
        <v>0.57999999999999996</v>
      </c>
      <c r="O4" s="26">
        <f>SETUP!$G$3 + SUM(Tabela134[[#This Row],[EMOL CP]]:Tabela134[[#This Row],[OUTRAS CP]])</f>
        <v>15.940000000000001</v>
      </c>
      <c r="P4" s="26">
        <f>TRUNC([APLICAÇÃO] * 2  * SETUP!$A$3, 2)</f>
        <v>0.1</v>
      </c>
      <c r="Q4" s="26">
        <f>TRUNC([APLICAÇÃO] * 2  * SETUP!$B$3, 2)</f>
        <v>7.0000000000000007E-2</v>
      </c>
      <c r="R4" s="26">
        <f>TRUNC([APLICAÇÃO] * 2  * SETUP!$C$3, 2)</f>
        <v>0.19</v>
      </c>
      <c r="S4" s="26">
        <f>TRUNC(SETUP!$G$3  * SETUP!$H$3, 2)</f>
        <v>0.28999999999999998</v>
      </c>
      <c r="T4" s="26">
        <f>ROUND(SETUP!$G$3 * SETUP!$I$3, 2)</f>
        <v>0.57999999999999996</v>
      </c>
      <c r="U4" s="26">
        <f>SETUP!$G$3 + SUM(Tabela134[[#This Row],[EMOL VD]]:Tabela134[[#This Row],[OUTRAS VD]])</f>
        <v>16.13</v>
      </c>
      <c r="V4" s="26">
        <f>((([APLICAÇÃO] * 2) - [TAXA VD]) - ([APLICAÇÃO] + [TAXA CP])) * 0.85</f>
        <v>91.919000000000011</v>
      </c>
      <c r="W4" s="26">
        <f>IF([LUCRO] &lt; 0, 0, ROUND([LUCRO]*80%, 2))</f>
        <v>0</v>
      </c>
      <c r="X4" s="26">
        <f>[LUCRO]-[PROTEÇÃO MÊS]</f>
        <v>0</v>
      </c>
      <c r="Y4" s="26">
        <f>SUMPRODUCT(N([TRADE] &lt;= Tabela13[[#This Row],[TRADE]]), [PROTEÇÃO MÊS]) - [APORTE RF]</f>
        <v>0</v>
      </c>
      <c r="Z4" s="26">
        <f>[TOT RF] + [REINVESTIR] + [APLICAÇÃO]</f>
        <v>140.21</v>
      </c>
    </row>
    <row r="5" spans="1:26">
      <c r="A5" s="1">
        <v>4</v>
      </c>
      <c r="B5" s="5">
        <v>41091</v>
      </c>
      <c r="C5" s="3"/>
      <c r="D5" s="3"/>
      <c r="E5" s="3"/>
      <c r="F5" s="3">
        <v>407</v>
      </c>
      <c r="G5" s="6">
        <f>100</f>
        <v>100</v>
      </c>
      <c r="H5" s="6">
        <f>SUMPRODUCT(N([TRADE] &lt;= Tabela134[[#This Row],[TRADE]]), [APORTE]) + SUMPRODUCT(N([TRADE] &lt;= Tabela134[[#This Row],[TRADE]]), [APORTE RF])</f>
        <v>300</v>
      </c>
      <c r="I5" s="6">
        <f>[MONTANTE] - SUMPRODUCT(N([TRADE] &lt;= Tabela134[[#This Row],[TRADE]]), [SAQUE]) + SUMPRODUCT(N([TRADE] &lt; Tabela134[[#This Row],[TRADE]]), [REINVESTIR])</f>
        <v>240.21</v>
      </c>
      <c r="J5" s="6">
        <f>TRUNC([APLICAÇÃO]  * SETUP!$A$3, 2)</f>
        <v>0.08</v>
      </c>
      <c r="K5" s="6">
        <f>TRUNC([APLICAÇÃO]  * SETUP!$B$3, 2)</f>
        <v>0.06</v>
      </c>
      <c r="L5" s="6">
        <f>TRUNC([APLICAÇÃO]  * SETUP!$C$3, 2)</f>
        <v>0.16</v>
      </c>
      <c r="M5" s="6">
        <f>TRUNC(SETUP!$G$3  * SETUP!$H$3, 2)</f>
        <v>0.28999999999999998</v>
      </c>
      <c r="N5" s="6">
        <f>ROUND(SETUP!$G$3 * SETUP!$I$3, 2)</f>
        <v>0.57999999999999996</v>
      </c>
      <c r="O5" s="6">
        <f>SETUP!$G$3 + SUM(Tabela134[[#This Row],[EMOL CP]]:Tabela134[[#This Row],[OUTRAS CP]])</f>
        <v>16.07</v>
      </c>
      <c r="P5" s="6">
        <f>TRUNC([APLICAÇÃO] * 2  * SETUP!$A$3, 2)</f>
        <v>0.17</v>
      </c>
      <c r="Q5" s="6">
        <f>TRUNC([APLICAÇÃO] * 2  * SETUP!$B$3, 2)</f>
        <v>0.13</v>
      </c>
      <c r="R5" s="6">
        <f>TRUNC([APLICAÇÃO] * 2  * SETUP!$C$3, 2)</f>
        <v>0.33</v>
      </c>
      <c r="S5" s="6">
        <f>TRUNC(SETUP!$G$3  * SETUP!$H$3, 2)</f>
        <v>0.28999999999999998</v>
      </c>
      <c r="T5" s="6">
        <f>ROUND(SETUP!$G$3 * SETUP!$I$3, 2)</f>
        <v>0.57999999999999996</v>
      </c>
      <c r="U5" s="6">
        <f>SETUP!$G$3 + SUM(Tabela134[[#This Row],[EMOL VD]]:Tabela134[[#This Row],[OUTRAS VD]])</f>
        <v>16.399999999999999</v>
      </c>
      <c r="V5" s="6">
        <f>((([APLICAÇÃO] * 2) - [TAXA VD]) - ([APLICAÇÃO] + [TAXA CP])) * 0.85</f>
        <v>176.57900000000001</v>
      </c>
      <c r="W5" s="6">
        <f>IF([LUCRO] &lt; 0, 0, ROUND([LUCRO]*80%, 2))</f>
        <v>325.60000000000002</v>
      </c>
      <c r="X5" s="6">
        <f>[LUCRO]-[PROTEÇÃO MÊS]</f>
        <v>81.399999999999977</v>
      </c>
      <c r="Y5" s="6">
        <f>SUMPRODUCT(N([TRADE] &lt;= Tabela13[[#This Row],[TRADE]]), [PROTEÇÃO MÊS]) - [APORTE RF]</f>
        <v>325.60000000000002</v>
      </c>
      <c r="Z5" s="6">
        <f>[TOT RF] + [REINVESTIR] + [APLICAÇÃO]</f>
        <v>647.21</v>
      </c>
    </row>
    <row r="6" spans="1:26">
      <c r="A6" s="1">
        <v>5</v>
      </c>
      <c r="B6" s="5">
        <v>41122</v>
      </c>
      <c r="C6" s="3"/>
      <c r="D6" s="3"/>
      <c r="E6" s="3"/>
      <c r="F6" s="3">
        <v>0</v>
      </c>
      <c r="G6" s="6">
        <f>100</f>
        <v>100</v>
      </c>
      <c r="H6" s="6">
        <f>SUMPRODUCT(N([TRADE] &lt;= Tabela134[[#This Row],[TRADE]]), [APORTE]) + SUMPRODUCT(N([TRADE] &lt;= Tabela134[[#This Row],[TRADE]]), [APORTE RF])</f>
        <v>400</v>
      </c>
      <c r="I6" s="6">
        <f>[MONTANTE] - SUMPRODUCT(N([TRADE] &lt;= Tabela134[[#This Row],[TRADE]]), [SAQUE]) + SUMPRODUCT(N([TRADE] &lt; Tabela134[[#This Row],[TRADE]]), [REINVESTIR])</f>
        <v>421.60999999999996</v>
      </c>
      <c r="J6" s="6">
        <f>TRUNC([APLICAÇÃO]  * SETUP!$A$3, 2)</f>
        <v>0.15</v>
      </c>
      <c r="K6" s="6">
        <f>TRUNC([APLICAÇÃO]  * SETUP!$B$3, 2)</f>
        <v>0.11</v>
      </c>
      <c r="L6" s="6">
        <f>TRUNC([APLICAÇÃO]  * SETUP!$C$3, 2)</f>
        <v>0.28999999999999998</v>
      </c>
      <c r="M6" s="6">
        <f>TRUNC(SETUP!$G$3  * SETUP!$H$3, 2)</f>
        <v>0.28999999999999998</v>
      </c>
      <c r="N6" s="6">
        <f>ROUND(SETUP!$G$3 * SETUP!$I$3, 2)</f>
        <v>0.57999999999999996</v>
      </c>
      <c r="O6" s="6">
        <f>SETUP!$G$3 + SUM(Tabela134[[#This Row],[EMOL CP]]:Tabela134[[#This Row],[OUTRAS CP]])</f>
        <v>16.32</v>
      </c>
      <c r="P6" s="6">
        <f>TRUNC([APLICAÇÃO] * 2  * SETUP!$A$3, 2)</f>
        <v>0.31</v>
      </c>
      <c r="Q6" s="6">
        <f>TRUNC([APLICAÇÃO] * 2  * SETUP!$B$3, 2)</f>
        <v>0.23</v>
      </c>
      <c r="R6" s="6">
        <f>TRUNC([APLICAÇÃO] * 2  * SETUP!$C$3, 2)</f>
        <v>0.57999999999999996</v>
      </c>
      <c r="S6" s="6">
        <f>TRUNC(SETUP!$G$3  * SETUP!$H$3, 2)</f>
        <v>0.28999999999999998</v>
      </c>
      <c r="T6" s="6">
        <f>ROUND(SETUP!$G$3 * SETUP!$I$3, 2)</f>
        <v>0.57999999999999996</v>
      </c>
      <c r="U6" s="6">
        <f>SETUP!$G$3 + SUM(Tabela134[[#This Row],[EMOL VD]]:Tabela134[[#This Row],[OUTRAS VD]])</f>
        <v>16.89</v>
      </c>
      <c r="V6" s="6">
        <f>((([APLICAÇÃO] * 2) - [TAXA VD]) - ([APLICAÇÃO] + [TAXA CP])) * 0.85</f>
        <v>330.14</v>
      </c>
      <c r="W6" s="6">
        <f>IF([LUCRO] &lt; 0, 0, ROUND([LUCRO]*80%, 2))</f>
        <v>0</v>
      </c>
      <c r="X6" s="6">
        <f>[LUCRO]-[PROTEÇÃO MÊS]</f>
        <v>0</v>
      </c>
      <c r="Y6" s="6">
        <f>SUMPRODUCT(N([TRADE] &lt;= Tabela13[[#This Row],[TRADE]]), [PROTEÇÃO MÊS]) - [APORTE RF]</f>
        <v>325.60000000000002</v>
      </c>
      <c r="Z6" s="6">
        <f>[TOT RF] + [REINVESTIR] + [APLICAÇÃO]</f>
        <v>747.21</v>
      </c>
    </row>
    <row r="7" spans="1:26">
      <c r="A7" s="1">
        <v>6</v>
      </c>
      <c r="B7" s="5">
        <v>41153</v>
      </c>
      <c r="C7" s="3"/>
      <c r="D7" s="3"/>
      <c r="E7" s="3"/>
      <c r="F7" s="3">
        <v>0</v>
      </c>
      <c r="G7" s="6">
        <f>100</f>
        <v>100</v>
      </c>
      <c r="H7" s="6">
        <f>SUMPRODUCT(N([TRADE] &lt;= Tabela134[[#This Row],[TRADE]]), [APORTE]) + SUMPRODUCT(N([TRADE] &lt;= Tabela134[[#This Row],[TRADE]]), [APORTE RF])</f>
        <v>500</v>
      </c>
      <c r="I7" s="6">
        <f>[MONTANTE] - SUMPRODUCT(N([TRADE] &lt;= Tabela134[[#This Row],[TRADE]]), [SAQUE]) + SUMPRODUCT(N([TRADE] &lt; Tabela134[[#This Row],[TRADE]]), [REINVESTIR])</f>
        <v>521.61</v>
      </c>
      <c r="J7" s="6">
        <f>TRUNC([APLICAÇÃO]  * SETUP!$A$3, 2)</f>
        <v>0.19</v>
      </c>
      <c r="K7" s="6">
        <f>TRUNC([APLICAÇÃO]  * SETUP!$B$3, 2)</f>
        <v>0.14000000000000001</v>
      </c>
      <c r="L7" s="6">
        <f>TRUNC([APLICAÇÃO]  * SETUP!$C$3, 2)</f>
        <v>0.36</v>
      </c>
      <c r="M7" s="6">
        <f>TRUNC(SETUP!$G$3  * SETUP!$H$3, 2)</f>
        <v>0.28999999999999998</v>
      </c>
      <c r="N7" s="6">
        <f>ROUND(SETUP!$G$3 * SETUP!$I$3, 2)</f>
        <v>0.57999999999999996</v>
      </c>
      <c r="O7" s="6">
        <f>SETUP!$G$3 + SUM(Tabela134[[#This Row],[EMOL CP]]:Tabela134[[#This Row],[OUTRAS CP]])</f>
        <v>16.46</v>
      </c>
      <c r="P7" s="6">
        <f>TRUNC([APLICAÇÃO] * 2  * SETUP!$A$3, 2)</f>
        <v>0.38</v>
      </c>
      <c r="Q7" s="6">
        <f>TRUNC([APLICAÇÃO] * 2  * SETUP!$B$3, 2)</f>
        <v>0.28000000000000003</v>
      </c>
      <c r="R7" s="6">
        <f>TRUNC([APLICAÇÃO] * 2  * SETUP!$C$3, 2)</f>
        <v>0.72</v>
      </c>
      <c r="S7" s="6">
        <f>TRUNC(SETUP!$G$3  * SETUP!$H$3, 2)</f>
        <v>0.28999999999999998</v>
      </c>
      <c r="T7" s="6">
        <f>ROUND(SETUP!$G$3 * SETUP!$I$3, 2)</f>
        <v>0.57999999999999996</v>
      </c>
      <c r="U7" s="6">
        <f>SETUP!$G$3 + SUM(Tabela134[[#This Row],[EMOL VD]]:Tabela134[[#This Row],[OUTRAS VD]])</f>
        <v>17.149999999999999</v>
      </c>
      <c r="V7" s="6">
        <f>((([APLICAÇÃO] * 2) - [TAXA VD]) - ([APLICAÇÃO] + [TAXA CP])) * 0.85</f>
        <v>414.7999999999999</v>
      </c>
      <c r="W7" s="6">
        <f>IF([LUCRO] &lt; 0, 0, ROUND([LUCRO]*80%, 2))</f>
        <v>0</v>
      </c>
      <c r="X7" s="6">
        <f>[LUCRO]-[PROTEÇÃO MÊS]</f>
        <v>0</v>
      </c>
      <c r="Y7" s="6">
        <f>SUMPRODUCT(N([TRADE] &lt;= Tabela13[[#This Row],[TRADE]]), [PROTEÇÃO MÊS]) - [APORTE RF]</f>
        <v>325.60000000000002</v>
      </c>
      <c r="Z7" s="6">
        <f>[TOT RF] + [REINVESTIR] + [APLICAÇÃO]</f>
        <v>847.21</v>
      </c>
    </row>
    <row r="8" spans="1:26">
      <c r="A8" s="1">
        <v>7</v>
      </c>
      <c r="B8" s="5">
        <v>41183</v>
      </c>
      <c r="C8" s="3"/>
      <c r="D8" s="3"/>
      <c r="E8" s="3"/>
      <c r="F8" s="3">
        <v>0</v>
      </c>
      <c r="G8" s="6">
        <f>100</f>
        <v>100</v>
      </c>
      <c r="H8" s="6">
        <f>SUMPRODUCT(N([TRADE] &lt;= Tabela134[[#This Row],[TRADE]]), [APORTE]) + SUMPRODUCT(N([TRADE] &lt;= Tabela134[[#This Row],[TRADE]]), [APORTE RF])</f>
        <v>600</v>
      </c>
      <c r="I8" s="6">
        <f>[MONTANTE] - SUMPRODUCT(N([TRADE] &lt;= Tabela134[[#This Row],[TRADE]]), [SAQUE]) + SUMPRODUCT(N([TRADE] &lt; Tabela134[[#This Row],[TRADE]]), [REINVESTIR])</f>
        <v>621.61</v>
      </c>
      <c r="J8" s="6">
        <f>TRUNC([APLICAÇÃO]  * SETUP!$A$3, 2)</f>
        <v>0.22</v>
      </c>
      <c r="K8" s="6">
        <f>TRUNC([APLICAÇÃO]  * SETUP!$B$3, 2)</f>
        <v>0.17</v>
      </c>
      <c r="L8" s="6">
        <f>TRUNC([APLICAÇÃO]  * SETUP!$C$3, 2)</f>
        <v>0.43</v>
      </c>
      <c r="M8" s="6">
        <f>TRUNC(SETUP!$G$3  * SETUP!$H$3, 2)</f>
        <v>0.28999999999999998</v>
      </c>
      <c r="N8" s="6">
        <f>ROUND(SETUP!$G$3 * SETUP!$I$3, 2)</f>
        <v>0.57999999999999996</v>
      </c>
      <c r="O8" s="6">
        <f>SETUP!$G$3 + SUM(Tabela134[[#This Row],[EMOL CP]]:Tabela134[[#This Row],[OUTRAS CP]])</f>
        <v>16.59</v>
      </c>
      <c r="P8" s="6">
        <f>TRUNC([APLICAÇÃO] * 2  * SETUP!$A$3, 2)</f>
        <v>0.45</v>
      </c>
      <c r="Q8" s="6">
        <f>TRUNC([APLICAÇÃO] * 2  * SETUP!$B$3, 2)</f>
        <v>0.34</v>
      </c>
      <c r="R8" s="6">
        <f>TRUNC([APLICAÇÃO] * 2  * SETUP!$C$3, 2)</f>
        <v>0.86</v>
      </c>
      <c r="S8" s="6">
        <f>TRUNC(SETUP!$G$3  * SETUP!$H$3, 2)</f>
        <v>0.28999999999999998</v>
      </c>
      <c r="T8" s="6">
        <f>ROUND(SETUP!$G$3 * SETUP!$I$3, 2)</f>
        <v>0.57999999999999996</v>
      </c>
      <c r="U8" s="6">
        <f>SETUP!$G$3 + SUM(Tabela134[[#This Row],[EMOL VD]]:Tabela134[[#This Row],[OUTRAS VD]])</f>
        <v>17.420000000000002</v>
      </c>
      <c r="V8" s="6">
        <f>((([APLICAÇÃO] * 2) - [TAXA VD]) - ([APLICAÇÃO] + [TAXA CP])) * 0.85</f>
        <v>499.45999999999992</v>
      </c>
      <c r="W8" s="6">
        <f>IF([LUCRO] &lt; 0, 0, ROUND([LUCRO]*80%, 2))</f>
        <v>0</v>
      </c>
      <c r="X8" s="6">
        <f>[LUCRO]-[PROTEÇÃO MÊS]</f>
        <v>0</v>
      </c>
      <c r="Y8" s="6">
        <f>SUMPRODUCT(N([TRADE] &lt;= Tabela13[[#This Row],[TRADE]]), [PROTEÇÃO MÊS]) - [APORTE RF]</f>
        <v>325.60000000000002</v>
      </c>
      <c r="Z8" s="6">
        <f>[TOT RF] + [REINVESTIR] + [APLICAÇÃO]</f>
        <v>947.21</v>
      </c>
    </row>
    <row r="9" spans="1:26">
      <c r="A9" s="1">
        <v>8</v>
      </c>
      <c r="B9" s="5">
        <v>41214</v>
      </c>
      <c r="C9" s="18"/>
      <c r="D9" s="18"/>
      <c r="E9" s="18"/>
      <c r="F9" s="18">
        <v>0</v>
      </c>
      <c r="G9" s="19">
        <f>100</f>
        <v>100</v>
      </c>
      <c r="H9" s="19">
        <f>SUMPRODUCT(N([TRADE] &lt;= Tabela134[[#This Row],[TRADE]]), [APORTE]) + SUMPRODUCT(N([TRADE] &lt;= Tabela134[[#This Row],[TRADE]]), [APORTE RF])</f>
        <v>700</v>
      </c>
      <c r="I9" s="19">
        <f>[MONTANTE] - SUMPRODUCT(N([TRADE] &lt;= Tabela134[[#This Row],[TRADE]]), [SAQUE]) + SUMPRODUCT(N([TRADE] &lt; Tabela134[[#This Row],[TRADE]]), [REINVESTIR])</f>
        <v>721.61</v>
      </c>
      <c r="J9" s="19">
        <f>TRUNC([APLICAÇÃO]  * SETUP!$A$3, 2)</f>
        <v>0.26</v>
      </c>
      <c r="K9" s="19">
        <f>TRUNC([APLICAÇÃO]  * SETUP!$B$3, 2)</f>
        <v>0.19</v>
      </c>
      <c r="L9" s="19">
        <f>TRUNC([APLICAÇÃO]  * SETUP!$C$3, 2)</f>
        <v>0.5</v>
      </c>
      <c r="M9" s="19">
        <f>TRUNC(SETUP!$G$3  * SETUP!$H$3, 2)</f>
        <v>0.28999999999999998</v>
      </c>
      <c r="N9" s="19">
        <f>ROUND(SETUP!$G$3 * SETUP!$I$3, 2)</f>
        <v>0.57999999999999996</v>
      </c>
      <c r="O9" s="19">
        <f>SETUP!$G$3 + SUM(Tabela134[[#This Row],[EMOL CP]]:Tabela134[[#This Row],[OUTRAS CP]])</f>
        <v>16.72</v>
      </c>
      <c r="P9" s="19">
        <f>TRUNC([APLICAÇÃO] * 2  * SETUP!$A$3, 2)</f>
        <v>0.53</v>
      </c>
      <c r="Q9" s="19">
        <f>TRUNC([APLICAÇÃO] * 2  * SETUP!$B$3, 2)</f>
        <v>0.39</v>
      </c>
      <c r="R9" s="19">
        <f>TRUNC([APLICAÇÃO] * 2  * SETUP!$C$3, 2)</f>
        <v>1</v>
      </c>
      <c r="S9" s="19">
        <f>TRUNC(SETUP!$G$3  * SETUP!$H$3, 2)</f>
        <v>0.28999999999999998</v>
      </c>
      <c r="T9" s="19">
        <f>ROUND(SETUP!$G$3 * SETUP!$I$3, 2)</f>
        <v>0.57999999999999996</v>
      </c>
      <c r="U9" s="19">
        <f>SETUP!$G$3 + SUM(Tabela134[[#This Row],[EMOL VD]]:Tabela134[[#This Row],[OUTRAS VD]])</f>
        <v>17.690000000000001</v>
      </c>
      <c r="V9" s="19">
        <f>((([APLICAÇÃO] * 2) - [TAXA VD]) - ([APLICAÇÃO] + [TAXA CP])) * 0.85</f>
        <v>584.11999999999989</v>
      </c>
      <c r="W9" s="19">
        <f>IF([LUCRO] &lt; 0, 0, ROUND([LUCRO]*80%, 2))</f>
        <v>0</v>
      </c>
      <c r="X9" s="19">
        <f>[LUCRO]-[PROTEÇÃO MÊS]</f>
        <v>0</v>
      </c>
      <c r="Y9" s="19">
        <f>SUMPRODUCT(N([TRADE] &lt;= Tabela13[[#This Row],[TRADE]]), [PROTEÇÃO MÊS]) - [APORTE RF]</f>
        <v>325.60000000000002</v>
      </c>
      <c r="Z9" s="19">
        <f>[TOT RF] + [REINVESTIR] + [APLICAÇÃO]</f>
        <v>1047.21</v>
      </c>
    </row>
    <row r="10" spans="1:26">
      <c r="A10" s="1">
        <v>9</v>
      </c>
      <c r="B10" s="5">
        <v>41244</v>
      </c>
      <c r="C10" s="18"/>
      <c r="D10" s="18"/>
      <c r="E10" s="18"/>
      <c r="F10" s="18">
        <v>0</v>
      </c>
      <c r="G10" s="19">
        <f>100</f>
        <v>100</v>
      </c>
      <c r="H10" s="19">
        <f>SUMPRODUCT(N([TRADE] &lt;= Tabela134[[#This Row],[TRADE]]), [APORTE]) + SUMPRODUCT(N([TRADE] &lt;= Tabela134[[#This Row],[TRADE]]), [APORTE RF])</f>
        <v>800</v>
      </c>
      <c r="I10" s="19">
        <f>[MONTANTE] - SUMPRODUCT(N([TRADE] &lt;= Tabela134[[#This Row],[TRADE]]), [SAQUE]) + SUMPRODUCT(N([TRADE] &lt; Tabela134[[#This Row],[TRADE]]), [REINVESTIR])</f>
        <v>821.61</v>
      </c>
      <c r="J10" s="19">
        <f>TRUNC([APLICAÇÃO]  * SETUP!$A$3, 2)</f>
        <v>0.3</v>
      </c>
      <c r="K10" s="19">
        <f>TRUNC([APLICAÇÃO]  * SETUP!$B$3, 2)</f>
        <v>0.22</v>
      </c>
      <c r="L10" s="19">
        <f>TRUNC([APLICAÇÃO]  * SETUP!$C$3, 2)</f>
        <v>0.56999999999999995</v>
      </c>
      <c r="M10" s="19">
        <f>TRUNC(SETUP!$G$3  * SETUP!$H$3, 2)</f>
        <v>0.28999999999999998</v>
      </c>
      <c r="N10" s="19">
        <f>ROUND(SETUP!$G$3 * SETUP!$I$3, 2)</f>
        <v>0.57999999999999996</v>
      </c>
      <c r="O10" s="19">
        <f>SETUP!$G$3 + SUM(Tabela134[[#This Row],[EMOL CP]]:Tabela134[[#This Row],[OUTRAS CP]])</f>
        <v>16.86</v>
      </c>
      <c r="P10" s="19">
        <f>TRUNC([APLICAÇÃO] * 2  * SETUP!$A$3, 2)</f>
        <v>0.6</v>
      </c>
      <c r="Q10" s="19">
        <f>TRUNC([APLICAÇÃO] * 2  * SETUP!$B$3, 2)</f>
        <v>0.45</v>
      </c>
      <c r="R10" s="19">
        <f>TRUNC([APLICAÇÃO] * 2  * SETUP!$C$3, 2)</f>
        <v>1.1399999999999999</v>
      </c>
      <c r="S10" s="19">
        <f>TRUNC(SETUP!$G$3  * SETUP!$H$3, 2)</f>
        <v>0.28999999999999998</v>
      </c>
      <c r="T10" s="19">
        <f>ROUND(SETUP!$G$3 * SETUP!$I$3, 2)</f>
        <v>0.57999999999999996</v>
      </c>
      <c r="U10" s="19">
        <f>SETUP!$G$3 + SUM(Tabela134[[#This Row],[EMOL VD]]:Tabela134[[#This Row],[OUTRAS VD]])</f>
        <v>17.96</v>
      </c>
      <c r="V10" s="19">
        <f>((([APLICAÇÃO] * 2) - [TAXA VD]) - ([APLICAÇÃO] + [TAXA CP])) * 0.85</f>
        <v>668.77149999999995</v>
      </c>
      <c r="W10" s="19">
        <f>IF([LUCRO] &lt; 0, 0, ROUND([LUCRO]*80%, 2))</f>
        <v>0</v>
      </c>
      <c r="X10" s="19">
        <f>[LUCRO]-[PROTEÇÃO MÊS]</f>
        <v>0</v>
      </c>
      <c r="Y10" s="19">
        <f>SUMPRODUCT(N([TRADE] &lt;= Tabela13[[#This Row],[TRADE]]), [PROTEÇÃO MÊS]) - [APORTE RF]</f>
        <v>325.60000000000002</v>
      </c>
      <c r="Z10" s="19">
        <f>[TOT RF] + [REINVESTIR] + [APLICAÇÃO]</f>
        <v>1147.21</v>
      </c>
    </row>
    <row r="11" spans="1:26">
      <c r="A11" s="1">
        <v>10</v>
      </c>
      <c r="B11" s="5">
        <v>41275</v>
      </c>
      <c r="C11" s="3"/>
      <c r="D11" s="3"/>
      <c r="E11" s="3"/>
      <c r="F11" s="3">
        <v>0</v>
      </c>
      <c r="G11" s="6">
        <f>100</f>
        <v>100</v>
      </c>
      <c r="H11" s="6">
        <f>SUMPRODUCT(N([TRADE] &lt;= Tabela134[[#This Row],[TRADE]]), [APORTE]) + SUMPRODUCT(N([TRADE] &lt;= Tabela134[[#This Row],[TRADE]]), [APORTE RF])</f>
        <v>900</v>
      </c>
      <c r="I11" s="6">
        <f>[MONTANTE] - SUMPRODUCT(N([TRADE] &lt;= Tabela134[[#This Row],[TRADE]]), [SAQUE]) + SUMPRODUCT(N([TRADE] &lt; Tabela134[[#This Row],[TRADE]]), [REINVESTIR])</f>
        <v>921.61</v>
      </c>
      <c r="J11" s="6">
        <f>TRUNC([APLICAÇÃO]  * SETUP!$A$3, 2)</f>
        <v>0.34</v>
      </c>
      <c r="K11" s="6">
        <f>TRUNC([APLICAÇÃO]  * SETUP!$B$3, 2)</f>
        <v>0.25</v>
      </c>
      <c r="L11" s="6">
        <f>TRUNC([APLICAÇÃO]  * SETUP!$C$3, 2)</f>
        <v>0.64</v>
      </c>
      <c r="M11" s="6">
        <f>TRUNC(SETUP!$G$3  * SETUP!$H$3, 2)</f>
        <v>0.28999999999999998</v>
      </c>
      <c r="N11" s="6">
        <f>ROUND(SETUP!$G$3 * SETUP!$I$3, 2)</f>
        <v>0.57999999999999996</v>
      </c>
      <c r="O11" s="6">
        <f>SETUP!$G$3 + SUM(Tabela134[[#This Row],[EMOL CP]]:Tabela134[[#This Row],[OUTRAS CP]])</f>
        <v>17</v>
      </c>
      <c r="P11" s="6">
        <f>TRUNC([APLICAÇÃO] * 2  * SETUP!$A$3, 2)</f>
        <v>0.68</v>
      </c>
      <c r="Q11" s="6">
        <f>TRUNC([APLICAÇÃO] * 2  * SETUP!$B$3, 2)</f>
        <v>0.5</v>
      </c>
      <c r="R11" s="6">
        <f>TRUNC([APLICAÇÃO] * 2  * SETUP!$C$3, 2)</f>
        <v>1.28</v>
      </c>
      <c r="S11" s="6">
        <f>TRUNC(SETUP!$G$3  * SETUP!$H$3, 2)</f>
        <v>0.28999999999999998</v>
      </c>
      <c r="T11" s="6">
        <f>ROUND(SETUP!$G$3 * SETUP!$I$3, 2)</f>
        <v>0.57999999999999996</v>
      </c>
      <c r="U11" s="6">
        <f>SETUP!$G$3 + SUM(Tabela134[[#This Row],[EMOL VD]]:Tabela134[[#This Row],[OUTRAS VD]])</f>
        <v>18.23</v>
      </c>
      <c r="V11" s="6">
        <f>((([APLICAÇÃO] * 2) - [TAXA VD]) - ([APLICAÇÃO] + [TAXA CP])) * 0.85</f>
        <v>753.423</v>
      </c>
      <c r="W11" s="6">
        <f>IF([LUCRO] &lt; 0, 0, ROUND([LUCRO]*80%, 2))</f>
        <v>0</v>
      </c>
      <c r="X11" s="6">
        <f>[LUCRO]-[PROTEÇÃO MÊS]</f>
        <v>0</v>
      </c>
      <c r="Y11" s="6">
        <f>SUMPRODUCT(N([TRADE] &lt;= Tabela13[[#This Row],[TRADE]]), [PROTEÇÃO MÊS]) - [APORTE RF]</f>
        <v>325.60000000000002</v>
      </c>
      <c r="Z11" s="6">
        <f>[TOT RF] + [REINVESTIR] + [APLICAÇÃO]</f>
        <v>1247.21</v>
      </c>
    </row>
    <row r="12" spans="1:26">
      <c r="A12" s="1">
        <v>11</v>
      </c>
      <c r="B12" s="5">
        <v>41306</v>
      </c>
      <c r="C12" s="3"/>
      <c r="D12" s="3"/>
      <c r="E12" s="3"/>
      <c r="F12" s="3">
        <v>0</v>
      </c>
      <c r="G12" s="6">
        <f>100</f>
        <v>100</v>
      </c>
      <c r="H12" s="6">
        <f>SUMPRODUCT(N([TRADE] &lt;= Tabela134[[#This Row],[TRADE]]), [APORTE]) + SUMPRODUCT(N([TRADE] &lt;= Tabela134[[#This Row],[TRADE]]), [APORTE RF])</f>
        <v>1000</v>
      </c>
      <c r="I12" s="6">
        <f>[MONTANTE] - SUMPRODUCT(N([TRADE] &lt;= Tabela134[[#This Row],[TRADE]]), [SAQUE]) + SUMPRODUCT(N([TRADE] &lt; Tabela134[[#This Row],[TRADE]]), [REINVESTIR])</f>
        <v>1021.61</v>
      </c>
      <c r="J12" s="6">
        <f>TRUNC([APLICAÇÃO]  * SETUP!$A$3, 2)</f>
        <v>0.37</v>
      </c>
      <c r="K12" s="6">
        <f>TRUNC([APLICAÇÃO]  * SETUP!$B$3, 2)</f>
        <v>0.28000000000000003</v>
      </c>
      <c r="L12" s="6">
        <f>TRUNC([APLICAÇÃO]  * SETUP!$C$3, 2)</f>
        <v>0.71</v>
      </c>
      <c r="M12" s="6">
        <f>TRUNC(SETUP!$G$3  * SETUP!$H$3, 2)</f>
        <v>0.28999999999999998</v>
      </c>
      <c r="N12" s="6">
        <f>ROUND(SETUP!$G$3 * SETUP!$I$3, 2)</f>
        <v>0.57999999999999996</v>
      </c>
      <c r="O12" s="6">
        <f>SETUP!$G$3 + SUM(Tabela134[[#This Row],[EMOL CP]]:Tabela134[[#This Row],[OUTRAS CP]])</f>
        <v>17.13</v>
      </c>
      <c r="P12" s="6">
        <f>TRUNC([APLICAÇÃO] * 2  * SETUP!$A$3, 2)</f>
        <v>0.75</v>
      </c>
      <c r="Q12" s="6">
        <f>TRUNC([APLICAÇÃO] * 2  * SETUP!$B$3, 2)</f>
        <v>0.56000000000000005</v>
      </c>
      <c r="R12" s="6">
        <f>TRUNC([APLICAÇÃO] * 2  * SETUP!$C$3, 2)</f>
        <v>1.42</v>
      </c>
      <c r="S12" s="6">
        <f>TRUNC(SETUP!$G$3  * SETUP!$H$3, 2)</f>
        <v>0.28999999999999998</v>
      </c>
      <c r="T12" s="6">
        <f>ROUND(SETUP!$G$3 * SETUP!$I$3, 2)</f>
        <v>0.57999999999999996</v>
      </c>
      <c r="U12" s="6">
        <f>SETUP!$G$3 + SUM(Tabela134[[#This Row],[EMOL VD]]:Tabela134[[#This Row],[OUTRAS VD]])</f>
        <v>18.5</v>
      </c>
      <c r="V12" s="6">
        <f>((([APLICAÇÃO] * 2) - [TAXA VD]) - ([APLICAÇÃO] + [TAXA CP])) * 0.85</f>
        <v>838.08299999999997</v>
      </c>
      <c r="W12" s="6">
        <f>IF([LUCRO] &lt; 0, 0, ROUND([LUCRO]*80%, 2))</f>
        <v>0</v>
      </c>
      <c r="X12" s="6">
        <f>[LUCRO]-[PROTEÇÃO MÊS]</f>
        <v>0</v>
      </c>
      <c r="Y12" s="6">
        <f>SUMPRODUCT(N([TRADE] &lt;= Tabela13[[#This Row],[TRADE]]), [PROTEÇÃO MÊS]) - [APORTE RF]</f>
        <v>325.60000000000002</v>
      </c>
      <c r="Z12" s="6">
        <f>[TOT RF] + [REINVESTIR] + [APLICAÇÃO]</f>
        <v>1347.21</v>
      </c>
    </row>
    <row r="13" spans="1:26">
      <c r="A13" s="1">
        <v>12</v>
      </c>
      <c r="B13" s="5">
        <v>41334</v>
      </c>
      <c r="C13" s="3"/>
      <c r="D13" s="3"/>
      <c r="E13" s="3"/>
      <c r="F13" s="3">
        <v>0</v>
      </c>
      <c r="G13" s="6">
        <f>100</f>
        <v>100</v>
      </c>
      <c r="H13" s="6">
        <f>SUMPRODUCT(N([TRADE] &lt;= Tabela134[[#This Row],[TRADE]]), [APORTE]) + SUMPRODUCT(N([TRADE] &lt;= Tabela134[[#This Row],[TRADE]]), [APORTE RF])</f>
        <v>1100</v>
      </c>
      <c r="I13" s="6">
        <f>[MONTANTE] - SUMPRODUCT(N([TRADE] &lt;= Tabela134[[#This Row],[TRADE]]), [SAQUE]) + SUMPRODUCT(N([TRADE] &lt; Tabela134[[#This Row],[TRADE]]), [REINVESTIR])</f>
        <v>1121.6099999999999</v>
      </c>
      <c r="J13" s="6">
        <f>TRUNC([APLICAÇÃO]  * SETUP!$A$3, 2)</f>
        <v>0.41</v>
      </c>
      <c r="K13" s="6">
        <f>TRUNC([APLICAÇÃO]  * SETUP!$B$3, 2)</f>
        <v>0.3</v>
      </c>
      <c r="L13" s="6">
        <f>TRUNC([APLICAÇÃO]  * SETUP!$C$3, 2)</f>
        <v>0.77</v>
      </c>
      <c r="M13" s="6">
        <f>TRUNC(SETUP!$G$3  * SETUP!$H$3, 2)</f>
        <v>0.28999999999999998</v>
      </c>
      <c r="N13" s="6">
        <f>ROUND(SETUP!$G$3 * SETUP!$I$3, 2)</f>
        <v>0.57999999999999996</v>
      </c>
      <c r="O13" s="6">
        <f>SETUP!$G$3 + SUM(Tabela134[[#This Row],[EMOL CP]]:Tabela134[[#This Row],[OUTRAS CP]])</f>
        <v>17.25</v>
      </c>
      <c r="P13" s="6">
        <f>TRUNC([APLICAÇÃO] * 2  * SETUP!$A$3, 2)</f>
        <v>0.82</v>
      </c>
      <c r="Q13" s="6">
        <f>TRUNC([APLICAÇÃO] * 2  * SETUP!$B$3, 2)</f>
        <v>0.61</v>
      </c>
      <c r="R13" s="6">
        <f>TRUNC([APLICAÇÃO] * 2  * SETUP!$C$3, 2)</f>
        <v>1.55</v>
      </c>
      <c r="S13" s="6">
        <f>TRUNC(SETUP!$G$3  * SETUP!$H$3, 2)</f>
        <v>0.28999999999999998</v>
      </c>
      <c r="T13" s="6">
        <f>ROUND(SETUP!$G$3 * SETUP!$I$3, 2)</f>
        <v>0.57999999999999996</v>
      </c>
      <c r="U13" s="6">
        <f>SETUP!$G$3 + SUM(Tabela134[[#This Row],[EMOL VD]]:Tabela134[[#This Row],[OUTRAS VD]])</f>
        <v>18.75</v>
      </c>
      <c r="V13" s="6">
        <f>((([APLICAÇÃO] * 2) - [TAXA VD]) - ([APLICAÇÃO] + [TAXA CP])) * 0.85</f>
        <v>922.7684999999999</v>
      </c>
      <c r="W13" s="6">
        <f>IF([LUCRO] &lt; 0, 0, ROUND([LUCRO]*80%, 2))</f>
        <v>0</v>
      </c>
      <c r="X13" s="6">
        <f>[LUCRO]-[PROTEÇÃO MÊS]</f>
        <v>0</v>
      </c>
      <c r="Y13" s="6">
        <f>SUMPRODUCT(N([TRADE] &lt;= Tabela13[[#This Row],[TRADE]]), [PROTEÇÃO MÊS]) - [APORTE RF]</f>
        <v>325.60000000000002</v>
      </c>
      <c r="Z13" s="6">
        <f>[TOT RF] + [REINVESTIR] + [APLICAÇÃO]</f>
        <v>1447.21</v>
      </c>
    </row>
    <row r="14" spans="1:26">
      <c r="A14" s="1">
        <v>13</v>
      </c>
      <c r="B14" s="5">
        <v>41365</v>
      </c>
      <c r="C14" s="3"/>
      <c r="D14" s="3"/>
      <c r="E14" s="3"/>
      <c r="F14" s="3">
        <v>0</v>
      </c>
      <c r="G14" s="6">
        <f>100</f>
        <v>100</v>
      </c>
      <c r="H14" s="6">
        <f>SUMPRODUCT(N([TRADE] &lt;= Tabela134[[#This Row],[TRADE]]), [APORTE]) + SUMPRODUCT(N([TRADE] &lt;= Tabela134[[#This Row],[TRADE]]), [APORTE RF])</f>
        <v>1200</v>
      </c>
      <c r="I14" s="6">
        <f>[MONTANTE] - SUMPRODUCT(N([TRADE] &lt;= Tabela134[[#This Row],[TRADE]]), [SAQUE]) + SUMPRODUCT(N([TRADE] &lt; Tabela134[[#This Row],[TRADE]]), [REINVESTIR])</f>
        <v>1221.6099999999999</v>
      </c>
      <c r="J14" s="6">
        <f>TRUNC([APLICAÇÃO]  * SETUP!$A$3, 2)</f>
        <v>0.45</v>
      </c>
      <c r="K14" s="6">
        <f>TRUNC([APLICAÇÃO]  * SETUP!$B$3, 2)</f>
        <v>0.33</v>
      </c>
      <c r="L14" s="6">
        <f>TRUNC([APLICAÇÃO]  * SETUP!$C$3, 2)</f>
        <v>0.84</v>
      </c>
      <c r="M14" s="6">
        <f>TRUNC(SETUP!$G$3  * SETUP!$H$3, 2)</f>
        <v>0.28999999999999998</v>
      </c>
      <c r="N14" s="6">
        <f>ROUND(SETUP!$G$3 * SETUP!$I$3, 2)</f>
        <v>0.57999999999999996</v>
      </c>
      <c r="O14" s="6">
        <f>SETUP!$G$3 + SUM(Tabela134[[#This Row],[EMOL CP]]:Tabela134[[#This Row],[OUTRAS CP]])</f>
        <v>17.39</v>
      </c>
      <c r="P14" s="6">
        <f>TRUNC([APLICAÇÃO] * 2  * SETUP!$A$3, 2)</f>
        <v>0.9</v>
      </c>
      <c r="Q14" s="6">
        <f>TRUNC([APLICAÇÃO] * 2  * SETUP!$B$3, 2)</f>
        <v>0.67</v>
      </c>
      <c r="R14" s="6">
        <f>TRUNC([APLICAÇÃO] * 2  * SETUP!$C$3, 2)</f>
        <v>1.69</v>
      </c>
      <c r="S14" s="6">
        <f>TRUNC(SETUP!$G$3  * SETUP!$H$3, 2)</f>
        <v>0.28999999999999998</v>
      </c>
      <c r="T14" s="6">
        <f>ROUND(SETUP!$G$3 * SETUP!$I$3, 2)</f>
        <v>0.57999999999999996</v>
      </c>
      <c r="U14" s="6">
        <f>SETUP!$G$3 + SUM(Tabela134[[#This Row],[EMOL VD]]:Tabela134[[#This Row],[OUTRAS VD]])</f>
        <v>19.03</v>
      </c>
      <c r="V14" s="6">
        <f>((([APLICAÇÃO] * 2) - [TAXA VD]) - ([APLICAÇÃO] + [TAXA CP])) * 0.85</f>
        <v>1007.4114999999996</v>
      </c>
      <c r="W14" s="6">
        <f>IF([LUCRO] &lt; 0, 0, ROUND([LUCRO]*80%, 2))</f>
        <v>0</v>
      </c>
      <c r="X14" s="6">
        <f>[LUCRO]-[PROTEÇÃO MÊS]</f>
        <v>0</v>
      </c>
      <c r="Y14" s="6">
        <f>SUMPRODUCT(N([TRADE] &lt;= Tabela13[[#This Row],[TRADE]]), [PROTEÇÃO MÊS]) - [APORTE RF]</f>
        <v>325.60000000000002</v>
      </c>
      <c r="Z14" s="6">
        <f>[TOT RF] + [REINVESTIR] + [APLICAÇÃO]</f>
        <v>1547.21</v>
      </c>
    </row>
    <row r="15" spans="1:26">
      <c r="A15" s="1">
        <v>14</v>
      </c>
      <c r="B15" s="5">
        <v>41395</v>
      </c>
      <c r="C15" s="3"/>
      <c r="D15" s="3"/>
      <c r="E15" s="3"/>
      <c r="F15" s="3">
        <v>0</v>
      </c>
      <c r="G15" s="6">
        <f>100</f>
        <v>100</v>
      </c>
      <c r="H15" s="6">
        <f>SUMPRODUCT(N([TRADE] &lt;= Tabela134[[#This Row],[TRADE]]), [APORTE]) + SUMPRODUCT(N([TRADE] &lt;= Tabela134[[#This Row],[TRADE]]), [APORTE RF])</f>
        <v>1300</v>
      </c>
      <c r="I15" s="6">
        <f>[MONTANTE] - SUMPRODUCT(N([TRADE] &lt;= Tabela134[[#This Row],[TRADE]]), [SAQUE]) + SUMPRODUCT(N([TRADE] &lt; Tabela134[[#This Row],[TRADE]]), [REINVESTIR])</f>
        <v>1321.61</v>
      </c>
      <c r="J15" s="6">
        <f>TRUNC([APLICAÇÃO]  * SETUP!$A$3, 2)</f>
        <v>0.48</v>
      </c>
      <c r="K15" s="6">
        <f>TRUNC([APLICAÇÃO]  * SETUP!$B$3, 2)</f>
        <v>0.36</v>
      </c>
      <c r="L15" s="6">
        <f>TRUNC([APLICAÇÃO]  * SETUP!$C$3, 2)</f>
        <v>0.91</v>
      </c>
      <c r="M15" s="6">
        <f>TRUNC(SETUP!$G$3  * SETUP!$H$3, 2)</f>
        <v>0.28999999999999998</v>
      </c>
      <c r="N15" s="6">
        <f>ROUND(SETUP!$G$3 * SETUP!$I$3, 2)</f>
        <v>0.57999999999999996</v>
      </c>
      <c r="O15" s="6">
        <f>SETUP!$G$3 + SUM(Tabela134[[#This Row],[EMOL CP]]:Tabela134[[#This Row],[OUTRAS CP]])</f>
        <v>17.52</v>
      </c>
      <c r="P15" s="6">
        <f>TRUNC([APLICAÇÃO] * 2  * SETUP!$A$3, 2)</f>
        <v>0.97</v>
      </c>
      <c r="Q15" s="6">
        <f>TRUNC([APLICAÇÃO] * 2  * SETUP!$B$3, 2)</f>
        <v>0.72</v>
      </c>
      <c r="R15" s="6">
        <f>TRUNC([APLICAÇÃO] * 2  * SETUP!$C$3, 2)</f>
        <v>1.83</v>
      </c>
      <c r="S15" s="6">
        <f>TRUNC(SETUP!$G$3  * SETUP!$H$3, 2)</f>
        <v>0.28999999999999998</v>
      </c>
      <c r="T15" s="6">
        <f>ROUND(SETUP!$G$3 * SETUP!$I$3, 2)</f>
        <v>0.57999999999999996</v>
      </c>
      <c r="U15" s="6">
        <f>SETUP!$G$3 + SUM(Tabela134[[#This Row],[EMOL VD]]:Tabela134[[#This Row],[OUTRAS VD]])</f>
        <v>19.29</v>
      </c>
      <c r="V15" s="6">
        <f>((([APLICAÇÃO] * 2) - [TAXA VD]) - ([APLICAÇÃO] + [TAXA CP])) * 0.85</f>
        <v>1092.08</v>
      </c>
      <c r="W15" s="6">
        <f>IF([LUCRO] &lt; 0, 0, ROUND([LUCRO]*80%, 2))</f>
        <v>0</v>
      </c>
      <c r="X15" s="6">
        <f>[LUCRO]-[PROTEÇÃO MÊS]</f>
        <v>0</v>
      </c>
      <c r="Y15" s="6">
        <f>SUMPRODUCT(N([TRADE] &lt;= Tabela13[[#This Row],[TRADE]]), [PROTEÇÃO MÊS]) - [APORTE RF]</f>
        <v>325.60000000000002</v>
      </c>
      <c r="Z15" s="6">
        <f>[TOT RF] + [REINVESTIR] + [APLICAÇÃO]</f>
        <v>1647.21</v>
      </c>
    </row>
    <row r="16" spans="1:26">
      <c r="A16" s="1">
        <v>15</v>
      </c>
      <c r="B16" s="5">
        <v>41426</v>
      </c>
      <c r="C16" s="18"/>
      <c r="D16" s="18"/>
      <c r="E16" s="18"/>
      <c r="F16" s="18">
        <v>0</v>
      </c>
      <c r="G16" s="19">
        <f>100</f>
        <v>100</v>
      </c>
      <c r="H16" s="19">
        <f>SUMPRODUCT(N([TRADE] &lt;= Tabela134[[#This Row],[TRADE]]), [APORTE]) + SUMPRODUCT(N([TRADE] &lt;= Tabela134[[#This Row],[TRADE]]), [APORTE RF])</f>
        <v>1400</v>
      </c>
      <c r="I16" s="19">
        <f>[MONTANTE] - SUMPRODUCT(N([TRADE] &lt;= Tabela134[[#This Row],[TRADE]]), [SAQUE]) + SUMPRODUCT(N([TRADE] &lt; Tabela134[[#This Row],[TRADE]]), [REINVESTIR])</f>
        <v>1421.61</v>
      </c>
      <c r="J16" s="19">
        <f>TRUNC([APLICAÇÃO]  * SETUP!$A$3, 2)</f>
        <v>0.52</v>
      </c>
      <c r="K16" s="19">
        <f>TRUNC([APLICAÇÃO]  * SETUP!$B$3, 2)</f>
        <v>0.39</v>
      </c>
      <c r="L16" s="19">
        <f>TRUNC([APLICAÇÃO]  * SETUP!$C$3, 2)</f>
        <v>0.98</v>
      </c>
      <c r="M16" s="19">
        <f>TRUNC(SETUP!$G$3  * SETUP!$H$3, 2)</f>
        <v>0.28999999999999998</v>
      </c>
      <c r="N16" s="19">
        <f>ROUND(SETUP!$G$3 * SETUP!$I$3, 2)</f>
        <v>0.57999999999999996</v>
      </c>
      <c r="O16" s="19">
        <f>SETUP!$G$3 + SUM(Tabela134[[#This Row],[EMOL CP]]:Tabela134[[#This Row],[OUTRAS CP]])</f>
        <v>17.66</v>
      </c>
      <c r="P16" s="19">
        <f>TRUNC([APLICAÇÃO] * 2  * SETUP!$A$3, 2)</f>
        <v>1.05</v>
      </c>
      <c r="Q16" s="19">
        <f>TRUNC([APLICAÇÃO] * 2  * SETUP!$B$3, 2)</f>
        <v>0.78</v>
      </c>
      <c r="R16" s="19">
        <f>TRUNC([APLICAÇÃO] * 2  * SETUP!$C$3, 2)</f>
        <v>1.97</v>
      </c>
      <c r="S16" s="19">
        <f>TRUNC(SETUP!$G$3  * SETUP!$H$3, 2)</f>
        <v>0.28999999999999998</v>
      </c>
      <c r="T16" s="19">
        <f>ROUND(SETUP!$G$3 * SETUP!$I$3, 2)</f>
        <v>0.57999999999999996</v>
      </c>
      <c r="U16" s="19">
        <f>SETUP!$G$3 + SUM(Tabela134[[#This Row],[EMOL VD]]:Tabela134[[#This Row],[OUTRAS VD]])</f>
        <v>19.57</v>
      </c>
      <c r="V16" s="19">
        <f>((([APLICAÇÃO] * 2) - [TAXA VD]) - ([APLICAÇÃO] + [TAXA CP])) * 0.85</f>
        <v>1176.7229999999997</v>
      </c>
      <c r="W16" s="19">
        <f>IF([LUCRO] &lt; 0, 0, ROUND([LUCRO]*80%, 2))</f>
        <v>0</v>
      </c>
      <c r="X16" s="19">
        <f>[LUCRO]-[PROTEÇÃO MÊS]</f>
        <v>0</v>
      </c>
      <c r="Y16" s="19">
        <f>SUMPRODUCT(N([TRADE] &lt;= Tabela13[[#This Row],[TRADE]]), [PROTEÇÃO MÊS]) - [APORTE RF]</f>
        <v>325.60000000000002</v>
      </c>
      <c r="Z16" s="19">
        <f>[TOT RF] + [REINVESTIR] + [APLICAÇÃO]</f>
        <v>1747.21</v>
      </c>
    </row>
    <row r="17" spans="1:26">
      <c r="A17" s="1">
        <v>16</v>
      </c>
      <c r="B17" s="5">
        <v>41456</v>
      </c>
      <c r="C17" s="3"/>
      <c r="D17" s="3"/>
      <c r="E17" s="3"/>
      <c r="F17" s="3">
        <v>0</v>
      </c>
      <c r="G17" s="6">
        <f>100</f>
        <v>100</v>
      </c>
      <c r="H17" s="6">
        <f>SUMPRODUCT(N([TRADE] &lt;= Tabela134[[#This Row],[TRADE]]), [APORTE]) + SUMPRODUCT(N([TRADE] &lt;= Tabela134[[#This Row],[TRADE]]), [APORTE RF])</f>
        <v>1500</v>
      </c>
      <c r="I17" s="6">
        <f>[MONTANTE] - SUMPRODUCT(N([TRADE] &lt;= Tabela134[[#This Row],[TRADE]]), [SAQUE]) + SUMPRODUCT(N([TRADE] &lt; Tabela134[[#This Row],[TRADE]]), [REINVESTIR])</f>
        <v>1521.61</v>
      </c>
      <c r="J17" s="6">
        <f>TRUNC([APLICAÇÃO]  * SETUP!$A$3, 2)</f>
        <v>0.56000000000000005</v>
      </c>
      <c r="K17" s="6">
        <f>TRUNC([APLICAÇÃO]  * SETUP!$B$3, 2)</f>
        <v>0.41</v>
      </c>
      <c r="L17" s="6">
        <f>TRUNC([APLICAÇÃO]  * SETUP!$C$3, 2)</f>
        <v>1.05</v>
      </c>
      <c r="M17" s="6">
        <f>TRUNC(SETUP!$G$3  * SETUP!$H$3, 2)</f>
        <v>0.28999999999999998</v>
      </c>
      <c r="N17" s="6">
        <f>ROUND(SETUP!$G$3 * SETUP!$I$3, 2)</f>
        <v>0.57999999999999996</v>
      </c>
      <c r="O17" s="6">
        <f>SETUP!$G$3 + SUM(Tabela134[[#This Row],[EMOL CP]]:Tabela134[[#This Row],[OUTRAS CP]])</f>
        <v>17.79</v>
      </c>
      <c r="P17" s="6">
        <f>TRUNC([APLICAÇÃO] * 2  * SETUP!$A$3, 2)</f>
        <v>1.1200000000000001</v>
      </c>
      <c r="Q17" s="6">
        <f>TRUNC([APLICAÇÃO] * 2  * SETUP!$B$3, 2)</f>
        <v>0.83</v>
      </c>
      <c r="R17" s="6">
        <f>TRUNC([APLICAÇÃO] * 2  * SETUP!$C$3, 2)</f>
        <v>2.11</v>
      </c>
      <c r="S17" s="6">
        <f>TRUNC(SETUP!$G$3  * SETUP!$H$3, 2)</f>
        <v>0.28999999999999998</v>
      </c>
      <c r="T17" s="6">
        <f>ROUND(SETUP!$G$3 * SETUP!$I$3, 2)</f>
        <v>0.57999999999999996</v>
      </c>
      <c r="U17" s="6">
        <f>SETUP!$G$3 + SUM(Tabela134[[#This Row],[EMOL VD]]:Tabela134[[#This Row],[OUTRAS VD]])</f>
        <v>19.830000000000002</v>
      </c>
      <c r="V17" s="6">
        <f>((([APLICAÇÃO] * 2) - [TAXA VD]) - ([APLICAÇÃO] + [TAXA CP])) * 0.85</f>
        <v>1261.3915</v>
      </c>
      <c r="W17" s="6">
        <f>IF([LUCRO] &lt; 0, 0, ROUND([LUCRO]*80%, 2))</f>
        <v>0</v>
      </c>
      <c r="X17" s="6">
        <f>[LUCRO]-[PROTEÇÃO MÊS]</f>
        <v>0</v>
      </c>
      <c r="Y17" s="6">
        <f>SUMPRODUCT(N([TRADE] &lt;= Tabela13[[#This Row],[TRADE]]), [PROTEÇÃO MÊS]) - [APORTE RF]</f>
        <v>325.60000000000002</v>
      </c>
      <c r="Z17" s="6">
        <f>[TOT RF] + [REINVESTIR] + [APLICAÇÃO]</f>
        <v>1847.21</v>
      </c>
    </row>
    <row r="18" spans="1:26">
      <c r="A18" s="1">
        <v>17</v>
      </c>
      <c r="B18" s="5">
        <v>41487</v>
      </c>
      <c r="C18" s="3"/>
      <c r="D18" s="3"/>
      <c r="E18" s="3"/>
      <c r="F18" s="3">
        <v>0</v>
      </c>
      <c r="G18" s="6">
        <f>100</f>
        <v>100</v>
      </c>
      <c r="H18" s="6">
        <f>SUMPRODUCT(N([TRADE] &lt;= Tabela134[[#This Row],[TRADE]]), [APORTE]) + SUMPRODUCT(N([TRADE] &lt;= Tabela134[[#This Row],[TRADE]]), [APORTE RF])</f>
        <v>1600</v>
      </c>
      <c r="I18" s="6">
        <f>[MONTANTE] - SUMPRODUCT(N([TRADE] &lt;= Tabela134[[#This Row],[TRADE]]), [SAQUE]) + SUMPRODUCT(N([TRADE] &lt; Tabela134[[#This Row],[TRADE]]), [REINVESTIR])</f>
        <v>1621.61</v>
      </c>
      <c r="J18" s="6">
        <f>TRUNC([APLICAÇÃO]  * SETUP!$A$3, 2)</f>
        <v>0.59</v>
      </c>
      <c r="K18" s="6">
        <f>TRUNC([APLICAÇÃO]  * SETUP!$B$3, 2)</f>
        <v>0.44</v>
      </c>
      <c r="L18" s="6">
        <f>TRUNC([APLICAÇÃO]  * SETUP!$C$3, 2)</f>
        <v>1.1200000000000001</v>
      </c>
      <c r="M18" s="6">
        <f>TRUNC(SETUP!$G$3  * SETUP!$H$3, 2)</f>
        <v>0.28999999999999998</v>
      </c>
      <c r="N18" s="6">
        <f>ROUND(SETUP!$G$3 * SETUP!$I$3, 2)</f>
        <v>0.57999999999999996</v>
      </c>
      <c r="O18" s="6">
        <f>SETUP!$G$3 + SUM(Tabela134[[#This Row],[EMOL CP]]:Tabela134[[#This Row],[OUTRAS CP]])</f>
        <v>17.920000000000002</v>
      </c>
      <c r="P18" s="6">
        <f>TRUNC([APLICAÇÃO] * 2  * SETUP!$A$3, 2)</f>
        <v>1.19</v>
      </c>
      <c r="Q18" s="6">
        <f>TRUNC([APLICAÇÃO] * 2  * SETUP!$B$3, 2)</f>
        <v>0.89</v>
      </c>
      <c r="R18" s="6">
        <f>TRUNC([APLICAÇÃO] * 2  * SETUP!$C$3, 2)</f>
        <v>2.25</v>
      </c>
      <c r="S18" s="6">
        <f>TRUNC(SETUP!$G$3  * SETUP!$H$3, 2)</f>
        <v>0.28999999999999998</v>
      </c>
      <c r="T18" s="6">
        <f>ROUND(SETUP!$G$3 * SETUP!$I$3, 2)</f>
        <v>0.57999999999999996</v>
      </c>
      <c r="U18" s="6">
        <f>SETUP!$G$3 + SUM(Tabela134[[#This Row],[EMOL VD]]:Tabela134[[#This Row],[OUTRAS VD]])</f>
        <v>20.100000000000001</v>
      </c>
      <c r="V18" s="6">
        <f>((([APLICAÇÃO] * 2) - [TAXA VD]) - ([APLICAÇÃO] + [TAXA CP])) * 0.85</f>
        <v>1346.0514999999998</v>
      </c>
      <c r="W18" s="6">
        <f>IF([LUCRO] &lt; 0, 0, ROUND([LUCRO]*80%, 2))</f>
        <v>0</v>
      </c>
      <c r="X18" s="6">
        <f>[LUCRO]-[PROTEÇÃO MÊS]</f>
        <v>0</v>
      </c>
      <c r="Y18" s="6">
        <f>SUMPRODUCT(N([TRADE] &lt;= Tabela13[[#This Row],[TRADE]]), [PROTEÇÃO MÊS]) - [APORTE RF]</f>
        <v>325.60000000000002</v>
      </c>
      <c r="Z18" s="6">
        <f>[TOT RF] + [REINVESTIR] + [APLICAÇÃO]</f>
        <v>1947.21</v>
      </c>
    </row>
    <row r="19" spans="1:26">
      <c r="A19" s="1">
        <v>18</v>
      </c>
      <c r="B19" s="5">
        <v>41518</v>
      </c>
      <c r="C19" s="3"/>
      <c r="D19" s="3"/>
      <c r="E19" s="3"/>
      <c r="F19" s="3">
        <v>0</v>
      </c>
      <c r="G19" s="6">
        <f>100</f>
        <v>100</v>
      </c>
      <c r="H19" s="6">
        <f>SUMPRODUCT(N([TRADE] &lt;= Tabela134[[#This Row],[TRADE]]), [APORTE]) + SUMPRODUCT(N([TRADE] &lt;= Tabela134[[#This Row],[TRADE]]), [APORTE RF])</f>
        <v>1700</v>
      </c>
      <c r="I19" s="6">
        <f>[MONTANTE] - SUMPRODUCT(N([TRADE] &lt;= Tabela134[[#This Row],[TRADE]]), [SAQUE]) + SUMPRODUCT(N([TRADE] &lt; Tabela134[[#This Row],[TRADE]]), [REINVESTIR])</f>
        <v>1721.61</v>
      </c>
      <c r="J19" s="6">
        <f>TRUNC([APLICAÇÃO]  * SETUP!$A$3, 2)</f>
        <v>0.63</v>
      </c>
      <c r="K19" s="6">
        <f>TRUNC([APLICAÇÃO]  * SETUP!$B$3, 2)</f>
        <v>0.47</v>
      </c>
      <c r="L19" s="6">
        <f>TRUNC([APLICAÇÃO]  * SETUP!$C$3, 2)</f>
        <v>1.19</v>
      </c>
      <c r="M19" s="6">
        <f>TRUNC(SETUP!$G$3  * SETUP!$H$3, 2)</f>
        <v>0.28999999999999998</v>
      </c>
      <c r="N19" s="6">
        <f>ROUND(SETUP!$G$3 * SETUP!$I$3, 2)</f>
        <v>0.57999999999999996</v>
      </c>
      <c r="O19" s="6">
        <f>SETUP!$G$3 + SUM(Tabela134[[#This Row],[EMOL CP]]:Tabela134[[#This Row],[OUTRAS CP]])</f>
        <v>18.060000000000002</v>
      </c>
      <c r="P19" s="6">
        <f>TRUNC([APLICAÇÃO] * 2  * SETUP!$A$3, 2)</f>
        <v>1.27</v>
      </c>
      <c r="Q19" s="6">
        <f>TRUNC([APLICAÇÃO] * 2  * SETUP!$B$3, 2)</f>
        <v>0.94</v>
      </c>
      <c r="R19" s="6">
        <f>TRUNC([APLICAÇÃO] * 2  * SETUP!$C$3, 2)</f>
        <v>2.39</v>
      </c>
      <c r="S19" s="6">
        <f>TRUNC(SETUP!$G$3  * SETUP!$H$3, 2)</f>
        <v>0.28999999999999998</v>
      </c>
      <c r="T19" s="6">
        <f>ROUND(SETUP!$G$3 * SETUP!$I$3, 2)</f>
        <v>0.57999999999999996</v>
      </c>
      <c r="U19" s="6">
        <f>SETUP!$G$3 + SUM(Tabela134[[#This Row],[EMOL VD]]:Tabela134[[#This Row],[OUTRAS VD]])</f>
        <v>20.37</v>
      </c>
      <c r="V19" s="6">
        <f>((([APLICAÇÃO] * 2) - [TAXA VD]) - ([APLICAÇÃO] + [TAXA CP])) * 0.85</f>
        <v>1430.703</v>
      </c>
      <c r="W19" s="6">
        <f>IF([LUCRO] &lt; 0, 0, ROUND([LUCRO]*80%, 2))</f>
        <v>0</v>
      </c>
      <c r="X19" s="6">
        <f>[LUCRO]-[PROTEÇÃO MÊS]</f>
        <v>0</v>
      </c>
      <c r="Y19" s="6">
        <f>SUMPRODUCT(N([TRADE] &lt;= Tabela13[[#This Row],[TRADE]]), [PROTEÇÃO MÊS]) - [APORTE RF]</f>
        <v>325.60000000000002</v>
      </c>
      <c r="Z19" s="6">
        <f>[TOT RF] + [REINVESTIR] + [APLICAÇÃO]</f>
        <v>2047.21</v>
      </c>
    </row>
    <row r="20" spans="1:26">
      <c r="A20" s="1">
        <v>19</v>
      </c>
      <c r="B20" s="5">
        <v>41548</v>
      </c>
      <c r="C20" s="3"/>
      <c r="D20" s="3"/>
      <c r="E20" s="3"/>
      <c r="F20" s="3">
        <v>0</v>
      </c>
      <c r="G20" s="6">
        <f>100</f>
        <v>100</v>
      </c>
      <c r="H20" s="6">
        <f>SUMPRODUCT(N([TRADE] &lt;= Tabela134[[#This Row],[TRADE]]), [APORTE]) + SUMPRODUCT(N([TRADE] &lt;= Tabela134[[#This Row],[TRADE]]), [APORTE RF])</f>
        <v>1800</v>
      </c>
      <c r="I20" s="6">
        <f>[MONTANTE] - SUMPRODUCT(N([TRADE] &lt;= Tabela134[[#This Row],[TRADE]]), [SAQUE]) + SUMPRODUCT(N([TRADE] &lt; Tabela134[[#This Row],[TRADE]]), [REINVESTIR])</f>
        <v>1821.61</v>
      </c>
      <c r="J20" s="6">
        <f>TRUNC([APLICAÇÃO]  * SETUP!$A$3, 2)</f>
        <v>0.67</v>
      </c>
      <c r="K20" s="6">
        <f>TRUNC([APLICAÇÃO]  * SETUP!$B$3, 2)</f>
        <v>0.5</v>
      </c>
      <c r="L20" s="6">
        <f>TRUNC([APLICAÇÃO]  * SETUP!$C$3, 2)</f>
        <v>1.26</v>
      </c>
      <c r="M20" s="6">
        <f>TRUNC(SETUP!$G$3  * SETUP!$H$3, 2)</f>
        <v>0.28999999999999998</v>
      </c>
      <c r="N20" s="6">
        <f>ROUND(SETUP!$G$3 * SETUP!$I$3, 2)</f>
        <v>0.57999999999999996</v>
      </c>
      <c r="O20" s="6">
        <f>SETUP!$G$3 + SUM(Tabela134[[#This Row],[EMOL CP]]:Tabela134[[#This Row],[OUTRAS CP]])</f>
        <v>18.2</v>
      </c>
      <c r="P20" s="6">
        <f>TRUNC([APLICAÇÃO] * 2  * SETUP!$A$3, 2)</f>
        <v>1.34</v>
      </c>
      <c r="Q20" s="6">
        <f>TRUNC([APLICAÇÃO] * 2  * SETUP!$B$3, 2)</f>
        <v>1</v>
      </c>
      <c r="R20" s="6">
        <f>TRUNC([APLICAÇÃO] * 2  * SETUP!$C$3, 2)</f>
        <v>2.5299999999999998</v>
      </c>
      <c r="S20" s="6">
        <f>TRUNC(SETUP!$G$3  * SETUP!$H$3, 2)</f>
        <v>0.28999999999999998</v>
      </c>
      <c r="T20" s="6">
        <f>ROUND(SETUP!$G$3 * SETUP!$I$3, 2)</f>
        <v>0.57999999999999996</v>
      </c>
      <c r="U20" s="6">
        <f>SETUP!$G$3 + SUM(Tabela134[[#This Row],[EMOL VD]]:Tabela134[[#This Row],[OUTRAS VD]])</f>
        <v>20.64</v>
      </c>
      <c r="V20" s="6">
        <f>((([APLICAÇÃO] * 2) - [TAXA VD]) - ([APLICAÇÃO] + [TAXA CP])) * 0.85</f>
        <v>1515.3544999999999</v>
      </c>
      <c r="W20" s="6">
        <f>IF([LUCRO] &lt; 0, 0, ROUND([LUCRO]*80%, 2))</f>
        <v>0</v>
      </c>
      <c r="X20" s="6">
        <f>[LUCRO]-[PROTEÇÃO MÊS]</f>
        <v>0</v>
      </c>
      <c r="Y20" s="6">
        <f>SUMPRODUCT(N([TRADE] &lt;= Tabela13[[#This Row],[TRADE]]), [PROTEÇÃO MÊS]) - [APORTE RF]</f>
        <v>325.60000000000002</v>
      </c>
      <c r="Z20" s="6">
        <f>[TOT RF] + [REINVESTIR] + [APLICAÇÃO]</f>
        <v>2147.21</v>
      </c>
    </row>
    <row r="21" spans="1:26">
      <c r="A21" s="1">
        <v>20</v>
      </c>
      <c r="B21" s="5">
        <v>41579</v>
      </c>
      <c r="C21" s="3"/>
      <c r="D21" s="3"/>
      <c r="E21" s="3"/>
      <c r="F21" s="3">
        <v>0</v>
      </c>
      <c r="G21" s="6">
        <f>100</f>
        <v>100</v>
      </c>
      <c r="H21" s="6">
        <f>SUMPRODUCT(N([TRADE] &lt;= Tabela134[[#This Row],[TRADE]]), [APORTE]) + SUMPRODUCT(N([TRADE] &lt;= Tabela134[[#This Row],[TRADE]]), [APORTE RF])</f>
        <v>1900</v>
      </c>
      <c r="I21" s="6">
        <f>[MONTANTE] - SUMPRODUCT(N([TRADE] &lt;= Tabela134[[#This Row],[TRADE]]), [SAQUE]) + SUMPRODUCT(N([TRADE] &lt; Tabela134[[#This Row],[TRADE]]), [REINVESTIR])</f>
        <v>1921.61</v>
      </c>
      <c r="J21" s="6">
        <f>TRUNC([APLICAÇÃO]  * SETUP!$A$3, 2)</f>
        <v>0.71</v>
      </c>
      <c r="K21" s="6">
        <f>TRUNC([APLICAÇÃO]  * SETUP!$B$3, 2)</f>
        <v>0.52</v>
      </c>
      <c r="L21" s="6">
        <f>TRUNC([APLICAÇÃO]  * SETUP!$C$3, 2)</f>
        <v>1.33</v>
      </c>
      <c r="M21" s="6">
        <f>TRUNC(SETUP!$G$3  * SETUP!$H$3, 2)</f>
        <v>0.28999999999999998</v>
      </c>
      <c r="N21" s="6">
        <f>ROUND(SETUP!$G$3 * SETUP!$I$3, 2)</f>
        <v>0.57999999999999996</v>
      </c>
      <c r="O21" s="6">
        <f>SETUP!$G$3 + SUM(Tabela134[[#This Row],[EMOL CP]]:Tabela134[[#This Row],[OUTRAS CP]])</f>
        <v>18.330000000000002</v>
      </c>
      <c r="P21" s="6">
        <f>TRUNC([APLICAÇÃO] * 2  * SETUP!$A$3, 2)</f>
        <v>1.42</v>
      </c>
      <c r="Q21" s="6">
        <f>TRUNC([APLICAÇÃO] * 2  * SETUP!$B$3, 2)</f>
        <v>1.05</v>
      </c>
      <c r="R21" s="6">
        <f>TRUNC([APLICAÇÃO] * 2  * SETUP!$C$3, 2)</f>
        <v>2.67</v>
      </c>
      <c r="S21" s="6">
        <f>TRUNC(SETUP!$G$3  * SETUP!$H$3, 2)</f>
        <v>0.28999999999999998</v>
      </c>
      <c r="T21" s="6">
        <f>ROUND(SETUP!$G$3 * SETUP!$I$3, 2)</f>
        <v>0.57999999999999996</v>
      </c>
      <c r="U21" s="6">
        <f>SETUP!$G$3 + SUM(Tabela134[[#This Row],[EMOL VD]]:Tabela134[[#This Row],[OUTRAS VD]])</f>
        <v>20.91</v>
      </c>
      <c r="V21" s="6">
        <f>((([APLICAÇÃO] * 2) - [TAXA VD]) - ([APLICAÇÃO] + [TAXA CP])) * 0.85</f>
        <v>1600.0145</v>
      </c>
      <c r="W21" s="6">
        <f>IF([LUCRO] &lt; 0, 0, ROUND([LUCRO]*80%, 2))</f>
        <v>0</v>
      </c>
      <c r="X21" s="6">
        <f>[LUCRO]-[PROTEÇÃO MÊS]</f>
        <v>0</v>
      </c>
      <c r="Y21" s="6">
        <f>SUMPRODUCT(N([TRADE] &lt;= Tabela13[[#This Row],[TRADE]]), [PROTEÇÃO MÊS]) - [APORTE RF]</f>
        <v>325.60000000000002</v>
      </c>
      <c r="Z21" s="6">
        <f>[TOT RF] + [REINVESTIR] + [APLICAÇÃO]</f>
        <v>2247.21</v>
      </c>
    </row>
    <row r="22" spans="1:26">
      <c r="A22" s="1">
        <v>21</v>
      </c>
      <c r="B22" s="5">
        <v>41609</v>
      </c>
      <c r="C22" s="18"/>
      <c r="D22" s="18"/>
      <c r="E22" s="18"/>
      <c r="F22" s="18">
        <v>0</v>
      </c>
      <c r="G22" s="19">
        <f>100</f>
        <v>100</v>
      </c>
      <c r="H22" s="19">
        <f>SUMPRODUCT(N([TRADE] &lt;= Tabela134[[#This Row],[TRADE]]), [APORTE]) + SUMPRODUCT(N([TRADE] &lt;= Tabela134[[#This Row],[TRADE]]), [APORTE RF])</f>
        <v>2000</v>
      </c>
      <c r="I22" s="19">
        <f>[MONTANTE] - SUMPRODUCT(N([TRADE] &lt;= Tabela134[[#This Row],[TRADE]]), [SAQUE]) + SUMPRODUCT(N([TRADE] &lt; Tabela134[[#This Row],[TRADE]]), [REINVESTIR])</f>
        <v>2021.61</v>
      </c>
      <c r="J22" s="19">
        <f>TRUNC([APLICAÇÃO]  * SETUP!$A$3, 2)</f>
        <v>0.74</v>
      </c>
      <c r="K22" s="19">
        <f>TRUNC([APLICAÇÃO]  * SETUP!$B$3, 2)</f>
        <v>0.55000000000000004</v>
      </c>
      <c r="L22" s="19">
        <f>TRUNC([APLICAÇÃO]  * SETUP!$C$3, 2)</f>
        <v>1.4</v>
      </c>
      <c r="M22" s="19">
        <f>TRUNC(SETUP!$G$3  * SETUP!$H$3, 2)</f>
        <v>0.28999999999999998</v>
      </c>
      <c r="N22" s="19">
        <f>ROUND(SETUP!$G$3 * SETUP!$I$3, 2)</f>
        <v>0.57999999999999996</v>
      </c>
      <c r="O22" s="19">
        <f>SETUP!$G$3 + SUM(Tabela134[[#This Row],[EMOL CP]]:Tabela134[[#This Row],[OUTRAS CP]])</f>
        <v>18.46</v>
      </c>
      <c r="P22" s="19">
        <f>TRUNC([APLICAÇÃO] * 2  * SETUP!$A$3, 2)</f>
        <v>1.49</v>
      </c>
      <c r="Q22" s="19">
        <f>TRUNC([APLICAÇÃO] * 2  * SETUP!$B$3, 2)</f>
        <v>1.1100000000000001</v>
      </c>
      <c r="R22" s="19">
        <f>TRUNC([APLICAÇÃO] * 2  * SETUP!$C$3, 2)</f>
        <v>2.81</v>
      </c>
      <c r="S22" s="19">
        <f>TRUNC(SETUP!$G$3  * SETUP!$H$3, 2)</f>
        <v>0.28999999999999998</v>
      </c>
      <c r="T22" s="19">
        <f>ROUND(SETUP!$G$3 * SETUP!$I$3, 2)</f>
        <v>0.57999999999999996</v>
      </c>
      <c r="U22" s="19">
        <f>SETUP!$G$3 + SUM(Tabela134[[#This Row],[EMOL VD]]:Tabela134[[#This Row],[OUTRAS VD]])</f>
        <v>21.18</v>
      </c>
      <c r="V22" s="19">
        <f>((([APLICAÇÃO] * 2) - [TAXA VD]) - ([APLICAÇÃO] + [TAXA CP])) * 0.85</f>
        <v>1684.6745000000001</v>
      </c>
      <c r="W22" s="19">
        <f>IF([LUCRO] &lt; 0, 0, ROUND([LUCRO]*80%, 2))</f>
        <v>0</v>
      </c>
      <c r="X22" s="19">
        <f>[LUCRO]-[PROTEÇÃO MÊS]</f>
        <v>0</v>
      </c>
      <c r="Y22" s="19">
        <f>SUMPRODUCT(N([TRADE] &lt;= Tabela13[[#This Row],[TRADE]]), [PROTEÇÃO MÊS]) - [APORTE RF]</f>
        <v>325.60000000000002</v>
      </c>
      <c r="Z22" s="19">
        <f>[TOT RF] + [REINVESTIR] + [APLICAÇÃO]</f>
        <v>2347.21</v>
      </c>
    </row>
    <row r="23" spans="1:26">
      <c r="A23" s="1">
        <v>22</v>
      </c>
      <c r="B23" s="5">
        <v>41640</v>
      </c>
      <c r="C23" s="3"/>
      <c r="D23" s="3"/>
      <c r="E23" s="3"/>
      <c r="F23" s="3">
        <v>0</v>
      </c>
      <c r="G23" s="6">
        <f>100</f>
        <v>100</v>
      </c>
      <c r="H23" s="6">
        <f>SUMPRODUCT(N([TRADE] &lt;= Tabela134[[#This Row],[TRADE]]), [APORTE]) + SUMPRODUCT(N([TRADE] &lt;= Tabela134[[#This Row],[TRADE]]), [APORTE RF])</f>
        <v>2100</v>
      </c>
      <c r="I23" s="6">
        <f>[MONTANTE] - SUMPRODUCT(N([TRADE] &lt;= Tabela134[[#This Row],[TRADE]]), [SAQUE]) + SUMPRODUCT(N([TRADE] &lt; Tabela134[[#This Row],[TRADE]]), [REINVESTIR])</f>
        <v>2121.61</v>
      </c>
      <c r="J23" s="6">
        <f>TRUNC([APLICAÇÃO]  * SETUP!$A$3, 2)</f>
        <v>0.78</v>
      </c>
      <c r="K23" s="6">
        <f>TRUNC([APLICAÇÃO]  * SETUP!$B$3, 2)</f>
        <v>0.57999999999999996</v>
      </c>
      <c r="L23" s="6">
        <f>TRUNC([APLICAÇÃO]  * SETUP!$C$3, 2)</f>
        <v>1.47</v>
      </c>
      <c r="M23" s="6">
        <f>TRUNC(SETUP!$G$3  * SETUP!$H$3, 2)</f>
        <v>0.28999999999999998</v>
      </c>
      <c r="N23" s="6">
        <f>ROUND(SETUP!$G$3 * SETUP!$I$3, 2)</f>
        <v>0.57999999999999996</v>
      </c>
      <c r="O23" s="6">
        <f>SETUP!$G$3 + SUM(Tabela134[[#This Row],[EMOL CP]]:Tabela134[[#This Row],[OUTRAS CP]])</f>
        <v>18.600000000000001</v>
      </c>
      <c r="P23" s="6">
        <f>TRUNC([APLICAÇÃO] * 2  * SETUP!$A$3, 2)</f>
        <v>1.56</v>
      </c>
      <c r="Q23" s="6">
        <f>TRUNC([APLICAÇÃO] * 2  * SETUP!$B$3, 2)</f>
        <v>1.1599999999999999</v>
      </c>
      <c r="R23" s="6">
        <f>TRUNC([APLICAÇÃO] * 2  * SETUP!$C$3, 2)</f>
        <v>2.94</v>
      </c>
      <c r="S23" s="6">
        <f>TRUNC(SETUP!$G$3  * SETUP!$H$3, 2)</f>
        <v>0.28999999999999998</v>
      </c>
      <c r="T23" s="6">
        <f>ROUND(SETUP!$G$3 * SETUP!$I$3, 2)</f>
        <v>0.57999999999999996</v>
      </c>
      <c r="U23" s="6">
        <f>SETUP!$G$3 + SUM(Tabela134[[#This Row],[EMOL VD]]:Tabela134[[#This Row],[OUTRAS VD]])</f>
        <v>21.43</v>
      </c>
      <c r="V23" s="6">
        <f>((([APLICAÇÃO] * 2) - [TAXA VD]) - ([APLICAÇÃO] + [TAXA CP])) * 0.85</f>
        <v>1769.3429999999998</v>
      </c>
      <c r="W23" s="6">
        <f>IF([LUCRO] &lt; 0, 0, ROUND([LUCRO]*80%, 2))</f>
        <v>0</v>
      </c>
      <c r="X23" s="6">
        <f>[LUCRO]-[PROTEÇÃO MÊS]</f>
        <v>0</v>
      </c>
      <c r="Y23" s="6">
        <f>SUMPRODUCT(N([TRADE] &lt;= Tabela13[[#This Row],[TRADE]]), [PROTEÇÃO MÊS]) - [APORTE RF]</f>
        <v>325.60000000000002</v>
      </c>
      <c r="Z23" s="6">
        <f>[TOT RF] + [REINVESTIR] + [APLICAÇÃO]</f>
        <v>2447.21</v>
      </c>
    </row>
    <row r="24" spans="1:26">
      <c r="A24" s="1">
        <v>23</v>
      </c>
      <c r="B24" s="5">
        <v>41671</v>
      </c>
      <c r="C24" s="3"/>
      <c r="D24" s="3"/>
      <c r="E24" s="3"/>
      <c r="F24" s="3">
        <v>0</v>
      </c>
      <c r="G24" s="6">
        <f>100</f>
        <v>100</v>
      </c>
      <c r="H24" s="6">
        <f>SUMPRODUCT(N([TRADE] &lt;= Tabela134[[#This Row],[TRADE]]), [APORTE]) + SUMPRODUCT(N([TRADE] &lt;= Tabela134[[#This Row],[TRADE]]), [APORTE RF])</f>
        <v>2200</v>
      </c>
      <c r="I24" s="6">
        <f>[MONTANTE] - SUMPRODUCT(N([TRADE] &lt;= Tabela134[[#This Row],[TRADE]]), [SAQUE]) + SUMPRODUCT(N([TRADE] &lt; Tabela134[[#This Row],[TRADE]]), [REINVESTIR])</f>
        <v>2221.61</v>
      </c>
      <c r="J24" s="6">
        <f>TRUNC([APLICAÇÃO]  * SETUP!$A$3, 2)</f>
        <v>0.82</v>
      </c>
      <c r="K24" s="6">
        <f>TRUNC([APLICAÇÃO]  * SETUP!$B$3, 2)</f>
        <v>0.61</v>
      </c>
      <c r="L24" s="6">
        <f>TRUNC([APLICAÇÃO]  * SETUP!$C$3, 2)</f>
        <v>1.54</v>
      </c>
      <c r="M24" s="6">
        <f>TRUNC(SETUP!$G$3  * SETUP!$H$3, 2)</f>
        <v>0.28999999999999998</v>
      </c>
      <c r="N24" s="6">
        <f>ROUND(SETUP!$G$3 * SETUP!$I$3, 2)</f>
        <v>0.57999999999999996</v>
      </c>
      <c r="O24" s="6">
        <f>SETUP!$G$3 + SUM(Tabela134[[#This Row],[EMOL CP]]:Tabela134[[#This Row],[OUTRAS CP]])</f>
        <v>18.740000000000002</v>
      </c>
      <c r="P24" s="6">
        <f>TRUNC([APLICAÇÃO] * 2  * SETUP!$A$3, 2)</f>
        <v>1.64</v>
      </c>
      <c r="Q24" s="6">
        <f>TRUNC([APLICAÇÃO] * 2  * SETUP!$B$3, 2)</f>
        <v>1.22</v>
      </c>
      <c r="R24" s="6">
        <f>TRUNC([APLICAÇÃO] * 2  * SETUP!$C$3, 2)</f>
        <v>3.08</v>
      </c>
      <c r="S24" s="6">
        <f>TRUNC(SETUP!$G$3  * SETUP!$H$3, 2)</f>
        <v>0.28999999999999998</v>
      </c>
      <c r="T24" s="6">
        <f>ROUND(SETUP!$G$3 * SETUP!$I$3, 2)</f>
        <v>0.57999999999999996</v>
      </c>
      <c r="U24" s="6">
        <f>SETUP!$G$3 + SUM(Tabela134[[#This Row],[EMOL VD]]:Tabela134[[#This Row],[OUTRAS VD]])</f>
        <v>21.71</v>
      </c>
      <c r="V24" s="6">
        <f>((([APLICAÇÃO] * 2) - [TAXA VD]) - ([APLICAÇÃO] + [TAXA CP])) * 0.85</f>
        <v>1853.9860000000001</v>
      </c>
      <c r="W24" s="6">
        <f>IF([LUCRO] &lt; 0, 0, ROUND([LUCRO]*80%, 2))</f>
        <v>0</v>
      </c>
      <c r="X24" s="6">
        <f>[LUCRO]-[PROTEÇÃO MÊS]</f>
        <v>0</v>
      </c>
      <c r="Y24" s="6">
        <f>SUMPRODUCT(N([TRADE] &lt;= Tabela13[[#This Row],[TRADE]]), [PROTEÇÃO MÊS]) - [APORTE RF]</f>
        <v>325.60000000000002</v>
      </c>
      <c r="Z24" s="6">
        <f>[TOT RF] + [REINVESTIR] + [APLICAÇÃO]</f>
        <v>2547.21</v>
      </c>
    </row>
    <row r="25" spans="1:26">
      <c r="A25" s="1">
        <v>24</v>
      </c>
      <c r="B25" s="5">
        <v>41699</v>
      </c>
      <c r="C25" s="3"/>
      <c r="D25" s="3"/>
      <c r="E25" s="3"/>
      <c r="F25" s="3">
        <v>0</v>
      </c>
      <c r="G25" s="6">
        <f>100</f>
        <v>100</v>
      </c>
      <c r="H25" s="6">
        <f>SUMPRODUCT(N([TRADE] &lt;= Tabela134[[#This Row],[TRADE]]), [APORTE]) + SUMPRODUCT(N([TRADE] &lt;= Tabela134[[#This Row],[TRADE]]), [APORTE RF])</f>
        <v>2300</v>
      </c>
      <c r="I25" s="6">
        <f>[MONTANTE] - SUMPRODUCT(N([TRADE] &lt;= Tabela134[[#This Row],[TRADE]]), [SAQUE]) + SUMPRODUCT(N([TRADE] &lt; Tabela134[[#This Row],[TRADE]]), [REINVESTIR])</f>
        <v>2321.61</v>
      </c>
      <c r="J25" s="6">
        <f>TRUNC([APLICAÇÃO]  * SETUP!$A$3, 2)</f>
        <v>0.85</v>
      </c>
      <c r="K25" s="6">
        <f>TRUNC([APLICAÇÃO]  * SETUP!$B$3, 2)</f>
        <v>0.63</v>
      </c>
      <c r="L25" s="6">
        <f>TRUNC([APLICAÇÃO]  * SETUP!$C$3, 2)</f>
        <v>1.61</v>
      </c>
      <c r="M25" s="6">
        <f>TRUNC(SETUP!$G$3  * SETUP!$H$3, 2)</f>
        <v>0.28999999999999998</v>
      </c>
      <c r="N25" s="6">
        <f>ROUND(SETUP!$G$3 * SETUP!$I$3, 2)</f>
        <v>0.57999999999999996</v>
      </c>
      <c r="O25" s="6">
        <f>SETUP!$G$3 + SUM(Tabela134[[#This Row],[EMOL CP]]:Tabela134[[#This Row],[OUTRAS CP]])</f>
        <v>18.86</v>
      </c>
      <c r="P25" s="6">
        <f>TRUNC([APLICAÇÃO] * 2  * SETUP!$A$3, 2)</f>
        <v>1.71</v>
      </c>
      <c r="Q25" s="6">
        <f>TRUNC([APLICAÇÃO] * 2  * SETUP!$B$3, 2)</f>
        <v>1.27</v>
      </c>
      <c r="R25" s="6">
        <f>TRUNC([APLICAÇÃO] * 2  * SETUP!$C$3, 2)</f>
        <v>3.22</v>
      </c>
      <c r="S25" s="6">
        <f>TRUNC(SETUP!$G$3  * SETUP!$H$3, 2)</f>
        <v>0.28999999999999998</v>
      </c>
      <c r="T25" s="6">
        <f>ROUND(SETUP!$G$3 * SETUP!$I$3, 2)</f>
        <v>0.57999999999999996</v>
      </c>
      <c r="U25" s="6">
        <f>SETUP!$G$3 + SUM(Tabela134[[#This Row],[EMOL VD]]:Tabela134[[#This Row],[OUTRAS VD]])</f>
        <v>21.97</v>
      </c>
      <c r="V25" s="6">
        <f>((([APLICAÇÃO] * 2) - [TAXA VD]) - ([APLICAÇÃO] + [TAXA CP])) * 0.85</f>
        <v>1938.6629999999998</v>
      </c>
      <c r="W25" s="6">
        <f>IF([LUCRO] &lt; 0, 0, ROUND([LUCRO]*80%, 2))</f>
        <v>0</v>
      </c>
      <c r="X25" s="6">
        <f>[LUCRO]-[PROTEÇÃO MÊS]</f>
        <v>0</v>
      </c>
      <c r="Y25" s="6">
        <f>SUMPRODUCT(N([TRADE] &lt;= Tabela13[[#This Row],[TRADE]]), [PROTEÇÃO MÊS]) - [APORTE RF]</f>
        <v>325.60000000000002</v>
      </c>
      <c r="Z25" s="6">
        <f>[TOT RF] + [REINVESTIR] + [APLICAÇÃO]</f>
        <v>2647.21</v>
      </c>
    </row>
    <row r="26" spans="1:26">
      <c r="A26" s="1">
        <v>25</v>
      </c>
      <c r="B26" s="5">
        <v>41730</v>
      </c>
      <c r="C26" s="3"/>
      <c r="D26" s="3"/>
      <c r="E26" s="3"/>
      <c r="F26" s="3">
        <v>0</v>
      </c>
      <c r="G26" s="6">
        <f>100</f>
        <v>100</v>
      </c>
      <c r="H26" s="6">
        <f>SUMPRODUCT(N([TRADE] &lt;= Tabela134[[#This Row],[TRADE]]), [APORTE]) + SUMPRODUCT(N([TRADE] &lt;= Tabela134[[#This Row],[TRADE]]), [APORTE RF])</f>
        <v>2400</v>
      </c>
      <c r="I26" s="6">
        <f>[MONTANTE] - SUMPRODUCT(N([TRADE] &lt;= Tabela134[[#This Row],[TRADE]]), [SAQUE]) + SUMPRODUCT(N([TRADE] &lt; Tabela134[[#This Row],[TRADE]]), [REINVESTIR])</f>
        <v>2421.61</v>
      </c>
      <c r="J26" s="6">
        <f>TRUNC([APLICAÇÃO]  * SETUP!$A$3, 2)</f>
        <v>0.89</v>
      </c>
      <c r="K26" s="6">
        <f>TRUNC([APLICAÇÃO]  * SETUP!$B$3, 2)</f>
        <v>0.66</v>
      </c>
      <c r="L26" s="6">
        <f>TRUNC([APLICAÇÃO]  * SETUP!$C$3, 2)</f>
        <v>1.68</v>
      </c>
      <c r="M26" s="6">
        <f>TRUNC(SETUP!$G$3  * SETUP!$H$3, 2)</f>
        <v>0.28999999999999998</v>
      </c>
      <c r="N26" s="6">
        <f>ROUND(SETUP!$G$3 * SETUP!$I$3, 2)</f>
        <v>0.57999999999999996</v>
      </c>
      <c r="O26" s="6">
        <f>SETUP!$G$3 + SUM(Tabela134[[#This Row],[EMOL CP]]:Tabela134[[#This Row],[OUTRAS CP]])</f>
        <v>19</v>
      </c>
      <c r="P26" s="6">
        <f>TRUNC([APLICAÇÃO] * 2  * SETUP!$A$3, 2)</f>
        <v>1.79</v>
      </c>
      <c r="Q26" s="6">
        <f>TRUNC([APLICAÇÃO] * 2  * SETUP!$B$3, 2)</f>
        <v>1.33</v>
      </c>
      <c r="R26" s="6">
        <f>TRUNC([APLICAÇÃO] * 2  * SETUP!$C$3, 2)</f>
        <v>3.36</v>
      </c>
      <c r="S26" s="6">
        <f>TRUNC(SETUP!$G$3  * SETUP!$H$3, 2)</f>
        <v>0.28999999999999998</v>
      </c>
      <c r="T26" s="6">
        <f>ROUND(SETUP!$G$3 * SETUP!$I$3, 2)</f>
        <v>0.57999999999999996</v>
      </c>
      <c r="U26" s="6">
        <f>SETUP!$G$3 + SUM(Tabela134[[#This Row],[EMOL VD]]:Tabela134[[#This Row],[OUTRAS VD]])</f>
        <v>22.25</v>
      </c>
      <c r="V26" s="6">
        <f>((([APLICAÇÃO] * 2) - [TAXA VD]) - ([APLICAÇÃO] + [TAXA CP])) * 0.85</f>
        <v>2023.306</v>
      </c>
      <c r="W26" s="6">
        <f>IF([LUCRO] &lt; 0, 0, ROUND([LUCRO]*80%, 2))</f>
        <v>0</v>
      </c>
      <c r="X26" s="6">
        <f>[LUCRO]-[PROTEÇÃO MÊS]</f>
        <v>0</v>
      </c>
      <c r="Y26" s="6">
        <f>SUMPRODUCT(N([TRADE] &lt;= Tabela13[[#This Row],[TRADE]]), [PROTEÇÃO MÊS]) - [APORTE RF]</f>
        <v>325.60000000000002</v>
      </c>
      <c r="Z26" s="6">
        <f>[TOT RF] + [REINVESTIR] + [APLICAÇÃO]</f>
        <v>2747.21</v>
      </c>
    </row>
    <row r="27" spans="1:26">
      <c r="A27" s="1">
        <v>26</v>
      </c>
      <c r="B27" s="5">
        <v>41760</v>
      </c>
      <c r="C27" s="3"/>
      <c r="D27" s="3"/>
      <c r="E27" s="3"/>
      <c r="F27" s="3">
        <v>0</v>
      </c>
      <c r="G27" s="6">
        <f>100</f>
        <v>100</v>
      </c>
      <c r="H27" s="6">
        <f>SUMPRODUCT(N([TRADE] &lt;= Tabela134[[#This Row],[TRADE]]), [APORTE]) + SUMPRODUCT(N([TRADE] &lt;= Tabela134[[#This Row],[TRADE]]), [APORTE RF])</f>
        <v>2500</v>
      </c>
      <c r="I27" s="6">
        <f>[MONTANTE] - SUMPRODUCT(N([TRADE] &lt;= Tabela134[[#This Row],[TRADE]]), [SAQUE]) + SUMPRODUCT(N([TRADE] &lt; Tabela134[[#This Row],[TRADE]]), [REINVESTIR])</f>
        <v>2521.61</v>
      </c>
      <c r="J27" s="6">
        <f>TRUNC([APLICAÇÃO]  * SETUP!$A$3, 2)</f>
        <v>0.93</v>
      </c>
      <c r="K27" s="6">
        <f>TRUNC([APLICAÇÃO]  * SETUP!$B$3, 2)</f>
        <v>0.69</v>
      </c>
      <c r="L27" s="6">
        <f>TRUNC([APLICAÇÃO]  * SETUP!$C$3, 2)</f>
        <v>1.75</v>
      </c>
      <c r="M27" s="6">
        <f>TRUNC(SETUP!$G$3  * SETUP!$H$3, 2)</f>
        <v>0.28999999999999998</v>
      </c>
      <c r="N27" s="6">
        <f>ROUND(SETUP!$G$3 * SETUP!$I$3, 2)</f>
        <v>0.57999999999999996</v>
      </c>
      <c r="O27" s="6">
        <f>SETUP!$G$3 + SUM(Tabela134[[#This Row],[EMOL CP]]:Tabela134[[#This Row],[OUTRAS CP]])</f>
        <v>19.14</v>
      </c>
      <c r="P27" s="6">
        <f>TRUNC([APLICAÇÃO] * 2  * SETUP!$A$3, 2)</f>
        <v>1.86</v>
      </c>
      <c r="Q27" s="6">
        <f>TRUNC([APLICAÇÃO] * 2  * SETUP!$B$3, 2)</f>
        <v>1.38</v>
      </c>
      <c r="R27" s="6">
        <f>TRUNC([APLICAÇÃO] * 2  * SETUP!$C$3, 2)</f>
        <v>3.5</v>
      </c>
      <c r="S27" s="6">
        <f>TRUNC(SETUP!$G$3  * SETUP!$H$3, 2)</f>
        <v>0.28999999999999998</v>
      </c>
      <c r="T27" s="6">
        <f>ROUND(SETUP!$G$3 * SETUP!$I$3, 2)</f>
        <v>0.57999999999999996</v>
      </c>
      <c r="U27" s="6">
        <f>SETUP!$G$3 + SUM(Tabela134[[#This Row],[EMOL VD]]:Tabela134[[#This Row],[OUTRAS VD]])</f>
        <v>22.51</v>
      </c>
      <c r="V27" s="6">
        <f>((([APLICAÇÃO] * 2) - [TAXA VD]) - ([APLICAÇÃO] + [TAXA CP])) * 0.85</f>
        <v>2107.9659999999999</v>
      </c>
      <c r="W27" s="6">
        <f>IF([LUCRO] &lt; 0, 0, ROUND([LUCRO]*80%, 2))</f>
        <v>0</v>
      </c>
      <c r="X27" s="6">
        <f>[LUCRO]-[PROTEÇÃO MÊS]</f>
        <v>0</v>
      </c>
      <c r="Y27" s="6">
        <f>SUMPRODUCT(N([TRADE] &lt;= Tabela13[[#This Row],[TRADE]]), [PROTEÇÃO MÊS]) - [APORTE RF]</f>
        <v>325.60000000000002</v>
      </c>
      <c r="Z27" s="6">
        <f>[TOT RF] + [REINVESTIR] + [APLICAÇÃO]</f>
        <v>2847.21</v>
      </c>
    </row>
    <row r="28" spans="1:26">
      <c r="A28" s="1">
        <v>27</v>
      </c>
      <c r="B28" s="5">
        <v>41791</v>
      </c>
      <c r="C28" s="3"/>
      <c r="D28" s="3"/>
      <c r="E28" s="3"/>
      <c r="F28" s="3">
        <v>0</v>
      </c>
      <c r="G28" s="6">
        <f>100</f>
        <v>100</v>
      </c>
      <c r="H28" s="6">
        <f>SUMPRODUCT(N([TRADE] &lt;= Tabela134[[#This Row],[TRADE]]), [APORTE]) + SUMPRODUCT(N([TRADE] &lt;= Tabela134[[#This Row],[TRADE]]), [APORTE RF])</f>
        <v>2600</v>
      </c>
      <c r="I28" s="6">
        <f>[MONTANTE] - SUMPRODUCT(N([TRADE] &lt;= Tabela134[[#This Row],[TRADE]]), [SAQUE]) + SUMPRODUCT(N([TRADE] &lt; Tabela134[[#This Row],[TRADE]]), [REINVESTIR])</f>
        <v>2621.61</v>
      </c>
      <c r="J28" s="6">
        <f>TRUNC([APLICAÇÃO]  * SETUP!$A$3, 2)</f>
        <v>0.96</v>
      </c>
      <c r="K28" s="6">
        <f>TRUNC([APLICAÇÃO]  * SETUP!$B$3, 2)</f>
        <v>0.72</v>
      </c>
      <c r="L28" s="6">
        <f>TRUNC([APLICAÇÃO]  * SETUP!$C$3, 2)</f>
        <v>1.82</v>
      </c>
      <c r="M28" s="6">
        <f>TRUNC(SETUP!$G$3  * SETUP!$H$3, 2)</f>
        <v>0.28999999999999998</v>
      </c>
      <c r="N28" s="6">
        <f>ROUND(SETUP!$G$3 * SETUP!$I$3, 2)</f>
        <v>0.57999999999999996</v>
      </c>
      <c r="O28" s="6">
        <f>SETUP!$G$3 + SUM(Tabela134[[#This Row],[EMOL CP]]:Tabela134[[#This Row],[OUTRAS CP]])</f>
        <v>19.27</v>
      </c>
      <c r="P28" s="6">
        <f>TRUNC([APLICAÇÃO] * 2  * SETUP!$A$3, 2)</f>
        <v>1.93</v>
      </c>
      <c r="Q28" s="6">
        <f>TRUNC([APLICAÇÃO] * 2  * SETUP!$B$3, 2)</f>
        <v>1.44</v>
      </c>
      <c r="R28" s="6">
        <f>TRUNC([APLICAÇÃO] * 2  * SETUP!$C$3, 2)</f>
        <v>3.64</v>
      </c>
      <c r="S28" s="6">
        <f>TRUNC(SETUP!$G$3  * SETUP!$H$3, 2)</f>
        <v>0.28999999999999998</v>
      </c>
      <c r="T28" s="6">
        <f>ROUND(SETUP!$G$3 * SETUP!$I$3, 2)</f>
        <v>0.57999999999999996</v>
      </c>
      <c r="U28" s="6">
        <f>SETUP!$G$3 + SUM(Tabela134[[#This Row],[EMOL VD]]:Tabela134[[#This Row],[OUTRAS VD]])</f>
        <v>22.78</v>
      </c>
      <c r="V28" s="6">
        <f>((([APLICAÇÃO] * 2) - [TAXA VD]) - ([APLICAÇÃO] + [TAXA CP])) * 0.85</f>
        <v>2192.6260000000002</v>
      </c>
      <c r="W28" s="6">
        <f>IF([LUCRO] &lt; 0, 0, ROUND([LUCRO]*80%, 2))</f>
        <v>0</v>
      </c>
      <c r="X28" s="6">
        <f>[LUCRO]-[PROTEÇÃO MÊS]</f>
        <v>0</v>
      </c>
      <c r="Y28" s="6">
        <f>SUMPRODUCT(N([TRADE] &lt;= Tabela13[[#This Row],[TRADE]]), [PROTEÇÃO MÊS]) - [APORTE RF]</f>
        <v>325.60000000000002</v>
      </c>
      <c r="Z28" s="6">
        <f>[TOT RF] + [REINVESTIR] + [APLICAÇÃO]</f>
        <v>2947.21</v>
      </c>
    </row>
    <row r="29" spans="1:26">
      <c r="A29" s="1">
        <v>28</v>
      </c>
      <c r="B29" s="5">
        <v>41821</v>
      </c>
      <c r="C29" s="3"/>
      <c r="D29" s="3"/>
      <c r="E29" s="3"/>
      <c r="F29" s="3">
        <v>0</v>
      </c>
      <c r="G29" s="6">
        <f>100</f>
        <v>100</v>
      </c>
      <c r="H29" s="6">
        <f>SUMPRODUCT(N([TRADE] &lt;= Tabela134[[#This Row],[TRADE]]), [APORTE]) + SUMPRODUCT(N([TRADE] &lt;= Tabela134[[#This Row],[TRADE]]), [APORTE RF])</f>
        <v>2700</v>
      </c>
      <c r="I29" s="6">
        <f>[MONTANTE] - SUMPRODUCT(N([TRADE] &lt;= Tabela134[[#This Row],[TRADE]]), [SAQUE]) + SUMPRODUCT(N([TRADE] &lt; Tabela134[[#This Row],[TRADE]]), [REINVESTIR])</f>
        <v>2721.61</v>
      </c>
      <c r="J29" s="6">
        <f>TRUNC([APLICAÇÃO]  * SETUP!$A$3, 2)</f>
        <v>1</v>
      </c>
      <c r="K29" s="6">
        <f>TRUNC([APLICAÇÃO]  * SETUP!$B$3, 2)</f>
        <v>0.74</v>
      </c>
      <c r="L29" s="6">
        <f>TRUNC([APLICAÇÃO]  * SETUP!$C$3, 2)</f>
        <v>1.89</v>
      </c>
      <c r="M29" s="6">
        <f>TRUNC(SETUP!$G$3  * SETUP!$H$3, 2)</f>
        <v>0.28999999999999998</v>
      </c>
      <c r="N29" s="6">
        <f>ROUND(SETUP!$G$3 * SETUP!$I$3, 2)</f>
        <v>0.57999999999999996</v>
      </c>
      <c r="O29" s="6">
        <f>SETUP!$G$3 + SUM(Tabela134[[#This Row],[EMOL CP]]:Tabela134[[#This Row],[OUTRAS CP]])</f>
        <v>19.399999999999999</v>
      </c>
      <c r="P29" s="6">
        <f>TRUNC([APLICAÇÃO] * 2  * SETUP!$A$3, 2)</f>
        <v>2.0099999999999998</v>
      </c>
      <c r="Q29" s="6">
        <f>TRUNC([APLICAÇÃO] * 2  * SETUP!$B$3, 2)</f>
        <v>1.49</v>
      </c>
      <c r="R29" s="6">
        <f>TRUNC([APLICAÇÃO] * 2  * SETUP!$C$3, 2)</f>
        <v>3.78</v>
      </c>
      <c r="S29" s="6">
        <f>TRUNC(SETUP!$G$3  * SETUP!$H$3, 2)</f>
        <v>0.28999999999999998</v>
      </c>
      <c r="T29" s="6">
        <f>ROUND(SETUP!$G$3 * SETUP!$I$3, 2)</f>
        <v>0.57999999999999996</v>
      </c>
      <c r="U29" s="6">
        <f>SETUP!$G$3 + SUM(Tabela134[[#This Row],[EMOL VD]]:Tabela134[[#This Row],[OUTRAS VD]])</f>
        <v>23.049999999999997</v>
      </c>
      <c r="V29" s="6">
        <f>((([APLICAÇÃO] * 2) - [TAXA VD]) - ([APLICAÇÃO] + [TAXA CP])) * 0.85</f>
        <v>2277.2859999999996</v>
      </c>
      <c r="W29" s="6">
        <f>IF([LUCRO] &lt; 0, 0, ROUND([LUCRO]*80%, 2))</f>
        <v>0</v>
      </c>
      <c r="X29" s="6">
        <f>[LUCRO]-[PROTEÇÃO MÊS]</f>
        <v>0</v>
      </c>
      <c r="Y29" s="6">
        <f>SUMPRODUCT(N([TRADE] &lt;= Tabela13[[#This Row],[TRADE]]), [PROTEÇÃO MÊS]) - [APORTE RF]</f>
        <v>325.60000000000002</v>
      </c>
      <c r="Z29" s="6">
        <f>[TOT RF] + [REINVESTIR] + [APLICAÇÃO]</f>
        <v>3047.21</v>
      </c>
    </row>
    <row r="30" spans="1:26">
      <c r="A30" s="1">
        <v>29</v>
      </c>
      <c r="B30" s="5">
        <v>41852</v>
      </c>
      <c r="C30" s="18"/>
      <c r="D30" s="18"/>
      <c r="E30" s="18"/>
      <c r="F30" s="18">
        <v>0</v>
      </c>
      <c r="G30" s="19">
        <f>100</f>
        <v>100</v>
      </c>
      <c r="H30" s="19">
        <f>SUMPRODUCT(N([TRADE] &lt;= Tabela134[[#This Row],[TRADE]]), [APORTE]) + SUMPRODUCT(N([TRADE] &lt;= Tabela134[[#This Row],[TRADE]]), [APORTE RF])</f>
        <v>2800</v>
      </c>
      <c r="I30" s="19">
        <f>[MONTANTE] - SUMPRODUCT(N([TRADE] &lt;= Tabela134[[#This Row],[TRADE]]), [SAQUE]) + SUMPRODUCT(N([TRADE] &lt; Tabela134[[#This Row],[TRADE]]), [REINVESTIR])</f>
        <v>2821.61</v>
      </c>
      <c r="J30" s="19">
        <f>TRUNC([APLICAÇÃO]  * SETUP!$A$3, 2)</f>
        <v>1.04</v>
      </c>
      <c r="K30" s="19">
        <f>TRUNC([APLICAÇÃO]  * SETUP!$B$3, 2)</f>
        <v>0.77</v>
      </c>
      <c r="L30" s="19">
        <f>TRUNC([APLICAÇÃO]  * SETUP!$C$3, 2)</f>
        <v>1.96</v>
      </c>
      <c r="M30" s="19">
        <f>TRUNC(SETUP!$G$3  * SETUP!$H$3, 2)</f>
        <v>0.28999999999999998</v>
      </c>
      <c r="N30" s="19">
        <f>ROUND(SETUP!$G$3 * SETUP!$I$3, 2)</f>
        <v>0.57999999999999996</v>
      </c>
      <c r="O30" s="19">
        <f>SETUP!$G$3 + SUM(Tabela134[[#This Row],[EMOL CP]]:Tabela134[[#This Row],[OUTRAS CP]])</f>
        <v>19.54</v>
      </c>
      <c r="P30" s="19">
        <f>TRUNC([APLICAÇÃO] * 2  * SETUP!$A$3, 2)</f>
        <v>2.08</v>
      </c>
      <c r="Q30" s="19">
        <f>TRUNC([APLICAÇÃO] * 2  * SETUP!$B$3, 2)</f>
        <v>1.55</v>
      </c>
      <c r="R30" s="19">
        <f>TRUNC([APLICAÇÃO] * 2  * SETUP!$C$3, 2)</f>
        <v>3.92</v>
      </c>
      <c r="S30" s="19">
        <f>TRUNC(SETUP!$G$3  * SETUP!$H$3, 2)</f>
        <v>0.28999999999999998</v>
      </c>
      <c r="T30" s="19">
        <f>ROUND(SETUP!$G$3 * SETUP!$I$3, 2)</f>
        <v>0.57999999999999996</v>
      </c>
      <c r="U30" s="19">
        <f>SETUP!$G$3 + SUM(Tabela134[[#This Row],[EMOL VD]]:Tabela134[[#This Row],[OUTRAS VD]])</f>
        <v>23.32</v>
      </c>
      <c r="V30" s="19">
        <f>((([APLICAÇÃO] * 2) - [TAXA VD]) - ([APLICAÇÃO] + [TAXA CP])) * 0.85</f>
        <v>2361.9375000000005</v>
      </c>
      <c r="W30" s="19">
        <f>IF([LUCRO] &lt; 0, 0, ROUND([LUCRO]*80%, 2))</f>
        <v>0</v>
      </c>
      <c r="X30" s="19">
        <f>[LUCRO]-[PROTEÇÃO MÊS]</f>
        <v>0</v>
      </c>
      <c r="Y30" s="19">
        <f>SUMPRODUCT(N([TRADE] &lt;= Tabela13[[#This Row],[TRADE]]), [PROTEÇÃO MÊS]) - [APORTE RF]</f>
        <v>325.60000000000002</v>
      </c>
      <c r="Z30" s="19">
        <f>[TOT RF] + [REINVESTIR] + [APLICAÇÃO]</f>
        <v>3147.21</v>
      </c>
    </row>
    <row r="31" spans="1:26">
      <c r="A31" s="1">
        <v>30</v>
      </c>
      <c r="B31" s="5">
        <v>41883</v>
      </c>
      <c r="C31" s="18"/>
      <c r="D31" s="18"/>
      <c r="E31" s="18"/>
      <c r="F31" s="18">
        <v>0</v>
      </c>
      <c r="G31" s="19">
        <f>100</f>
        <v>100</v>
      </c>
      <c r="H31" s="19">
        <f>SUMPRODUCT(N([TRADE] &lt;= Tabela134[[#This Row],[TRADE]]), [APORTE]) + SUMPRODUCT(N([TRADE] &lt;= Tabela134[[#This Row],[TRADE]]), [APORTE RF])</f>
        <v>2900</v>
      </c>
      <c r="I31" s="19">
        <f>[MONTANTE] - SUMPRODUCT(N([TRADE] &lt;= Tabela134[[#This Row],[TRADE]]), [SAQUE]) + SUMPRODUCT(N([TRADE] &lt; Tabela134[[#This Row],[TRADE]]), [REINVESTIR])</f>
        <v>2921.61</v>
      </c>
      <c r="J31" s="19">
        <f>TRUNC([APLICAÇÃO]  * SETUP!$A$3, 2)</f>
        <v>1.08</v>
      </c>
      <c r="K31" s="19">
        <f>TRUNC([APLICAÇÃO]  * SETUP!$B$3, 2)</f>
        <v>0.8</v>
      </c>
      <c r="L31" s="19">
        <f>TRUNC([APLICAÇÃO]  * SETUP!$C$3, 2)</f>
        <v>2.0299999999999998</v>
      </c>
      <c r="M31" s="19">
        <f>TRUNC(SETUP!$G$3  * SETUP!$H$3, 2)</f>
        <v>0.28999999999999998</v>
      </c>
      <c r="N31" s="19">
        <f>ROUND(SETUP!$G$3 * SETUP!$I$3, 2)</f>
        <v>0.57999999999999996</v>
      </c>
      <c r="O31" s="19">
        <f>SETUP!$G$3 + SUM(Tabela134[[#This Row],[EMOL CP]]:Tabela134[[#This Row],[OUTRAS CP]])</f>
        <v>19.68</v>
      </c>
      <c r="P31" s="19">
        <f>TRUNC([APLICAÇÃO] * 2  * SETUP!$A$3, 2)</f>
        <v>2.16</v>
      </c>
      <c r="Q31" s="19">
        <f>TRUNC([APLICAÇÃO] * 2  * SETUP!$B$3, 2)</f>
        <v>1.6</v>
      </c>
      <c r="R31" s="19">
        <f>TRUNC([APLICAÇÃO] * 2  * SETUP!$C$3, 2)</f>
        <v>4.0599999999999996</v>
      </c>
      <c r="S31" s="19">
        <f>TRUNC(SETUP!$G$3  * SETUP!$H$3, 2)</f>
        <v>0.28999999999999998</v>
      </c>
      <c r="T31" s="19">
        <f>ROUND(SETUP!$G$3 * SETUP!$I$3, 2)</f>
        <v>0.57999999999999996</v>
      </c>
      <c r="U31" s="19">
        <f>SETUP!$G$3 + SUM(Tabela134[[#This Row],[EMOL VD]]:Tabela134[[#This Row],[OUTRAS VD]])</f>
        <v>23.59</v>
      </c>
      <c r="V31" s="19">
        <f>((([APLICAÇÃO] * 2) - [TAXA VD]) - ([APLICAÇÃO] + [TAXA CP])) * 0.85</f>
        <v>2446.5889999999999</v>
      </c>
      <c r="W31" s="19">
        <f>IF([LUCRO] &lt; 0, 0, ROUND([LUCRO]*80%, 2))</f>
        <v>0</v>
      </c>
      <c r="X31" s="19">
        <f>[LUCRO]-[PROTEÇÃO MÊS]</f>
        <v>0</v>
      </c>
      <c r="Y31" s="19">
        <f>SUMPRODUCT(N([TRADE] &lt;= Tabela13[[#This Row],[TRADE]]), [PROTEÇÃO MÊS]) - [APORTE RF]</f>
        <v>325.60000000000002</v>
      </c>
      <c r="Z31" s="19">
        <f>[TOT RF] + [REINVESTIR] + [APLICAÇÃO]</f>
        <v>3247.21</v>
      </c>
    </row>
    <row r="32" spans="1:26">
      <c r="A32" s="49" t="s">
        <v>35</v>
      </c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G6" sqref="G6"/>
    </sheetView>
  </sheetViews>
  <sheetFormatPr defaultRowHeight="11.25"/>
  <cols>
    <col min="1" max="1" width="10" style="21" bestFit="1" customWidth="1"/>
    <col min="2" max="2" width="19.85546875" style="3" bestFit="1" customWidth="1"/>
    <col min="3" max="3" width="17" style="3" bestFit="1" customWidth="1"/>
    <col min="4" max="4" width="11.42578125" style="1" bestFit="1" customWidth="1"/>
    <col min="5" max="5" width="12.42578125" style="1" bestFit="1" customWidth="1"/>
    <col min="6" max="6" width="12.85546875" style="12" bestFit="1" customWidth="1"/>
    <col min="7" max="7" width="15.140625" style="1" bestFit="1" customWidth="1"/>
    <col min="8" max="8" width="12.28515625" style="1" bestFit="1" customWidth="1"/>
    <col min="9" max="9" width="13.5703125" style="1" bestFit="1" customWidth="1"/>
    <col min="10" max="10" width="9.85546875" style="1" bestFit="1" customWidth="1"/>
    <col min="11" max="16384" width="9.140625" style="1"/>
  </cols>
  <sheetData>
    <row r="1" spans="1:10" s="22" customFormat="1" ht="12" thickBot="1">
      <c r="A1" s="29" t="s">
        <v>2</v>
      </c>
      <c r="B1" s="30" t="s">
        <v>37</v>
      </c>
      <c r="C1" s="30" t="s">
        <v>38</v>
      </c>
      <c r="D1" s="31" t="s">
        <v>39</v>
      </c>
      <c r="E1" s="31" t="s">
        <v>40</v>
      </c>
      <c r="F1" s="30" t="s">
        <v>41</v>
      </c>
      <c r="G1" s="30" t="s">
        <v>42</v>
      </c>
      <c r="H1" s="30" t="s">
        <v>47</v>
      </c>
      <c r="I1" s="30" t="s">
        <v>48</v>
      </c>
      <c r="J1" s="30" t="s">
        <v>32</v>
      </c>
    </row>
    <row r="2" spans="1:10" ht="12" thickTop="1">
      <c r="A2" s="32">
        <f>VOLATILIDADE!B2</f>
        <v>41000</v>
      </c>
      <c r="B2" s="33">
        <f>Tabela13[PROTEÇÃO MÊS]+Tabela134[PROTEÇÃO MÊS]+Tabela1[PROTEÇÃO MÊS]</f>
        <v>293.5</v>
      </c>
      <c r="C2" s="3">
        <v>0</v>
      </c>
      <c r="D2" s="34">
        <f>C2*25%</f>
        <v>0</v>
      </c>
      <c r="E2" s="33">
        <f>B2+D2</f>
        <v>293.5</v>
      </c>
      <c r="F2" s="41">
        <f>Tabela1[TOT RF]+Tabela134[TOT RF]+Tabela13[TOT RF]+SUM($D$2:$D2)</f>
        <v>293.5</v>
      </c>
      <c r="G2" s="33">
        <f>Tabela1[PATRIMÔNIO]+Tabela13[PATRIMÔNIO]</f>
        <v>466.88</v>
      </c>
      <c r="H2" s="4">
        <f>IF((F2-E2) &gt; 0, E2/(F2-E2), 0)</f>
        <v>0</v>
      </c>
      <c r="I2" s="4">
        <f>F2/G2</f>
        <v>0.6286411925976696</v>
      </c>
      <c r="J2" s="13">
        <f>-(1-I2)</f>
        <v>-0.3713588074023304</v>
      </c>
    </row>
    <row r="3" spans="1:10">
      <c r="A3" s="32">
        <f>VOLATILIDADE!B3</f>
        <v>41030</v>
      </c>
      <c r="B3" s="33">
        <f>Tabela13[PROTEÇÃO MÊS]+Tabela134[PROTEÇÃO MÊS]+Tabela1[PROTEÇÃO MÊS]</f>
        <v>393.25</v>
      </c>
      <c r="C3" s="3">
        <v>64.180000000000007</v>
      </c>
      <c r="D3" s="34">
        <f>C3*25%</f>
        <v>16.045000000000002</v>
      </c>
      <c r="E3" s="33">
        <f>B3+D3</f>
        <v>409.29500000000002</v>
      </c>
      <c r="F3" s="41">
        <f>Tabela1[TOT RF]+Tabela134[TOT RF]+Tabela13[TOT RF]+SUM($D$2:$D3)</f>
        <v>702.79499999999996</v>
      </c>
      <c r="G3" s="33">
        <f>Tabela1[PATRIMÔNIO]+Tabela13[PATRIMÔNIO]</f>
        <v>1758.44</v>
      </c>
      <c r="H3" s="4">
        <f t="shared" ref="H3:H31" si="0">IF((F3-E3) &gt; 0, E3/(F3-E3), 0)</f>
        <v>1.3945315161839866</v>
      </c>
      <c r="I3" s="4">
        <f t="shared" ref="I3:I31" si="1">F3/G3</f>
        <v>0.39966959350333248</v>
      </c>
      <c r="J3" s="13">
        <f t="shared" ref="J3:J31" si="2">-(1-I3)</f>
        <v>-0.60033040649666747</v>
      </c>
    </row>
    <row r="4" spans="1:10">
      <c r="A4" s="32">
        <f>VOLATILIDADE!B4</f>
        <v>41061</v>
      </c>
      <c r="B4" s="33">
        <f>Tabela13[PROTEÇÃO MÊS]+Tabela134[PROTEÇÃO MÊS]+Tabela1[PROTEÇÃO MÊS]</f>
        <v>1037.6199999999999</v>
      </c>
      <c r="C4" s="3">
        <v>0</v>
      </c>
      <c r="D4" s="34">
        <f>C4*25%</f>
        <v>0</v>
      </c>
      <c r="E4" s="33">
        <f>B4+D4</f>
        <v>1037.6199999999999</v>
      </c>
      <c r="F4" s="41">
        <f>Tabela1[TOT RF]+Tabela134[TOT RF]+Tabela13[TOT RF]+SUM($D$2:$D4)</f>
        <v>1740.415</v>
      </c>
      <c r="G4" s="33">
        <f>Tabela1[PATRIMÔNIO]+Tabela13[PATRIMÔNIO]</f>
        <v>3555.46</v>
      </c>
      <c r="H4" s="4">
        <f t="shared" si="0"/>
        <v>1.4764191549456098</v>
      </c>
      <c r="I4" s="4">
        <f t="shared" si="1"/>
        <v>0.48950487419349392</v>
      </c>
      <c r="J4" s="13">
        <f t="shared" si="2"/>
        <v>-0.51049512580650602</v>
      </c>
    </row>
    <row r="5" spans="1:10">
      <c r="A5" s="32">
        <f>VOLATILIDADE!B5</f>
        <v>41091</v>
      </c>
      <c r="B5" s="33">
        <f>Tabela13[PROTEÇÃO MÊS]+Tabela134[PROTEÇÃO MÊS]+Tabela1[PROTEÇÃO MÊS]</f>
        <v>648.07000000000005</v>
      </c>
      <c r="C5" s="3">
        <v>0</v>
      </c>
      <c r="D5" s="34">
        <f>C5*25%</f>
        <v>0</v>
      </c>
      <c r="E5" s="33">
        <f>B5+D5</f>
        <v>648.07000000000005</v>
      </c>
      <c r="F5" s="41">
        <f>Tabela1[TOT RF]+Tabela134[TOT RF]+Tabela13[TOT RF]+SUM($D$2:$D5)</f>
        <v>2388.4849999999997</v>
      </c>
      <c r="G5" s="33">
        <f>Tabela1[PATRIMÔNIO]+Tabela13[PATRIMÔNIO]</f>
        <v>3532.75</v>
      </c>
      <c r="H5" s="4">
        <f t="shared" si="0"/>
        <v>0.37236521174547466</v>
      </c>
      <c r="I5" s="4">
        <f t="shared" si="1"/>
        <v>0.67609794069775664</v>
      </c>
      <c r="J5" s="13">
        <f t="shared" si="2"/>
        <v>-0.32390205930224336</v>
      </c>
    </row>
    <row r="6" spans="1:10">
      <c r="A6" s="32">
        <f>VOLATILIDADE!B6</f>
        <v>41122</v>
      </c>
      <c r="B6" s="33">
        <f>Tabela13[PROTEÇÃO MÊS]+Tabela134[PROTEÇÃO MÊS]+Tabela1[PROTEÇÃO MÊS]</f>
        <v>0</v>
      </c>
      <c r="C6" s="3">
        <v>98.23</v>
      </c>
      <c r="D6" s="34">
        <f t="shared" ref="D6:D22" si="3">C6*25%</f>
        <v>24.557500000000001</v>
      </c>
      <c r="E6" s="33">
        <f t="shared" ref="E6:E10" si="4">B6+D6</f>
        <v>24.557500000000001</v>
      </c>
      <c r="F6" s="41">
        <f>Tabela1[TOT RF]+Tabela134[TOT RF]+Tabela13[TOT RF]+SUM($D$2:$D6)</f>
        <v>2413.0424999999996</v>
      </c>
      <c r="G6" s="33">
        <f>Tabela1[PATRIMÔNIO]+Tabela13[PATRIMÔNIO]</f>
        <v>2729.16</v>
      </c>
      <c r="H6" s="4">
        <f t="shared" si="0"/>
        <v>1.0281622032376174E-2</v>
      </c>
      <c r="I6" s="4">
        <f t="shared" si="1"/>
        <v>0.88417040408037628</v>
      </c>
      <c r="J6" s="13">
        <f t="shared" si="2"/>
        <v>-0.11582959591962372</v>
      </c>
    </row>
    <row r="7" spans="1:10">
      <c r="A7" s="32">
        <f>VOLATILIDADE!B7</f>
        <v>41153</v>
      </c>
      <c r="B7" s="33">
        <f>Tabela13[PROTEÇÃO MÊS]+Tabela134[PROTEÇÃO MÊS]+Tabela1[PROTEÇÃO MÊS]</f>
        <v>0</v>
      </c>
      <c r="C7" s="3">
        <v>0</v>
      </c>
      <c r="D7" s="34">
        <f t="shared" si="3"/>
        <v>0</v>
      </c>
      <c r="E7" s="33">
        <f t="shared" si="4"/>
        <v>0</v>
      </c>
      <c r="F7" s="41">
        <f>Tabela1[TOT RF]+Tabela134[TOT RF]+Tabela13[TOT RF]+SUM($D$2:$D7)</f>
        <v>2413.0424999999996</v>
      </c>
      <c r="G7" s="33">
        <f>Tabela1[PATRIMÔNIO]+Tabela13[PATRIMÔNIO]</f>
        <v>3264.16</v>
      </c>
      <c r="H7" s="4">
        <f t="shared" si="0"/>
        <v>0</v>
      </c>
      <c r="I7" s="4">
        <f t="shared" si="1"/>
        <v>0.73925374368903474</v>
      </c>
      <c r="J7" s="13">
        <f t="shared" si="2"/>
        <v>-0.26074625631096526</v>
      </c>
    </row>
    <row r="8" spans="1:10">
      <c r="A8" s="32">
        <f>VOLATILIDADE!B8</f>
        <v>41183</v>
      </c>
      <c r="B8" s="33">
        <f>Tabela13[PROTEÇÃO MÊS]+Tabela134[PROTEÇÃO MÊS]+Tabela1[PROTEÇÃO MÊS]</f>
        <v>0</v>
      </c>
      <c r="C8" s="3">
        <v>0</v>
      </c>
      <c r="D8" s="34">
        <f t="shared" si="3"/>
        <v>0</v>
      </c>
      <c r="E8" s="33">
        <f t="shared" si="4"/>
        <v>0</v>
      </c>
      <c r="F8" s="41">
        <f>Tabela1[TOT RF]+Tabela134[TOT RF]+Tabela13[TOT RF]+SUM($D$2:$D8)</f>
        <v>2413.0424999999996</v>
      </c>
      <c r="G8" s="33">
        <f>Tabela1[PATRIMÔNIO]+Tabela13[PATRIMÔNIO]</f>
        <v>3799.16</v>
      </c>
      <c r="H8" s="4">
        <f t="shared" si="0"/>
        <v>0</v>
      </c>
      <c r="I8" s="4">
        <f t="shared" si="1"/>
        <v>0.63515158614009404</v>
      </c>
      <c r="J8" s="13">
        <f t="shared" si="2"/>
        <v>-0.36484841385990596</v>
      </c>
    </row>
    <row r="9" spans="1:10">
      <c r="A9" s="32">
        <f>VOLATILIDADE!B9</f>
        <v>41214</v>
      </c>
      <c r="B9" s="33">
        <f>Tabela13[PROTEÇÃO MÊS]+Tabela134[PROTEÇÃO MÊS]+Tabela1[PROTEÇÃO MÊS]</f>
        <v>0</v>
      </c>
      <c r="C9" s="3">
        <v>0</v>
      </c>
      <c r="D9" s="34">
        <f t="shared" si="3"/>
        <v>0</v>
      </c>
      <c r="E9" s="33">
        <f t="shared" si="4"/>
        <v>0</v>
      </c>
      <c r="F9" s="41">
        <f>Tabela1[TOT RF]+Tabela134[TOT RF]+Tabela13[TOT RF]+SUM($D$2:$D9)</f>
        <v>2413.0424999999996</v>
      </c>
      <c r="G9" s="33">
        <f>Tabela1[PATRIMÔNIO]+Tabela13[PATRIMÔNIO]</f>
        <v>4334.16</v>
      </c>
      <c r="H9" s="4">
        <f t="shared" si="0"/>
        <v>0</v>
      </c>
      <c r="I9" s="4">
        <f t="shared" si="1"/>
        <v>0.55674975081676714</v>
      </c>
      <c r="J9" s="13">
        <f t="shared" si="2"/>
        <v>-0.44325024918323286</v>
      </c>
    </row>
    <row r="10" spans="1:10">
      <c r="A10" s="32">
        <f>VOLATILIDADE!B10</f>
        <v>41244</v>
      </c>
      <c r="B10" s="33">
        <f>Tabela13[PROTEÇÃO MÊS]+Tabela134[PROTEÇÃO MÊS]+Tabela1[PROTEÇÃO MÊS]</f>
        <v>0</v>
      </c>
      <c r="C10" s="3">
        <v>0</v>
      </c>
      <c r="D10" s="34">
        <f t="shared" si="3"/>
        <v>0</v>
      </c>
      <c r="E10" s="33">
        <f t="shared" si="4"/>
        <v>0</v>
      </c>
      <c r="F10" s="41">
        <f>Tabela1[TOT RF]+Tabela134[TOT RF]+Tabela13[TOT RF]+SUM($D$2:$D10)</f>
        <v>2413.0424999999996</v>
      </c>
      <c r="G10" s="33">
        <f>Tabela1[PATRIMÔNIO]+Tabela13[PATRIMÔNIO]</f>
        <v>4869.16</v>
      </c>
      <c r="H10" s="4">
        <f t="shared" si="0"/>
        <v>0</v>
      </c>
      <c r="I10" s="4">
        <f t="shared" si="1"/>
        <v>0.49557675245832949</v>
      </c>
      <c r="J10" s="13">
        <f t="shared" si="2"/>
        <v>-0.50442324754167056</v>
      </c>
    </row>
    <row r="11" spans="1:10">
      <c r="A11" s="32">
        <f>VOLATILIDADE!B11</f>
        <v>41275</v>
      </c>
      <c r="B11" s="33">
        <f>Tabela13[PROTEÇÃO MÊS]+Tabela134[PROTEÇÃO MÊS]+Tabela1[PROTEÇÃO MÊS]</f>
        <v>0</v>
      </c>
      <c r="C11" s="3">
        <v>0</v>
      </c>
      <c r="D11" s="34">
        <f t="shared" si="3"/>
        <v>0</v>
      </c>
      <c r="E11" s="33">
        <f t="shared" ref="E11:E16" si="5">B11+D11</f>
        <v>0</v>
      </c>
      <c r="F11" s="41">
        <f>Tabela1[TOT RF]+Tabela134[TOT RF]+Tabela13[TOT RF]+SUM($D$2:$D11)</f>
        <v>2413.0424999999996</v>
      </c>
      <c r="G11" s="33">
        <f>Tabela1[PATRIMÔNIO]+Tabela13[PATRIMÔNIO]</f>
        <v>5404.16</v>
      </c>
      <c r="H11" s="4">
        <f t="shared" si="0"/>
        <v>0</v>
      </c>
      <c r="I11" s="4">
        <f t="shared" si="1"/>
        <v>0.44651573972643288</v>
      </c>
      <c r="J11" s="13">
        <f t="shared" si="2"/>
        <v>-0.55348426027356712</v>
      </c>
    </row>
    <row r="12" spans="1:10">
      <c r="A12" s="32">
        <f>VOLATILIDADE!B12</f>
        <v>41306</v>
      </c>
      <c r="B12" s="33">
        <f>Tabela13[PROTEÇÃO MÊS]+Tabela134[PROTEÇÃO MÊS]+Tabela1[PROTEÇÃO MÊS]</f>
        <v>0</v>
      </c>
      <c r="C12" s="3">
        <v>0</v>
      </c>
      <c r="D12" s="34">
        <f t="shared" si="3"/>
        <v>0</v>
      </c>
      <c r="E12" s="33">
        <f t="shared" si="5"/>
        <v>0</v>
      </c>
      <c r="F12" s="41">
        <f>Tabela1[TOT RF]+Tabela134[TOT RF]+Tabela13[TOT RF]+SUM($D$2:$D12)</f>
        <v>2413.0424999999996</v>
      </c>
      <c r="G12" s="33">
        <f>Tabela1[PATRIMÔNIO]+Tabela13[PATRIMÔNIO]</f>
        <v>5939.16</v>
      </c>
      <c r="H12" s="4">
        <f t="shared" si="0"/>
        <v>0</v>
      </c>
      <c r="I12" s="4">
        <f t="shared" si="1"/>
        <v>0.4062935667670175</v>
      </c>
      <c r="J12" s="13">
        <f t="shared" si="2"/>
        <v>-0.59370643323298244</v>
      </c>
    </row>
    <row r="13" spans="1:10">
      <c r="A13" s="32">
        <f>VOLATILIDADE!B13</f>
        <v>41334</v>
      </c>
      <c r="B13" s="33">
        <f>Tabela13[PROTEÇÃO MÊS]+Tabela134[PROTEÇÃO MÊS]+Tabela1[PROTEÇÃO MÊS]</f>
        <v>0</v>
      </c>
      <c r="C13" s="3">
        <v>0</v>
      </c>
      <c r="D13" s="34">
        <f t="shared" si="3"/>
        <v>0</v>
      </c>
      <c r="E13" s="33">
        <f t="shared" si="5"/>
        <v>0</v>
      </c>
      <c r="F13" s="41">
        <f>Tabela1[TOT RF]+Tabela134[TOT RF]+Tabela13[TOT RF]+SUM($D$2:$D13)</f>
        <v>2413.0424999999996</v>
      </c>
      <c r="G13" s="33">
        <f>Tabela1[PATRIMÔNIO]+Tabela13[PATRIMÔNIO]</f>
        <v>6739.1599999999989</v>
      </c>
      <c r="H13" s="4">
        <f t="shared" si="0"/>
        <v>0</v>
      </c>
      <c r="I13" s="4">
        <f t="shared" si="1"/>
        <v>0.35806280011158659</v>
      </c>
      <c r="J13" s="13">
        <f t="shared" si="2"/>
        <v>-0.64193719988841336</v>
      </c>
    </row>
    <row r="14" spans="1:10">
      <c r="A14" s="32">
        <f>VOLATILIDADE!B14</f>
        <v>41365</v>
      </c>
      <c r="B14" s="33">
        <f>Tabela13[PROTEÇÃO MÊS]+Tabela134[PROTEÇÃO MÊS]+Tabela1[PROTEÇÃO MÊS]</f>
        <v>0</v>
      </c>
      <c r="C14" s="3">
        <v>0</v>
      </c>
      <c r="D14" s="34">
        <f t="shared" si="3"/>
        <v>0</v>
      </c>
      <c r="E14" s="33">
        <f t="shared" si="5"/>
        <v>0</v>
      </c>
      <c r="F14" s="41">
        <f>Tabela1[TOT RF]+Tabela134[TOT RF]+Tabela13[TOT RF]+SUM($D$2:$D14)</f>
        <v>2413.0424999999996</v>
      </c>
      <c r="G14" s="33">
        <f>Tabela1[PATRIMÔNIO]+Tabela13[PATRIMÔNIO]</f>
        <v>7539.1599999999989</v>
      </c>
      <c r="H14" s="4">
        <f t="shared" si="0"/>
        <v>0</v>
      </c>
      <c r="I14" s="4">
        <f t="shared" si="1"/>
        <v>0.32006781922654509</v>
      </c>
      <c r="J14" s="13">
        <f t="shared" si="2"/>
        <v>-0.67993218077345485</v>
      </c>
    </row>
    <row r="15" spans="1:10">
      <c r="A15" s="32">
        <f>VOLATILIDADE!B15</f>
        <v>41395</v>
      </c>
      <c r="B15" s="33">
        <f>Tabela13[PROTEÇÃO MÊS]+Tabela134[PROTEÇÃO MÊS]+Tabela1[PROTEÇÃO MÊS]</f>
        <v>0</v>
      </c>
      <c r="C15" s="3">
        <v>0</v>
      </c>
      <c r="D15" s="34">
        <f t="shared" si="3"/>
        <v>0</v>
      </c>
      <c r="E15" s="33">
        <f t="shared" si="5"/>
        <v>0</v>
      </c>
      <c r="F15" s="41">
        <f>Tabela1[TOT RF]+Tabela134[TOT RF]+Tabela13[TOT RF]+SUM($D$2:$D15)</f>
        <v>2413.0424999999996</v>
      </c>
      <c r="G15" s="33">
        <f>Tabela1[PATRIMÔNIO]+Tabela13[PATRIMÔNIO]</f>
        <v>8339.16</v>
      </c>
      <c r="H15" s="4">
        <f t="shared" si="0"/>
        <v>0</v>
      </c>
      <c r="I15" s="4">
        <f t="shared" si="1"/>
        <v>0.28936277754593981</v>
      </c>
      <c r="J15" s="13">
        <f t="shared" si="2"/>
        <v>-0.71063722245406025</v>
      </c>
    </row>
    <row r="16" spans="1:10">
      <c r="A16" s="32">
        <f>VOLATILIDADE!B16</f>
        <v>41426</v>
      </c>
      <c r="B16" s="33">
        <f>Tabela13[PROTEÇÃO MÊS]+Tabela134[PROTEÇÃO MÊS]+Tabela1[PROTEÇÃO MÊS]</f>
        <v>0</v>
      </c>
      <c r="C16" s="3">
        <v>0</v>
      </c>
      <c r="D16" s="34">
        <f t="shared" si="3"/>
        <v>0</v>
      </c>
      <c r="E16" s="33">
        <f t="shared" si="5"/>
        <v>0</v>
      </c>
      <c r="F16" s="41">
        <f>Tabela1[TOT RF]+Tabela134[TOT RF]+Tabela13[TOT RF]+SUM($D$2:$D16)</f>
        <v>2413.0424999999996</v>
      </c>
      <c r="G16" s="33">
        <f>Tabela1[PATRIMÔNIO]+Tabela13[PATRIMÔNIO]</f>
        <v>9139.16</v>
      </c>
      <c r="H16" s="4">
        <f t="shared" si="0"/>
        <v>0</v>
      </c>
      <c r="I16" s="4">
        <f t="shared" si="1"/>
        <v>0.26403329189991198</v>
      </c>
      <c r="J16" s="13">
        <f t="shared" si="2"/>
        <v>-0.73596670810008802</v>
      </c>
    </row>
    <row r="17" spans="1:10">
      <c r="A17" s="32">
        <f>VOLATILIDADE!B17</f>
        <v>41456</v>
      </c>
      <c r="B17" s="33">
        <f>Tabela13[PROTEÇÃO MÊS]+Tabela134[PROTEÇÃO MÊS]+Tabela1[PROTEÇÃO MÊS]</f>
        <v>0</v>
      </c>
      <c r="C17" s="3">
        <v>0</v>
      </c>
      <c r="D17" s="34">
        <f t="shared" si="3"/>
        <v>0</v>
      </c>
      <c r="E17" s="33">
        <f t="shared" ref="E17:E22" si="6">B17+D17</f>
        <v>0</v>
      </c>
      <c r="F17" s="41">
        <f>Tabela1[TOT RF]+Tabela134[TOT RF]+Tabela13[TOT RF]+SUM($D$2:$D17)</f>
        <v>2413.0424999999996</v>
      </c>
      <c r="G17" s="33">
        <f>Tabela1[PATRIMÔNIO]+Tabela13[PATRIMÔNIO]</f>
        <v>9939.16</v>
      </c>
      <c r="H17" s="4">
        <f t="shared" si="0"/>
        <v>0</v>
      </c>
      <c r="I17" s="4">
        <f t="shared" si="1"/>
        <v>0.24278133162158569</v>
      </c>
      <c r="J17" s="13">
        <f t="shared" si="2"/>
        <v>-0.75721866837841434</v>
      </c>
    </row>
    <row r="18" spans="1:10">
      <c r="A18" s="32">
        <f>VOLATILIDADE!B18</f>
        <v>41487</v>
      </c>
      <c r="B18" s="33">
        <f>Tabela13[PROTEÇÃO MÊS]+Tabela134[PROTEÇÃO MÊS]+Tabela1[PROTEÇÃO MÊS]</f>
        <v>0</v>
      </c>
      <c r="C18" s="3">
        <v>0</v>
      </c>
      <c r="D18" s="34">
        <f t="shared" si="3"/>
        <v>0</v>
      </c>
      <c r="E18" s="33">
        <f t="shared" si="6"/>
        <v>0</v>
      </c>
      <c r="F18" s="41">
        <f>Tabela1[TOT RF]+Tabela134[TOT RF]+Tabela13[TOT RF]+SUM($D$2:$D18)</f>
        <v>2413.0424999999996</v>
      </c>
      <c r="G18" s="33">
        <f>Tabela1[PATRIMÔNIO]+Tabela13[PATRIMÔNIO]</f>
        <v>10739.16</v>
      </c>
      <c r="H18" s="4">
        <f t="shared" si="0"/>
        <v>0</v>
      </c>
      <c r="I18" s="4">
        <f t="shared" si="1"/>
        <v>0.22469564658688385</v>
      </c>
      <c r="J18" s="13">
        <f t="shared" si="2"/>
        <v>-0.7753043534131161</v>
      </c>
    </row>
    <row r="19" spans="1:10">
      <c r="A19" s="32">
        <f>VOLATILIDADE!B19</f>
        <v>41518</v>
      </c>
      <c r="B19" s="33">
        <f>Tabela13[PROTEÇÃO MÊS]+Tabela134[PROTEÇÃO MÊS]+Tabela1[PROTEÇÃO MÊS]</f>
        <v>0</v>
      </c>
      <c r="C19" s="3">
        <v>0</v>
      </c>
      <c r="D19" s="34">
        <f t="shared" si="3"/>
        <v>0</v>
      </c>
      <c r="E19" s="33">
        <f t="shared" si="6"/>
        <v>0</v>
      </c>
      <c r="F19" s="41">
        <f>Tabela1[TOT RF]+Tabela134[TOT RF]+Tabela13[TOT RF]+SUM($D$2:$D19)</f>
        <v>2413.0424999999996</v>
      </c>
      <c r="G19" s="33">
        <f>Tabela1[PATRIMÔNIO]+Tabela13[PATRIMÔNIO]</f>
        <v>11539.16</v>
      </c>
      <c r="H19" s="4">
        <f t="shared" si="0"/>
        <v>0</v>
      </c>
      <c r="I19" s="4">
        <f t="shared" si="1"/>
        <v>0.20911769140908001</v>
      </c>
      <c r="J19" s="13">
        <f t="shared" si="2"/>
        <v>-0.79088230859092001</v>
      </c>
    </row>
    <row r="20" spans="1:10">
      <c r="A20" s="32">
        <f>VOLATILIDADE!B20</f>
        <v>41548</v>
      </c>
      <c r="B20" s="33">
        <f>Tabela13[PROTEÇÃO MÊS]+Tabela134[PROTEÇÃO MÊS]+Tabela1[PROTEÇÃO MÊS]</f>
        <v>0</v>
      </c>
      <c r="C20" s="3">
        <v>0</v>
      </c>
      <c r="D20" s="34">
        <f t="shared" si="3"/>
        <v>0</v>
      </c>
      <c r="E20" s="33">
        <f t="shared" si="6"/>
        <v>0</v>
      </c>
      <c r="F20" s="41">
        <f>Tabela1[TOT RF]+Tabela134[TOT RF]+Tabela13[TOT RF]+SUM($D$2:$D20)</f>
        <v>2413.0424999999996</v>
      </c>
      <c r="G20" s="33">
        <f>Tabela1[PATRIMÔNIO]+Tabela13[PATRIMÔNIO]</f>
        <v>12339.16</v>
      </c>
      <c r="H20" s="4">
        <f t="shared" si="0"/>
        <v>0</v>
      </c>
      <c r="I20" s="4">
        <f t="shared" si="1"/>
        <v>0.19555970584707547</v>
      </c>
      <c r="J20" s="13">
        <f t="shared" si="2"/>
        <v>-0.80444029415292451</v>
      </c>
    </row>
    <row r="21" spans="1:10">
      <c r="A21" s="32">
        <f>VOLATILIDADE!B21</f>
        <v>41579</v>
      </c>
      <c r="B21" s="33">
        <f>Tabela13[PROTEÇÃO MÊS]+Tabela134[PROTEÇÃO MÊS]+Tabela1[PROTEÇÃO MÊS]</f>
        <v>0</v>
      </c>
      <c r="C21" s="3">
        <v>0</v>
      </c>
      <c r="D21" s="34">
        <f t="shared" si="3"/>
        <v>0</v>
      </c>
      <c r="E21" s="33">
        <f t="shared" si="6"/>
        <v>0</v>
      </c>
      <c r="F21" s="41">
        <f>Tabela1[TOT RF]+Tabela134[TOT RF]+Tabela13[TOT RF]+SUM($D$2:$D21)</f>
        <v>2413.0424999999996</v>
      </c>
      <c r="G21" s="33">
        <f>Tabela1[PATRIMÔNIO]+Tabela13[PATRIMÔNIO]</f>
        <v>13139.16</v>
      </c>
      <c r="H21" s="4">
        <f t="shared" si="0"/>
        <v>0</v>
      </c>
      <c r="I21" s="4">
        <f t="shared" si="1"/>
        <v>0.18365272209182318</v>
      </c>
      <c r="J21" s="13">
        <f t="shared" si="2"/>
        <v>-0.81634727790817685</v>
      </c>
    </row>
    <row r="22" spans="1:10">
      <c r="A22" s="32">
        <f>VOLATILIDADE!B22</f>
        <v>41609</v>
      </c>
      <c r="B22" s="33">
        <f>Tabela13[PROTEÇÃO MÊS]+Tabela134[PROTEÇÃO MÊS]+Tabela1[PROTEÇÃO MÊS]</f>
        <v>0</v>
      </c>
      <c r="C22" s="3">
        <v>0</v>
      </c>
      <c r="D22" s="34">
        <f t="shared" si="3"/>
        <v>0</v>
      </c>
      <c r="E22" s="33">
        <f t="shared" si="6"/>
        <v>0</v>
      </c>
      <c r="F22" s="41">
        <f>Tabela1[TOT RF]+Tabela134[TOT RF]+Tabela13[TOT RF]+SUM($D$2:$D22)</f>
        <v>2413.0424999999996</v>
      </c>
      <c r="G22" s="33">
        <f>Tabela1[PATRIMÔNIO]+Tabela13[PATRIMÔNIO]</f>
        <v>13939.16</v>
      </c>
      <c r="H22" s="4">
        <f t="shared" si="0"/>
        <v>0</v>
      </c>
      <c r="I22" s="4">
        <f t="shared" si="1"/>
        <v>0.17311247593111778</v>
      </c>
      <c r="J22" s="13">
        <f t="shared" si="2"/>
        <v>-0.82688752406888222</v>
      </c>
    </row>
    <row r="23" spans="1:10">
      <c r="A23" s="32">
        <f>VOLATILIDADE!B23</f>
        <v>41640</v>
      </c>
      <c r="B23" s="33">
        <f>Tabela13[PROTEÇÃO MÊS]+Tabela134[PROTEÇÃO MÊS]+Tabela1[PROTEÇÃO MÊS]</f>
        <v>0</v>
      </c>
      <c r="C23" s="3">
        <v>0</v>
      </c>
      <c r="D23" s="34">
        <f t="shared" ref="D23:D28" si="7">C23*25%</f>
        <v>0</v>
      </c>
      <c r="E23" s="33">
        <f t="shared" ref="E23:E28" si="8">B23+D23</f>
        <v>0</v>
      </c>
      <c r="F23" s="41">
        <f>Tabela1[TOT RF]+Tabela134[TOT RF]+Tabela13[TOT RF]+SUM($D$2:$D23)</f>
        <v>2413.0424999999996</v>
      </c>
      <c r="G23" s="33">
        <f>Tabela1[PATRIMÔNIO]+Tabela13[PATRIMÔNIO]</f>
        <v>14739.16</v>
      </c>
      <c r="H23" s="4">
        <f t="shared" si="0"/>
        <v>0</v>
      </c>
      <c r="I23" s="4">
        <f t="shared" si="1"/>
        <v>0.16371641938889323</v>
      </c>
      <c r="J23" s="13">
        <f t="shared" si="2"/>
        <v>-0.83628358061110675</v>
      </c>
    </row>
    <row r="24" spans="1:10">
      <c r="A24" s="32">
        <f>VOLATILIDADE!B24</f>
        <v>41671</v>
      </c>
      <c r="B24" s="33">
        <f>Tabela13[PROTEÇÃO MÊS]+Tabela134[PROTEÇÃO MÊS]+Tabela1[PROTEÇÃO MÊS]</f>
        <v>0</v>
      </c>
      <c r="C24" s="3">
        <v>0</v>
      </c>
      <c r="D24" s="34">
        <f t="shared" si="7"/>
        <v>0</v>
      </c>
      <c r="E24" s="33">
        <f t="shared" si="8"/>
        <v>0</v>
      </c>
      <c r="F24" s="41">
        <f>Tabela1[TOT RF]+Tabela134[TOT RF]+Tabela13[TOT RF]+SUM($D$2:$D24)</f>
        <v>2413.0424999999996</v>
      </c>
      <c r="G24" s="33">
        <f>Tabela1[PATRIMÔNIO]+Tabela13[PATRIMÔNIO]</f>
        <v>15539.16</v>
      </c>
      <c r="H24" s="4">
        <f t="shared" si="0"/>
        <v>0</v>
      </c>
      <c r="I24" s="4">
        <f t="shared" si="1"/>
        <v>0.15528783409141805</v>
      </c>
      <c r="J24" s="13">
        <f t="shared" si="2"/>
        <v>-0.84471216590858189</v>
      </c>
    </row>
    <row r="25" spans="1:10">
      <c r="A25" s="32">
        <f>VOLATILIDADE!B25</f>
        <v>41699</v>
      </c>
      <c r="B25" s="33">
        <f>Tabela13[PROTEÇÃO MÊS]+Tabela134[PROTEÇÃO MÊS]+Tabela1[PROTEÇÃO MÊS]</f>
        <v>0</v>
      </c>
      <c r="C25" s="3">
        <v>0</v>
      </c>
      <c r="D25" s="34">
        <f t="shared" si="7"/>
        <v>0</v>
      </c>
      <c r="E25" s="33">
        <f t="shared" si="8"/>
        <v>0</v>
      </c>
      <c r="F25" s="41">
        <f>Tabela1[TOT RF]+Tabela134[TOT RF]+Tabela13[TOT RF]+SUM($D$2:$D25)</f>
        <v>2413.0424999999996</v>
      </c>
      <c r="G25" s="33">
        <f>Tabela1[PATRIMÔNIO]+Tabela13[PATRIMÔNIO]</f>
        <v>16339.16</v>
      </c>
      <c r="H25" s="4">
        <f t="shared" si="0"/>
        <v>0</v>
      </c>
      <c r="I25" s="4">
        <f t="shared" si="1"/>
        <v>0.14768461169362437</v>
      </c>
      <c r="J25" s="13">
        <f t="shared" si="2"/>
        <v>-0.85231538830637565</v>
      </c>
    </row>
    <row r="26" spans="1:10">
      <c r="A26" s="32">
        <f>VOLATILIDADE!B26</f>
        <v>41730</v>
      </c>
      <c r="B26" s="33">
        <f>Tabela13[PROTEÇÃO MÊS]+Tabela134[PROTEÇÃO MÊS]+Tabela1[PROTEÇÃO MÊS]</f>
        <v>0</v>
      </c>
      <c r="C26" s="3">
        <v>0</v>
      </c>
      <c r="D26" s="34">
        <f t="shared" si="7"/>
        <v>0</v>
      </c>
      <c r="E26" s="33">
        <f t="shared" si="8"/>
        <v>0</v>
      </c>
      <c r="F26" s="41">
        <f>Tabela1[TOT RF]+Tabela134[TOT RF]+Tabela13[TOT RF]+SUM($D$2:$D26)</f>
        <v>2413.0424999999996</v>
      </c>
      <c r="G26" s="33">
        <f>Tabela1[PATRIMÔNIO]+Tabela13[PATRIMÔNIO]</f>
        <v>17139.16</v>
      </c>
      <c r="H26" s="4">
        <f t="shared" si="0"/>
        <v>0</v>
      </c>
      <c r="I26" s="4">
        <f t="shared" si="1"/>
        <v>0.14079117646372399</v>
      </c>
      <c r="J26" s="13">
        <f t="shared" si="2"/>
        <v>-0.85920882353627603</v>
      </c>
    </row>
    <row r="27" spans="1:10">
      <c r="A27" s="32">
        <f>VOLATILIDADE!B27</f>
        <v>41760</v>
      </c>
      <c r="B27" s="33">
        <f>Tabela13[PROTEÇÃO MÊS]+Tabela134[PROTEÇÃO MÊS]+Tabela1[PROTEÇÃO MÊS]</f>
        <v>0</v>
      </c>
      <c r="C27" s="3">
        <v>0</v>
      </c>
      <c r="D27" s="34">
        <f t="shared" si="7"/>
        <v>0</v>
      </c>
      <c r="E27" s="33">
        <f t="shared" si="8"/>
        <v>0</v>
      </c>
      <c r="F27" s="41">
        <f>Tabela1[TOT RF]+Tabela134[TOT RF]+Tabela13[TOT RF]+SUM($D$2:$D27)</f>
        <v>2413.0424999999996</v>
      </c>
      <c r="G27" s="33">
        <f>Tabela1[PATRIMÔNIO]+Tabela13[PATRIMÔNIO]</f>
        <v>17939.16</v>
      </c>
      <c r="H27" s="4">
        <f t="shared" si="0"/>
        <v>0</v>
      </c>
      <c r="I27" s="4">
        <f t="shared" si="1"/>
        <v>0.13451256915039497</v>
      </c>
      <c r="J27" s="13">
        <f t="shared" si="2"/>
        <v>-0.865487430849605</v>
      </c>
    </row>
    <row r="28" spans="1:10">
      <c r="A28" s="32">
        <f>VOLATILIDADE!B28</f>
        <v>41791</v>
      </c>
      <c r="B28" s="33">
        <f>Tabela13[PROTEÇÃO MÊS]+Tabela134[PROTEÇÃO MÊS]+Tabela1[PROTEÇÃO MÊS]</f>
        <v>0</v>
      </c>
      <c r="C28" s="3">
        <v>0</v>
      </c>
      <c r="D28" s="34">
        <f t="shared" si="7"/>
        <v>0</v>
      </c>
      <c r="E28" s="33">
        <f t="shared" si="8"/>
        <v>0</v>
      </c>
      <c r="F28" s="41">
        <f>Tabela1[TOT RF]+Tabela134[TOT RF]+Tabela13[TOT RF]+SUM($D$2:$D28)</f>
        <v>2413.0424999999996</v>
      </c>
      <c r="G28" s="33">
        <f>Tabela1[PATRIMÔNIO]+Tabela13[PATRIMÔNIO]</f>
        <v>18739.16</v>
      </c>
      <c r="H28" s="4">
        <f t="shared" si="0"/>
        <v>0</v>
      </c>
      <c r="I28" s="4">
        <f t="shared" si="1"/>
        <v>0.12877004625607549</v>
      </c>
      <c r="J28" s="13">
        <f t="shared" si="2"/>
        <v>-0.87122995374392453</v>
      </c>
    </row>
    <row r="29" spans="1:10">
      <c r="A29" s="32">
        <f>VOLATILIDADE!B29</f>
        <v>41821</v>
      </c>
      <c r="B29" s="33">
        <f>Tabela13[PROTEÇÃO MÊS]+Tabela134[PROTEÇÃO MÊS]+Tabela1[PROTEÇÃO MÊS]</f>
        <v>0</v>
      </c>
      <c r="C29" s="3">
        <v>0</v>
      </c>
      <c r="D29" s="34">
        <f t="shared" ref="D29:D30" si="9">C29*25%</f>
        <v>0</v>
      </c>
      <c r="E29" s="33">
        <f t="shared" ref="E29:E30" si="10">B29+D29</f>
        <v>0</v>
      </c>
      <c r="F29" s="41">
        <f>Tabela1[TOT RF]+Tabela134[TOT RF]+Tabela13[TOT RF]+SUM($D$2:$D29)</f>
        <v>2413.0424999999996</v>
      </c>
      <c r="G29" s="33">
        <f>Tabela1[PATRIMÔNIO]+Tabela13[PATRIMÔNIO]</f>
        <v>19539.16</v>
      </c>
      <c r="H29" s="4">
        <f t="shared" si="0"/>
        <v>0</v>
      </c>
      <c r="I29" s="4">
        <f t="shared" si="1"/>
        <v>0.12349776039502208</v>
      </c>
      <c r="J29" s="13">
        <f t="shared" si="2"/>
        <v>-0.87650223960497797</v>
      </c>
    </row>
    <row r="30" spans="1:10">
      <c r="A30" s="32">
        <f>VOLATILIDADE!B30</f>
        <v>41852</v>
      </c>
      <c r="B30" s="33">
        <f>Tabela13[PROTEÇÃO MÊS]+Tabela134[PROTEÇÃO MÊS]+Tabela1[PROTEÇÃO MÊS]</f>
        <v>0</v>
      </c>
      <c r="C30" s="3">
        <v>0</v>
      </c>
      <c r="D30" s="34">
        <f t="shared" si="9"/>
        <v>0</v>
      </c>
      <c r="E30" s="33">
        <f t="shared" si="10"/>
        <v>0</v>
      </c>
      <c r="F30" s="41">
        <f>Tabela1[TOT RF]+Tabela134[TOT RF]+Tabela13[TOT RF]+SUM($D$2:$D30)</f>
        <v>2413.0424999999996</v>
      </c>
      <c r="G30" s="33">
        <f>Tabela1[PATRIMÔNIO]+Tabela13[PATRIMÔNIO]</f>
        <v>20339.16</v>
      </c>
      <c r="H30" s="4">
        <f t="shared" si="0"/>
        <v>0</v>
      </c>
      <c r="I30" s="4">
        <f t="shared" si="1"/>
        <v>0.11864022408005048</v>
      </c>
      <c r="J30" s="13">
        <f t="shared" si="2"/>
        <v>-0.88135977591994952</v>
      </c>
    </row>
    <row r="31" spans="1:10">
      <c r="A31" s="32">
        <f>VOLATILIDADE!B31</f>
        <v>41883</v>
      </c>
      <c r="B31" s="33">
        <f>Tabela13[PROTEÇÃO MÊS]+Tabela134[PROTEÇÃO MÊS]+Tabela1[PROTEÇÃO MÊS]</f>
        <v>0</v>
      </c>
      <c r="C31" s="3">
        <v>0</v>
      </c>
      <c r="D31" s="34">
        <f t="shared" ref="D31" si="11">C31*25%</f>
        <v>0</v>
      </c>
      <c r="E31" s="33">
        <f t="shared" ref="E31" si="12">B31+D31</f>
        <v>0</v>
      </c>
      <c r="F31" s="41">
        <f>Tabela1[TOT RF]+Tabela134[TOT RF]+Tabela13[TOT RF]+SUM($D$2:$D31)</f>
        <v>2413.0424999999996</v>
      </c>
      <c r="G31" s="33">
        <f>Tabela1[PATRIMÔNIO]+Tabela13[PATRIMÔNIO]</f>
        <v>21139.16</v>
      </c>
      <c r="H31" s="4">
        <f t="shared" si="0"/>
        <v>0</v>
      </c>
      <c r="I31" s="4">
        <f t="shared" si="1"/>
        <v>0.11415034939893541</v>
      </c>
      <c r="J31" s="13">
        <f t="shared" si="2"/>
        <v>-0.88584965060106458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E13" sqref="E13"/>
    </sheetView>
  </sheetViews>
  <sheetFormatPr defaultRowHeight="11.25"/>
  <cols>
    <col min="1" max="1" width="6.85546875" style="1" bestFit="1" customWidth="1"/>
    <col min="2" max="3" width="14.140625" style="1" bestFit="1" customWidth="1"/>
    <col min="4" max="4" width="12.42578125" style="1" bestFit="1" customWidth="1"/>
    <col min="5" max="5" width="11.7109375" style="1" bestFit="1" customWidth="1"/>
    <col min="6" max="6" width="16.140625" style="1" bestFit="1" customWidth="1"/>
    <col min="7" max="16384" width="9.140625" style="1"/>
  </cols>
  <sheetData>
    <row r="1" spans="1:6">
      <c r="A1" s="1" t="s">
        <v>2</v>
      </c>
      <c r="B1" s="1" t="s">
        <v>5</v>
      </c>
      <c r="C1" s="1" t="s">
        <v>43</v>
      </c>
      <c r="D1" s="1" t="s">
        <v>44</v>
      </c>
      <c r="E1" s="1" t="s">
        <v>45</v>
      </c>
      <c r="F1" s="1" t="s">
        <v>46</v>
      </c>
    </row>
    <row r="2" spans="1:6">
      <c r="A2" s="44">
        <f>'RESUMO DE PROTEÇÃO'!A2</f>
        <v>41000</v>
      </c>
      <c r="B2" s="3">
        <f>'RESUMO DE PROTEÇÃO'!E2</f>
        <v>293.5</v>
      </c>
      <c r="C2" s="3">
        <f>[APLICAÇÃO] * 40%</f>
        <v>117.4</v>
      </c>
      <c r="D2" s="3">
        <f>[APLICAÇÃO] * 10%</f>
        <v>29.35</v>
      </c>
      <c r="E2" s="3">
        <f>[APLICAÇÃO] * 25%</f>
        <v>73.375</v>
      </c>
      <c r="F2" s="3">
        <f>[APLICAÇÃO] * 25%</f>
        <v>73.375</v>
      </c>
    </row>
    <row r="3" spans="1:6">
      <c r="A3" s="45">
        <f>'RESUMO DE PROTEÇÃO'!A3</f>
        <v>41030</v>
      </c>
      <c r="B3" s="18">
        <f>'RESUMO DE PROTEÇÃO'!E3</f>
        <v>409.29500000000002</v>
      </c>
      <c r="C3" s="18">
        <f>[APLICAÇÃO] * 40%</f>
        <v>163.71800000000002</v>
      </c>
      <c r="D3" s="18">
        <f>[APLICAÇÃO] * 10%</f>
        <v>40.929500000000004</v>
      </c>
      <c r="E3" s="18">
        <f>[APLICAÇÃO] * 25%</f>
        <v>102.32375</v>
      </c>
      <c r="F3" s="18">
        <f>[APLICAÇÃO] * 25%</f>
        <v>102.32375</v>
      </c>
    </row>
    <row r="4" spans="1:6">
      <c r="A4" s="44">
        <f>'RESUMO DE PROTEÇÃO'!A4</f>
        <v>41061</v>
      </c>
      <c r="B4" s="3">
        <f>'RESUMO DE PROTEÇÃO'!E4</f>
        <v>1037.6199999999999</v>
      </c>
      <c r="C4" s="6">
        <f>[APLICAÇÃO] * 40%</f>
        <v>415.048</v>
      </c>
      <c r="D4" s="6">
        <f>[APLICAÇÃO] * 10%</f>
        <v>103.762</v>
      </c>
      <c r="E4" s="6">
        <f>[APLICAÇÃO] * 25%</f>
        <v>259.40499999999997</v>
      </c>
      <c r="F4" s="6">
        <f>[APLICAÇÃO] * 25%</f>
        <v>259.40499999999997</v>
      </c>
    </row>
    <row r="5" spans="1:6">
      <c r="A5" s="45">
        <f>'RESUMO DE PROTEÇÃO'!A5</f>
        <v>41091</v>
      </c>
      <c r="B5" s="18">
        <f>'RESUMO DE PROTEÇÃO'!E5</f>
        <v>648.07000000000005</v>
      </c>
      <c r="C5" s="19">
        <f>[APLICAÇÃO] * 40%</f>
        <v>259.22800000000001</v>
      </c>
      <c r="D5" s="19">
        <f>[APLICAÇÃO] * 10%</f>
        <v>64.807000000000002</v>
      </c>
      <c r="E5" s="19">
        <f>[APLICAÇÃO] * 25%</f>
        <v>162.01750000000001</v>
      </c>
      <c r="F5" s="19">
        <f>[APLICAÇÃO] * 25%</f>
        <v>162.01750000000001</v>
      </c>
    </row>
    <row r="6" spans="1:6">
      <c r="A6" s="15" t="s">
        <v>35</v>
      </c>
      <c r="B6" s="14">
        <f>SUBTOTAL(109,[APLICAÇÃO])</f>
        <v>2388.4850000000001</v>
      </c>
      <c r="C6" s="14">
        <f>SUBTOTAL(109,[TESOURO DIRETO])</f>
        <v>955.39400000000001</v>
      </c>
      <c r="D6" s="14">
        <f>SUBTOTAL(109,[FUNDO AÇÕES])</f>
        <v>238.8485</v>
      </c>
      <c r="E6" s="14">
        <f>SUBTOTAL(109,[FUNDOS MM])</f>
        <v>597.12125000000003</v>
      </c>
      <c r="F6" s="14">
        <f>SUBTOTAL(109,[FUNDOS RF E REFER.])</f>
        <v>597.12125000000003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2"/>
  <dimension ref="A1:I3"/>
  <sheetViews>
    <sheetView workbookViewId="0">
      <selection activeCell="G5" sqref="G5"/>
    </sheetView>
  </sheetViews>
  <sheetFormatPr defaultRowHeight="11.25"/>
  <cols>
    <col min="1" max="2" width="6.85546875" style="1" bestFit="1" customWidth="1"/>
    <col min="3" max="3" width="7.28515625" style="1" bestFit="1" customWidth="1"/>
    <col min="4" max="5" width="6.85546875" style="1" bestFit="1" customWidth="1"/>
    <col min="6" max="6" width="7.28515625" style="1" bestFit="1" customWidth="1"/>
    <col min="7" max="7" width="11.7109375" style="1" bestFit="1" customWidth="1"/>
    <col min="8" max="8" width="5.42578125" style="1" bestFit="1" customWidth="1"/>
    <col min="9" max="9" width="7.28515625" style="1" bestFit="1" customWidth="1"/>
    <col min="10" max="16384" width="9.140625" style="1"/>
  </cols>
  <sheetData>
    <row r="1" spans="1:9">
      <c r="A1" s="52" t="s">
        <v>9</v>
      </c>
      <c r="B1" s="52"/>
      <c r="C1" s="52"/>
      <c r="D1" s="52" t="s">
        <v>10</v>
      </c>
      <c r="E1" s="52"/>
      <c r="F1" s="52"/>
      <c r="G1" s="53" t="s">
        <v>21</v>
      </c>
      <c r="H1" s="53" t="s">
        <v>17</v>
      </c>
      <c r="I1" s="53" t="s">
        <v>22</v>
      </c>
    </row>
    <row r="2" spans="1:9">
      <c r="A2" s="7" t="s">
        <v>11</v>
      </c>
      <c r="B2" s="7" t="s">
        <v>12</v>
      </c>
      <c r="C2" s="7" t="s">
        <v>13</v>
      </c>
      <c r="D2" s="7" t="s">
        <v>11</v>
      </c>
      <c r="E2" s="7" t="s">
        <v>12</v>
      </c>
      <c r="F2" s="7" t="s">
        <v>13</v>
      </c>
      <c r="G2" s="53"/>
      <c r="H2" s="53"/>
      <c r="I2" s="53"/>
    </row>
    <row r="3" spans="1:9">
      <c r="A3" s="8">
        <v>3.6999999999999999E-4</v>
      </c>
      <c r="B3" s="8">
        <v>2.7499999999999996E-4</v>
      </c>
      <c r="C3" s="8">
        <v>6.9499999999999998E-4</v>
      </c>
      <c r="D3" s="8">
        <v>1.2E-4</v>
      </c>
      <c r="E3" s="8">
        <v>1.8000000000000001E-4</v>
      </c>
      <c r="F3" s="8">
        <v>1.4999999999999999E-4</v>
      </c>
      <c r="G3" s="9">
        <v>14.9</v>
      </c>
      <c r="H3" s="10">
        <v>0.02</v>
      </c>
      <c r="I3" s="10">
        <v>3.9E-2</v>
      </c>
    </row>
  </sheetData>
  <mergeCells count="5">
    <mergeCell ref="A1:C1"/>
    <mergeCell ref="D1:F1"/>
    <mergeCell ref="G1:G2"/>
    <mergeCell ref="H1:H2"/>
    <mergeCell ref="I1:I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VOLATILIDADE</vt:lpstr>
      <vt:lpstr>TRAVA</vt:lpstr>
      <vt:lpstr>TENDENCIA</vt:lpstr>
      <vt:lpstr>RESUMO DE PROTEÇÃO</vt:lpstr>
      <vt:lpstr>DIVISAO PATRIMONIO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2012-03-16T22:49:23Z</dcterms:created>
  <dcterms:modified xsi:type="dcterms:W3CDTF">2012-08-17T20:04:17Z</dcterms:modified>
</cp:coreProperties>
</file>