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T2" i="9"/>
  <c r="S2"/>
  <c r="A4"/>
  <c r="AK3"/>
  <c r="AJ3"/>
  <c r="AI3"/>
  <c r="AD3"/>
  <c r="N3"/>
  <c r="AC3" s="1"/>
  <c r="K3"/>
  <c r="L3" s="1"/>
  <c r="AK2"/>
  <c r="AJ2"/>
  <c r="AI2"/>
  <c r="AF2"/>
  <c r="AD2"/>
  <c r="AC2"/>
  <c r="N2"/>
  <c r="K2"/>
  <c r="L2" s="1"/>
  <c r="S3" l="1"/>
  <c r="T3" s="1"/>
  <c r="R3"/>
  <c r="Q3"/>
  <c r="P3"/>
  <c r="O3"/>
  <c r="R2"/>
  <c r="Q2"/>
  <c r="P2"/>
  <c r="O2"/>
  <c r="U3"/>
  <c r="U2"/>
  <c r="M3"/>
  <c r="M2"/>
  <c r="AC4"/>
  <c r="W2" l="1"/>
  <c r="V2"/>
  <c r="W3"/>
  <c r="V3"/>
  <c r="X2"/>
  <c r="X3"/>
  <c r="Y3" l="1"/>
  <c r="Y2"/>
  <c r="Z2" l="1"/>
  <c r="Z3"/>
  <c r="AA3" s="1"/>
  <c r="AB3" s="1"/>
  <c r="AF3" s="1"/>
  <c r="AA2" l="1"/>
  <c r="AB2" s="1"/>
  <c r="AE2" l="1"/>
  <c r="AG2" s="1"/>
  <c r="AH2" s="1"/>
  <c r="AE3"/>
  <c r="AG3" s="1"/>
  <c r="AH3" l="1"/>
  <c r="AH4"/>
  <c r="K91" i="1" l="1"/>
  <c r="L91"/>
  <c r="N91"/>
  <c r="S91"/>
  <c r="AB91"/>
  <c r="AC91"/>
  <c r="AH91"/>
  <c r="AI91"/>
  <c r="AJ91"/>
  <c r="K90"/>
  <c r="L90"/>
  <c r="N90"/>
  <c r="S90"/>
  <c r="AB90"/>
  <c r="AC90"/>
  <c r="K87"/>
  <c r="L87"/>
  <c r="N87"/>
  <c r="S87"/>
  <c r="AB87"/>
  <c r="AC87"/>
  <c r="AE87"/>
  <c r="AH87"/>
  <c r="AI87"/>
  <c r="AJ87"/>
  <c r="K89"/>
  <c r="L89"/>
  <c r="N89"/>
  <c r="S89"/>
  <c r="AB89"/>
  <c r="AC89"/>
  <c r="K88"/>
  <c r="L88"/>
  <c r="N88"/>
  <c r="S88"/>
  <c r="AB88"/>
  <c r="AC88"/>
  <c r="K86"/>
  <c r="L86"/>
  <c r="N86"/>
  <c r="S86"/>
  <c r="AB86"/>
  <c r="AC86"/>
  <c r="AE86"/>
  <c r="AH86"/>
  <c r="AI86"/>
  <c r="AJ86"/>
  <c r="K85"/>
  <c r="L85"/>
  <c r="N85"/>
  <c r="S85"/>
  <c r="AB85"/>
  <c r="AC85"/>
  <c r="AH85"/>
  <c r="AI85"/>
  <c r="AJ85"/>
  <c r="K84"/>
  <c r="L84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/>
  <c r="N83"/>
  <c r="S83"/>
  <c r="AB83"/>
  <c r="AC83"/>
  <c r="AH83"/>
  <c r="AI83"/>
  <c r="AJ83"/>
  <c r="K81"/>
  <c r="L81"/>
  <c r="N81"/>
  <c r="S81"/>
  <c r="AB81"/>
  <c r="AC81"/>
  <c r="K80"/>
  <c r="L80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/>
  <c r="N79"/>
  <c r="S79"/>
  <c r="AB79"/>
  <c r="AC79"/>
  <c r="K75" l="1"/>
  <c r="L75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/>
  <c r="N77"/>
  <c r="S77"/>
  <c r="AB77"/>
  <c r="AC77"/>
  <c r="K74"/>
  <c r="L74"/>
  <c r="N74"/>
  <c r="S74"/>
  <c r="AB74"/>
  <c r="AC74"/>
  <c r="AE74"/>
  <c r="K72"/>
  <c r="L72"/>
  <c r="N72"/>
  <c r="S72"/>
  <c r="AB72"/>
  <c r="AC72"/>
  <c r="AE72"/>
  <c r="AH72"/>
  <c r="AI72"/>
  <c r="AJ72"/>
  <c r="K73"/>
  <c r="L73"/>
  <c r="N73"/>
  <c r="S73"/>
  <c r="AB73"/>
  <c r="AC73"/>
  <c r="I4" i="4" l="1"/>
  <c r="J4"/>
  <c r="K4"/>
  <c r="L4"/>
  <c r="H4" s="1"/>
  <c r="M4"/>
  <c r="N4"/>
  <c r="O4"/>
  <c r="P4"/>
  <c r="K71" i="1"/>
  <c r="L71"/>
  <c r="N71"/>
  <c r="S71"/>
  <c r="AB71"/>
  <c r="AC71"/>
  <c r="K70"/>
  <c r="L70"/>
  <c r="N70"/>
  <c r="S70"/>
  <c r="AB70"/>
  <c r="AC70"/>
  <c r="K67" l="1"/>
  <c r="L67"/>
  <c r="N67"/>
  <c r="S67"/>
  <c r="AB67"/>
  <c r="AC67"/>
  <c r="K66"/>
  <c r="L66"/>
  <c r="N66"/>
  <c r="S66"/>
  <c r="AB66"/>
  <c r="AC66"/>
  <c r="K65"/>
  <c r="L65"/>
  <c r="N65"/>
  <c r="S65"/>
  <c r="AB65"/>
  <c r="AC65"/>
  <c r="K69"/>
  <c r="L69"/>
  <c r="N69"/>
  <c r="S69"/>
  <c r="AB69"/>
  <c r="AC69"/>
  <c r="K68" l="1"/>
  <c r="L68"/>
  <c r="N68"/>
  <c r="S68"/>
  <c r="AB68"/>
  <c r="AC68"/>
  <c r="K64"/>
  <c r="L64"/>
  <c r="N64"/>
  <c r="S64"/>
  <c r="AB64"/>
  <c r="AC64"/>
  <c r="K2" i="3"/>
  <c r="K3"/>
  <c r="K4"/>
  <c r="F4" l="1"/>
  <c r="G4"/>
  <c r="H4"/>
  <c r="I4"/>
  <c r="J4"/>
  <c r="F3"/>
  <c r="G3"/>
  <c r="H3"/>
  <c r="I3"/>
  <c r="J3"/>
  <c r="L2" i="8" l="1"/>
  <c r="L3"/>
  <c r="L4"/>
  <c r="L5"/>
  <c r="K63" i="1" l="1"/>
  <c r="L63"/>
  <c r="N63"/>
  <c r="S63"/>
  <c r="AB63"/>
  <c r="AC63"/>
  <c r="K62"/>
  <c r="L62"/>
  <c r="N62"/>
  <c r="S62"/>
  <c r="AB62"/>
  <c r="AC62"/>
  <c r="AH62"/>
  <c r="AI62"/>
  <c r="AJ62"/>
  <c r="K61"/>
  <c r="L6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N56"/>
  <c r="N57"/>
  <c r="N58"/>
  <c r="N59"/>
  <c r="K57"/>
  <c r="L57"/>
  <c r="U57"/>
  <c r="V57"/>
  <c r="AB57"/>
  <c r="AC57"/>
  <c r="K55"/>
  <c r="L55"/>
  <c r="U55"/>
  <c r="V55"/>
  <c r="AB55"/>
  <c r="AC55"/>
  <c r="AH55"/>
  <c r="AI55"/>
  <c r="AJ55"/>
  <c r="O91" l="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1" i="1" l="1"/>
  <c r="V91"/>
  <c r="W91"/>
  <c r="U90"/>
  <c r="V90"/>
  <c r="W90"/>
  <c r="U87"/>
  <c r="V87"/>
  <c r="W87"/>
  <c r="U89"/>
  <c r="V89"/>
  <c r="W89"/>
  <c r="U88"/>
  <c r="V88"/>
  <c r="W88"/>
  <c r="U86"/>
  <c r="V86"/>
  <c r="W86"/>
  <c r="U85"/>
  <c r="V85"/>
  <c r="W85"/>
  <c r="U84"/>
  <c r="V84"/>
  <c r="W84"/>
  <c r="U82"/>
  <c r="V82"/>
  <c r="W82"/>
  <c r="U83"/>
  <c r="V83"/>
  <c r="W83"/>
  <c r="U81"/>
  <c r="V81"/>
  <c r="W81"/>
  <c r="U80"/>
  <c r="V80"/>
  <c r="W80"/>
  <c r="U78"/>
  <c r="V78"/>
  <c r="W78"/>
  <c r="U79"/>
  <c r="V79"/>
  <c r="W79"/>
  <c r="U75"/>
  <c r="V75"/>
  <c r="W75"/>
  <c r="U76"/>
  <c r="V76"/>
  <c r="W76"/>
  <c r="U77"/>
  <c r="V77"/>
  <c r="W77"/>
  <c r="U74"/>
  <c r="V74"/>
  <c r="W74"/>
  <c r="U72"/>
  <c r="V72"/>
  <c r="W72"/>
  <c r="U73"/>
  <c r="V73"/>
  <c r="W73"/>
  <c r="U71"/>
  <c r="V71"/>
  <c r="W71"/>
  <c r="U70"/>
  <c r="V70"/>
  <c r="W70"/>
  <c r="U67"/>
  <c r="V67"/>
  <c r="W67"/>
  <c r="X67" s="1"/>
  <c r="U66"/>
  <c r="V66"/>
  <c r="W66"/>
  <c r="X66" s="1"/>
  <c r="U65"/>
  <c r="V65"/>
  <c r="W65"/>
  <c r="X65" s="1"/>
  <c r="U69"/>
  <c r="V69"/>
  <c r="W69"/>
  <c r="X69" s="1"/>
  <c r="U68"/>
  <c r="V68"/>
  <c r="W68"/>
  <c r="X68" s="1"/>
  <c r="U64"/>
  <c r="V64"/>
  <c r="W64"/>
  <c r="X64" s="1"/>
  <c r="U63"/>
  <c r="V63"/>
  <c r="W63"/>
  <c r="X63" s="1"/>
  <c r="U62"/>
  <c r="V62"/>
  <c r="W62"/>
  <c r="X62" s="1"/>
  <c r="U61"/>
  <c r="V61"/>
  <c r="W61"/>
  <c r="X61" s="1"/>
  <c r="U60"/>
  <c r="V60"/>
  <c r="W60"/>
  <c r="X60" s="1"/>
  <c r="M5" i="8"/>
  <c r="N5" s="1"/>
  <c r="M4"/>
  <c r="N4" s="1"/>
  <c r="M3"/>
  <c r="N3" s="1"/>
  <c r="M2"/>
  <c r="N2" s="1"/>
  <c r="X91" i="1" l="1"/>
  <c r="X90"/>
  <c r="X89"/>
  <c r="X87"/>
  <c r="X88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/>
  <c r="U49"/>
  <c r="V49"/>
  <c r="AB49"/>
  <c r="AC49"/>
  <c r="K59"/>
  <c r="L59" s="1"/>
  <c r="AB59"/>
  <c r="V59"/>
  <c r="U59"/>
  <c r="AC59"/>
  <c r="K39"/>
  <c r="L39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U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P2" i="5" l="1"/>
  <c r="R2"/>
  <c r="S2"/>
  <c r="T2"/>
  <c r="V2" l="1"/>
  <c r="K3" i="4"/>
  <c r="L3" s="1"/>
  <c r="N3" s="1"/>
  <c r="H3" l="1"/>
  <c r="M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N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M2"/>
  <c r="AB42" i="1"/>
  <c r="V32"/>
  <c r="V31"/>
  <c r="V29"/>
  <c r="V30"/>
  <c r="V28"/>
  <c r="V35"/>
  <c r="V42"/>
  <c r="F2" i="3"/>
  <c r="G2" s="1"/>
  <c r="H2"/>
  <c r="I2" s="1"/>
  <c r="J2" l="1"/>
  <c r="P2" i="4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2"/>
  <c r="G9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0" l="1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W22" s="1"/>
  <c r="X22" s="1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6" l="1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1" s="1"/>
  <c r="AJ90" l="1"/>
  <c r="Y90"/>
  <c r="Y89"/>
  <c r="AJ89"/>
  <c r="AJ88"/>
  <c r="Y87"/>
  <c r="Y86"/>
  <c r="Y88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2"/>
  <c r="Y2" l="1"/>
  <c r="Z91" s="1"/>
  <c r="AA91" s="1"/>
  <c r="AE91" s="1"/>
  <c r="Z87" l="1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1" l="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F67" s="1"/>
  <c r="AD66"/>
  <c r="AF66" s="1"/>
  <c r="AE69"/>
  <c r="AE65"/>
  <c r="AD65"/>
  <c r="AF65" s="1"/>
  <c r="AG65" s="1"/>
  <c r="AD69"/>
  <c r="AF69" s="1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F52" s="1"/>
  <c r="AG52" s="1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F45" s="1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1" l="1"/>
  <c r="AF35"/>
  <c r="AG90" s="1"/>
  <c r="AF40"/>
  <c r="AG40" s="1"/>
  <c r="AI26"/>
  <c r="AH26"/>
  <c r="AH25"/>
  <c r="AI17"/>
  <c r="AI16"/>
  <c r="AI15"/>
  <c r="AG91" l="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7"/>
  <c r="AI47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G92"/>
  <c r="J92" s="1"/>
  <c r="AI30"/>
  <c r="AH30"/>
  <c r="AH20"/>
  <c r="AI20"/>
  <c r="AH90" l="1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<sst xmlns="http://schemas.openxmlformats.org/spreadsheetml/2006/main" count="494" uniqueCount="153">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</sst>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71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71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71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1" fillId="0" borderId="0" xfId="2" applyNumberFormat="1" applyFont="1"/>
    <xf numFmtId="0" fontId="3" fillId="0" borderId="0" xfId="0" applyFont="1" applyAlignment="1"/>
  </cellXfs>
  <cellStyles count="3">
    <cellStyle name="Moeda" xfId="1" builtinId="4"/>
    <cellStyle name="Normal" xfId="0" builtinId="0"/>
    <cellStyle name="Porcentagem" xfId="2" builtinId="5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8" dataDxfId="347" totalsRowDxfId="346">
  <autoFilter ref="A1:AJ91">
    <filterColumn colId="7"/>
    <filterColumn colId="8"/>
    <filterColumn colId="18"/>
    <filterColumn colId="35"/>
  </autoFilter>
  <sortState ref="A2:AJ89">
    <sortCondition ref="E1:E89"/>
  </sortState>
  <tableColumns count="36">
    <tableColumn id="19" name="ID" totalsRowFunction="max" dataDxfId="345" totalsRowDxfId="112"/>
    <tableColumn id="36" name="U" dataDxfId="344" totalsRowDxfId="111"/>
    <tableColumn id="2" name="ATIVO" dataDxfId="343" totalsRowDxfId="110"/>
    <tableColumn id="3" name="T" dataDxfId="342" totalsRowDxfId="109"/>
    <tableColumn id="4" name="DATA" dataDxfId="341" totalsRowDxfId="108"/>
    <tableColumn id="5" name="QTDE" dataDxfId="340" totalsRowDxfId="107"/>
    <tableColumn id="6" name="PREÇO" totalsRowFunction="custom" dataDxfId="339" totalsRowDxfId="106">
      <totalsRowFormula>NC[[#Totals],[ID]]*14.9</totalsRowFormula>
    </tableColumn>
    <tableColumn id="37" name="PARCIAL" dataDxfId="338" totalsRowDxfId="105"/>
    <tableColumn id="40" name="AJUSTE" dataDxfId="337" totalsRowDxfId="104" dataCellStyle="Moeda"/>
    <tableColumn id="7" name="[D/N]" totalsRowFunction="custom" dataDxfId="336" totalsRowDxfId="103">
      <totalsRowFormula>NC[[#Totals],[LUCRO P/ OP]]+NC[[#Totals],[PREÇO]]</totalsRowFormula>
    </tableColumn>
    <tableColumn id="34" name="DATA DE LIQUIDAÇÃO" dataDxfId="335" totalsRowDxfId="102">
      <calculatedColumnFormula>WORKDAY(NC[[#This Row],[DATA]],1,0)</calculatedColumnFormula>
    </tableColumn>
    <tableColumn id="31" name="DATA BASE" dataDxfId="334" totalsRowDxfId="101">
      <calculatedColumnFormula>EOMONTH(NC[[#This Row],[DATA DE LIQUIDAÇÃO]],0)</calculatedColumnFormula>
    </tableColumn>
    <tableColumn id="21" name="PAR" dataDxfId="333" totalsRowDxfId="10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32" totalsRowDxfId="99">
      <calculatedColumnFormula>[QTDE]*[PREÇO]</calculatedColumnFormula>
    </tableColumn>
    <tableColumn id="9" name="VALOR LÍQUIDO DAS OPERAÇÕES" dataDxfId="331" totalsRowDxfId="98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30" totalsRowDxfId="97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29" totalsRowDxfId="96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28" totalsRowDxfId="95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27" totalsRowDxfId="94">
      <calculatedColumnFormula>SETUP!$E$3 * IF([PARCIAL] &gt; 0, [QTDE] / [PARCIAL], 1)</calculatedColumnFormula>
    </tableColumn>
    <tableColumn id="12" name="CORRETAGEM" dataDxfId="326" totalsRowDxfId="93">
      <calculatedColumnFormula>SUMPRODUCT(N([DATA]=NC[[#This Row],[DATA]]),N([ID]&lt;=NC[[#This Row],[ID]]), [CORR])</calculatedColumnFormula>
    </tableColumn>
    <tableColumn id="13" name="ISS" dataDxfId="325" totalsRowDxfId="92">
      <calculatedColumnFormula>TRUNC([CORRETAGEM]*SETUP!$F$3,2)</calculatedColumnFormula>
    </tableColumn>
    <tableColumn id="15" name="OUTRAS BOVESPA" dataDxfId="324" totalsRowDxfId="91">
      <calculatedColumnFormula>ROUND([CORRETAGEM]*SETUP!$G$3,2)</calculatedColumnFormula>
    </tableColumn>
    <tableColumn id="16" name="LÍQUIDO BASE" dataDxfId="323" totalsRowDxfId="9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22" totalsRowDxfId="89">
      <calculatedColumnFormula>IF(AND(['[D/N']]="D",    [T]="CV",    [LÍQUIDO BASE] &gt; 0),    TRUNC([LÍQUIDO BASE]*0.01, 2),    0)</calculatedColumnFormula>
    </tableColumn>
    <tableColumn id="35" name="LÍQUIDO" dataDxfId="321" totalsRowDxfId="88">
      <calculatedColumnFormula>IF([PREÇO] &gt; 0,    [LÍQUIDO BASE]-SUMPRODUCT(N([DATA]=NC[[#This Row],[DATA]]),    [IRRF FONTE]),    0)</calculatedColumnFormula>
    </tableColumn>
    <tableColumn id="17" name="VALOR OP" dataDxfId="320" totalsRowDxfId="87" dataCellStyle="Moeda">
      <calculatedColumnFormula>[LÍQUIDO]-SUMPRODUCT(N([DATA]=NC[[#This Row],[DATA]]),N([ID]=(NC[[#This Row],[ID]]-1)),[LÍQUIDO])</calculatedColumnFormula>
    </tableColumn>
    <tableColumn id="18" name="MEDIO P/ OP" dataDxfId="319" totalsRowDxfId="86">
      <calculatedColumnFormula>IF([T] = "VC", ABS([VALOR OP]) / [QTDE], [VALOR OP]/[QTDE])</calculatedColumnFormula>
    </tableColumn>
    <tableColumn id="20" name="IRRF" totalsRowFunction="sum" dataDxfId="318" totalsRowDxfId="85">
      <calculatedColumnFormula>TRUNC(IF(OR([T]="CV",[T]="VV"),     N2*SETUP!$H$3,     0),2)</calculatedColumnFormula>
    </tableColumn>
    <tableColumn id="24" name="SALDO" dataDxfId="317" totalsRowDxfId="84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316" totalsRowDxfId="83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315" totalsRowDxfId="8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314" totalsRowDxfId="81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13" totalsRowDxfId="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312" totalsRowDxfId="79">
      <calculatedColumnFormula>IF([U] = "U", SUMPRODUCT(N([ID]&lt;=NC[[#This Row],[ID]]),N([DATA BASE]=NC[[#This Row],[DATA BASE]]), N(['[D/N']] = "N"),    [LUCRO P/ OP]), 0)</calculatedColumnFormula>
    </tableColumn>
    <tableColumn id="39" name="LUCRO [D]" dataDxfId="311" totalsRowDxfId="78">
      <calculatedColumnFormula>IF([U] = "U", SUMPRODUCT(N([DATA BASE]=NC[[#This Row],[DATA BASE]]), N(['[D/N']] = "D"),    [LUCRO P/ OP]), 0)</calculatedColumnFormula>
    </tableColumn>
    <tableColumn id="30" name="IRRF DT" dataDxfId="310" totalsRowDxfId="77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4" totalsRowCount="1" headerRowDxfId="41" dataDxfId="40" totalsRowDxfId="39">
  <autoFilter ref="A1:AK3">
    <filterColumn colId="18"/>
  </autoFilter>
  <sortState ref="A2:AJ89">
    <sortCondition ref="E1:E89"/>
  </sortState>
  <tableColumns count="37">
    <tableColumn id="19" name="ID" totalsRowFunction="max" dataDxfId="76" totalsRowDxfId="36"/>
    <tableColumn id="36" name="U" dataDxfId="75" totalsRowDxfId="35"/>
    <tableColumn id="2" name="ATIVO" dataDxfId="74" totalsRowDxfId="34"/>
    <tableColumn id="3" name="T" dataDxfId="73" totalsRowDxfId="33"/>
    <tableColumn id="4" name="DATA" dataDxfId="72" totalsRowDxfId="32"/>
    <tableColumn id="5" name="QTDE" dataDxfId="71" totalsRowDxfId="31"/>
    <tableColumn id="6" name="PREÇO" dataDxfId="70" totalsRowDxfId="30"/>
    <tableColumn id="37" name="PARCIAL" dataDxfId="69" totalsRowDxfId="29"/>
    <tableColumn id="40" name="AJUSTE" dataDxfId="68" totalsRowDxfId="28" dataCellStyle="Moeda"/>
    <tableColumn id="7" name="[D/N]" dataDxfId="67" totalsRowDxfId="27"/>
    <tableColumn id="34" name="DATA DE LIQUIDAÇÃO" dataDxfId="66" totalsRowDxfId="26">
      <calculatedColumnFormula>WORKDAY(NOTAS_80[[#This Row],[DATA]],1,0)</calculatedColumnFormula>
    </tableColumn>
    <tableColumn id="31" name="DATA BASE" dataDxfId="65" totalsRowDxfId="25">
      <calculatedColumnFormula>EOMONTH(NOTAS_80[[#This Row],[DATA DE LIQUIDAÇÃO]],0)</calculatedColumnFormula>
    </tableColumn>
    <tableColumn id="21" name="PAR" dataDxfId="64" totalsRowDxfId="24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63" totalsRowDxfId="23">
      <calculatedColumnFormula>[QTDE]*[PREÇO]</calculatedColumnFormula>
    </tableColumn>
    <tableColumn id="9" name="VALOR LÍQUIDO DAS OPERAÇÕES" dataDxfId="62" totalsRowDxfId="2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61" totalsRowDxfId="2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60" totalsRowDxfId="2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59" totalsRowDxfId="1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38" totalsRowDxfId="1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37" totalsRowDxfId="17">
      <calculatedColumnFormula>TRUNC([CORR BOV] * 20% * IF([PARCIAL] &gt; 0, [QTDE] / [PARCIAL], 1),2)</calculatedColumnFormula>
    </tableColumn>
    <tableColumn id="12" name="CORRETAGEM" dataDxfId="58" totalsRowDxfId="16">
      <calculatedColumnFormula>SUMPRODUCT(N([DATA]=NOTAS_80[[#This Row],[DATA]]),N([ID]&lt;=NOTAS_80[[#This Row],[ID]]), [CORR])</calculatedColumnFormula>
    </tableColumn>
    <tableColumn id="13" name="ISS" dataDxfId="57" totalsRowDxfId="15">
      <calculatedColumnFormula>TRUNC([CORRETAGEM]*SETUP!$F$3,2)</calculatedColumnFormula>
    </tableColumn>
    <tableColumn id="15" name="OUTRAS BOVESPA" dataDxfId="56" totalsRowDxfId="14">
      <calculatedColumnFormula>ROUND([CORRETAGEM]*SETUP!$G$3,2)</calculatedColumnFormula>
    </tableColumn>
    <tableColumn id="16" name="LÍQUIDO BASE" dataDxfId="55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54" totalsRowDxfId="12">
      <calculatedColumnFormula>IF(AND(['[D/N']]="D",    [T]="CV",    [LÍQUIDO BASE] &gt; 0),    TRUNC([LÍQUIDO BASE]*0.01, 2),    0)</calculatedColumnFormula>
    </tableColumn>
    <tableColumn id="35" name="LÍQUIDO" dataDxfId="53" totalsRowDxfId="11">
      <calculatedColumnFormula>IF([PREÇO] &gt; 0,    [LÍQUIDO BASE]-SUMPRODUCT(N([DATA]=NOTAS_80[[#This Row],[DATA]]),    [IRRF FONTE]),    0)</calculatedColumnFormula>
    </tableColumn>
    <tableColumn id="17" name="VALOR OP" dataDxfId="52" totalsRowDxfId="10" dataCellStyle="Moeda">
      <calculatedColumnFormula>[LÍQUIDO]-SUMPRODUCT(N([DATA]=NOTAS_80[[#This Row],[DATA]]),N([ID]=(NOTAS_80[[#This Row],[ID]]-1)),[LÍQUIDO])</calculatedColumnFormula>
    </tableColumn>
    <tableColumn id="18" name="MEDIO P/ OP" dataDxfId="51" totalsRowDxfId="9">
      <calculatedColumnFormula>IF([T] = "VC", ABS([VALOR OP]) / [QTDE], [VALOR OP]/[QTDE])</calculatedColumnFormula>
    </tableColumn>
    <tableColumn id="20" name="IRRF" totalsRowFunction="sum" dataDxfId="50" totalsRowDxfId="8">
      <calculatedColumnFormula>TRUNC(IF(OR([T]="CV",[T]="VV"),     N2*SETUP!$H$3,     0),2)</calculatedColumnFormula>
    </tableColumn>
    <tableColumn id="24" name="SALDO" dataDxfId="49" totalsRowDxfId="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48" totalsRowDxfId="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47" totalsRowDxfId="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46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45" totalsRowDxfId="3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44" totalsRowDxfId="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43" totalsRowDxfId="1">
      <calculatedColumnFormula>IF([U] = "U", SUMPRODUCT(N([DATA BASE]=NOTAS_80[[#This Row],[DATA BASE]]), N(['[D/N']] = "D"),    [LUCRO P/ OP]), 0)</calculatedColumnFormula>
    </tableColumn>
    <tableColumn id="30" name="IRRF DT" dataDxfId="42" totalsRowDxfId="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309" dataDxfId="308">
  <autoFilter ref="A1:N5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DATA" totalsRowLabel="Total" dataDxfId="307" totalsRowDxfId="306"/>
    <tableColumn id="2" name="LUCRO [N]" dataDxfId="305" totalsRowDxfId="304" dataCellStyle="Moeda"/>
    <tableColumn id="3" name="DEDUÇÃO [N]" dataDxfId="303" totalsRowDxfId="302" dataCellStyle="Moeda"/>
    <tableColumn id="8" name="IRRF [N]" dataDxfId="301" totalsRowDxfId="300" dataCellStyle="Moeda"/>
    <tableColumn id="4" name="LUCRO [D]" dataDxfId="299" totalsRowDxfId="298" dataCellStyle="Moeda"/>
    <tableColumn id="5" name="DEDUÇÃO [D]" dataDxfId="297" totalsRowDxfId="296" dataCellStyle="Moeda"/>
    <tableColumn id="9" name="IRRF [D]" dataDxfId="295" totalsRowDxfId="294" dataCellStyle="Moeda"/>
    <tableColumn id="6" name="ACC [N]" dataDxfId="293" totalsRowDxfId="292" dataCellStyle="Moeda">
      <calculatedColumnFormula>IF([LUCRO '[N']] + [DEDUÇÃO '[N']] &gt; 0, 0, [LUCRO '[N']] + [DEDUÇÃO '[N']])</calculatedColumnFormula>
    </tableColumn>
    <tableColumn id="12" name="ACC [D]" dataDxfId="291" totalsRowDxfId="290" dataCellStyle="Moeda">
      <calculatedColumnFormula>IF([LUCRO '[D']] + [DEDUÇÃO '[D']] &gt; 0, 0, [LUCRO '[D']] + [DEDUÇÃO '[D']])</calculatedColumnFormula>
    </tableColumn>
    <tableColumn id="7" name="IR DEVIDO [N]" dataDxfId="289" totalsRowDxfId="288" dataCellStyle="Moeda">
      <calculatedColumnFormula>IF([ACC '[N']] = 0, ROUND(([LUCRO '[N']] + [DEDUÇÃO '[N']]) * 15%, 2) - [IRRF '[N']], 0)</calculatedColumnFormula>
    </tableColumn>
    <tableColumn id="10" name="IR DEVIDO [D]" dataDxfId="287" totalsRowDxfId="286" dataCellStyle="Moeda">
      <calculatedColumnFormula>IF([ACC '[D']] = 0, ROUND(([LUCRO '[D']] + [DEDUÇÃO '[D']]) * 20%, 2) - [IRRF '[D']], 0)</calculatedColumnFormula>
    </tableColumn>
    <tableColumn id="14" name="IRRF" dataDxfId="285" totalsRowDxfId="284" dataCellStyle="Moeda">
      <calculatedColumnFormula>[IRRF '[N']] + [IRRF '[D']]</calculatedColumnFormula>
    </tableColumn>
    <tableColumn id="11" name="IR DEVIDO" dataDxfId="283" totalsRowDxfId="282" dataCellStyle="Moeda">
      <calculatedColumnFormula>[IR DEVIDO '[N']] + [IR DEVIDO '[D']]</calculatedColumnFormula>
    </tableColumn>
    <tableColumn id="13" name="LUCRO TOTAL" totalsRowFunction="sum" dataDxfId="281" totalsRowDxfId="280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79" dataDxfId="278">
  <autoFilter ref="A1:K4">
    <filterColumn colId="10"/>
  </autoFilter>
  <tableColumns count="11">
    <tableColumn id="1" name="PAPEL" totalsRowLabel="Total" dataDxfId="277" totalsRowDxfId="276"/>
    <tableColumn id="10" name="APLICAÇÃO" dataDxfId="275" totalsRowDxfId="274" dataCellStyle="Moeda"/>
    <tableColumn id="2" name="EXERCÍCIO" dataDxfId="273" totalsRowDxfId="272" dataCellStyle="Moeda"/>
    <tableColumn id="3" name="PREÇO OPÇÃO" dataDxfId="271" totalsRowDxfId="270" dataCellStyle="Moeda"/>
    <tableColumn id="4" name="PREÇO AÇÃO" dataDxfId="269" totalsRowDxfId="268" dataCellStyle="Moeda"/>
    <tableColumn id="11" name="QTDE TMP" dataDxfId="267" totalsRowDxfId="266" dataCellStyle="Moeda">
      <calculatedColumnFormula>ROUNDDOWN([APLICAÇÃO]/[PREÇO OPÇÃO], 0)</calculatedColumnFormula>
    </tableColumn>
    <tableColumn id="14" name="QTDE" dataDxfId="265" totalsRowDxfId="264" dataCellStyle="Moeda">
      <calculatedColumnFormula>[QTDE TMP] - MOD([QTDE TMP], 100)</calculatedColumnFormula>
    </tableColumn>
    <tableColumn id="5" name="TARGET 100%" dataDxfId="263" totalsRowDxfId="262" dataCellStyle="Moeda">
      <calculatedColumnFormula>[EXERCÍCIO] + ([PREÇO OPÇÃO] * 2)</calculatedColumnFormula>
    </tableColumn>
    <tableColumn id="6" name="ALTA 100%" dataDxfId="261" totalsRowDxfId="260" dataCellStyle="Porcentagem">
      <calculatedColumnFormula>[TARGET 100%] / [PREÇO AÇÃO] - 1</calculatedColumnFormula>
    </tableColumn>
    <tableColumn id="12" name="LUCRO* 100%" dataDxfId="259" totalsRowDxfId="258" dataCellStyle="Moeda">
      <calculatedColumnFormula>[PREÇO OPÇÃO] * [QTDE] - 30</calculatedColumnFormula>
    </tableColumn>
    <tableColumn id="7" name="GORDURA" dataDxfId="257" totalsRowDxfId="256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255" dataDxfId="254">
  <autoFilter ref="A1:P4"/>
  <tableColumns count="16">
    <tableColumn id="1" name="PAPEL" totalsRowLabel="Total" dataDxfId="253" totalsRowDxfId="252"/>
    <tableColumn id="10" name="RISCO" dataDxfId="251" totalsRowDxfId="250" dataCellStyle="Moeda"/>
    <tableColumn id="20" name="PREÇO AÇÃO" dataDxfId="249" totalsRowDxfId="248" dataCellStyle="Moeda"/>
    <tableColumn id="7" name="EXERC. VENDA" dataDxfId="247" totalsRowDxfId="246" dataCellStyle="Moeda"/>
    <tableColumn id="8" name="PREÇO VENDA" dataDxfId="245" totalsRowDxfId="244" dataCellStyle="Moeda"/>
    <tableColumn id="2" name="EXERC. COMPRA" dataDxfId="243" totalsRowDxfId="242" dataCellStyle="Moeda"/>
    <tableColumn id="3" name="PREÇO COMPRA" dataDxfId="241" totalsRowDxfId="240" dataCellStyle="Moeda"/>
    <tableColumn id="4" name="VOLUME" dataDxfId="239" totalsRowDxfId="238" dataCellStyle="Moeda">
      <calculatedColumnFormula>([QTDE] * [PREÇO COMPRA]) + ([QTDE] * [PREÇO VENDA])</calculatedColumnFormula>
    </tableColumn>
    <tableColumn id="18" name="LUCRO P/ OPÇÃO" dataDxfId="237" totalsRowDxfId="236" dataCellStyle="Moeda">
      <calculatedColumnFormula>[PREÇO VENDA]-[PREÇO COMPRA]</calculatedColumnFormula>
    </tableColumn>
    <tableColumn id="19" name="PERDA P/ OPÇÃO" dataDxfId="235" totalsRowDxfId="234" dataCellStyle="Moeda">
      <calculatedColumnFormula>(0.01 - [PREÇO COMPRA]) + ([PREÇO VENDA] - ([EXERC. COMPRA]-[EXERC. VENDA]+0.01))</calculatedColumnFormula>
    </tableColumn>
    <tableColumn id="11" name="QTDE TMP" dataDxfId="233" totalsRowDxfId="232" dataCellStyle="Moeda">
      <calculatedColumnFormula>ROUNDDOWN([RISCO]/ABS([PERDA P/ OPÇÃO]), 0)</calculatedColumnFormula>
    </tableColumn>
    <tableColumn id="14" name="QTDE" dataDxfId="231" totalsRowDxfId="230" dataCellStyle="Moeda">
      <calculatedColumnFormula>[QTDE TMP] - MOD([QTDE TMP], 100)</calculatedColumnFormula>
    </tableColumn>
    <tableColumn id="5" name="LUCRO*" dataDxfId="229" totalsRowDxfId="228" dataCellStyle="Moeda">
      <calculatedColumnFormula>([QTDE]*[LUCRO P/ OPÇÃO]) - 60</calculatedColumnFormula>
    </tableColumn>
    <tableColumn id="6" name="PERDA*" dataDxfId="227" totalsRowDxfId="226" dataCellStyle="Moeda">
      <calculatedColumnFormula>[QTDE]*[PERDA P/ OPÇÃO] - 60</calculatedColumnFormula>
    </tableColumn>
    <tableColumn id="21" name="% QUEDA" dataDxfId="225" totalsRowDxfId="224" dataCellStyle="Porcentagem">
      <calculatedColumnFormula>[EXERC. VENDA]/[PREÇO AÇÃO]-1</calculatedColumnFormula>
    </tableColumn>
    <tableColumn id="22" name="RISCO : 1" dataDxfId="223" totalsRowDxfId="222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V3" totalsRowCount="1" headerRowDxfId="221" dataDxfId="220">
  <autoFilter ref="A1:V2"/>
  <tableColumns count="22">
    <tableColumn id="1" name="PAPEL" totalsRowLabel="Total" dataDxfId="219" totalsRowDxfId="218"/>
    <tableColumn id="10" name="BASE" dataDxfId="217" totalsRowDxfId="216" dataCellStyle="Moeda"/>
    <tableColumn id="20" name="PR. AÇÃO" dataDxfId="215" totalsRowDxfId="214" dataCellStyle="Moeda"/>
    <tableColumn id="2" name="EX. CP 1" dataDxfId="213" totalsRowDxfId="212" dataCellStyle="Moeda"/>
    <tableColumn id="3" name="PR CP 1" dataDxfId="211" totalsRowDxfId="210" dataCellStyle="Moeda"/>
    <tableColumn id="12" name="EX. VD" dataDxfId="209" totalsRowDxfId="208" dataCellStyle="Moeda"/>
    <tableColumn id="13" name="PR VD" dataDxfId="207" totalsRowDxfId="206" dataCellStyle="Moeda"/>
    <tableColumn id="8" name="EX. CP 2" dataDxfId="205" totalsRowDxfId="204" dataCellStyle="Moeda"/>
    <tableColumn id="7" name="PR CP 2" dataDxfId="203" totalsRowDxfId="202" dataCellStyle="Moeda"/>
    <tableColumn id="18" name="LUCRO UNI." dataDxfId="201" totalsRowDxfId="200" dataCellStyle="Moeda">
      <calculatedColumnFormula>(([PR VD] - 0.01) * 2) + (([EX. VD] - [EX. CP 1] + 0.01) - [PR CP 1]) + (0.01 - [PR CP 2])</calculatedColumnFormula>
    </tableColumn>
    <tableColumn id="19" name="PERDA 1" dataDxfId="199" totalsRowDxfId="198" dataCellStyle="Moeda">
      <calculatedColumnFormula>(0.01 - [PR CP 1]) + (([PR VD] - 0.01) * 2) + (0.01 - [PR CP 2])</calculatedColumnFormula>
    </tableColumn>
    <tableColumn id="15" name="PERDA 2" dataDxfId="197" totalsRowDxfId="196" dataCellStyle="Moeda">
      <calculatedColumnFormula>(([EX. CP 2] - [EX. CP 1] + 0.01) - [PR CP 1]) + (([PR VD] - ([EX. CP 2] - [EX. VD] + 0.01)) * 2) + (0.01 - [PR CP 2])</calculatedColumnFormula>
    </tableColumn>
    <tableColumn id="16" name="PERDA" dataDxfId="195" totalsRowDxfId="194" dataCellStyle="Moeda">
      <calculatedColumnFormula>IF([PERDA 1] &gt; [PERDA 2], [PERDA 2], [PERDA 1])</calculatedColumnFormula>
    </tableColumn>
    <tableColumn id="11" name="QTDE TMP" dataDxfId="193" totalsRowDxfId="192" dataCellStyle="Moeda">
      <calculatedColumnFormula>ROUNDDOWN([BASE]/ABS([PERDA]), 0)</calculatedColumnFormula>
    </tableColumn>
    <tableColumn id="14" name="QTDE" dataDxfId="191" totalsRowDxfId="190" dataCellStyle="Moeda">
      <calculatedColumnFormula>[QTDE TMP] - MOD([QTDE TMP], 100)</calculatedColumnFormula>
    </tableColumn>
    <tableColumn id="4" name="QTDE VD" dataDxfId="189" totalsRowDxfId="188" dataCellStyle="Moeda">
      <calculatedColumnFormula>Tabela245[[#This Row],[QTDE]]*2</calculatedColumnFormula>
    </tableColumn>
    <tableColumn id="17" name="TOT.  CP" dataDxfId="187" totalsRowDxfId="186" dataCellStyle="Moeda">
      <calculatedColumnFormula>([QTDE]*[PR CP 1] + [QTDE]*[PR CP 2])</calculatedColumnFormula>
    </tableColumn>
    <tableColumn id="9" name="T. VD" dataDxfId="185" totalsRowDxfId="184" dataCellStyle="Moeda">
      <calculatedColumnFormula>[QTDE]*[PR VD] * 2</calculatedColumnFormula>
    </tableColumn>
    <tableColumn id="5" name="LUCRO*" dataDxfId="183" totalsRowDxfId="182" dataCellStyle="Moeda">
      <calculatedColumnFormula>([QTDE]*[LUCRO UNI.] - 90)</calculatedColumnFormula>
    </tableColumn>
    <tableColumn id="6" name="PERDA*" dataDxfId="181" totalsRowDxfId="180" dataCellStyle="Moeda">
      <calculatedColumnFormula>[QTDE]*[PERDA] - 90</calculatedColumnFormula>
    </tableColumn>
    <tableColumn id="21" name="% VAR" dataDxfId="179" totalsRowDxfId="178" dataCellStyle="Porcentagem">
      <calculatedColumnFormula>[EX. VD] / [PR. AÇÃO] - 1</calculatedColumnFormula>
    </tableColumn>
    <tableColumn id="22" name="RISCO : 1" dataDxfId="177" totalsRowDxfId="17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175" dataDxfId="174">
  <autoFilter ref="A1:O5"/>
  <tableColumns count="15">
    <tableColumn id="1" name="PAPEL" totalsRowLabel="Total" dataDxfId="173" totalsRowDxfId="172"/>
    <tableColumn id="10" name="RISCO" dataDxfId="171" totalsRowDxfId="170" dataCellStyle="Moeda"/>
    <tableColumn id="20" name="PREÇO AÇÃO" dataDxfId="169" totalsRowDxfId="168" dataCellStyle="Moeda"/>
    <tableColumn id="7" name="EX. VENDA" dataDxfId="167" totalsRowDxfId="166" dataCellStyle="Moeda"/>
    <tableColumn id="2" name="EX. COMPRA" dataDxfId="165" totalsRowDxfId="164" dataCellStyle="Moeda"/>
    <tableColumn id="3" name="PR COMPRA" dataDxfId="163" totalsRowDxfId="162" dataCellStyle="Moeda"/>
    <tableColumn id="16" name="QTDE" dataDxfId="161" totalsRowDxfId="160" dataCellStyle="Moeda"/>
    <tableColumn id="13" name="PERDA P/ OPÇÃO" dataDxfId="159" totalsRowDxfId="158" dataCellStyle="Moeda">
      <calculatedColumnFormula>-[RISCO]/[QTDE]</calculatedColumnFormula>
    </tableColumn>
    <tableColumn id="14" name="CUSTO CP" dataDxfId="157" totalsRowDxfId="156" dataCellStyle="Moeda">
      <calculatedColumnFormula>[PR COMPRA] * [QTDE]</calculatedColumnFormula>
    </tableColumn>
    <tableColumn id="15" name="LUCRO UNI" dataDxfId="155" totalsRowDxfId="154">
      <calculatedColumnFormula>[PR VENDA]-[PR COMPRA]</calculatedColumnFormula>
    </tableColumn>
    <tableColumn id="8" name="PR VENDA" dataDxfId="153" totalsRowDxfId="152" dataCellStyle="Moeda">
      <calculatedColumnFormula>[PERDA P/ OPÇÃO] + ([EX. COMPRA] - [EX. VENDA] + 0.01) - 0.01 + [PR COMPRA]</calculatedColumnFormula>
    </tableColumn>
    <tableColumn id="5" name="LUCRO*" dataDxfId="151" totalsRowDxfId="150" dataCellStyle="Moeda">
      <calculatedColumnFormula>([QTDE]*[LUCRO UNI])</calculatedColumnFormula>
    </tableColumn>
    <tableColumn id="6" name="PERDA*" dataDxfId="149" totalsRowDxfId="148" dataCellStyle="Moeda">
      <calculatedColumnFormula>[PERDA P/ OPÇÃO]*[QTDE]</calculatedColumnFormula>
    </tableColumn>
    <tableColumn id="21" name="% QUEDA" dataDxfId="147" totalsRowDxfId="146" dataCellStyle="Porcentagem">
      <calculatedColumnFormula>[EX. VENDA]/[PREÇO AÇÃO]-1</calculatedColumnFormula>
    </tableColumn>
    <tableColumn id="22" name="RISCO : 1" dataDxfId="145" totalsRowDxfId="144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143" dataDxfId="142">
  <autoFilter ref="A1:O5"/>
  <tableColumns count="15">
    <tableColumn id="1" name="PAPEL" totalsRowLabel="Total" dataDxfId="141" totalsRowDxfId="140"/>
    <tableColumn id="10" name="RISCO" dataDxfId="139" totalsRowDxfId="138" dataCellStyle="Moeda"/>
    <tableColumn id="20" name="PREÇO AÇÃO" dataDxfId="137" totalsRowDxfId="136" dataCellStyle="Moeda"/>
    <tableColumn id="7" name="EX. VENDA" dataDxfId="135" totalsRowDxfId="134" dataCellStyle="Moeda"/>
    <tableColumn id="2" name="EX. COMPRA" dataDxfId="133" totalsRowDxfId="132" dataCellStyle="Moeda"/>
    <tableColumn id="9" name="PR VENDA" totalsRowDxfId="131"/>
    <tableColumn id="3" name="PR COMPRA" dataDxfId="130" totalsRowDxfId="129" dataCellStyle="Moeda"/>
    <tableColumn id="16" name="QTDE" dataDxfId="128" totalsRowDxfId="127" dataCellStyle="Moeda"/>
    <tableColumn id="13" name="PERDA P/ OPÇÃO" dataDxfId="126" totalsRowDxfId="125" dataCellStyle="Moeda">
      <calculatedColumnFormula>([PR VENDA] - ([EX. COMPRA] - [EX. VENDA] + 0.01)) + (0.01 - ([PR COMPRA]))</calculatedColumnFormula>
    </tableColumn>
    <tableColumn id="14" name="VOLUME" dataDxfId="124" totalsRowDxfId="123" dataCellStyle="Moeda">
      <calculatedColumnFormula>[PR COMPRA] * [QTDE]</calculatedColumnFormula>
    </tableColumn>
    <tableColumn id="15" name="LUCRO UNI" dataDxfId="122" totalsRowDxfId="121">
      <calculatedColumnFormula>[PR VENDA]-[PR COMPRA]</calculatedColumnFormula>
    </tableColumn>
    <tableColumn id="5" name="LUCRO*" dataDxfId="120" totalsRowDxfId="119" dataCellStyle="Moeda">
      <calculatedColumnFormula>([QTDE]*[LUCRO UNI])</calculatedColumnFormula>
    </tableColumn>
    <tableColumn id="6" name="PERDA*" dataDxfId="118" totalsRowDxfId="117" dataCellStyle="Moeda">
      <calculatedColumnFormula>[PERDA P/ OPÇÃO]*[QTDE]</calculatedColumnFormula>
    </tableColumn>
    <tableColumn id="21" name="% QUEDA" dataDxfId="116" totalsRowDxfId="115" dataCellStyle="Porcentagem">
      <calculatedColumnFormula>[EX. VENDA]/[PREÇO AÇÃO]-1</calculatedColumnFormula>
    </tableColumn>
    <tableColumn id="22" name="RISCO : 1" dataDxfId="114" totalsRowDxfId="113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3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sqref="A1:XFD104857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132</v>
      </c>
      <c r="I1" s="36" t="s">
        <v>131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130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103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120</v>
      </c>
      <c r="AJ1" s="10" t="s">
        <v>129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104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105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113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114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116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105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113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116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117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118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117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117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117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118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114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104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117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118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117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118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133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137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137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134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133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134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134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134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138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138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139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140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140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139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141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141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142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142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143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143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144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144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145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146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145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146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13">
        <v>89</v>
      </c>
      <c r="B90" s="85"/>
      <c r="C90" s="85" t="s">
        <v>147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</row>
    <row r="91" spans="1:36">
      <c r="A91" s="13">
        <v>90</v>
      </c>
      <c r="B91" s="85"/>
      <c r="C91" s="85" t="s">
        <v>147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</row>
    <row r="92" spans="1:36">
      <c r="A92" s="98">
        <f>SUBTOTAL(104,[ID])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SUBTOTAL(109,[IRRF])</f>
        <v>1.1800000000000004</v>
      </c>
      <c r="AC92" s="87"/>
      <c r="AD92" s="98"/>
      <c r="AE92" s="98"/>
      <c r="AF92" s="87"/>
      <c r="AG92" s="87">
        <f>SUBTOTAL(109,[LUCRO P/ OP])</f>
        <v>-2619.8999999999987</v>
      </c>
      <c r="AH92" s="87"/>
      <c r="AI92" s="99"/>
      <c r="AJ92" s="100"/>
    </row>
    <row r="93" spans="1:36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I11" sqref="AI11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hidden="1" customWidth="1"/>
    <col min="24" max="24" width="10.42578125" style="7" hidden="1" customWidth="1"/>
    <col min="25" max="25" width="10.42578125" style="7" bestFit="1" customWidth="1"/>
    <col min="26" max="26" width="10.7109375" style="7" bestFit="1" customWidth="1"/>
    <col min="27" max="27" width="9.85546875" style="7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132</v>
      </c>
      <c r="I1" s="36" t="s">
        <v>131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152</v>
      </c>
      <c r="T1" s="10" t="s">
        <v>130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103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120</v>
      </c>
      <c r="AK1" s="10" t="s">
        <v>129</v>
      </c>
    </row>
    <row r="2" spans="1:37">
      <c r="A2" s="13">
        <v>1</v>
      </c>
      <c r="B2" s="85"/>
      <c r="C2" s="85" t="s">
        <v>147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147</v>
      </c>
      <c r="D3" s="85" t="s">
        <v>25</v>
      </c>
      <c r="E3" s="86">
        <v>41144</v>
      </c>
      <c r="F3" s="85">
        <v>400</v>
      </c>
      <c r="G3" s="87">
        <v>0.43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3" s="87">
        <f>[QTDE]*[PREÇO]</f>
        <v>172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172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0.06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3.44</v>
      </c>
      <c r="T3" s="87">
        <f>TRUNC([CORR BOV] * 20% * IF([PARCIAL] &gt; 0, [QTDE] / [PARCIAL], 1),2)</f>
        <v>0.68</v>
      </c>
      <c r="U3" s="87">
        <f>SUMPRODUCT(N([DATA]=NOTAS_80[[#This Row],[DATA]]),N([ID]&lt;=NOTAS_80[[#This Row],[ID]]), [CORR])</f>
        <v>0.68</v>
      </c>
      <c r="V3" s="87">
        <f>TRUNC([CORRETAGEM]*SETUP!$F$3,2)</f>
        <v>0.01</v>
      </c>
      <c r="W3" s="87">
        <f>ROUND([CORRETAGEM]*SETUP!$G$3,2)</f>
        <v>0.03</v>
      </c>
      <c r="X3" s="87">
        <f>[VALOR LÍQUIDO DAS OPERAÇÕES]-[TAXA DE LIQUIDAÇÃO]-[EMOLUMENTOS]-[TAXA DE REGISTRO]-[CORRETAGEM]-[ISS]-IF(['[D/N']]="D",    0,    [OUTRAS BOVESPA]) - [AJUSTE]</f>
        <v>171.07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171.07</v>
      </c>
      <c r="AA3" s="89">
        <f>[LÍQUIDO]-SUMPRODUCT(N([DATA]=NOTAS_80[[#This Row],[DATA]]),N([ID]=(NOTAS_80[[#This Row],[ID]]-1)),[LÍQUIDO])</f>
        <v>171.07</v>
      </c>
      <c r="AB3" s="87">
        <f>IF([T] = "VC", ABS([VALOR OP]) / [QTDE], [VALOR OP]/[QTDE])</f>
        <v>0.42767499999999997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0.42767499999999997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-30.020000000000003</v>
      </c>
      <c r="AH3" s="87">
        <f>IF([LUCRO TMP] &lt;&gt; 0, [LUCRO TMP] - SUMPRODUCT(N([ATIVO]=NOTAS_80[[#This Row],[ATIVO]]),N(['[D/N']]="N"),N([ID]&lt;NOTAS_80[[#This Row],[ID]]),N([PAR]=NOTAS_80[[#This Row],[PAR]]), [LUCRO TMP]), 0)</f>
        <v>-30.020000000000003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98">
        <f>SUBTOTAL(104,[ID])</f>
        <v>2</v>
      </c>
      <c r="B4" s="98"/>
      <c r="C4" s="98"/>
      <c r="D4" s="98"/>
      <c r="E4" s="98"/>
      <c r="F4" s="98"/>
      <c r="G4" s="98"/>
      <c r="H4" s="96"/>
      <c r="I4" s="87"/>
      <c r="J4" s="98"/>
      <c r="K4" s="98"/>
      <c r="L4" s="98"/>
      <c r="M4" s="98"/>
      <c r="N4" s="98"/>
      <c r="O4" s="98"/>
      <c r="P4" s="98"/>
      <c r="Q4" s="98"/>
      <c r="R4" s="98"/>
      <c r="S4" s="111"/>
      <c r="T4" s="98"/>
      <c r="U4" s="98"/>
      <c r="V4" s="98"/>
      <c r="W4" s="98"/>
      <c r="X4" s="87"/>
      <c r="Y4" s="98"/>
      <c r="Z4" s="87"/>
      <c r="AA4" s="87"/>
      <c r="AB4" s="98"/>
      <c r="AC4" s="87">
        <f>SUBTOTAL(109,[IRRF])</f>
        <v>0</v>
      </c>
      <c r="AD4" s="87"/>
      <c r="AE4" s="98"/>
      <c r="AF4" s="98"/>
      <c r="AG4" s="87"/>
      <c r="AH4" s="87">
        <f>SUBTOTAL(109,[LUCRO P/ OP])</f>
        <v>-30.020000000000003</v>
      </c>
      <c r="AI4" s="87"/>
      <c r="AJ4" s="99"/>
      <c r="AK4" s="100"/>
    </row>
    <row r="5" spans="1:37">
      <c r="AE5" s="23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4" sqref="C14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119</v>
      </c>
      <c r="D1" s="7" t="s">
        <v>123</v>
      </c>
      <c r="E1" s="7" t="s">
        <v>120</v>
      </c>
      <c r="F1" s="7" t="s">
        <v>121</v>
      </c>
      <c r="G1" s="7" t="s">
        <v>124</v>
      </c>
      <c r="H1" s="7" t="s">
        <v>122</v>
      </c>
      <c r="I1" s="7" t="s">
        <v>127</v>
      </c>
      <c r="J1" s="7" t="s">
        <v>125</v>
      </c>
      <c r="K1" s="7" t="s">
        <v>126</v>
      </c>
      <c r="L1" s="7" t="s">
        <v>18</v>
      </c>
      <c r="M1" s="7" t="s">
        <v>48</v>
      </c>
      <c r="N1" s="7" t="s">
        <v>128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136</v>
      </c>
    </row>
    <row r="2" spans="1:11">
      <c r="A2" s="7" t="s">
        <v>134</v>
      </c>
      <c r="B2" s="25">
        <v>1829.39</v>
      </c>
      <c r="C2" s="25">
        <v>39.090000000000003</v>
      </c>
      <c r="D2" s="25">
        <v>1.05</v>
      </c>
      <c r="E2" s="39">
        <v>39.72</v>
      </c>
      <c r="F2" s="28">
        <f>ROUNDDOWN([APLICAÇÃO]/[PREÇO OPÇÃO], 0)</f>
        <v>1742</v>
      </c>
      <c r="G2" s="28">
        <f>[QTDE TMP] - MOD([QTDE TMP], 100)</f>
        <v>1700</v>
      </c>
      <c r="H2" s="25">
        <f>[EXERCÍCIO] + ([PREÇO OPÇÃO] * 2)</f>
        <v>41.190000000000005</v>
      </c>
      <c r="I2" s="27">
        <f>[TARGET 100%] / [PREÇO AÇÃO] - 1</f>
        <v>3.7009063444108925E-2</v>
      </c>
      <c r="J2" s="25">
        <f>[PREÇO OPÇÃO] * [QTDE] - 30</f>
        <v>1755</v>
      </c>
      <c r="K2" s="25">
        <f>IF([PREÇO AÇÃO] &gt; [EXERCÍCIO], [PREÇO OPÇÃO] -([PREÇO AÇÃO] - [EXERCÍCIO]), [PREÇO OPÇÃO])</f>
        <v>0.42000000000000459</v>
      </c>
    </row>
    <row r="3" spans="1:11">
      <c r="A3" s="7" t="s">
        <v>133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 - 30</f>
        <v>1796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135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 - 30</f>
        <v>1783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20" sqref="E20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106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115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- 60</f>
        <v>-142</v>
      </c>
      <c r="O2" s="27">
        <f>[EXERC. VENDA]/[PREÇO AÇÃO]-1</f>
        <v>2.3226135783563029E-2</v>
      </c>
      <c r="P2" s="38">
        <f>[LUCRO*]/ABS([PERDA*])</f>
        <v>0.40845070422535212</v>
      </c>
    </row>
    <row r="3" spans="1:16">
      <c r="A3" s="7" t="s">
        <v>69</v>
      </c>
      <c r="B3" s="25">
        <v>500</v>
      </c>
      <c r="C3" s="25">
        <v>19.43</v>
      </c>
      <c r="D3" s="25">
        <v>18.829999999999998</v>
      </c>
      <c r="E3" s="25">
        <v>0.63</v>
      </c>
      <c r="F3" s="25">
        <v>19.71</v>
      </c>
      <c r="G3" s="25">
        <v>0.1</v>
      </c>
      <c r="H3" s="25">
        <f>([QTDE] * [PREÇO COMPRA]) + ([QTDE] * [PREÇO VENDA])</f>
        <v>1022</v>
      </c>
      <c r="I3" s="25">
        <f>[PREÇO VENDA]-[PREÇO COMPRA]</f>
        <v>0.53</v>
      </c>
      <c r="J3" s="25">
        <f>(0.01 - [PREÇO COMPRA]) + ([PREÇO VENDA] - ([EXERC. COMPRA]-[EXERC. VENDA]+0.01))</f>
        <v>-0.35000000000000259</v>
      </c>
      <c r="K3" s="28">
        <f>ROUNDDOWN([RISCO]/ABS([PERDA P/ OPÇÃO]), 0)</f>
        <v>1428</v>
      </c>
      <c r="L3" s="28">
        <f>[QTDE TMP] - MOD([QTDE TMP], 100)</f>
        <v>1400</v>
      </c>
      <c r="M3" s="25">
        <f>([QTDE]*[LUCRO P/ OPÇÃO]) - 60</f>
        <v>682</v>
      </c>
      <c r="N3" s="25">
        <f>[QTDE]*[PERDA P/ OPÇÃO] - 60</f>
        <v>-550.00000000000364</v>
      </c>
      <c r="O3" s="27">
        <f>[EXERC. VENDA]/[PREÇO AÇÃO]-1</f>
        <v>-3.0880082346886328E-2</v>
      </c>
      <c r="P3" s="38">
        <f>[LUCRO*]/ABS([PERDA*])</f>
        <v>1.2399999999999918</v>
      </c>
    </row>
    <row r="4" spans="1:16">
      <c r="A4" s="105" t="s">
        <v>69</v>
      </c>
      <c r="B4" s="25">
        <v>100</v>
      </c>
      <c r="C4" s="25">
        <v>19.22</v>
      </c>
      <c r="D4" s="25">
        <v>18</v>
      </c>
      <c r="E4" s="25">
        <v>1.72</v>
      </c>
      <c r="F4" s="25">
        <v>18.829999999999998</v>
      </c>
      <c r="G4" s="25">
        <v>1.08</v>
      </c>
      <c r="H4" s="81">
        <f>([QTDE] * [PREÇO COMPRA]) + ([QTDE] * [PREÇO VENDA])</f>
        <v>1400</v>
      </c>
      <c r="I4" s="81">
        <f>[PREÇO VENDA]-[PREÇO COMPRA]</f>
        <v>0.6399999999999999</v>
      </c>
      <c r="J4" s="81">
        <f>(0.01 - [PREÇO COMPRA]) + ([PREÇO VENDA] - ([EXERC. COMPRA]-[EXERC. VENDA]+0.01))</f>
        <v>-0.18999999999999839</v>
      </c>
      <c r="K4" s="106">
        <f>ROUNDDOWN([RISCO]/ABS([PERDA P/ OPÇÃO]), 0)</f>
        <v>526</v>
      </c>
      <c r="L4" s="106">
        <f>[QTDE TMP] - MOD([QTDE TMP], 100)</f>
        <v>500</v>
      </c>
      <c r="M4" s="81">
        <f>([QTDE]*[LUCRO P/ OPÇÃO]) - 60</f>
        <v>259.99999999999994</v>
      </c>
      <c r="N4" s="81">
        <f>[QTDE]*[PERDA P/ OPÇÃO] - 60</f>
        <v>-154.9999999999992</v>
      </c>
      <c r="O4" s="82">
        <f>[EXERC. VENDA]/[PREÇO AÇÃO]-1</f>
        <v>-6.3475546305931219E-2</v>
      </c>
      <c r="P4" s="83">
        <f>[LUCRO*]/ABS([PERDA*])</f>
        <v>1.677419354838718</v>
      </c>
    </row>
    <row r="5" spans="1:16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3" sqref="C3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55</v>
      </c>
      <c r="B1" s="24" t="s">
        <v>91</v>
      </c>
      <c r="C1" s="24" t="s">
        <v>92</v>
      </c>
      <c r="D1" s="26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87</v>
      </c>
      <c r="K1" s="26" t="s">
        <v>88</v>
      </c>
      <c r="L1" s="26" t="s">
        <v>89</v>
      </c>
      <c r="M1" s="26" t="s">
        <v>102</v>
      </c>
      <c r="N1" s="26" t="s">
        <v>63</v>
      </c>
      <c r="O1" s="26" t="s">
        <v>1</v>
      </c>
      <c r="P1" s="26" t="s">
        <v>101</v>
      </c>
      <c r="Q1" s="26" t="s">
        <v>100</v>
      </c>
      <c r="R1" s="26" t="s">
        <v>99</v>
      </c>
      <c r="S1" s="26" t="s">
        <v>81</v>
      </c>
      <c r="T1" s="26" t="s">
        <v>82</v>
      </c>
      <c r="U1" s="26" t="s">
        <v>86</v>
      </c>
      <c r="V1" s="26" t="s">
        <v>78</v>
      </c>
    </row>
    <row r="2" spans="1:22">
      <c r="A2" s="7" t="s">
        <v>83</v>
      </c>
      <c r="B2" s="25">
        <v>100</v>
      </c>
      <c r="C2" s="25">
        <v>18.47</v>
      </c>
      <c r="D2" s="25">
        <v>17</v>
      </c>
      <c r="E2" s="25">
        <v>1.5</v>
      </c>
      <c r="F2" s="25">
        <v>17.829999999999998</v>
      </c>
      <c r="G2" s="25">
        <v>0.74</v>
      </c>
      <c r="H2" s="25">
        <v>18.829999999999998</v>
      </c>
      <c r="I2" s="25">
        <v>0.15</v>
      </c>
      <c r="J2" s="25">
        <f>(([PR VD] - 0.01) * 2) + (([EX. VD] - [EX. CP 1] + 0.01) - [PR CP 1]) + (0.01 - [PR CP 2])</f>
        <v>0.65999999999999825</v>
      </c>
      <c r="K2" s="25">
        <f>(0.01 - [PR CP 1]) + (([PR VD] - 0.01) * 2) + (0.01 - [PR CP 2])</f>
        <v>-0.17</v>
      </c>
      <c r="L2" s="25">
        <f>(([EX. CP 2] - [EX. CP 1] + 0.01) - [PR CP 1]) + (([PR VD] - ([EX. CP 2] - [EX. VD] + 0.01)) * 2) + (0.01 - [PR CP 2])</f>
        <v>-0.34000000000000175</v>
      </c>
      <c r="M2" s="25">
        <f>IF([PERDA 1] &gt; [PERDA 2], [PERDA 2], [PERDA 1])</f>
        <v>-0.34000000000000175</v>
      </c>
      <c r="N2" s="28">
        <f>ROUNDDOWN([BASE]/ABS([PERDA]), 0)</f>
        <v>294</v>
      </c>
      <c r="O2" s="28">
        <f>[QTDE TMP] - MOD([QTDE TMP], 100)</f>
        <v>200</v>
      </c>
      <c r="P2" s="28">
        <f>Tabela245[[#This Row],[QTDE]]*2</f>
        <v>400</v>
      </c>
      <c r="Q2" s="25">
        <f>([QTDE]*[PR CP 1] + [QTDE]*[PR CP 2])</f>
        <v>330</v>
      </c>
      <c r="R2" s="25">
        <f>[QTDE]*[PR VD] * 2</f>
        <v>296</v>
      </c>
      <c r="S2" s="39">
        <f>([QTDE]*[LUCRO UNI.] - 90)</f>
        <v>41.999999999999659</v>
      </c>
      <c r="T2" s="25">
        <f>[QTDE]*[PERDA] - 90</f>
        <v>-158.00000000000034</v>
      </c>
      <c r="U2" s="27">
        <f>[EX. VD] / [PR. AÇÃO] - 1</f>
        <v>-3.4650785056848932E-2</v>
      </c>
      <c r="V2" s="38">
        <f>[LUCRO*]/ABS([PERDA*])</f>
        <v>0.26582278481012384</v>
      </c>
    </row>
    <row r="3" spans="1:22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0"/>
      <c r="V3" s="40"/>
    </row>
    <row r="4" spans="1:22">
      <c r="E4" s="23"/>
    </row>
    <row r="5" spans="1:22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107</v>
      </c>
      <c r="G1" s="57" t="s">
        <v>1</v>
      </c>
      <c r="H1" s="26" t="s">
        <v>75</v>
      </c>
      <c r="I1" s="26" t="s">
        <v>111</v>
      </c>
      <c r="J1" s="26" t="s">
        <v>112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110</v>
      </c>
      <c r="G1" s="26" t="s">
        <v>107</v>
      </c>
      <c r="H1" s="57" t="s">
        <v>1</v>
      </c>
      <c r="I1" s="26" t="s">
        <v>75</v>
      </c>
      <c r="J1" s="26" t="s">
        <v>115</v>
      </c>
      <c r="K1" s="26" t="s">
        <v>112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09" t="s">
        <v>7</v>
      </c>
      <c r="B1" s="109"/>
      <c r="C1" s="109" t="s">
        <v>8</v>
      </c>
      <c r="D1" s="109"/>
      <c r="E1" s="108" t="s">
        <v>9</v>
      </c>
      <c r="F1" s="108" t="s">
        <v>4</v>
      </c>
      <c r="G1" s="108" t="s">
        <v>10</v>
      </c>
      <c r="H1" s="108" t="s">
        <v>11</v>
      </c>
      <c r="I1" s="108" t="s">
        <v>23</v>
      </c>
      <c r="K1" s="107" t="s">
        <v>151</v>
      </c>
      <c r="L1" s="107"/>
      <c r="M1" s="107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08"/>
      <c r="F2" s="108"/>
      <c r="G2" s="108"/>
      <c r="H2" s="108"/>
      <c r="I2" s="108"/>
      <c r="K2" s="18" t="s">
        <v>148</v>
      </c>
      <c r="L2" s="18" t="s">
        <v>149</v>
      </c>
      <c r="M2" s="18" t="s">
        <v>150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10">
        <v>0</v>
      </c>
    </row>
    <row r="4" spans="1:13">
      <c r="A4" s="107" t="s">
        <v>26</v>
      </c>
      <c r="B4" s="107"/>
      <c r="C4" s="107"/>
      <c r="D4" s="107"/>
      <c r="E4" s="107"/>
      <c r="F4" s="107"/>
      <c r="K4" s="17">
        <v>498.62</v>
      </c>
      <c r="L4" s="17">
        <v>0</v>
      </c>
      <c r="M4" s="110">
        <v>0.02</v>
      </c>
    </row>
    <row r="5" spans="1:13">
      <c r="A5" s="107" t="s">
        <v>7</v>
      </c>
      <c r="B5" s="107"/>
      <c r="C5" s="107"/>
      <c r="D5" s="107" t="s">
        <v>8</v>
      </c>
      <c r="E5" s="107"/>
      <c r="F5" s="107"/>
      <c r="K5" s="17">
        <v>1514.69</v>
      </c>
      <c r="L5" s="17">
        <v>2.4900000000000002</v>
      </c>
      <c r="M5" s="110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10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10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2012-08-22T19:56:18Z</dcterms:modified>
</cp:coreProperties>
</file>