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240" yWindow="90" windowWidth="19320" windowHeight="742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Z2" i="1"/>
  <c r="Z3"/>
  <c r="Z5"/>
  <c r="G4"/>
  <c r="G3"/>
  <c r="G2"/>
  <c r="G5" l="1"/>
  <c r="H5" s="1"/>
  <c r="M5"/>
  <c r="N5"/>
  <c r="S5"/>
  <c r="T5"/>
  <c r="Y5"/>
  <c r="H4"/>
  <c r="M4"/>
  <c r="N4"/>
  <c r="S4"/>
  <c r="T4"/>
  <c r="Y4"/>
  <c r="Z4" s="1"/>
  <c r="AA5" l="1"/>
  <c r="AA4"/>
  <c r="AB5"/>
  <c r="AB4"/>
  <c r="M3" l="1"/>
  <c r="N3"/>
  <c r="S3"/>
  <c r="T3"/>
  <c r="Y3"/>
  <c r="AA3" l="1"/>
  <c r="H3"/>
  <c r="T2"/>
  <c r="S2"/>
  <c r="N2"/>
  <c r="M2"/>
  <c r="AB3" l="1"/>
  <c r="Y2"/>
  <c r="AA2" l="1"/>
  <c r="H2"/>
  <c r="AB2" l="1"/>
  <c r="I4"/>
  <c r="J4" s="1"/>
  <c r="I5"/>
  <c r="I2"/>
  <c r="I3"/>
  <c r="W4" l="1"/>
  <c r="X4" s="1"/>
  <c r="Q4"/>
  <c r="K4"/>
  <c r="P4"/>
  <c r="R4"/>
  <c r="L4"/>
  <c r="AC4"/>
  <c r="K5"/>
  <c r="W5"/>
  <c r="X5" s="1"/>
  <c r="Q5"/>
  <c r="L5"/>
  <c r="P5"/>
  <c r="J5"/>
  <c r="R5"/>
  <c r="AC5"/>
  <c r="AC3"/>
  <c r="L3"/>
  <c r="W3"/>
  <c r="X3" s="1"/>
  <c r="R3"/>
  <c r="J3"/>
  <c r="Q3"/>
  <c r="P3"/>
  <c r="K3"/>
  <c r="K2"/>
  <c r="P2"/>
  <c r="L2"/>
  <c r="Q2"/>
  <c r="W2"/>
  <c r="X2" s="1"/>
  <c r="J2"/>
  <c r="AC2"/>
  <c r="R2"/>
  <c r="O4" l="1"/>
  <c r="U4"/>
  <c r="V4" s="1"/>
  <c r="O5"/>
  <c r="U5"/>
  <c r="U3"/>
  <c r="O3"/>
  <c r="O2"/>
  <c r="U2"/>
  <c r="V5" l="1"/>
  <c r="V3"/>
  <c r="V2"/>
</calcChain>
</file>

<file path=xl/sharedStrings.xml><?xml version="1.0" encoding="utf-8"?>
<sst xmlns="http://schemas.openxmlformats.org/spreadsheetml/2006/main" count="40" uniqueCount="37">
  <si>
    <t>APORTE</t>
  </si>
  <si>
    <t>LUCRO</t>
  </si>
  <si>
    <t>NO BOLSO</t>
  </si>
  <si>
    <t>DATA</t>
  </si>
  <si>
    <t>MONTANTE</t>
  </si>
  <si>
    <t>REINVESTIR</t>
  </si>
  <si>
    <t>APLICAÇÃO</t>
  </si>
  <si>
    <t>RENDA FIXA</t>
  </si>
  <si>
    <t>PREV LUCRO</t>
  </si>
  <si>
    <t>TOT RF</t>
  </si>
  <si>
    <t>NORMAL</t>
  </si>
  <si>
    <t>DAYTRADE</t>
  </si>
  <si>
    <t>EMOL.</t>
  </si>
  <si>
    <t>LIQUID.</t>
  </si>
  <si>
    <t>REGISTRO</t>
  </si>
  <si>
    <t>EMOL CP</t>
  </si>
  <si>
    <t>LIQD CP</t>
  </si>
  <si>
    <t>REG CP</t>
  </si>
  <si>
    <t>ISS</t>
  </si>
  <si>
    <t>TAXA CP</t>
  </si>
  <si>
    <t>OUTRAS CP</t>
  </si>
  <si>
    <t>ISS CP</t>
  </si>
  <si>
    <t>CORRETAGEM</t>
  </si>
  <si>
    <t>OUTROS</t>
  </si>
  <si>
    <t>EMOL VD</t>
  </si>
  <si>
    <t>LIQD VD</t>
  </si>
  <si>
    <t>REG VD</t>
  </si>
  <si>
    <t>ISS VD</t>
  </si>
  <si>
    <t>OUTRAS VD</t>
  </si>
  <si>
    <t>TAXA VD</t>
  </si>
  <si>
    <t>TRADE</t>
  </si>
  <si>
    <t>APORTE RF</t>
  </si>
  <si>
    <t>PATRIMÔNIO</t>
  </si>
  <si>
    <t>PERDA MAX</t>
  </si>
  <si>
    <t>% PERDA</t>
  </si>
  <si>
    <t>SAQUE</t>
  </si>
  <si>
    <t>PROTEÇÃO MÊS</t>
  </si>
</sst>
</file>

<file path=xl/styles.xml><?xml version="1.0" encoding="utf-8"?>
<styleSheet xmlns="http://schemas.openxmlformats.org/spreadsheetml/2006/main">
  <numFmts count="3">
    <numFmt numFmtId="164" formatCode="_-&quot;R$&quot;\ * #,##0.00_-;\-&quot;R$&quot;\ * #,##0.00_-;_-&quot;R$&quot;\ * &quot;-&quot;??_-;_-@_-"/>
    <numFmt numFmtId="165" formatCode="0.0000%"/>
    <numFmt numFmtId="166" formatCode="[$R$-416]\ #,##0.00;[Red]\-[$R$-416]\ 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Font="1"/>
    <xf numFmtId="10" fontId="2" fillId="0" borderId="0" xfId="2" applyNumberFormat="1" applyFont="1"/>
    <xf numFmtId="14" fontId="2" fillId="0" borderId="0" xfId="0" applyNumberFormat="1" applyFont="1"/>
    <xf numFmtId="164" fontId="2" fillId="0" borderId="0" xfId="1" applyNumberFormat="1" applyFont="1"/>
    <xf numFmtId="0" fontId="6" fillId="0" borderId="0" xfId="0" applyFont="1"/>
    <xf numFmtId="165" fontId="7" fillId="0" borderId="0" xfId="0" applyNumberFormat="1" applyFont="1"/>
    <xf numFmtId="166" fontId="5" fillId="0" borderId="0" xfId="0" applyNumberFormat="1" applyFont="1"/>
    <xf numFmtId="10" fontId="5" fillId="0" borderId="0" xfId="0" applyNumberFormat="1" applyFont="1"/>
    <xf numFmtId="164" fontId="8" fillId="0" borderId="0" xfId="1" applyFont="1"/>
    <xf numFmtId="0" fontId="8" fillId="0" borderId="0" xfId="0" applyFont="1"/>
    <xf numFmtId="164" fontId="3" fillId="0" borderId="0" xfId="1" applyFont="1"/>
    <xf numFmtId="164" fontId="8" fillId="0" borderId="0" xfId="1" applyNumberFormat="1" applyFont="1"/>
    <xf numFmtId="10" fontId="2" fillId="0" borderId="0" xfId="0" applyNumberFormat="1" applyFont="1"/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AC5" totalsRowShown="0" headerRowDxfId="29">
  <autoFilter ref="A1:AC5"/>
  <tableColumns count="29">
    <tableColumn id="1" name="TRADE" dataDxfId="28"/>
    <tableColumn id="2" name="DATA" dataDxfId="27"/>
    <tableColumn id="12" name="RENDA FIXA" dataDxfId="26" dataCellStyle="Moeda"/>
    <tableColumn id="26" name="APORTE RF" dataDxfId="25" dataCellStyle="Moeda"/>
    <tableColumn id="9" name="SAQUE" dataDxfId="24" dataCellStyle="Moeda"/>
    <tableColumn id="5" name="LUCRO" dataDxfId="23" dataCellStyle="Moeda"/>
    <tableColumn id="3" name="APORTE" dataDxfId="22" dataCellStyle="Moeda">
      <calculatedColumnFormula>380</calculatedColumnFormula>
    </tableColumn>
    <tableColumn id="4" name="MONTANTE" dataDxfId="21" dataCellStyle="Moeda">
      <calculatedColumnFormula>SUMPRODUCT(N([TRADE] &lt;= Tabela1[[#This Row],[TRADE]]), [APORTE]) + SUMPRODUCT(N([TRADE] &lt;= Tabela1[[#This Row],[TRADE]]), [APORTE RF])</calculatedColumnFormula>
    </tableColumn>
    <tableColumn id="10" name="APLICAÇÃO" dataDxfId="20" dataCellStyle="Moeda">
      <calculatedColumnFormula>[MONTANTE] - SUMPRODUCT(N([TRADE] &lt;= Tabela1[[#This Row],[TRADE]]), [SAQUE]) + SUMPRODUCT(N([TRADE] &lt; Tabela1[[#This Row],[TRADE]]), [REINVESTIR])</calculatedColumnFormula>
    </tableColumn>
    <tableColumn id="11" name="EMOL CP" dataDxfId="19" dataCellStyle="Moeda">
      <calculatedColumnFormula>TRUNC([APLICAÇÃO]  * Plan2!$A$3, 2)</calculatedColumnFormula>
    </tableColumn>
    <tableColumn id="13" name="LIQD CP" dataDxfId="18" dataCellStyle="Moeda">
      <calculatedColumnFormula>TRUNC([APLICAÇÃO]  * Plan2!$B$3, 2)</calculatedColumnFormula>
    </tableColumn>
    <tableColumn id="14" name="REG CP" dataDxfId="17" dataCellStyle="Moeda">
      <calculatedColumnFormula>TRUNC([APLICAÇÃO]  * Plan2!$C$3, 2)</calculatedColumnFormula>
    </tableColumn>
    <tableColumn id="16" name="ISS CP" dataDxfId="16" dataCellStyle="Moeda">
      <calculatedColumnFormula>TRUNC(Plan2!$G$3  * Plan2!$H$3, 2)</calculatedColumnFormula>
    </tableColumn>
    <tableColumn id="19" name="OUTRAS CP" dataDxfId="15" dataCellStyle="Moeda">
      <calculatedColumnFormula>ROUND(Plan2!$G$3 * Plan2!$I$3, 2)</calculatedColumnFormula>
    </tableColumn>
    <tableColumn id="18" name="TAXA CP" dataDxfId="14" dataCellStyle="Moeda">
      <calculatedColumnFormula>Plan2!$G$3 + SUM(Tabela1[[#This Row],[EMOL CP]]:Tabela1[[#This Row],[OUTRAS CP]])</calculatedColumnFormula>
    </tableColumn>
    <tableColumn id="25" name="EMOL VD" dataDxfId="13" dataCellStyle="Moeda">
      <calculatedColumnFormula>TRUNC([APLICAÇÃO] * 2  * Plan2!$A$3, 2)</calculatedColumnFormula>
    </tableColumn>
    <tableColumn id="24" name="LIQD VD" dataDxfId="12" dataCellStyle="Moeda">
      <calculatedColumnFormula>TRUNC([APLICAÇÃO] * 2  * Plan2!$B$3, 2)</calculatedColumnFormula>
    </tableColumn>
    <tableColumn id="23" name="REG VD" dataDxfId="11" dataCellStyle="Moeda">
      <calculatedColumnFormula>TRUNC([APLICAÇÃO] * 2  * Plan2!$C$3, 2)</calculatedColumnFormula>
    </tableColumn>
    <tableColumn id="22" name="ISS VD" dataDxfId="10" dataCellStyle="Moeda">
      <calculatedColumnFormula>TRUNC(Plan2!$G$3  * Plan2!$H$3, 2)</calculatedColumnFormula>
    </tableColumn>
    <tableColumn id="21" name="OUTRAS VD" dataDxfId="9" dataCellStyle="Moeda">
      <calculatedColumnFormula>ROUND(Plan2!$G$3 * Plan2!$I$3, 2)</calculatedColumnFormula>
    </tableColumn>
    <tableColumn id="20" name="TAXA VD" dataDxfId="8" dataCellStyle="Moeda">
      <calculatedColumnFormula>Plan2!$G$3 + SUM(Tabela1[[#This Row],[EMOL VD]]:Tabela1[[#This Row],[OUTRAS VD]])</calculatedColumnFormula>
    </tableColumn>
    <tableColumn id="17" name="PREV LUCRO" dataDxfId="7" dataCellStyle="Moeda">
      <calculatedColumnFormula>((([APLICAÇÃO] * 2) - [TAXA VD]) - ([APLICAÇÃO] + [TAXA CP])) * 0.85</calculatedColumnFormula>
    </tableColumn>
    <tableColumn id="28" name="PERDA MAX" dataDxfId="6" dataCellStyle="Moeda">
      <calculatedColumnFormula>[APLICAÇÃO] - (ROUND([RENDA FIXA] * 0.1,2))</calculatedColumnFormula>
    </tableColumn>
    <tableColumn id="29" name="% PERDA" dataDxfId="5" dataCellStyle="Porcentagem">
      <calculatedColumnFormula>Tabela1[[#This Row],[PERDA MAX]]/Tabela1[[#This Row],[APLICAÇÃO]]</calculatedColumnFormula>
    </tableColumn>
    <tableColumn id="6" name="NO BOLSO" dataDxfId="4">
      <calculatedColumnFormula>IF([LUCRO] &lt; ([RENDA FIXA]/2), 0.5, 0.8)</calculatedColumnFormula>
    </tableColumn>
    <tableColumn id="7" name="PROTEÇÃO MÊS" dataDxfId="0" dataCellStyle="Moeda">
      <calculatedColumnFormula>IF([LUCRO] &lt; 0, 0, ROUND([LUCRO]*[NO BOLSO], 2))</calculatedColumnFormula>
    </tableColumn>
    <tableColumn id="8" name="REINVESTIR" dataDxfId="3" dataCellStyle="Moeda">
      <calculatedColumnFormula>[LUCRO]-[PROTEÇÃO MÊS]</calculatedColumnFormula>
    </tableColumn>
    <tableColumn id="15" name="TOT RF" dataDxfId="2" dataCellStyle="Moeda">
      <calculatedColumnFormula>[RENDA FIXA] + [PROTEÇÃO MÊS] - [APORTE RF]</calculatedColumnFormula>
    </tableColumn>
    <tableColumn id="27" name="PATRIMÔNIO" dataDxfId="1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AC5"/>
  <sheetViews>
    <sheetView tabSelected="1" workbookViewId="0">
      <selection activeCell="F5" sqref="F5"/>
    </sheetView>
  </sheetViews>
  <sheetFormatPr defaultRowHeight="11.25"/>
  <cols>
    <col min="1" max="1" width="7.5703125" style="1" bestFit="1" customWidth="1"/>
    <col min="2" max="2" width="9" style="1" bestFit="1" customWidth="1"/>
    <col min="3" max="3" width="11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2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5">
        <v>40969</v>
      </c>
      <c r="C2" s="3">
        <v>0</v>
      </c>
      <c r="D2" s="3">
        <v>0</v>
      </c>
      <c r="E2" s="3">
        <v>0</v>
      </c>
      <c r="F2" s="3">
        <v>366.15</v>
      </c>
      <c r="G2" s="3">
        <f>400</f>
        <v>400</v>
      </c>
      <c r="H2" s="3">
        <f>SUMPRODUCT(N([TRADE] &lt;= Tabela1[[#This Row],[TRADE]]), [APORTE]) + SUMPRODUCT(N([TRADE] &lt;= Tabela1[[#This Row],[TRADE]]), [APORTE RF])</f>
        <v>400</v>
      </c>
      <c r="I2" s="3">
        <f>[MONTANTE] - SUMPRODUCT(N([TRADE] &lt;= Tabela1[[#This Row],[TRADE]]), [SAQUE]) + SUMPRODUCT(N([TRADE] &lt; Tabela1[[#This Row],[TRADE]]), [REINVESTIR])</f>
        <v>400</v>
      </c>
      <c r="J2" s="3">
        <f>TRUNC([APLICAÇÃO]  * Plan2!$A$3, 2)</f>
        <v>0.14000000000000001</v>
      </c>
      <c r="K2" s="3">
        <f>TRUNC([APLICAÇÃO]  * Plan2!$B$3, 2)</f>
        <v>0.11</v>
      </c>
      <c r="L2" s="3">
        <f>TRUNC([APLICAÇÃO]  * Plan2!$C$3, 2)</f>
        <v>0.27</v>
      </c>
      <c r="M2" s="3">
        <f>TRUNC(Plan2!$G$3  * Plan2!$H$3, 2)</f>
        <v>0.28999999999999998</v>
      </c>
      <c r="N2" s="3">
        <f>ROUND(Plan2!$G$3 * Plan2!$I$3, 2)</f>
        <v>0.57999999999999996</v>
      </c>
      <c r="O2" s="3">
        <f>Plan2!$G$3 + SUM(Tabela1[[#This Row],[EMOL CP]]:Tabela1[[#This Row],[OUTRAS CP]])</f>
        <v>16.29</v>
      </c>
      <c r="P2" s="3">
        <f>TRUNC([APLICAÇÃO] * 2  * Plan2!$A$3, 2)</f>
        <v>0.28999999999999998</v>
      </c>
      <c r="Q2" s="3">
        <f>TRUNC([APLICAÇÃO] * 2  * Plan2!$B$3, 2)</f>
        <v>0.22</v>
      </c>
      <c r="R2" s="3">
        <f>TRUNC([APLICAÇÃO] * 2  * Plan2!$C$3, 2)</f>
        <v>0.55000000000000004</v>
      </c>
      <c r="S2" s="3">
        <f>TRUNC(Plan2!$G$3  * Plan2!$H$3, 2)</f>
        <v>0.28999999999999998</v>
      </c>
      <c r="T2" s="3">
        <f>ROUND(Plan2!$G$3 * Plan2!$I$3, 2)</f>
        <v>0.57999999999999996</v>
      </c>
      <c r="U2" s="3">
        <f>Plan2!$G$3 + SUM(Tabela1[[#This Row],[EMOL VD]]:Tabela1[[#This Row],[OUTRAS VD]])</f>
        <v>16.830000000000002</v>
      </c>
      <c r="V2" s="3">
        <f>((([APLICAÇÃO] * 2) - [TAXA VD]) - ([APLICAÇÃO] + [TAXA CP])) * 0.85</f>
        <v>311.84799999999996</v>
      </c>
      <c r="W2" s="11">
        <f>[APLICAÇÃO] - (ROUND([RENDA FIXA] * 0.1,2))</f>
        <v>400</v>
      </c>
      <c r="X2" s="4">
        <f>Tabela1[[#This Row],[PERDA MAX]]/Tabela1[[#This Row],[APLICAÇÃO]]</f>
        <v>1</v>
      </c>
      <c r="Y2" s="4">
        <f>IF([LUCRO] &lt; ([RENDA FIXA]/2), 0.5, 0.8)</f>
        <v>0.8</v>
      </c>
      <c r="Z2" s="3">
        <f>IF([LUCRO] &lt; 0, 0, ROUND([LUCRO]*[NO BOLSO], 2))</f>
        <v>292.92</v>
      </c>
      <c r="AA2" s="3">
        <f>[LUCRO]-[PROTEÇÃO MÊS]</f>
        <v>73.229999999999961</v>
      </c>
      <c r="AB2" s="3">
        <f>[RENDA FIXA] + [PROTEÇÃO MÊS] - [APORTE RF]</f>
        <v>292.92</v>
      </c>
      <c r="AC2" s="6">
        <f>[TOT RF] + [REINVESTIR] + [APLICAÇÃO]</f>
        <v>766.15</v>
      </c>
    </row>
    <row r="3" spans="1:29">
      <c r="A3" s="1">
        <v>2</v>
      </c>
      <c r="B3" s="5">
        <v>41000</v>
      </c>
      <c r="C3" s="3">
        <v>366.15</v>
      </c>
      <c r="D3" s="3">
        <v>0</v>
      </c>
      <c r="E3" s="3">
        <v>0</v>
      </c>
      <c r="F3" s="3">
        <v>-615.23</v>
      </c>
      <c r="G3" s="3">
        <f>142</f>
        <v>142</v>
      </c>
      <c r="H3" s="3">
        <f>SUMPRODUCT(N([TRADE] &lt;= Tabela1[[#This Row],[TRADE]]), [APORTE]) + SUMPRODUCT(N([TRADE] &lt;= Tabela1[[#This Row],[TRADE]]), [APORTE RF])</f>
        <v>542</v>
      </c>
      <c r="I3" s="3">
        <f>[MONTANTE] - SUMPRODUCT(N([TRADE] &lt;= Tabela1[[#This Row],[TRADE]]), [SAQUE]) + SUMPRODUCT(N([TRADE] &lt; Tabela1[[#This Row],[TRADE]]), [REINVESTIR])</f>
        <v>615.23</v>
      </c>
      <c r="J3" s="3">
        <f>TRUNC([APLICAÇÃO]  * Plan2!$A$3, 2)</f>
        <v>0.22</v>
      </c>
      <c r="K3" s="3">
        <f>TRUNC([APLICAÇÃO]  * Plan2!$B$3, 2)</f>
        <v>0.16</v>
      </c>
      <c r="L3" s="3">
        <f>TRUNC([APLICAÇÃO]  * Plan2!$C$3, 2)</f>
        <v>0.42</v>
      </c>
      <c r="M3" s="3">
        <f>TRUNC(Plan2!$G$3  * Plan2!$H$3, 2)</f>
        <v>0.28999999999999998</v>
      </c>
      <c r="N3" s="3">
        <f>ROUND(Plan2!$G$3 * Plan2!$I$3, 2)</f>
        <v>0.57999999999999996</v>
      </c>
      <c r="O3" s="3">
        <f>Plan2!$G$3 + SUM(Tabela1[[#This Row],[EMOL CP]]:Tabela1[[#This Row],[OUTRAS CP]])</f>
        <v>16.57</v>
      </c>
      <c r="P3" s="3">
        <f>TRUNC([APLICAÇÃO] * 2  * Plan2!$A$3, 2)</f>
        <v>0.45</v>
      </c>
      <c r="Q3" s="3">
        <f>TRUNC([APLICAÇÃO] * 2  * Plan2!$B$3, 2)</f>
        <v>0.33</v>
      </c>
      <c r="R3" s="3">
        <f>TRUNC([APLICAÇÃO] * 2  * Plan2!$C$3, 2)</f>
        <v>0.85</v>
      </c>
      <c r="S3" s="3">
        <f>TRUNC(Plan2!$G$3  * Plan2!$H$3, 2)</f>
        <v>0.28999999999999998</v>
      </c>
      <c r="T3" s="3">
        <f>ROUND(Plan2!$G$3 * Plan2!$I$3, 2)</f>
        <v>0.57999999999999996</v>
      </c>
      <c r="U3" s="3">
        <f>Plan2!$G$3 + SUM(Tabela1[[#This Row],[EMOL VD]]:Tabela1[[#This Row],[OUTRAS VD]])</f>
        <v>17.399999999999999</v>
      </c>
      <c r="V3" s="3">
        <f>((([APLICAÇÃO] * 2) - [TAXA VD]) - ([APLICAÇÃO] + [TAXA CP])) * 0.85</f>
        <v>494.07099999999986</v>
      </c>
      <c r="W3" s="11">
        <f>[APLICAÇÃO] - (ROUND([RENDA FIXA] * 0.1,2))</f>
        <v>578.61</v>
      </c>
      <c r="X3" s="4">
        <f>Tabela1[[#This Row],[PERDA MAX]]/Tabela1[[#This Row],[APLICAÇÃO]]</f>
        <v>0.94047754498317704</v>
      </c>
      <c r="Y3" s="4">
        <f>IF([LUCRO] &lt; ([RENDA FIXA]/2), 0.5, 0.8)</f>
        <v>0.5</v>
      </c>
      <c r="Z3" s="3">
        <f>IF([LUCRO] &lt; 0, 0, ROUND([LUCRO]*[NO BOLSO], 2))</f>
        <v>0</v>
      </c>
      <c r="AA3" s="3">
        <f>[LUCRO]-[PROTEÇÃO MÊS]</f>
        <v>-615.23</v>
      </c>
      <c r="AB3" s="3">
        <f>[RENDA FIXA] + [PROTEÇÃO MÊS] - [APORTE RF]</f>
        <v>366.15</v>
      </c>
      <c r="AC3" s="6">
        <f>[TOT RF] + [REINVESTIR] + [APLICAÇÃO]</f>
        <v>366.15</v>
      </c>
    </row>
    <row r="4" spans="1:29">
      <c r="A4" s="1">
        <v>3</v>
      </c>
      <c r="B4" s="5">
        <v>41000</v>
      </c>
      <c r="C4" s="3">
        <v>549.6</v>
      </c>
      <c r="D4" s="3">
        <v>0</v>
      </c>
      <c r="E4" s="3">
        <v>0</v>
      </c>
      <c r="F4" s="3">
        <v>93.44</v>
      </c>
      <c r="G4" s="6">
        <f>142</f>
        <v>142</v>
      </c>
      <c r="H4" s="6">
        <f>SUMPRODUCT(N([TRADE] &lt;= Tabela1[[#This Row],[TRADE]]), [APORTE]) + SUMPRODUCT(N([TRADE] &lt;= Tabela1[[#This Row],[TRADE]]), [APORTE RF])</f>
        <v>684</v>
      </c>
      <c r="I4" s="6">
        <f>[MONTANTE] - SUMPRODUCT(N([TRADE] &lt;= Tabela1[[#This Row],[TRADE]]), [SAQUE]) + SUMPRODUCT(N([TRADE] &lt; Tabela1[[#This Row],[TRADE]]), [REINVESTIR])</f>
        <v>142</v>
      </c>
      <c r="J4" s="6">
        <f>TRUNC([APLICAÇÃO]  * Plan2!$A$3, 2)</f>
        <v>0.05</v>
      </c>
      <c r="K4" s="6">
        <f>TRUNC([APLICAÇÃO]  * Plan2!$B$3, 2)</f>
        <v>0.03</v>
      </c>
      <c r="L4" s="6">
        <f>TRUNC([APLICAÇÃO]  * Plan2!$C$3, 2)</f>
        <v>0.09</v>
      </c>
      <c r="M4" s="6">
        <f>TRUNC(Plan2!$G$3  * Plan2!$H$3, 2)</f>
        <v>0.28999999999999998</v>
      </c>
      <c r="N4" s="6">
        <f>ROUND(Plan2!$G$3 * Plan2!$I$3, 2)</f>
        <v>0.57999999999999996</v>
      </c>
      <c r="O4" s="6">
        <f>Plan2!$G$3 + SUM(Tabela1[[#This Row],[EMOL CP]]:Tabela1[[#This Row],[OUTRAS CP]])</f>
        <v>15.940000000000001</v>
      </c>
      <c r="P4" s="6">
        <f>TRUNC([APLICAÇÃO] * 2  * Plan2!$A$3, 2)</f>
        <v>0.1</v>
      </c>
      <c r="Q4" s="6">
        <f>TRUNC([APLICAÇÃO] * 2  * Plan2!$B$3, 2)</f>
        <v>7.0000000000000007E-2</v>
      </c>
      <c r="R4" s="6">
        <f>TRUNC([APLICAÇÃO] * 2  * Plan2!$C$3, 2)</f>
        <v>0.19</v>
      </c>
      <c r="S4" s="6">
        <f>TRUNC(Plan2!$G$3  * Plan2!$H$3, 2)</f>
        <v>0.28999999999999998</v>
      </c>
      <c r="T4" s="6">
        <f>ROUND(Plan2!$G$3 * Plan2!$I$3, 2)</f>
        <v>0.57999999999999996</v>
      </c>
      <c r="U4" s="6">
        <f>Plan2!$G$3 + SUM(Tabela1[[#This Row],[EMOL VD]]:Tabela1[[#This Row],[OUTRAS VD]])</f>
        <v>16.13</v>
      </c>
      <c r="V4" s="6">
        <f>((([APLICAÇÃO] * 2) - [TAXA VD]) - ([APLICAÇÃO] + [TAXA CP])) * 0.85</f>
        <v>93.4405</v>
      </c>
      <c r="W4" s="14">
        <f>[APLICAÇÃO] - (ROUND([RENDA FIXA] * 0.1,2))</f>
        <v>87.039999999999992</v>
      </c>
      <c r="X4" s="4">
        <f>Tabela1[[#This Row],[PERDA MAX]]/Tabela1[[#This Row],[APLICAÇÃO]]</f>
        <v>0.61295774647887313</v>
      </c>
      <c r="Y4" s="15">
        <f>IF([LUCRO] &lt; ([RENDA FIXA]/2), 0.5, 0.8)</f>
        <v>0.5</v>
      </c>
      <c r="Z4" s="6">
        <f>IF([LUCRO] &lt; 0, 0, ROUND([LUCRO]*[NO BOLSO], 2))</f>
        <v>46.72</v>
      </c>
      <c r="AA4" s="3">
        <f>[LUCRO]-[PROTEÇÃO MÊS]</f>
        <v>46.72</v>
      </c>
      <c r="AB4" s="6">
        <f>[RENDA FIXA] + [PROTEÇÃO MÊS] - [APORTE RF]</f>
        <v>596.32000000000005</v>
      </c>
      <c r="AC4" s="6">
        <f>[TOT RF] + [REINVESTIR] + [APLICAÇÃO]</f>
        <v>785.04000000000008</v>
      </c>
    </row>
    <row r="5" spans="1:29">
      <c r="A5" s="1">
        <v>4</v>
      </c>
      <c r="B5" s="5">
        <v>41000</v>
      </c>
      <c r="C5" s="3">
        <v>925.68</v>
      </c>
      <c r="D5" s="3"/>
      <c r="E5" s="3"/>
      <c r="F5" s="3">
        <v>0</v>
      </c>
      <c r="G5" s="6">
        <f>0</f>
        <v>0</v>
      </c>
      <c r="H5" s="6">
        <f>SUMPRODUCT(N([TRADE] &lt;= Tabela1[[#This Row],[TRADE]]), [APORTE]) + SUMPRODUCT(N([TRADE] &lt;= Tabela1[[#This Row],[TRADE]]), [APORTE RF])</f>
        <v>684</v>
      </c>
      <c r="I5" s="6">
        <f>[MONTANTE] - SUMPRODUCT(N([TRADE] &lt;= Tabela1[[#This Row],[TRADE]]), [SAQUE]) + SUMPRODUCT(N([TRADE] &lt; Tabela1[[#This Row],[TRADE]]), [REINVESTIR])</f>
        <v>188.72000000000003</v>
      </c>
      <c r="J5" s="6">
        <f>TRUNC([APLICAÇÃO]  * Plan2!$A$3, 2)</f>
        <v>0.06</v>
      </c>
      <c r="K5" s="6">
        <f>TRUNC([APLICAÇÃO]  * Plan2!$B$3, 2)</f>
        <v>0.05</v>
      </c>
      <c r="L5" s="6">
        <f>TRUNC([APLICAÇÃO]  * Plan2!$C$3, 2)</f>
        <v>0.13</v>
      </c>
      <c r="M5" s="6">
        <f>TRUNC(Plan2!$G$3  * Plan2!$H$3, 2)</f>
        <v>0.28999999999999998</v>
      </c>
      <c r="N5" s="6">
        <f>ROUND(Plan2!$G$3 * Plan2!$I$3, 2)</f>
        <v>0.57999999999999996</v>
      </c>
      <c r="O5" s="6">
        <f>Plan2!$G$3 + SUM(Tabela1[[#This Row],[EMOL CP]]:Tabela1[[#This Row],[OUTRAS CP]])</f>
        <v>16.010000000000002</v>
      </c>
      <c r="P5" s="6">
        <f>TRUNC([APLICAÇÃO] * 2  * Plan2!$A$3, 2)</f>
        <v>0.13</v>
      </c>
      <c r="Q5" s="6">
        <f>TRUNC([APLICAÇÃO] * 2  * Plan2!$B$3, 2)</f>
        <v>0.1</v>
      </c>
      <c r="R5" s="6">
        <f>TRUNC([APLICAÇÃO] * 2  * Plan2!$C$3, 2)</f>
        <v>0.26</v>
      </c>
      <c r="S5" s="6">
        <f>TRUNC(Plan2!$G$3  * Plan2!$H$3, 2)</f>
        <v>0.28999999999999998</v>
      </c>
      <c r="T5" s="6">
        <f>ROUND(Plan2!$G$3 * Plan2!$I$3, 2)</f>
        <v>0.57999999999999996</v>
      </c>
      <c r="U5" s="6">
        <f>Plan2!$G$3 + SUM(Tabela1[[#This Row],[EMOL VD]]:Tabela1[[#This Row],[OUTRAS VD]])</f>
        <v>16.260000000000002</v>
      </c>
      <c r="V5" s="6">
        <f>((([APLICAÇÃO] * 2) - [TAXA VD]) - ([APLICAÇÃO] + [TAXA CP])) * 0.85</f>
        <v>132.98250000000004</v>
      </c>
      <c r="W5" s="14">
        <f>[APLICAÇÃO] - (ROUND([RENDA FIXA] * 0.1,2))</f>
        <v>96.150000000000034</v>
      </c>
      <c r="X5" s="4">
        <f>Tabela1[[#This Row],[PERDA MAX]]/Tabela1[[#This Row],[APLICAÇÃO]]</f>
        <v>0.50948495125052995</v>
      </c>
      <c r="Y5" s="15">
        <f>IF([LUCRO] &lt; ([RENDA FIXA]/2), 0.5, 0.8)</f>
        <v>0.5</v>
      </c>
      <c r="Z5" s="6">
        <f>IF([LUCRO] &lt; 0, 0, ROUND([LUCRO]*[NO BOLSO], 2))</f>
        <v>0</v>
      </c>
      <c r="AA5" s="3">
        <f>[LUCRO]-[PROTEÇÃO MÊS]</f>
        <v>0</v>
      </c>
      <c r="AB5" s="6">
        <f>[RENDA FIXA] + [PROTEÇÃO MÊS] - [APORTE RF]</f>
        <v>925.68</v>
      </c>
      <c r="AC5" s="6">
        <f>[TOT RF] + [REINVESTIR] + [APLICAÇÃO]</f>
        <v>1114.4000000000001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I3"/>
  <sheetViews>
    <sheetView workbookViewId="0">
      <selection activeCell="G5" sqref="G5"/>
    </sheetView>
  </sheetViews>
  <sheetFormatPr defaultRowHeight="11.25"/>
  <cols>
    <col min="1" max="2" width="6.85546875" style="1" bestFit="1" customWidth="1"/>
    <col min="3" max="3" width="7.28515625" style="1" bestFit="1" customWidth="1"/>
    <col min="4" max="5" width="6.85546875" style="1" bestFit="1" customWidth="1"/>
    <col min="6" max="6" width="7.28515625" style="1" bestFit="1" customWidth="1"/>
    <col min="7" max="7" width="11.7109375" style="1" bestFit="1" customWidth="1"/>
    <col min="8" max="8" width="5.42578125" style="1" bestFit="1" customWidth="1"/>
    <col min="9" max="9" width="7.28515625" style="1" bestFit="1" customWidth="1"/>
    <col min="10" max="16384" width="9.140625" style="1"/>
  </cols>
  <sheetData>
    <row r="1" spans="1:9">
      <c r="A1" s="16" t="s">
        <v>10</v>
      </c>
      <c r="B1" s="16"/>
      <c r="C1" s="16"/>
      <c r="D1" s="16" t="s">
        <v>11</v>
      </c>
      <c r="E1" s="16"/>
      <c r="F1" s="16"/>
      <c r="G1" s="17" t="s">
        <v>22</v>
      </c>
      <c r="H1" s="17" t="s">
        <v>18</v>
      </c>
      <c r="I1" s="17" t="s">
        <v>23</v>
      </c>
    </row>
    <row r="2" spans="1:9">
      <c r="A2" s="7" t="s">
        <v>12</v>
      </c>
      <c r="B2" s="7" t="s">
        <v>13</v>
      </c>
      <c r="C2" s="7" t="s">
        <v>14</v>
      </c>
      <c r="D2" s="7" t="s">
        <v>12</v>
      </c>
      <c r="E2" s="7" t="s">
        <v>13</v>
      </c>
      <c r="F2" s="7" t="s">
        <v>14</v>
      </c>
      <c r="G2" s="17"/>
      <c r="H2" s="17"/>
      <c r="I2" s="17"/>
    </row>
    <row r="3" spans="1:9">
      <c r="A3" s="8">
        <v>3.6999999999999999E-4</v>
      </c>
      <c r="B3" s="8">
        <v>2.7499999999999996E-4</v>
      </c>
      <c r="C3" s="8">
        <v>6.9499999999999998E-4</v>
      </c>
      <c r="D3" s="8">
        <v>1.2E-4</v>
      </c>
      <c r="E3" s="8">
        <v>1.8000000000000001E-4</v>
      </c>
      <c r="F3" s="8">
        <v>1.4999999999999999E-4</v>
      </c>
      <c r="G3" s="9">
        <v>14.9</v>
      </c>
      <c r="H3" s="10">
        <v>0.02</v>
      </c>
      <c r="I3" s="10">
        <v>3.9E-2</v>
      </c>
    </row>
  </sheetData>
  <mergeCells count="5">
    <mergeCell ref="A1:C1"/>
    <mergeCell ref="D1:F1"/>
    <mergeCell ref="G1:G2"/>
    <mergeCell ref="H1:H2"/>
    <mergeCell ref="I1:I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2012-03-16T22:49:23Z</dcterms:created>
  <dcterms:modified xsi:type="dcterms:W3CDTF">2012-04-13T14:37:31Z</dcterms:modified>
</cp:coreProperties>
</file>