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showPivotChartFilter="1" defaultThemeVersion="124226"/>
  <bookViews>
    <workbookView xWindow="360" yWindow="300" windowWidth="9270" windowHeight="2040" activeTab="1"/>
  </bookViews>
  <sheets>
    <sheet name="Analise" sheetId="1" r:id="rId1"/>
    <sheet name="Resultado" sheetId="5" r:id="rId2"/>
    <sheet name="Setup" sheetId="2" r:id="rId3"/>
    <sheet name="MLL" sheetId="9" r:id="rId4"/>
    <sheet name="ROE" sheetId="7" r:id="rId5"/>
  </sheets>
  <definedNames>
    <definedName name="Slicer_Setor">#N/A</definedName>
  </definedNames>
  <calcPr calcId="124519"/>
  <pivotCaches>
    <pivotCache cacheId="55" r:id="rId6"/>
  </pivotCaches>
  <extLst>
    <ext xmlns:x14="http://schemas.microsoft.com/office/spreadsheetml/2009/9/main" uri="{BBE1A952-AA13-448e-AADC-164F8A28A991}">
      <x14:slicerCaches>
        <x14:slicerCache r:id="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I163" i="1"/>
  <c r="I162"/>
  <c r="I161"/>
  <c r="I160"/>
  <c r="I159"/>
  <c r="I158"/>
  <c r="N163"/>
  <c r="O163"/>
  <c r="P163"/>
  <c r="Q163"/>
  <c r="R163"/>
  <c r="S163"/>
  <c r="T163"/>
  <c r="U163"/>
  <c r="V163"/>
  <c r="AA163"/>
  <c r="N162"/>
  <c r="O162"/>
  <c r="P162"/>
  <c r="Q162"/>
  <c r="R162"/>
  <c r="S162"/>
  <c r="T162"/>
  <c r="U162"/>
  <c r="V162"/>
  <c r="AA162"/>
  <c r="N161"/>
  <c r="O161"/>
  <c r="P161"/>
  <c r="Q161"/>
  <c r="R161"/>
  <c r="S161"/>
  <c r="T161"/>
  <c r="U161"/>
  <c r="V161"/>
  <c r="AA161"/>
  <c r="N160"/>
  <c r="O160"/>
  <c r="P160"/>
  <c r="Q160"/>
  <c r="R160"/>
  <c r="S160"/>
  <c r="T160"/>
  <c r="U160"/>
  <c r="V160"/>
  <c r="AA160"/>
  <c r="N159"/>
  <c r="O159"/>
  <c r="P159"/>
  <c r="Q159"/>
  <c r="R159"/>
  <c r="S159"/>
  <c r="T159"/>
  <c r="U159"/>
  <c r="V159"/>
  <c r="AA159"/>
  <c r="N158"/>
  <c r="O158"/>
  <c r="P158"/>
  <c r="Q158"/>
  <c r="R158"/>
  <c r="S158"/>
  <c r="T158"/>
  <c r="U158"/>
  <c r="V158"/>
  <c r="AA158"/>
  <c r="I157"/>
  <c r="I156"/>
  <c r="I155"/>
  <c r="I154"/>
  <c r="I153"/>
  <c r="I152"/>
  <c r="N157"/>
  <c r="O157"/>
  <c r="P157"/>
  <c r="Q157"/>
  <c r="R157"/>
  <c r="S157"/>
  <c r="T157"/>
  <c r="U157"/>
  <c r="V157"/>
  <c r="AA157"/>
  <c r="N156"/>
  <c r="O156"/>
  <c r="P156"/>
  <c r="Q156"/>
  <c r="R156"/>
  <c r="S156"/>
  <c r="T156"/>
  <c r="U156"/>
  <c r="V156"/>
  <c r="AA156"/>
  <c r="N155"/>
  <c r="O155"/>
  <c r="P155"/>
  <c r="Q155"/>
  <c r="R155"/>
  <c r="S155"/>
  <c r="T155"/>
  <c r="U155"/>
  <c r="V155"/>
  <c r="AA155"/>
  <c r="N154"/>
  <c r="O154"/>
  <c r="P154"/>
  <c r="Q154"/>
  <c r="R154"/>
  <c r="S154"/>
  <c r="T154"/>
  <c r="U154"/>
  <c r="V154"/>
  <c r="AA154"/>
  <c r="N153"/>
  <c r="O153"/>
  <c r="P153"/>
  <c r="Q153"/>
  <c r="R153"/>
  <c r="S153"/>
  <c r="T153"/>
  <c r="U153"/>
  <c r="V153"/>
  <c r="AA153"/>
  <c r="N152"/>
  <c r="O152"/>
  <c r="P152"/>
  <c r="Q152"/>
  <c r="R152"/>
  <c r="S152"/>
  <c r="T152"/>
  <c r="U152"/>
  <c r="V152"/>
  <c r="AA152"/>
  <c r="N150"/>
  <c r="N151"/>
  <c r="O150"/>
  <c r="O151"/>
  <c r="P150"/>
  <c r="P151"/>
  <c r="Q150"/>
  <c r="Q151"/>
  <c r="R150"/>
  <c r="R151"/>
  <c r="S150"/>
  <c r="S151"/>
  <c r="T150"/>
  <c r="T151"/>
  <c r="U150"/>
  <c r="U151"/>
  <c r="V150"/>
  <c r="V151"/>
  <c r="AA150"/>
  <c r="AA151"/>
  <c r="N148"/>
  <c r="N149"/>
  <c r="O148"/>
  <c r="O149"/>
  <c r="P148"/>
  <c r="P149"/>
  <c r="Q148"/>
  <c r="Q149"/>
  <c r="R148"/>
  <c r="R149"/>
  <c r="S148"/>
  <c r="S149"/>
  <c r="T148"/>
  <c r="T149"/>
  <c r="U148"/>
  <c r="U149"/>
  <c r="V148"/>
  <c r="V149"/>
  <c r="AA148"/>
  <c r="AA149"/>
  <c r="N147"/>
  <c r="O147"/>
  <c r="P147"/>
  <c r="Q147"/>
  <c r="R147"/>
  <c r="S147"/>
  <c r="T147"/>
  <c r="U147"/>
  <c r="V147"/>
  <c r="AA147"/>
  <c r="N146"/>
  <c r="O146"/>
  <c r="P146"/>
  <c r="Q146"/>
  <c r="R146"/>
  <c r="S146"/>
  <c r="T146"/>
  <c r="U146"/>
  <c r="V146"/>
  <c r="AA146"/>
  <c r="I145"/>
  <c r="I144"/>
  <c r="I143"/>
  <c r="I142"/>
  <c r="I141"/>
  <c r="I140"/>
  <c r="N140"/>
  <c r="N141"/>
  <c r="N142"/>
  <c r="N143"/>
  <c r="N144"/>
  <c r="N145"/>
  <c r="O140"/>
  <c r="O141"/>
  <c r="O142"/>
  <c r="O143"/>
  <c r="O144"/>
  <c r="O145"/>
  <c r="P140"/>
  <c r="P141"/>
  <c r="P142"/>
  <c r="P143"/>
  <c r="P144"/>
  <c r="P145"/>
  <c r="Q140"/>
  <c r="Q141"/>
  <c r="Q142"/>
  <c r="Q143"/>
  <c r="Q144"/>
  <c r="Q145"/>
  <c r="R140"/>
  <c r="R141"/>
  <c r="R142"/>
  <c r="R143"/>
  <c r="R144"/>
  <c r="R145"/>
  <c r="S140"/>
  <c r="S141"/>
  <c r="S142"/>
  <c r="S143"/>
  <c r="S144"/>
  <c r="S145"/>
  <c r="T140"/>
  <c r="T141"/>
  <c r="T142"/>
  <c r="T143"/>
  <c r="T144"/>
  <c r="T145"/>
  <c r="U140"/>
  <c r="U141"/>
  <c r="U142"/>
  <c r="U143"/>
  <c r="U144"/>
  <c r="U145"/>
  <c r="V140"/>
  <c r="V141"/>
  <c r="V142"/>
  <c r="V143"/>
  <c r="V144"/>
  <c r="V145"/>
  <c r="AA140"/>
  <c r="AA141"/>
  <c r="AA142"/>
  <c r="AA143"/>
  <c r="AA144"/>
  <c r="AA145"/>
  <c r="I139"/>
  <c r="I138"/>
  <c r="I137"/>
  <c r="I136"/>
  <c r="I135"/>
  <c r="I134"/>
  <c r="N139"/>
  <c r="O139"/>
  <c r="P139"/>
  <c r="Q139"/>
  <c r="R139"/>
  <c r="S139"/>
  <c r="T139"/>
  <c r="U139"/>
  <c r="V139"/>
  <c r="AA139"/>
  <c r="N138"/>
  <c r="O138"/>
  <c r="P138"/>
  <c r="Q138"/>
  <c r="R138"/>
  <c r="S138"/>
  <c r="T138"/>
  <c r="U138"/>
  <c r="V138"/>
  <c r="AA138"/>
  <c r="N137"/>
  <c r="O137"/>
  <c r="P137"/>
  <c r="Q137"/>
  <c r="R137"/>
  <c r="S137"/>
  <c r="T137"/>
  <c r="U137"/>
  <c r="V137"/>
  <c r="AA137"/>
  <c r="N136"/>
  <c r="O136"/>
  <c r="P136"/>
  <c r="Q136"/>
  <c r="R136"/>
  <c r="S136"/>
  <c r="T136"/>
  <c r="U136"/>
  <c r="V136"/>
  <c r="AA136"/>
  <c r="N135"/>
  <c r="O135"/>
  <c r="P135"/>
  <c r="Q135"/>
  <c r="R135"/>
  <c r="S135"/>
  <c r="T135"/>
  <c r="U135"/>
  <c r="V135"/>
  <c r="AA135"/>
  <c r="N134"/>
  <c r="O134"/>
  <c r="P134"/>
  <c r="Q134"/>
  <c r="R134"/>
  <c r="S134"/>
  <c r="T134"/>
  <c r="U134"/>
  <c r="V134"/>
  <c r="AA134"/>
  <c r="I43"/>
  <c r="I42"/>
  <c r="I41"/>
  <c r="I40"/>
  <c r="I39"/>
  <c r="I38"/>
  <c r="N92"/>
  <c r="N93"/>
  <c r="N94"/>
  <c r="N95"/>
  <c r="N96"/>
  <c r="N97"/>
  <c r="N36"/>
  <c r="N37"/>
  <c r="N120"/>
  <c r="N121"/>
  <c r="N68"/>
  <c r="N132"/>
  <c r="N122"/>
  <c r="N111"/>
  <c r="N56"/>
  <c r="N57"/>
  <c r="N58"/>
  <c r="N59"/>
  <c r="N60"/>
  <c r="N61"/>
  <c r="N50"/>
  <c r="N51"/>
  <c r="N52"/>
  <c r="N53"/>
  <c r="N54"/>
  <c r="N98"/>
  <c r="N99"/>
  <c r="N100"/>
  <c r="N101"/>
  <c r="N102"/>
  <c r="N103"/>
  <c r="N104"/>
  <c r="N105"/>
  <c r="N106"/>
  <c r="N107"/>
  <c r="N108"/>
  <c r="N109"/>
  <c r="N44"/>
  <c r="N45"/>
  <c r="N46"/>
  <c r="N49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26"/>
  <c r="N27"/>
  <c r="N29"/>
  <c r="N14"/>
  <c r="N15"/>
  <c r="N16"/>
  <c r="N17"/>
  <c r="N18"/>
  <c r="N19"/>
  <c r="N2"/>
  <c r="N4"/>
  <c r="N5"/>
  <c r="N6"/>
  <c r="N7"/>
  <c r="N20"/>
  <c r="N21"/>
  <c r="N22"/>
  <c r="N23"/>
  <c r="N24"/>
  <c r="N25"/>
  <c r="N38"/>
  <c r="N39"/>
  <c r="N40"/>
  <c r="N41"/>
  <c r="N42"/>
  <c r="N43"/>
  <c r="O43"/>
  <c r="P43"/>
  <c r="Q43"/>
  <c r="R43"/>
  <c r="S43"/>
  <c r="T43"/>
  <c r="U43"/>
  <c r="V43"/>
  <c r="AA43"/>
  <c r="O42"/>
  <c r="P42"/>
  <c r="Q42"/>
  <c r="R42"/>
  <c r="S42"/>
  <c r="T42"/>
  <c r="U42"/>
  <c r="V42"/>
  <c r="AA42"/>
  <c r="O41"/>
  <c r="P41"/>
  <c r="Q41"/>
  <c r="R41"/>
  <c r="S41"/>
  <c r="T41"/>
  <c r="U41"/>
  <c r="V41"/>
  <c r="AA41"/>
  <c r="O40"/>
  <c r="P40"/>
  <c r="Q40"/>
  <c r="R40"/>
  <c r="S40"/>
  <c r="T40"/>
  <c r="U40"/>
  <c r="V40"/>
  <c r="AA40"/>
  <c r="O39"/>
  <c r="P39"/>
  <c r="Q39"/>
  <c r="R39"/>
  <c r="S39"/>
  <c r="T39"/>
  <c r="U39"/>
  <c r="V39"/>
  <c r="AA39"/>
  <c r="O38"/>
  <c r="P38"/>
  <c r="Q38"/>
  <c r="R38"/>
  <c r="S38"/>
  <c r="T38"/>
  <c r="U38"/>
  <c r="V38"/>
  <c r="AA38"/>
  <c r="AA8"/>
  <c r="AA9"/>
  <c r="AA10"/>
  <c r="AA11"/>
  <c r="AA12"/>
  <c r="AA13"/>
  <c r="AA92"/>
  <c r="AA93"/>
  <c r="AA94"/>
  <c r="AA95"/>
  <c r="AA96"/>
  <c r="AA97"/>
  <c r="AA32"/>
  <c r="AA33"/>
  <c r="AA34"/>
  <c r="AA35"/>
  <c r="AA36"/>
  <c r="AA37"/>
  <c r="AA116"/>
  <c r="AA117"/>
  <c r="AA118"/>
  <c r="AA119"/>
  <c r="AA120"/>
  <c r="AA121"/>
  <c r="AA68"/>
  <c r="AA69"/>
  <c r="AA70"/>
  <c r="AA71"/>
  <c r="AA72"/>
  <c r="AA73"/>
  <c r="AA128"/>
  <c r="AA129"/>
  <c r="AA130"/>
  <c r="AA131"/>
  <c r="AA132"/>
  <c r="AA133"/>
  <c r="AA122"/>
  <c r="AA123"/>
  <c r="AA124"/>
  <c r="AA125"/>
  <c r="AA126"/>
  <c r="AA127"/>
  <c r="AA110"/>
  <c r="AA111"/>
  <c r="AA112"/>
  <c r="AA113"/>
  <c r="AA114"/>
  <c r="AA115"/>
  <c r="AA62"/>
  <c r="AA63"/>
  <c r="AA64"/>
  <c r="AA65"/>
  <c r="AA66"/>
  <c r="AA67"/>
  <c r="AA56"/>
  <c r="AA57"/>
  <c r="AA58"/>
  <c r="AA59"/>
  <c r="AA60"/>
  <c r="AA61"/>
  <c r="AA50"/>
  <c r="AA51"/>
  <c r="AA52"/>
  <c r="AA53"/>
  <c r="AA54"/>
  <c r="AA55"/>
  <c r="AA98"/>
  <c r="AA99"/>
  <c r="AA100"/>
  <c r="AA101"/>
  <c r="AA102"/>
  <c r="AA103"/>
  <c r="AA104"/>
  <c r="AA105"/>
  <c r="AA106"/>
  <c r="AA107"/>
  <c r="AA108"/>
  <c r="AA109"/>
  <c r="AA44"/>
  <c r="AA45"/>
  <c r="AA46"/>
  <c r="AA47"/>
  <c r="AA48"/>
  <c r="AA49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AA91"/>
  <c r="AA26"/>
  <c r="AA27"/>
  <c r="AA28"/>
  <c r="AA29"/>
  <c r="AA30"/>
  <c r="AA31"/>
  <c r="AA14"/>
  <c r="AA15"/>
  <c r="AA16"/>
  <c r="AA17"/>
  <c r="AA18"/>
  <c r="AA19"/>
  <c r="AA2"/>
  <c r="AA3"/>
  <c r="AA4"/>
  <c r="AA5"/>
  <c r="AA6"/>
  <c r="AA7"/>
  <c r="AA20"/>
  <c r="AA21"/>
  <c r="AA22"/>
  <c r="AA23"/>
  <c r="AA24"/>
  <c r="AA25"/>
  <c r="I25"/>
  <c r="I24"/>
  <c r="I23"/>
  <c r="I22"/>
  <c r="I21"/>
  <c r="I20"/>
  <c r="O20"/>
  <c r="O21"/>
  <c r="O22"/>
  <c r="O23"/>
  <c r="O24"/>
  <c r="O25"/>
  <c r="P20"/>
  <c r="P21"/>
  <c r="P22"/>
  <c r="P23"/>
  <c r="P24"/>
  <c r="P25"/>
  <c r="Q20"/>
  <c r="Q21"/>
  <c r="Q22"/>
  <c r="Q23"/>
  <c r="Q24"/>
  <c r="Q25"/>
  <c r="R20"/>
  <c r="R21"/>
  <c r="R22"/>
  <c r="R23"/>
  <c r="R24"/>
  <c r="R25"/>
  <c r="S20"/>
  <c r="S21"/>
  <c r="S22"/>
  <c r="S23"/>
  <c r="S24"/>
  <c r="S25"/>
  <c r="T20"/>
  <c r="T21"/>
  <c r="T22"/>
  <c r="T23"/>
  <c r="T24"/>
  <c r="T25"/>
  <c r="U20"/>
  <c r="U21"/>
  <c r="U22"/>
  <c r="U23"/>
  <c r="U24"/>
  <c r="U25"/>
  <c r="V20"/>
  <c r="V21"/>
  <c r="V22"/>
  <c r="V23"/>
  <c r="V24"/>
  <c r="V25"/>
  <c r="I7"/>
  <c r="I6"/>
  <c r="I5"/>
  <c r="M3"/>
  <c r="N3" s="1"/>
  <c r="I4"/>
  <c r="I3"/>
  <c r="I2"/>
  <c r="O2"/>
  <c r="O3"/>
  <c r="O4"/>
  <c r="O5"/>
  <c r="O6"/>
  <c r="O7"/>
  <c r="P2"/>
  <c r="P3"/>
  <c r="P4"/>
  <c r="P5"/>
  <c r="P6"/>
  <c r="P7"/>
  <c r="Q2"/>
  <c r="Q3"/>
  <c r="Q4"/>
  <c r="Q5"/>
  <c r="Q6"/>
  <c r="Q7"/>
  <c r="R2"/>
  <c r="R3"/>
  <c r="R4"/>
  <c r="R5"/>
  <c r="R6"/>
  <c r="R7"/>
  <c r="S2"/>
  <c r="S3"/>
  <c r="S4"/>
  <c r="S5"/>
  <c r="S6"/>
  <c r="S7"/>
  <c r="T2"/>
  <c r="T3"/>
  <c r="T4"/>
  <c r="T5"/>
  <c r="T6"/>
  <c r="T7"/>
  <c r="U2"/>
  <c r="U4"/>
  <c r="U5"/>
  <c r="U6"/>
  <c r="U7"/>
  <c r="V2"/>
  <c r="V4"/>
  <c r="V5"/>
  <c r="V6"/>
  <c r="V7"/>
  <c r="I19"/>
  <c r="I18"/>
  <c r="I17"/>
  <c r="I16"/>
  <c r="I15"/>
  <c r="I14"/>
  <c r="O19"/>
  <c r="P19"/>
  <c r="Q19"/>
  <c r="R19"/>
  <c r="S19"/>
  <c r="T19"/>
  <c r="U19"/>
  <c r="V19"/>
  <c r="O18"/>
  <c r="P18"/>
  <c r="Q18"/>
  <c r="R18"/>
  <c r="S18"/>
  <c r="T18"/>
  <c r="U18"/>
  <c r="V18"/>
  <c r="O17"/>
  <c r="P17"/>
  <c r="Q17"/>
  <c r="R17"/>
  <c r="S17"/>
  <c r="T17"/>
  <c r="U17"/>
  <c r="V17"/>
  <c r="O16"/>
  <c r="P16"/>
  <c r="Q16"/>
  <c r="R16"/>
  <c r="S16"/>
  <c r="T16"/>
  <c r="U16"/>
  <c r="V16"/>
  <c r="O15"/>
  <c r="P15"/>
  <c r="Q15"/>
  <c r="R15"/>
  <c r="S15"/>
  <c r="T15"/>
  <c r="U15"/>
  <c r="V15"/>
  <c r="O14"/>
  <c r="P14"/>
  <c r="Q14"/>
  <c r="R14"/>
  <c r="S14"/>
  <c r="T14"/>
  <c r="U14"/>
  <c r="V14"/>
  <c r="M31"/>
  <c r="N31" s="1"/>
  <c r="M30"/>
  <c r="N30" s="1"/>
  <c r="I31"/>
  <c r="I30"/>
  <c r="I29"/>
  <c r="M28"/>
  <c r="N28" s="1"/>
  <c r="I28"/>
  <c r="I27"/>
  <c r="I26"/>
  <c r="O31"/>
  <c r="P31"/>
  <c r="Q31"/>
  <c r="R31"/>
  <c r="S31"/>
  <c r="T31"/>
  <c r="O30"/>
  <c r="P30"/>
  <c r="Q30"/>
  <c r="R30"/>
  <c r="S30"/>
  <c r="T30"/>
  <c r="O29"/>
  <c r="P29"/>
  <c r="Q29"/>
  <c r="R29"/>
  <c r="S29"/>
  <c r="T29"/>
  <c r="U29"/>
  <c r="V29"/>
  <c r="O28"/>
  <c r="P28"/>
  <c r="Q28"/>
  <c r="R28"/>
  <c r="S28"/>
  <c r="T28"/>
  <c r="O27"/>
  <c r="P27"/>
  <c r="Q27"/>
  <c r="R27"/>
  <c r="S27"/>
  <c r="T27"/>
  <c r="U27"/>
  <c r="V27"/>
  <c r="O26"/>
  <c r="P26"/>
  <c r="Q26"/>
  <c r="R26"/>
  <c r="S26"/>
  <c r="T26"/>
  <c r="U26"/>
  <c r="V26"/>
  <c r="I91"/>
  <c r="I90"/>
  <c r="I89"/>
  <c r="I88"/>
  <c r="I87"/>
  <c r="I86"/>
  <c r="O86"/>
  <c r="O87"/>
  <c r="O88"/>
  <c r="O89"/>
  <c r="O90"/>
  <c r="O91"/>
  <c r="P86"/>
  <c r="P87"/>
  <c r="P88"/>
  <c r="P89"/>
  <c r="P90"/>
  <c r="P91"/>
  <c r="Q86"/>
  <c r="Q87"/>
  <c r="Q88"/>
  <c r="Q89"/>
  <c r="Q90"/>
  <c r="Q91"/>
  <c r="R86"/>
  <c r="R87"/>
  <c r="R88"/>
  <c r="R89"/>
  <c r="R90"/>
  <c r="R91"/>
  <c r="S86"/>
  <c r="S87"/>
  <c r="S88"/>
  <c r="S89"/>
  <c r="S90"/>
  <c r="S91"/>
  <c r="T86"/>
  <c r="T87"/>
  <c r="T88"/>
  <c r="T89"/>
  <c r="T90"/>
  <c r="T91"/>
  <c r="U86"/>
  <c r="U87"/>
  <c r="U88"/>
  <c r="U89"/>
  <c r="U90"/>
  <c r="U91"/>
  <c r="V86"/>
  <c r="V87"/>
  <c r="V88"/>
  <c r="V89"/>
  <c r="V90"/>
  <c r="V91"/>
  <c r="I85"/>
  <c r="I84"/>
  <c r="I83"/>
  <c r="I82"/>
  <c r="I81"/>
  <c r="I80"/>
  <c r="O85"/>
  <c r="P85"/>
  <c r="Q85"/>
  <c r="R85"/>
  <c r="S85"/>
  <c r="T85"/>
  <c r="U85"/>
  <c r="V85"/>
  <c r="O84"/>
  <c r="P84"/>
  <c r="Q84"/>
  <c r="R84"/>
  <c r="S84"/>
  <c r="T84"/>
  <c r="U84"/>
  <c r="V84"/>
  <c r="O83"/>
  <c r="P83"/>
  <c r="Q83"/>
  <c r="R83"/>
  <c r="S83"/>
  <c r="T83"/>
  <c r="U83"/>
  <c r="V83"/>
  <c r="O82"/>
  <c r="P82"/>
  <c r="Q82"/>
  <c r="R82"/>
  <c r="S82"/>
  <c r="T82"/>
  <c r="U82"/>
  <c r="V82"/>
  <c r="O81"/>
  <c r="P81"/>
  <c r="Q81"/>
  <c r="R81"/>
  <c r="S81"/>
  <c r="T81"/>
  <c r="U81"/>
  <c r="V81"/>
  <c r="O80"/>
  <c r="P80"/>
  <c r="Q80"/>
  <c r="R80"/>
  <c r="S80"/>
  <c r="T80"/>
  <c r="U80"/>
  <c r="V80"/>
  <c r="I76"/>
  <c r="I75"/>
  <c r="I74"/>
  <c r="I79"/>
  <c r="I78"/>
  <c r="I77"/>
  <c r="U3" l="1"/>
  <c r="V3"/>
  <c r="U28"/>
  <c r="V28"/>
  <c r="U30"/>
  <c r="V30"/>
  <c r="U31"/>
  <c r="V31"/>
  <c r="O79" l="1"/>
  <c r="P79"/>
  <c r="Q79"/>
  <c r="R79"/>
  <c r="S79"/>
  <c r="T79"/>
  <c r="U79"/>
  <c r="V79"/>
  <c r="O78"/>
  <c r="P78"/>
  <c r="Q78"/>
  <c r="R78"/>
  <c r="S78"/>
  <c r="T78"/>
  <c r="U78"/>
  <c r="V78"/>
  <c r="O77"/>
  <c r="P77"/>
  <c r="Q77"/>
  <c r="R77"/>
  <c r="S77"/>
  <c r="T77"/>
  <c r="U77"/>
  <c r="V77"/>
  <c r="O76"/>
  <c r="P76"/>
  <c r="Q76"/>
  <c r="R76"/>
  <c r="S76"/>
  <c r="T76"/>
  <c r="U76"/>
  <c r="V76"/>
  <c r="O75"/>
  <c r="P75"/>
  <c r="Q75"/>
  <c r="R75"/>
  <c r="S75"/>
  <c r="T75"/>
  <c r="U75"/>
  <c r="V75"/>
  <c r="O74"/>
  <c r="P74"/>
  <c r="Q74"/>
  <c r="R74"/>
  <c r="S74"/>
  <c r="T74"/>
  <c r="U74"/>
  <c r="V74"/>
  <c r="M48" l="1"/>
  <c r="N48" s="1"/>
  <c r="M47"/>
  <c r="N47" s="1"/>
  <c r="I49"/>
  <c r="I48"/>
  <c r="I47"/>
  <c r="I46"/>
  <c r="I45"/>
  <c r="I44"/>
  <c r="U45"/>
  <c r="V46"/>
  <c r="O45"/>
  <c r="O46"/>
  <c r="O47"/>
  <c r="O48"/>
  <c r="O49"/>
  <c r="P45"/>
  <c r="P46"/>
  <c r="P47"/>
  <c r="P48"/>
  <c r="P49"/>
  <c r="Q45"/>
  <c r="Q46"/>
  <c r="Q47"/>
  <c r="Q48"/>
  <c r="Q49"/>
  <c r="R45"/>
  <c r="R46"/>
  <c r="R47"/>
  <c r="R48"/>
  <c r="R49"/>
  <c r="S45"/>
  <c r="S46"/>
  <c r="S47"/>
  <c r="S48"/>
  <c r="S49"/>
  <c r="T45"/>
  <c r="T46"/>
  <c r="T47"/>
  <c r="T48"/>
  <c r="T49"/>
  <c r="U46"/>
  <c r="U47"/>
  <c r="U48"/>
  <c r="U49"/>
  <c r="V45"/>
  <c r="V47"/>
  <c r="V48"/>
  <c r="V49"/>
  <c r="O44"/>
  <c r="P44"/>
  <c r="Q44"/>
  <c r="R44"/>
  <c r="S44"/>
  <c r="T44"/>
  <c r="U44"/>
  <c r="V44"/>
  <c r="V105" l="1"/>
  <c r="V106"/>
  <c r="V107"/>
  <c r="V108"/>
  <c r="V109"/>
  <c r="O105"/>
  <c r="O106"/>
  <c r="O107"/>
  <c r="O108"/>
  <c r="O109"/>
  <c r="P105"/>
  <c r="P106"/>
  <c r="P107"/>
  <c r="P108"/>
  <c r="P109"/>
  <c r="Q105"/>
  <c r="Q106"/>
  <c r="Q107"/>
  <c r="Q108"/>
  <c r="Q109"/>
  <c r="R105"/>
  <c r="R106"/>
  <c r="R107"/>
  <c r="R108"/>
  <c r="R109"/>
  <c r="S105"/>
  <c r="S106"/>
  <c r="S107"/>
  <c r="S108"/>
  <c r="S109"/>
  <c r="T105"/>
  <c r="T106"/>
  <c r="T107"/>
  <c r="T108"/>
  <c r="T109"/>
  <c r="V104"/>
  <c r="O104"/>
  <c r="P104"/>
  <c r="Q104"/>
  <c r="R104"/>
  <c r="S104"/>
  <c r="T104"/>
  <c r="I103"/>
  <c r="I102"/>
  <c r="I101"/>
  <c r="I100"/>
  <c r="I99"/>
  <c r="I98"/>
  <c r="V99"/>
  <c r="V100"/>
  <c r="V101"/>
  <c r="V102"/>
  <c r="V103"/>
  <c r="O99"/>
  <c r="O100"/>
  <c r="O101"/>
  <c r="O102"/>
  <c r="O103"/>
  <c r="P99"/>
  <c r="P100"/>
  <c r="P101"/>
  <c r="P102"/>
  <c r="P103"/>
  <c r="Q99"/>
  <c r="Q100"/>
  <c r="Q101"/>
  <c r="Q102"/>
  <c r="Q103"/>
  <c r="R99"/>
  <c r="R100"/>
  <c r="R101"/>
  <c r="R102"/>
  <c r="R103"/>
  <c r="S99"/>
  <c r="S100"/>
  <c r="S101"/>
  <c r="S102"/>
  <c r="S103"/>
  <c r="T99"/>
  <c r="T100"/>
  <c r="T101"/>
  <c r="T102"/>
  <c r="T103"/>
  <c r="V98"/>
  <c r="O98"/>
  <c r="P98"/>
  <c r="Q98"/>
  <c r="R98"/>
  <c r="S98"/>
  <c r="T98"/>
  <c r="M55"/>
  <c r="N55" s="1"/>
  <c r="I55"/>
  <c r="I54"/>
  <c r="I53"/>
  <c r="I52"/>
  <c r="I51"/>
  <c r="I50"/>
  <c r="V51"/>
  <c r="V52"/>
  <c r="V53"/>
  <c r="V54"/>
  <c r="V55"/>
  <c r="O51"/>
  <c r="O52"/>
  <c r="O53"/>
  <c r="O54"/>
  <c r="O55"/>
  <c r="P51"/>
  <c r="P52"/>
  <c r="P53"/>
  <c r="P54"/>
  <c r="P55"/>
  <c r="Q51"/>
  <c r="Q52"/>
  <c r="Q53"/>
  <c r="Q54"/>
  <c r="Q55"/>
  <c r="R51"/>
  <c r="R52"/>
  <c r="R53"/>
  <c r="R54"/>
  <c r="R55"/>
  <c r="S51"/>
  <c r="S52"/>
  <c r="S53"/>
  <c r="S54"/>
  <c r="S55"/>
  <c r="T51"/>
  <c r="T52"/>
  <c r="T53"/>
  <c r="T54"/>
  <c r="T55"/>
  <c r="V50"/>
  <c r="O50"/>
  <c r="P50"/>
  <c r="Q50"/>
  <c r="R50"/>
  <c r="S50"/>
  <c r="T50"/>
  <c r="I61"/>
  <c r="I60"/>
  <c r="I59"/>
  <c r="I58"/>
  <c r="I57"/>
  <c r="I56"/>
  <c r="V61"/>
  <c r="O61"/>
  <c r="P61"/>
  <c r="Q61"/>
  <c r="R61"/>
  <c r="S61"/>
  <c r="T61"/>
  <c r="V60"/>
  <c r="O60"/>
  <c r="P60"/>
  <c r="Q60"/>
  <c r="R60"/>
  <c r="S60"/>
  <c r="T60"/>
  <c r="V59"/>
  <c r="O59"/>
  <c r="P59"/>
  <c r="Q59"/>
  <c r="R59"/>
  <c r="S59"/>
  <c r="T59"/>
  <c r="V58"/>
  <c r="O58"/>
  <c r="P58"/>
  <c r="Q58"/>
  <c r="R58"/>
  <c r="S58"/>
  <c r="T58"/>
  <c r="V57"/>
  <c r="O57"/>
  <c r="P57"/>
  <c r="Q57"/>
  <c r="R57"/>
  <c r="S57"/>
  <c r="T57"/>
  <c r="V56"/>
  <c r="O56"/>
  <c r="P56"/>
  <c r="Q56"/>
  <c r="R56"/>
  <c r="S56"/>
  <c r="T56"/>
  <c r="M67"/>
  <c r="N67" s="1"/>
  <c r="M66"/>
  <c r="N66" s="1"/>
  <c r="M65"/>
  <c r="N65" s="1"/>
  <c r="I67"/>
  <c r="I66"/>
  <c r="I65"/>
  <c r="M64"/>
  <c r="N64" s="1"/>
  <c r="M63"/>
  <c r="N63" s="1"/>
  <c r="M62"/>
  <c r="N62" s="1"/>
  <c r="I64"/>
  <c r="I63"/>
  <c r="I62"/>
  <c r="V63"/>
  <c r="V64"/>
  <c r="V65"/>
  <c r="V66"/>
  <c r="V67"/>
  <c r="O63"/>
  <c r="O64"/>
  <c r="O65"/>
  <c r="O66"/>
  <c r="O67"/>
  <c r="P63"/>
  <c r="P64"/>
  <c r="P65"/>
  <c r="P66"/>
  <c r="P67"/>
  <c r="Q63"/>
  <c r="Q64"/>
  <c r="Q65"/>
  <c r="Q66"/>
  <c r="Q67"/>
  <c r="R63"/>
  <c r="R64"/>
  <c r="R65"/>
  <c r="R66"/>
  <c r="R67"/>
  <c r="S63"/>
  <c r="S64"/>
  <c r="S65"/>
  <c r="S66"/>
  <c r="S67"/>
  <c r="T63"/>
  <c r="T64"/>
  <c r="T65"/>
  <c r="T66"/>
  <c r="T67"/>
  <c r="V62"/>
  <c r="O62"/>
  <c r="P62"/>
  <c r="Q62"/>
  <c r="R62"/>
  <c r="S62"/>
  <c r="T62"/>
  <c r="M115"/>
  <c r="N115" s="1"/>
  <c r="M114"/>
  <c r="N114" s="1"/>
  <c r="M113"/>
  <c r="N113" s="1"/>
  <c r="I115"/>
  <c r="I114"/>
  <c r="I113"/>
  <c r="M112"/>
  <c r="N112" s="1"/>
  <c r="M110"/>
  <c r="N110" s="1"/>
  <c r="I112"/>
  <c r="I111"/>
  <c r="I110"/>
  <c r="V115"/>
  <c r="O115"/>
  <c r="P115"/>
  <c r="Q115"/>
  <c r="R115"/>
  <c r="S115"/>
  <c r="T115"/>
  <c r="V114"/>
  <c r="O114"/>
  <c r="P114"/>
  <c r="Q114"/>
  <c r="R114"/>
  <c r="S114"/>
  <c r="T114"/>
  <c r="V113"/>
  <c r="O113"/>
  <c r="P113"/>
  <c r="Q113"/>
  <c r="R113"/>
  <c r="S113"/>
  <c r="T113"/>
  <c r="V112"/>
  <c r="O112"/>
  <c r="P112"/>
  <c r="Q112"/>
  <c r="R112"/>
  <c r="S112"/>
  <c r="T112"/>
  <c r="V111"/>
  <c r="O111"/>
  <c r="P111"/>
  <c r="Q111"/>
  <c r="R111"/>
  <c r="S111"/>
  <c r="T111"/>
  <c r="V110"/>
  <c r="O110"/>
  <c r="P110"/>
  <c r="Q110"/>
  <c r="R110"/>
  <c r="S110"/>
  <c r="T110"/>
  <c r="M127"/>
  <c r="N127" s="1"/>
  <c r="M126"/>
  <c r="N126" s="1"/>
  <c r="M125"/>
  <c r="N125" s="1"/>
  <c r="I127"/>
  <c r="I126"/>
  <c r="I125"/>
  <c r="M124"/>
  <c r="N124" s="1"/>
  <c r="M123"/>
  <c r="N123" s="1"/>
  <c r="P8"/>
  <c r="P9"/>
  <c r="P10"/>
  <c r="P11"/>
  <c r="P12"/>
  <c r="P13"/>
  <c r="P92"/>
  <c r="P93"/>
  <c r="P94"/>
  <c r="P95"/>
  <c r="P96"/>
  <c r="P97"/>
  <c r="P32"/>
  <c r="P33"/>
  <c r="P34"/>
  <c r="P35"/>
  <c r="P36"/>
  <c r="P37"/>
  <c r="P116"/>
  <c r="P117"/>
  <c r="P118"/>
  <c r="P119"/>
  <c r="P120"/>
  <c r="P121"/>
  <c r="P68"/>
  <c r="P69"/>
  <c r="P70"/>
  <c r="P71"/>
  <c r="P72"/>
  <c r="P73"/>
  <c r="P128"/>
  <c r="P129"/>
  <c r="P130"/>
  <c r="P131"/>
  <c r="P132"/>
  <c r="P133"/>
  <c r="P122"/>
  <c r="P123"/>
  <c r="P124"/>
  <c r="P125"/>
  <c r="P126"/>
  <c r="P127"/>
  <c r="R8"/>
  <c r="R9"/>
  <c r="R10"/>
  <c r="R11"/>
  <c r="R12"/>
  <c r="R13"/>
  <c r="R92"/>
  <c r="R93"/>
  <c r="R94"/>
  <c r="R95"/>
  <c r="R96"/>
  <c r="R97"/>
  <c r="R32"/>
  <c r="R33"/>
  <c r="R34"/>
  <c r="R35"/>
  <c r="R36"/>
  <c r="R37"/>
  <c r="R116"/>
  <c r="R117"/>
  <c r="R118"/>
  <c r="R119"/>
  <c r="R120"/>
  <c r="R121"/>
  <c r="R68"/>
  <c r="R69"/>
  <c r="R70"/>
  <c r="R71"/>
  <c r="R72"/>
  <c r="R73"/>
  <c r="R128"/>
  <c r="R129"/>
  <c r="R130"/>
  <c r="R131"/>
  <c r="R132"/>
  <c r="R133"/>
  <c r="R122"/>
  <c r="R123"/>
  <c r="R124"/>
  <c r="R125"/>
  <c r="R126"/>
  <c r="R127"/>
  <c r="I124"/>
  <c r="I123"/>
  <c r="I122"/>
  <c r="V123"/>
  <c r="V124"/>
  <c r="V125"/>
  <c r="V126"/>
  <c r="V127"/>
  <c r="O123"/>
  <c r="O124"/>
  <c r="O125"/>
  <c r="O126"/>
  <c r="O127"/>
  <c r="Q123"/>
  <c r="Q124"/>
  <c r="Q125"/>
  <c r="Q126"/>
  <c r="Q127"/>
  <c r="S123"/>
  <c r="S124"/>
  <c r="S125"/>
  <c r="S126"/>
  <c r="S127"/>
  <c r="T123"/>
  <c r="T124"/>
  <c r="T125"/>
  <c r="T126"/>
  <c r="T127"/>
  <c r="V122"/>
  <c r="O122"/>
  <c r="Q122"/>
  <c r="S122"/>
  <c r="T122"/>
  <c r="M133"/>
  <c r="N133" s="1"/>
  <c r="I133"/>
  <c r="I132"/>
  <c r="M131"/>
  <c r="N131" s="1"/>
  <c r="M130"/>
  <c r="N130" s="1"/>
  <c r="M129"/>
  <c r="N129" s="1"/>
  <c r="M128"/>
  <c r="N128" s="1"/>
  <c r="I131"/>
  <c r="I130"/>
  <c r="T92"/>
  <c r="T93"/>
  <c r="T94"/>
  <c r="T95"/>
  <c r="T96"/>
  <c r="T97"/>
  <c r="T36"/>
  <c r="T37"/>
  <c r="T120"/>
  <c r="T121"/>
  <c r="T68"/>
  <c r="T130"/>
  <c r="T131"/>
  <c r="T132"/>
  <c r="T133"/>
  <c r="S130"/>
  <c r="S131"/>
  <c r="S132"/>
  <c r="S133"/>
  <c r="Q8"/>
  <c r="Q9"/>
  <c r="Q10"/>
  <c r="Q11"/>
  <c r="Q12"/>
  <c r="Q13"/>
  <c r="Q92"/>
  <c r="Q93"/>
  <c r="Q94"/>
  <c r="Q95"/>
  <c r="Q96"/>
  <c r="Q97"/>
  <c r="Q32"/>
  <c r="Q33"/>
  <c r="Q34"/>
  <c r="Q35"/>
  <c r="Q36"/>
  <c r="Q37"/>
  <c r="Q116"/>
  <c r="Q117"/>
  <c r="Q118"/>
  <c r="Q119"/>
  <c r="Q120"/>
  <c r="Q121"/>
  <c r="Q68"/>
  <c r="Q69"/>
  <c r="Q70"/>
  <c r="Q71"/>
  <c r="Q72"/>
  <c r="Q73"/>
  <c r="Q128"/>
  <c r="Q129"/>
  <c r="Q130"/>
  <c r="Q131"/>
  <c r="Q132"/>
  <c r="Q133"/>
  <c r="T129"/>
  <c r="T128"/>
  <c r="I129"/>
  <c r="S129" s="1"/>
  <c r="I128"/>
  <c r="S128" s="1"/>
  <c r="V129"/>
  <c r="V130"/>
  <c r="V131"/>
  <c r="V132"/>
  <c r="V133"/>
  <c r="O129"/>
  <c r="O130"/>
  <c r="O131"/>
  <c r="O132"/>
  <c r="O133"/>
  <c r="V128"/>
  <c r="O128"/>
  <c r="U109" l="1"/>
  <c r="U108"/>
  <c r="U107"/>
  <c r="U106"/>
  <c r="U105"/>
  <c r="U104"/>
  <c r="U103"/>
  <c r="U102"/>
  <c r="U101"/>
  <c r="U100"/>
  <c r="U99"/>
  <c r="U98"/>
  <c r="U55"/>
  <c r="U54"/>
  <c r="U53"/>
  <c r="U52"/>
  <c r="U51"/>
  <c r="U50"/>
  <c r="U61"/>
  <c r="U60"/>
  <c r="U59"/>
  <c r="U58"/>
  <c r="U57"/>
  <c r="U56"/>
  <c r="U67"/>
  <c r="U66"/>
  <c r="U65"/>
  <c r="U64"/>
  <c r="U63"/>
  <c r="U62"/>
  <c r="U115"/>
  <c r="U114"/>
  <c r="U113"/>
  <c r="U112"/>
  <c r="U111"/>
  <c r="U110"/>
  <c r="U127"/>
  <c r="U126"/>
  <c r="U125"/>
  <c r="U124"/>
  <c r="U123"/>
  <c r="U122"/>
  <c r="U133"/>
  <c r="U132"/>
  <c r="U131"/>
  <c r="U130"/>
  <c r="U129"/>
  <c r="U128"/>
  <c r="I73"/>
  <c r="S73" s="1"/>
  <c r="I72"/>
  <c r="S72" s="1"/>
  <c r="I71"/>
  <c r="S71" s="1"/>
  <c r="I70"/>
  <c r="S70" s="1"/>
  <c r="M73"/>
  <c r="N73" s="1"/>
  <c r="M72"/>
  <c r="N72" s="1"/>
  <c r="M71"/>
  <c r="N71" s="1"/>
  <c r="M70"/>
  <c r="N70" s="1"/>
  <c r="M69"/>
  <c r="N69" s="1"/>
  <c r="I69"/>
  <c r="S69" s="1"/>
  <c r="I68"/>
  <c r="S68" s="1"/>
  <c r="O69"/>
  <c r="O70"/>
  <c r="O71"/>
  <c r="O72"/>
  <c r="O73"/>
  <c r="O68"/>
  <c r="M119"/>
  <c r="N119" s="1"/>
  <c r="I121"/>
  <c r="S121" s="1"/>
  <c r="I120"/>
  <c r="S120" s="1"/>
  <c r="I119"/>
  <c r="S119" s="1"/>
  <c r="M118"/>
  <c r="N118" s="1"/>
  <c r="M117"/>
  <c r="N117" s="1"/>
  <c r="M116"/>
  <c r="N116" s="1"/>
  <c r="I118"/>
  <c r="S118" s="1"/>
  <c r="I117"/>
  <c r="S117" s="1"/>
  <c r="I116"/>
  <c r="S116" s="1"/>
  <c r="O8"/>
  <c r="O9"/>
  <c r="O10"/>
  <c r="O11"/>
  <c r="O12"/>
  <c r="O13"/>
  <c r="O92"/>
  <c r="O93"/>
  <c r="O94"/>
  <c r="O95"/>
  <c r="O96"/>
  <c r="O97"/>
  <c r="O32"/>
  <c r="O33"/>
  <c r="O34"/>
  <c r="O35"/>
  <c r="O36"/>
  <c r="O37"/>
  <c r="O116"/>
  <c r="O117"/>
  <c r="O118"/>
  <c r="O119"/>
  <c r="O120"/>
  <c r="O121"/>
  <c r="M35"/>
  <c r="N35" s="1"/>
  <c r="M34"/>
  <c r="N34" s="1"/>
  <c r="M33"/>
  <c r="N33" s="1"/>
  <c r="M32"/>
  <c r="N32" s="1"/>
  <c r="I34"/>
  <c r="S34" s="1"/>
  <c r="I33"/>
  <c r="S33" s="1"/>
  <c r="I32"/>
  <c r="S32" s="1"/>
  <c r="I37"/>
  <c r="S37" s="1"/>
  <c r="I36"/>
  <c r="S36" s="1"/>
  <c r="I35"/>
  <c r="S35" s="1"/>
  <c r="M13"/>
  <c r="N13" s="1"/>
  <c r="M12"/>
  <c r="N12" s="1"/>
  <c r="M11"/>
  <c r="N11" s="1"/>
  <c r="M10"/>
  <c r="N10" s="1"/>
  <c r="M9"/>
  <c r="N9" s="1"/>
  <c r="M8"/>
  <c r="N8" s="1"/>
  <c r="I97"/>
  <c r="S97" s="1"/>
  <c r="I96"/>
  <c r="S96" s="1"/>
  <c r="I95"/>
  <c r="S95" s="1"/>
  <c r="I94"/>
  <c r="S94" s="1"/>
  <c r="I93"/>
  <c r="S93" s="1"/>
  <c r="I92"/>
  <c r="S92" s="1"/>
  <c r="T69" l="1"/>
  <c r="T70"/>
  <c r="T71"/>
  <c r="T72"/>
  <c r="T73"/>
  <c r="V73"/>
  <c r="U73"/>
  <c r="V72"/>
  <c r="U72"/>
  <c r="V71"/>
  <c r="U71"/>
  <c r="V70"/>
  <c r="U70"/>
  <c r="V69"/>
  <c r="U69"/>
  <c r="V68"/>
  <c r="U68"/>
  <c r="V121"/>
  <c r="U121"/>
  <c r="V120"/>
  <c r="U120"/>
  <c r="V37"/>
  <c r="U37"/>
  <c r="V36"/>
  <c r="U36"/>
  <c r="V97"/>
  <c r="U97"/>
  <c r="V96"/>
  <c r="U96"/>
  <c r="V95"/>
  <c r="U95"/>
  <c r="V94"/>
  <c r="U94"/>
  <c r="V93"/>
  <c r="U93"/>
  <c r="V92"/>
  <c r="U92"/>
  <c r="T8"/>
  <c r="T9"/>
  <c r="T10"/>
  <c r="T11"/>
  <c r="T12"/>
  <c r="T13"/>
  <c r="T32"/>
  <c r="T33"/>
  <c r="T34"/>
  <c r="T35"/>
  <c r="T116"/>
  <c r="T117"/>
  <c r="T118"/>
  <c r="T119"/>
  <c r="V119" l="1"/>
  <c r="U119"/>
  <c r="V118"/>
  <c r="U118"/>
  <c r="V117"/>
  <c r="U117"/>
  <c r="V116"/>
  <c r="U116"/>
  <c r="V35"/>
  <c r="U35"/>
  <c r="V34"/>
  <c r="U34"/>
  <c r="V33"/>
  <c r="U33"/>
  <c r="V32"/>
  <c r="U32"/>
  <c r="V13"/>
  <c r="U13"/>
  <c r="V12"/>
  <c r="U12"/>
  <c r="V11"/>
  <c r="U11"/>
  <c r="V10"/>
  <c r="U10"/>
  <c r="V9"/>
  <c r="U9"/>
  <c r="V8"/>
  <c r="U8"/>
  <c r="I13" l="1"/>
  <c r="S13" s="1"/>
  <c r="I12"/>
  <c r="S12" s="1"/>
  <c r="I11"/>
  <c r="S11" s="1"/>
  <c r="I10"/>
  <c r="S10" s="1"/>
  <c r="I9"/>
  <c r="S9" s="1"/>
  <c r="I8"/>
  <c r="S8" s="1"/>
</calcChain>
</file>

<file path=xl/comments1.xml><?xml version="1.0" encoding="utf-8"?>
<comments xmlns="http://schemas.openxmlformats.org/spreadsheetml/2006/main">
  <authors>
    <author>Autor</author>
  </authors>
  <commentList>
    <comment ref="E1" authorId="0">
      <text>
        <r>
          <rPr>
            <b/>
            <sz val="8"/>
            <color indexed="81"/>
            <rFont val="Tahoma"/>
            <family val="2"/>
          </rPr>
          <t xml:space="preserve">AT: Ativo Total
Contas:
</t>
        </r>
        <r>
          <rPr>
            <sz val="8"/>
            <color indexed="81"/>
            <rFont val="Tahoma"/>
            <family val="2"/>
          </rPr>
          <t xml:space="preserve">1 Ativo Total
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 xml:space="preserve">AC: Ativo Circulante
Contas:
</t>
        </r>
        <r>
          <rPr>
            <sz val="8"/>
            <color indexed="81"/>
            <rFont val="Tahoma"/>
            <family val="2"/>
          </rPr>
          <t xml:space="preserve">1.01 Ativo Circulante
</t>
        </r>
      </text>
    </comment>
    <comment ref="G1" authorId="0">
      <text>
        <r>
          <rPr>
            <b/>
            <sz val="8"/>
            <color indexed="81"/>
            <rFont val="Tahoma"/>
            <family val="2"/>
          </rPr>
          <t xml:space="preserve">AI: Ativo Imobilizado
Contas:
</t>
        </r>
        <r>
          <rPr>
            <sz val="8"/>
            <color indexed="81"/>
            <rFont val="Tahoma"/>
            <family val="2"/>
          </rPr>
          <t>1.02.03 Imobilizado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 xml:space="preserve">PC: Passivo Circulante
Contas:
</t>
        </r>
        <r>
          <rPr>
            <sz val="8"/>
            <color indexed="81"/>
            <rFont val="Tahoma"/>
            <family val="2"/>
          </rPr>
          <t xml:space="preserve">2.01 Passivo Circulante
</t>
        </r>
      </text>
    </comment>
    <comment ref="I1" authorId="0">
      <text>
        <r>
          <rPr>
            <b/>
            <sz val="8"/>
            <color indexed="81"/>
            <rFont val="Tahoma"/>
            <family val="2"/>
          </rPr>
          <t xml:space="preserve">PO: Passivo Oneroso
Contas:
</t>
        </r>
        <r>
          <rPr>
            <sz val="8"/>
            <color indexed="81"/>
            <rFont val="Tahoma"/>
            <family val="2"/>
          </rPr>
          <t>2.01.04 Empréstimos e Financiamentos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2.01.05 Outras Obrigações
2.02.01 Empréstimos e Financiamentos
2.02.02 Outras Obrigações</t>
        </r>
      </text>
    </comment>
    <comment ref="J1" authorId="0">
      <text>
        <r>
          <rPr>
            <b/>
            <sz val="8"/>
            <color indexed="81"/>
            <rFont val="Tahoma"/>
            <family val="2"/>
          </rPr>
          <t>PL: Patrimônio Líquido
Contas:</t>
        </r>
        <r>
          <rPr>
            <sz val="8"/>
            <color indexed="81"/>
            <rFont val="Tahoma"/>
            <family val="2"/>
          </rPr>
          <t xml:space="preserve">
2.03 Patrimônio Líquido Consolidado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 xml:space="preserve">RBV: Receita Bruta de Vendas
Contas:
</t>
        </r>
        <r>
          <rPr>
            <sz val="8"/>
            <color indexed="81"/>
            <rFont val="Tahoma"/>
            <family val="2"/>
          </rPr>
          <t>3.01 Receita de Venda de Bens e/ou Serviços</t>
        </r>
      </text>
    </comment>
    <comment ref="L1" authorId="0">
      <text>
        <r>
          <rPr>
            <b/>
            <sz val="8"/>
            <color indexed="81"/>
            <rFont val="Tahoma"/>
            <family val="2"/>
          </rPr>
          <t xml:space="preserve">LL: Lucro Líquido
Contas:
</t>
        </r>
        <r>
          <rPr>
            <sz val="8"/>
            <color indexed="81"/>
            <rFont val="Tahoma"/>
            <family val="2"/>
          </rPr>
          <t xml:space="preserve">3.11 Lucro/Prejuízo Consolidado do Período
</t>
        </r>
      </text>
    </comment>
    <comment ref="O1" authorId="0">
      <text>
        <r>
          <rPr>
            <b/>
            <sz val="8"/>
            <color indexed="81"/>
            <rFont val="Tahoma"/>
            <family val="2"/>
          </rPr>
          <t>MLL: Margem Líquida</t>
        </r>
        <r>
          <rPr>
            <sz val="8"/>
            <color indexed="81"/>
            <rFont val="Tahoma"/>
            <family val="2"/>
          </rPr>
          <t xml:space="preserve">
Esse índice aponta quanto efetivamente cada Real da receita total, se traduz em lucro líquido após a empresa pagar todas as despesas – incluindo juros, impostos e depreciação.
Você somente saberá se o número é bom ou ruim, depois de comparar com o mesmo indicador dos anos anteriores, e/ou com a média do setor
</t>
        </r>
        <r>
          <rPr>
            <b/>
            <sz val="8"/>
            <color indexed="81"/>
            <rFont val="Tahoma"/>
            <family val="2"/>
          </rPr>
          <t>MLL = LL/RBV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P1" authorId="0">
      <text>
        <r>
          <rPr>
            <b/>
            <sz val="8"/>
            <color indexed="81"/>
            <rFont val="Tahoma"/>
            <family val="2"/>
          </rPr>
          <t>ROE: Retorno sobre Patrimônio Líquido</t>
        </r>
        <r>
          <rPr>
            <sz val="8"/>
            <color indexed="81"/>
            <rFont val="Tahoma"/>
            <family val="2"/>
          </rPr>
          <t xml:space="preserve">
Ele mede o retorno sobre o dinheiro que eles têm colocado na empresa.
</t>
        </r>
        <r>
          <rPr>
            <b/>
            <sz val="8"/>
            <color indexed="81"/>
            <rFont val="Tahoma"/>
            <family val="2"/>
          </rPr>
          <t>ROE=LL/PL</t>
        </r>
        <r>
          <rPr>
            <sz val="8"/>
            <color indexed="81"/>
            <rFont val="Tahoma"/>
            <family val="2"/>
          </rPr>
          <t xml:space="preserve">
Como todos os outros índices, é preciso sempre se comparar esse número com o de outras empresas do setor, além de sua evolução no tempo.</t>
        </r>
      </text>
    </comment>
    <comment ref="Q1" authorId="0">
      <text>
        <r>
          <rPr>
            <b/>
            <sz val="8"/>
            <color indexed="81"/>
            <rFont val="Tahoma"/>
            <family val="2"/>
          </rPr>
          <t xml:space="preserve">LC: Liquidez Corrente
LC=AC/PC
</t>
        </r>
        <r>
          <rPr>
            <sz val="8"/>
            <color indexed="81"/>
            <rFont val="Tahoma"/>
            <family val="2"/>
          </rPr>
          <t>Este índice não é utilizado em percentual. Ele é usado em modo proporção mesmo.
Isso quer dizer que temos um valor base de 1, então qualquer valor maior significa que a empresa possui meios de quitar suas obrigações de curto prazo, e que qualquer valor menor indica que a coisa está feia, pois a empresa não tem o suficiente para honrar com essas obrigações.
Mas cabe ainda lembrar aquela velha máxima: ter muito mais do que o suficiente parado, pode indicar que o capital está sendo mal administrado, pois poderia estar sendo investido e dando mais retorno.</t>
        </r>
      </text>
    </comment>
    <comment ref="R1" authorId="0">
      <text>
        <r>
          <rPr>
            <b/>
            <sz val="8"/>
            <color indexed="81"/>
            <rFont val="Tahoma"/>
            <family val="2"/>
          </rPr>
          <t xml:space="preserve">IPL: Imobilização do Patrimônio Líquido
</t>
        </r>
        <r>
          <rPr>
            <sz val="8"/>
            <color indexed="81"/>
            <rFont val="Tahoma"/>
            <family val="2"/>
          </rPr>
          <t xml:space="preserve">Mostra o grau em que o dinheiro dos proprietários está congelado sob forma de imóveis, máquinas, instalações, equipamentos, veículos, etc, comprometendo assim a sua liquidez.
</t>
        </r>
        <r>
          <rPr>
            <b/>
            <sz val="8"/>
            <color indexed="81"/>
            <rFont val="Tahoma"/>
            <family val="2"/>
          </rPr>
          <t xml:space="preserve">IPL=AI/PL
</t>
        </r>
        <r>
          <rPr>
            <sz val="8"/>
            <color indexed="81"/>
            <rFont val="Tahoma"/>
            <family val="2"/>
          </rPr>
          <t>Em geral, um índice de 75% para cima é totalmente indesejado, pois quanto maior este valor, mais a empresa fica vulnerável a quaisquer eventos inesperados e mudanças imprevistas no ambiente de negócios.
Isso pois, quanto mais a empresa imobiliza seu próprio dinheiro, menos ela deixa para seu capital de giro e, consequentemente, mais ela se torna dependente do capital de terceiros para manter suas operações.</t>
        </r>
      </text>
    </comment>
    <comment ref="S1" authorId="0">
      <text>
        <r>
          <rPr>
            <b/>
            <sz val="8"/>
            <color indexed="81"/>
            <rFont val="Tahoma"/>
            <family val="2"/>
          </rPr>
          <t xml:space="preserve">OE: Endividamento Oneroso
</t>
        </r>
        <r>
          <rPr>
            <sz val="8"/>
            <color indexed="81"/>
            <rFont val="Tahoma"/>
            <family val="2"/>
          </rPr>
          <t xml:space="preserve">Este índice é muito interessante para se fazer uma análise básica das demonstrações financeiras, pois aponta quanto do endividamento gera despesa financeira.
Mas para conhecer o Endividamento Oneroso, primeiro você precisa saber o que é o Passivo Oneroso.
O Passivo Oneroso é toda aquela dívida que gera despesas financeiras e que está sujeita a variação financeira mensal em decorrência de juros. Isso inclui empréstimos, financiamentos e impostos parcelados ou atrasados.
Assim, o Endividamento Oneroso nada mais é que a relação do Passivo Oneroso com o Total de Recursos da empresa (Ativo Total).
</t>
        </r>
        <r>
          <rPr>
            <b/>
            <sz val="8"/>
            <color indexed="81"/>
            <rFont val="Tahoma"/>
            <family val="2"/>
          </rPr>
          <t xml:space="preserve">EO=PO/AT
</t>
        </r>
        <r>
          <rPr>
            <sz val="8"/>
            <color indexed="81"/>
            <rFont val="Tahoma"/>
            <family val="2"/>
          </rPr>
          <t>Para que você consiga dormir em paz a noite, digamos que aqui neste índice a ideia é de que quanto menor, melhor.</t>
        </r>
      </text>
    </comment>
  </commentList>
</comments>
</file>

<file path=xl/sharedStrings.xml><?xml version="1.0" encoding="utf-8"?>
<sst xmlns="http://schemas.openxmlformats.org/spreadsheetml/2006/main" count="403" uniqueCount="72">
  <si>
    <t>Nome de Pregão</t>
  </si>
  <si>
    <t>ETERNIT</t>
  </si>
  <si>
    <t>ANO</t>
  </si>
  <si>
    <t>MLL</t>
  </si>
  <si>
    <t>ROE</t>
  </si>
  <si>
    <t>PL</t>
  </si>
  <si>
    <t>LL</t>
  </si>
  <si>
    <t>RBV</t>
  </si>
  <si>
    <t>LC</t>
  </si>
  <si>
    <t>AC</t>
  </si>
  <si>
    <t>PC</t>
  </si>
  <si>
    <t>IPL</t>
  </si>
  <si>
    <t>AI</t>
  </si>
  <si>
    <t>EO</t>
  </si>
  <si>
    <t>AT</t>
  </si>
  <si>
    <t>PO</t>
  </si>
  <si>
    <t>HELBOR</t>
  </si>
  <si>
    <t>Dividendos</t>
  </si>
  <si>
    <t>Payout</t>
  </si>
  <si>
    <t>Div/Ação</t>
  </si>
  <si>
    <t>CDI</t>
  </si>
  <si>
    <t>Valores</t>
  </si>
  <si>
    <t>*MLL</t>
  </si>
  <si>
    <t>*ROE</t>
  </si>
  <si>
    <t>*LC</t>
  </si>
  <si>
    <t>*IPL</t>
  </si>
  <si>
    <t>*EO</t>
  </si>
  <si>
    <t>PORTOBELLO</t>
  </si>
  <si>
    <t>Setor</t>
  </si>
  <si>
    <t>Compra [CDI]</t>
  </si>
  <si>
    <t>Compra [20%]</t>
  </si>
  <si>
    <t xml:space="preserve">CEMIG       </t>
  </si>
  <si>
    <t>SARAIVA LIVR</t>
  </si>
  <si>
    <t>TAESA</t>
  </si>
  <si>
    <t>Unit</t>
  </si>
  <si>
    <t>CESP</t>
  </si>
  <si>
    <t>AES TIETE E</t>
  </si>
  <si>
    <t>LOJAS AMERIC</t>
  </si>
  <si>
    <t>Total</t>
  </si>
  <si>
    <t>HYPERMARCAS</t>
  </si>
  <si>
    <t>B2W DIGITAL</t>
  </si>
  <si>
    <t>TECNISA</t>
  </si>
  <si>
    <t>BRASIL</t>
  </si>
  <si>
    <t>Média de ROE</t>
  </si>
  <si>
    <t>CONTAX</t>
  </si>
  <si>
    <t>CR2</t>
  </si>
  <si>
    <t>Rótulos de Linha</t>
  </si>
  <si>
    <t>Total geral</t>
  </si>
  <si>
    <t>Rótulos de Coluna</t>
  </si>
  <si>
    <t>CYRELA REALT</t>
  </si>
  <si>
    <t>DIRECIONAL</t>
  </si>
  <si>
    <t>Média de MLL</t>
  </si>
  <si>
    <t>MILLS</t>
  </si>
  <si>
    <t>HAGA S/A</t>
  </si>
  <si>
    <t>Reais</t>
  </si>
  <si>
    <t>AZEVEDO</t>
  </si>
  <si>
    <t>LIX DA CUNHA</t>
  </si>
  <si>
    <t>Ordinárias</t>
  </si>
  <si>
    <t>Preferenciais</t>
  </si>
  <si>
    <t>Total Ações</t>
  </si>
  <si>
    <t>Bônus Preferenciais</t>
  </si>
  <si>
    <t>SULTEPA</t>
  </si>
  <si>
    <t>PETTENATI</t>
  </si>
  <si>
    <t>COPEL</t>
  </si>
  <si>
    <t>PINE</t>
  </si>
  <si>
    <t>ECORODOVIAS</t>
  </si>
  <si>
    <t>Bens Industriais</t>
  </si>
  <si>
    <t>Consumo Cíclico</t>
  </si>
  <si>
    <t>Financeiro e Outros</t>
  </si>
  <si>
    <t>Utilidade Pública</t>
  </si>
  <si>
    <t>Materiais Básicos</t>
  </si>
  <si>
    <t>BRADESPAR</t>
  </si>
</sst>
</file>

<file path=xl/styles.xml><?xml version="1.0" encoding="utf-8"?>
<styleSheet xmlns="http://schemas.openxmlformats.org/spreadsheetml/2006/main">
  <numFmts count="3">
    <numFmt numFmtId="44" formatCode="_(&quot;R$ &quot;* #,##0.00_);_(&quot;R$ &quot;* \(#,##0.00\);_(&quot;R$ &quot;* &quot;-&quot;??_);_(@_)"/>
    <numFmt numFmtId="43" formatCode="_(* #,##0.00_);_(* \(#,##0.00\);_(* &quot;-&quot;??_);_(@_)"/>
    <numFmt numFmtId="164" formatCode="_(* #,##0_);_(* \(#,##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3" fillId="0" borderId="0" xfId="0" applyFon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2" fontId="0" fillId="0" borderId="0" xfId="0" applyNumberFormat="1"/>
    <xf numFmtId="10" fontId="2" fillId="0" borderId="0" xfId="0" applyNumberFormat="1" applyFont="1"/>
    <xf numFmtId="2" fontId="2" fillId="0" borderId="0" xfId="0" applyNumberFormat="1" applyFont="1"/>
    <xf numFmtId="0" fontId="6" fillId="0" borderId="0" xfId="0" applyFont="1"/>
    <xf numFmtId="10" fontId="6" fillId="0" borderId="0" xfId="3" applyNumberFormat="1" applyFont="1"/>
    <xf numFmtId="44" fontId="6" fillId="0" borderId="0" xfId="2" applyFont="1"/>
    <xf numFmtId="164" fontId="6" fillId="0" borderId="0" xfId="1" applyNumberFormat="1" applyFont="1"/>
    <xf numFmtId="0" fontId="7" fillId="0" borderId="0" xfId="0" applyFont="1"/>
    <xf numFmtId="164" fontId="7" fillId="0" borderId="0" xfId="1" applyNumberFormat="1" applyFont="1"/>
    <xf numFmtId="3" fontId="7" fillId="0" borderId="0" xfId="0" applyNumberFormat="1" applyFont="1"/>
    <xf numFmtId="44" fontId="7" fillId="0" borderId="0" xfId="2" applyFont="1"/>
    <xf numFmtId="10" fontId="7" fillId="0" borderId="0" xfId="3" applyNumberFormat="1" applyFont="1"/>
    <xf numFmtId="43" fontId="7" fillId="0" borderId="0" xfId="1" applyFont="1"/>
    <xf numFmtId="44" fontId="7" fillId="0" borderId="0" xfId="0" applyNumberFormat="1" applyFont="1"/>
    <xf numFmtId="0" fontId="7" fillId="0" borderId="0" xfId="0" applyFont="1" applyBorder="1"/>
    <xf numFmtId="44" fontId="7" fillId="0" borderId="0" xfId="2" applyNumberFormat="1" applyFont="1"/>
    <xf numFmtId="3" fontId="7" fillId="0" borderId="0" xfId="0" applyNumberFormat="1" applyFont="1" applyBorder="1"/>
    <xf numFmtId="44" fontId="7" fillId="0" borderId="0" xfId="2" applyFont="1" applyBorder="1"/>
    <xf numFmtId="10" fontId="7" fillId="0" borderId="0" xfId="3" applyNumberFormat="1" applyFont="1" applyBorder="1"/>
    <xf numFmtId="43" fontId="7" fillId="0" borderId="0" xfId="1" applyFont="1" applyBorder="1"/>
    <xf numFmtId="44" fontId="7" fillId="0" borderId="0" xfId="0" applyNumberFormat="1" applyFont="1" applyBorder="1"/>
    <xf numFmtId="44" fontId="7" fillId="0" borderId="0" xfId="2" applyNumberFormat="1" applyFont="1" applyBorder="1"/>
    <xf numFmtId="164" fontId="7" fillId="0" borderId="0" xfId="1" applyNumberFormat="1" applyFont="1" applyBorder="1"/>
    <xf numFmtId="3" fontId="7" fillId="0" borderId="0" xfId="1" applyNumberFormat="1" applyFont="1" applyBorder="1"/>
    <xf numFmtId="3" fontId="7" fillId="0" borderId="0" xfId="1" applyNumberFormat="1" applyFont="1"/>
    <xf numFmtId="43" fontId="7" fillId="0" borderId="0" xfId="1" applyNumberFormat="1" applyFont="1" applyBorder="1"/>
    <xf numFmtId="43" fontId="7" fillId="0" borderId="0" xfId="1" applyNumberFormat="1" applyFont="1"/>
    <xf numFmtId="164" fontId="7" fillId="0" borderId="0" xfId="0" applyNumberFormat="1" applyFont="1"/>
    <xf numFmtId="10" fontId="7" fillId="0" borderId="0" xfId="0" applyNumberFormat="1" applyFont="1"/>
    <xf numFmtId="43" fontId="7" fillId="0" borderId="0" xfId="3" applyNumberFormat="1" applyFont="1"/>
    <xf numFmtId="164" fontId="7" fillId="0" borderId="0" xfId="2" applyNumberFormat="1" applyFont="1"/>
    <xf numFmtId="0" fontId="8" fillId="0" borderId="0" xfId="0" applyFont="1" applyBorder="1"/>
    <xf numFmtId="164" fontId="8" fillId="0" borderId="0" xfId="0" applyNumberFormat="1" applyFont="1" applyBorder="1"/>
    <xf numFmtId="3" fontId="8" fillId="0" borderId="0" xfId="0" applyNumberFormat="1" applyFont="1" applyBorder="1"/>
    <xf numFmtId="44" fontId="8" fillId="0" borderId="0" xfId="0" applyNumberFormat="1" applyFont="1" applyBorder="1"/>
    <xf numFmtId="10" fontId="8" fillId="0" borderId="0" xfId="0" applyNumberFormat="1" applyFont="1" applyBorder="1"/>
    <xf numFmtId="10" fontId="8" fillId="0" borderId="0" xfId="3" applyNumberFormat="1" applyFont="1" applyBorder="1"/>
    <xf numFmtId="43" fontId="8" fillId="0" borderId="0" xfId="3" applyNumberFormat="1" applyFont="1" applyBorder="1"/>
    <xf numFmtId="164" fontId="8" fillId="0" borderId="0" xfId="2" applyNumberFormat="1" applyFont="1" applyBorder="1"/>
    <xf numFmtId="164" fontId="7" fillId="0" borderId="0" xfId="0" applyNumberFormat="1" applyFont="1" applyBorder="1"/>
    <xf numFmtId="10" fontId="7" fillId="0" borderId="0" xfId="0" applyNumberFormat="1" applyFont="1" applyBorder="1"/>
    <xf numFmtId="43" fontId="7" fillId="0" borderId="0" xfId="3" applyNumberFormat="1" applyFont="1" applyBorder="1"/>
    <xf numFmtId="164" fontId="7" fillId="0" borderId="0" xfId="2" applyNumberFormat="1" applyFont="1" applyBorder="1"/>
    <xf numFmtId="10" fontId="9" fillId="0" borderId="0" xfId="0" applyNumberFormat="1" applyFont="1"/>
    <xf numFmtId="43" fontId="7" fillId="0" borderId="0" xfId="0" applyNumberFormat="1" applyFont="1"/>
    <xf numFmtId="43" fontId="7" fillId="0" borderId="0" xfId="0" applyNumberFormat="1" applyFont="1" applyBorder="1"/>
    <xf numFmtId="0" fontId="8" fillId="0" borderId="0" xfId="0" applyFont="1"/>
    <xf numFmtId="164" fontId="8" fillId="0" borderId="0" xfId="0" applyNumberFormat="1" applyFont="1"/>
    <xf numFmtId="3" fontId="8" fillId="0" borderId="0" xfId="0" applyNumberFormat="1" applyFont="1"/>
    <xf numFmtId="44" fontId="8" fillId="0" borderId="0" xfId="0" applyNumberFormat="1" applyFont="1"/>
    <xf numFmtId="10" fontId="8" fillId="0" borderId="0" xfId="0" applyNumberFormat="1" applyFont="1"/>
    <xf numFmtId="10" fontId="8" fillId="0" borderId="0" xfId="3" applyNumberFormat="1" applyFont="1"/>
    <xf numFmtId="43" fontId="8" fillId="0" borderId="0" xfId="3" applyNumberFormat="1" applyFont="1"/>
    <xf numFmtId="44" fontId="8" fillId="0" borderId="0" xfId="2" applyNumberFormat="1" applyFont="1"/>
    <xf numFmtId="164" fontId="8" fillId="0" borderId="0" xfId="3" applyNumberFormat="1" applyFont="1"/>
    <xf numFmtId="164" fontId="8" fillId="0" borderId="0" xfId="1" applyNumberFormat="1" applyFont="1"/>
    <xf numFmtId="44" fontId="8" fillId="0" borderId="0" xfId="2" applyNumberFormat="1" applyFont="1" applyBorder="1"/>
    <xf numFmtId="164" fontId="8" fillId="0" borderId="0" xfId="3" applyNumberFormat="1" applyFont="1" applyBorder="1"/>
    <xf numFmtId="164" fontId="8" fillId="0" borderId="0" xfId="1" applyNumberFormat="1" applyFont="1" applyBorder="1"/>
    <xf numFmtId="164" fontId="7" fillId="0" borderId="0" xfId="3" applyNumberFormat="1" applyFont="1"/>
    <xf numFmtId="164" fontId="7" fillId="0" borderId="0" xfId="3" applyNumberFormat="1" applyFont="1" applyBorder="1"/>
    <xf numFmtId="0" fontId="9" fillId="0" borderId="0" xfId="0" applyFont="1" applyAlignment="1">
      <alignment horizontal="left" indent="1"/>
    </xf>
  </cellXfs>
  <cellStyles count="4">
    <cellStyle name="Moeda" xfId="2" builtinId="4"/>
    <cellStyle name="Normal" xfId="0" builtinId="0"/>
    <cellStyle name="Porcentagem" xfId="3" builtinId="5"/>
    <cellStyle name="Separador de milhares" xfId="1" builtinId="3"/>
  </cellStyles>
  <dxfs count="11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numFmt numFmtId="14" formatCode="0.00%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_(* #,##0_);_(* \(#,##0\);_(* &quot;-&quot;??_);_(@_)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4" formatCode="0.00%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[analise-setorial.xlsx]MLL!Tabela dinâmica1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MLL!$B$3:$B$4</c:f>
              <c:strCache>
                <c:ptCount val="1"/>
                <c:pt idx="0">
                  <c:v>Total geral</c:v>
                </c:pt>
              </c:strCache>
            </c:strRef>
          </c:tx>
          <c:cat>
            <c:strRef>
              <c:f>MLL!$A$5</c:f>
              <c:strCache>
                <c:ptCount val="1"/>
                <c:pt idx="0">
                  <c:v>Total geral</c:v>
                </c:pt>
              </c:strCache>
            </c:strRef>
          </c:cat>
          <c:val>
            <c:numRef>
              <c:f>MLL!$B$5</c:f>
              <c:numCache>
                <c:formatCode>0.00%</c:formatCode>
                <c:ptCount val="1"/>
              </c:numCache>
            </c:numRef>
          </c:val>
        </c:ser>
        <c:marker val="1"/>
        <c:axId val="61982976"/>
        <c:axId val="61992960"/>
      </c:lineChart>
      <c:catAx>
        <c:axId val="61982976"/>
        <c:scaling>
          <c:orientation val="minMax"/>
        </c:scaling>
        <c:axPos val="b"/>
        <c:tickLblPos val="nextTo"/>
        <c:crossAx val="61992960"/>
        <c:crosses val="autoZero"/>
        <c:auto val="1"/>
        <c:lblAlgn val="ctr"/>
        <c:lblOffset val="100"/>
      </c:catAx>
      <c:valAx>
        <c:axId val="61992960"/>
        <c:scaling>
          <c:orientation val="minMax"/>
        </c:scaling>
        <c:axPos val="l"/>
        <c:majorGridlines/>
        <c:numFmt formatCode="0.00%" sourceLinked="1"/>
        <c:tickLblPos val="nextTo"/>
        <c:crossAx val="619829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[analise-setorial.xlsx]ROE!Tabela dinâmica4</c:name>
    <c:fmtId val="6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</c:pivotFmts>
    <c:plotArea>
      <c:layout/>
      <c:lineChart>
        <c:grouping val="standard"/>
        <c:ser>
          <c:idx val="0"/>
          <c:order val="0"/>
          <c:tx>
            <c:strRef>
              <c:f>ROE!$B$3:$B$4</c:f>
              <c:strCache>
                <c:ptCount val="1"/>
                <c:pt idx="0">
                  <c:v>Total geral</c:v>
                </c:pt>
              </c:strCache>
            </c:strRef>
          </c:tx>
          <c:cat>
            <c:strRef>
              <c:f>ROE!$A$5</c:f>
              <c:strCache>
                <c:ptCount val="1"/>
                <c:pt idx="0">
                  <c:v>Total geral</c:v>
                </c:pt>
              </c:strCache>
            </c:strRef>
          </c:cat>
          <c:val>
            <c:numRef>
              <c:f>ROE!$B$5</c:f>
              <c:numCache>
                <c:formatCode>0.00%</c:formatCode>
                <c:ptCount val="1"/>
              </c:numCache>
            </c:numRef>
          </c:val>
        </c:ser>
        <c:marker val="1"/>
        <c:axId val="62806272"/>
        <c:axId val="62820352"/>
      </c:lineChart>
      <c:catAx>
        <c:axId val="62806272"/>
        <c:scaling>
          <c:orientation val="minMax"/>
        </c:scaling>
        <c:axPos val="b"/>
        <c:tickLblPos val="nextTo"/>
        <c:crossAx val="62820352"/>
        <c:crosses val="autoZero"/>
        <c:auto val="1"/>
        <c:lblAlgn val="ctr"/>
        <c:lblOffset val="100"/>
      </c:catAx>
      <c:valAx>
        <c:axId val="62820352"/>
        <c:scaling>
          <c:orientation val="minMax"/>
        </c:scaling>
        <c:axPos val="l"/>
        <c:majorGridlines/>
        <c:numFmt formatCode="0.00%" sourceLinked="1"/>
        <c:tickLblPos val="nextTo"/>
        <c:crossAx val="628062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2257425</xdr:colOff>
      <xdr:row>4</xdr:row>
      <xdr:rowOff>57150</xdr:rowOff>
    </xdr:from>
    <xdr:to>
      <xdr:col>6</xdr:col>
      <xdr:colOff>85725</xdr:colOff>
      <xdr:row>18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790575</xdr:colOff>
      <xdr:row>4</xdr:row>
      <xdr:rowOff>85725</xdr:rowOff>
    </xdr:from>
    <xdr:to>
      <xdr:col>3</xdr:col>
      <xdr:colOff>485775</xdr:colOff>
      <xdr:row>18</xdr:row>
      <xdr:rowOff>161925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2766.491785995371" createdVersion="3" refreshedVersion="3" minRefreshableVersion="3" recordCount="162">
  <cacheSource type="worksheet">
    <worksheetSource name="Tabela2"/>
  </cacheSource>
  <cacheFields count="27">
    <cacheField name="Setor" numFmtId="0">
      <sharedItems count="18">
        <s v="Bens Industriais"/>
        <s v="Consumo Cíclico"/>
        <s v="Financeiro e Outros"/>
        <s v="Utilidade Pública"/>
        <s v="Materiais Básicos"/>
        <s v="Consumo Cíclico/Construção Civil" u="1"/>
        <s v="Financeiro e Outros / Intermediários Financeiros / Bancos" u="1"/>
        <s v="Consumo Cíclico / Construção Civil" u="1"/>
        <s v="Bens Industriais / Serviços" u="1"/>
        <s v="Consumo Cíclico / Comércio" u="1"/>
        <s v="Utilidade Pública/Energia Elétrica" u="1"/>
        <s v="Bens Industriais/Construção e Engenharia" u="1"/>
        <s v="Utilidade Pública / Energia Elétrica" u="1"/>
        <s v="Consumo Cíclico / Tecidos. Vestuário e Calçados" u="1"/>
        <s v="Consumo Cíclico/Comércio" u="1"/>
        <s v="Financeiro e Outros / Intermediários Financeiros" u="1"/>
        <s v="Bens Industriais / Construção e Engenharia" u="1"/>
        <s v="Consumo Cíclico / Tecidos. Vestuário e Calçados / Fios e Tecidos" u="1"/>
      </sharedItems>
    </cacheField>
    <cacheField name="Nome de Pregão" numFmtId="0">
      <sharedItems count="27">
        <s v="AZEVEDO"/>
        <s v="ETERNIT"/>
        <s v="HAGA S/A"/>
        <s v="LIX DA CUNHA"/>
        <s v="MILLS"/>
        <s v="PORTOBELLO"/>
        <s v="SULTEPA"/>
        <s v="CONTAX"/>
        <s v="B2W DIGITAL"/>
        <s v="HYPERMARCAS"/>
        <s v="LOJAS AMERIC"/>
        <s v="SARAIVA LIVR"/>
        <s v="CR2"/>
        <s v="CYRELA REALT"/>
        <s v="DIRECIONAL"/>
        <s v="HELBOR"/>
        <s v="TECNISA"/>
        <s v="BRASIL"/>
        <s v="AES TIETE E"/>
        <s v="CEMIG       "/>
        <s v="CESP"/>
        <s v="TAESA"/>
        <s v="PETTENATI"/>
        <s v="COPEL"/>
        <s v="PINE"/>
        <s v="ECORODOVIAS"/>
        <s v="BRADESPAR"/>
      </sharedItems>
    </cacheField>
    <cacheField name="ANO" numFmtId="0">
      <sharedItems containsSemiMixedTypes="0" containsString="0" containsNumber="1" containsInteger="1" minValue="2010" maxValue="2016" count="7">
        <n v="2015"/>
        <n v="2014"/>
        <n v="2013"/>
        <n v="2012"/>
        <n v="2011"/>
        <n v="2010"/>
        <n v="2016"/>
      </sharedItems>
    </cacheField>
    <cacheField name="Reais" numFmtId="164">
      <sharedItems containsSemiMixedTypes="0" containsString="0" containsNumber="1" containsInteger="1" minValue="1" maxValue="1000"/>
    </cacheField>
    <cacheField name="AT" numFmtId="3">
      <sharedItems containsSemiMixedTypes="0" containsString="0" containsNumber="1" containsInteger="1" minValue="137095" maxValue="1388864529"/>
    </cacheField>
    <cacheField name="AC" numFmtId="3">
      <sharedItems containsSemiMixedTypes="0" containsString="0" containsNumber="1" containsInteger="1" minValue="45927" maxValue="1388864529"/>
    </cacheField>
    <cacheField name="AI" numFmtId="3">
      <sharedItems containsSemiMixedTypes="0" containsString="0" containsNumber="1" containsInteger="1" minValue="21" maxValue="219549345"/>
    </cacheField>
    <cacheField name="PC" numFmtId="3">
      <sharedItems containsSemiMixedTypes="0" containsString="0" containsNumber="1" containsInteger="1" minValue="27327" maxValue="1388864529"/>
    </cacheField>
    <cacheField name="PO" numFmtId="3">
      <sharedItems containsString="0" containsBlank="1" containsNumber="1" containsInteger="1" minValue="11111" maxValue="179071436"/>
    </cacheField>
    <cacheField name="PL" numFmtId="3">
      <sharedItems containsSemiMixedTypes="0" containsString="0" containsNumber="1" containsInteger="1" minValue="-107878525" maxValue="169495454"/>
    </cacheField>
    <cacheField name="RBV" numFmtId="3">
      <sharedItems containsString="0" containsBlank="1" containsNumber="1" containsInteger="1" minValue="6005" maxValue="512762915"/>
    </cacheField>
    <cacheField name="LL" numFmtId="3">
      <sharedItems containsSemiMixedTypes="0" containsString="0" containsNumber="1" containsInteger="1" minValue="-10742571" maxValue="22391471"/>
    </cacheField>
    <cacheField name="Dividendos" numFmtId="3">
      <sharedItems containsString="0" containsBlank="1" containsNumber="1" containsInteger="1" minValue="0" maxValue="5856986"/>
    </cacheField>
    <cacheField name="Div/Ação" numFmtId="44">
      <sharedItems containsSemiMixedTypes="0" containsString="0" containsNumber="1" minValue="0" maxValue="5.4142916873231135"/>
    </cacheField>
    <cacheField name="MLL" numFmtId="10">
      <sharedItems containsSemiMixedTypes="0" containsString="0" containsNumber="1" minValue="-1.8718104803936488" maxValue="0.80345134894272052"/>
    </cacheField>
    <cacheField name="ROE" numFmtId="10">
      <sharedItems containsSemiMixedTypes="0" containsString="0" containsNumber="1" minValue="-1.3285645658312535" maxValue="0.74886584575502269"/>
    </cacheField>
    <cacheField name="LC" numFmtId="43">
      <sharedItems containsSemiMixedTypes="0" containsString="0" containsNumber="1" minValue="0.19687692338811047" maxValue="33.391601912731623"/>
    </cacheField>
    <cacheField name="IPL" numFmtId="10">
      <sharedItems containsSemiMixedTypes="0" containsString="0" containsNumber="1" minValue="-0.12989301358047275" maxValue="2.9296140443158656"/>
    </cacheField>
    <cacheField name="EO" numFmtId="10">
      <sharedItems containsSemiMixedTypes="0" containsString="0" containsNumber="1" minValue="0" maxValue="3.9629778088378806"/>
    </cacheField>
    <cacheField name="Payout" numFmtId="10">
      <sharedItems containsSemiMixedTypes="0" containsString="0" containsNumber="1" minValue="-5.3447575071923668" maxValue="4.2862471334763912"/>
    </cacheField>
    <cacheField name="Compra [20%]" numFmtId="44">
      <sharedItems containsSemiMixedTypes="0" containsString="0" containsNumber="1" minValue="0" maxValue="27.071458436615565"/>
    </cacheField>
    <cacheField name="Compra [CDI]" numFmtId="44">
      <sharedItems containsSemiMixedTypes="0" containsString="0" containsNumber="1" minValue="0" maxValue="39.007865182443176"/>
    </cacheField>
    <cacheField name="Ordinárias" numFmtId="0">
      <sharedItems containsString="0" containsBlank="1" containsNumber="1" containsInteger="1" minValue="6104107" maxValue="2865417020"/>
    </cacheField>
    <cacheField name="Preferenciais" numFmtId="0">
      <sharedItems containsString="0" containsBlank="1" containsNumber="1" containsInteger="1" minValue="5110280" maxValue="5889300"/>
    </cacheField>
    <cacheField name="Bônus Preferenciais" numFmtId="10">
      <sharedItems containsNonDate="0" containsString="0" containsBlank="1"/>
    </cacheField>
    <cacheField name="Unit" numFmtId="164">
      <sharedItems containsString="0" containsBlank="1" containsNumber="1" containsInteger="1" minValue="1" maxValue="5"/>
    </cacheField>
    <cacheField name="Total Ações" numFmtId="164">
      <sharedItems containsSemiMixedTypes="0" containsString="0" containsNumber="1" containsInteger="1" minValue="0" maxValue="286541702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2">
  <r>
    <x v="0"/>
    <x v="0"/>
    <x v="0"/>
    <n v="1000"/>
    <n v="166971"/>
    <n v="112022"/>
    <n v="33617"/>
    <n v="58945"/>
    <n v="78230"/>
    <n v="45152"/>
    <n v="288380"/>
    <n v="1245"/>
    <n v="2079"/>
    <n v="7.6999999999999999E-2"/>
    <n v="4.3172203342811567E-3"/>
    <n v="2.7573529411764705E-2"/>
    <n v="1.9004495716345746"/>
    <n v="0.74452958894401133"/>
    <n v="0.46852447430991012"/>
    <n v="1.6698795180722892"/>
    <n v="0.38499999999999995"/>
    <n v="0.55475504322766567"/>
    <n v="27000000"/>
    <m/>
    <m/>
    <n v="1"/>
    <n v="27000000"/>
  </r>
  <r>
    <x v="0"/>
    <x v="0"/>
    <x v="1"/>
    <n v="1000"/>
    <n v="156298"/>
    <n v="99298"/>
    <n v="33271"/>
    <n v="53675"/>
    <n v="73166"/>
    <n v="45200"/>
    <n v="332742"/>
    <n v="7076"/>
    <n v="1905"/>
    <n v="7.0555555555555552E-2"/>
    <n v="2.1265725396854018E-2"/>
    <n v="0.15654867256637167"/>
    <n v="1.8499860270144388"/>
    <n v="0.73608407079646021"/>
    <n v="0.46811859396793304"/>
    <n v="0.26921989824759751"/>
    <n v="0.35277777777777775"/>
    <n v="0.50832532821005438"/>
    <n v="27000000"/>
    <m/>
    <m/>
    <n v="1"/>
    <n v="27000000"/>
  </r>
  <r>
    <x v="0"/>
    <x v="0"/>
    <x v="2"/>
    <n v="1000"/>
    <n v="152651"/>
    <n v="93392"/>
    <n v="33050"/>
    <n v="51156"/>
    <n v="73660"/>
    <n v="40009"/>
    <n v="287589"/>
    <n v="7680"/>
    <n v="0"/>
    <n v="0"/>
    <n v="2.6704776608284738E-2"/>
    <n v="0.19195680971781348"/>
    <n v="1.8256314019860818"/>
    <n v="0.82606413556949687"/>
    <n v="0.48253860112282265"/>
    <n v="0"/>
    <n v="0"/>
    <n v="0"/>
    <n v="27000000"/>
    <m/>
    <m/>
    <n v="1"/>
    <n v="27000000"/>
  </r>
  <r>
    <x v="0"/>
    <x v="0"/>
    <x v="3"/>
    <n v="1000"/>
    <n v="144503"/>
    <n v="86342"/>
    <n v="36376"/>
    <n v="43089"/>
    <n v="80542"/>
    <n v="32180"/>
    <n v="218242"/>
    <n v="8796"/>
    <n v="0"/>
    <n v="0"/>
    <n v="4.0303882845648412E-2"/>
    <n v="0.27333747669359854"/>
    <n v="2.0038060757966072"/>
    <n v="1.130391547545059"/>
    <n v="0.55737251129734333"/>
    <n v="0"/>
    <n v="0"/>
    <n v="0"/>
    <n v="27000000"/>
    <m/>
    <m/>
    <n v="1"/>
    <n v="27000000"/>
  </r>
  <r>
    <x v="0"/>
    <x v="0"/>
    <x v="4"/>
    <n v="1000"/>
    <n v="137095"/>
    <n v="86743"/>
    <n v="39965"/>
    <n v="44048"/>
    <n v="77872"/>
    <n v="29682"/>
    <n v="187672"/>
    <n v="8080"/>
    <n v="0"/>
    <n v="0"/>
    <n v="4.3053838612046549E-2"/>
    <n v="0.27221885317700961"/>
    <n v="1.9692835088993825"/>
    <n v="1.3464389192102959"/>
    <n v="0.56801488019256718"/>
    <n v="0"/>
    <n v="0"/>
    <n v="0"/>
    <n v="27000000"/>
    <m/>
    <m/>
    <n v="1"/>
    <n v="27000000"/>
  </r>
  <r>
    <x v="0"/>
    <x v="0"/>
    <x v="5"/>
    <n v="1000"/>
    <n v="153548"/>
    <n v="106739"/>
    <n v="37364"/>
    <n v="61098"/>
    <n v="89898"/>
    <n v="21602"/>
    <n v="327356"/>
    <n v="16177"/>
    <n v="0"/>
    <n v="0"/>
    <n v="4.9417148303376138E-2"/>
    <n v="0.74886584575502269"/>
    <n v="1.7470129955154015"/>
    <n v="1.7296546616054069"/>
    <n v="0.58547164404616148"/>
    <n v="0"/>
    <n v="0"/>
    <n v="0"/>
    <n v="27000000"/>
    <m/>
    <m/>
    <n v="1"/>
    <n v="27000000"/>
  </r>
  <r>
    <x v="0"/>
    <x v="1"/>
    <x v="0"/>
    <n v="1000"/>
    <n v="933194"/>
    <n v="412320"/>
    <n v="354047"/>
    <n v="205820"/>
    <n v="210461"/>
    <n v="500116"/>
    <n v="974872"/>
    <n v="29421"/>
    <n v="24694"/>
    <n v="0.13795530726256983"/>
    <n v="3.0179346621915494E-2"/>
    <n v="5.8828351822377209E-2"/>
    <n v="2.0033038577397728"/>
    <n v="0.70792976029561139"/>
    <n v="0.22552759661978108"/>
    <n v="0.83933244961082221"/>
    <n v="0.68977653631284908"/>
    <n v="0.99391431745367309"/>
    <n v="179000000"/>
    <m/>
    <m/>
    <n v="1"/>
    <n v="179000000"/>
  </r>
  <r>
    <x v="0"/>
    <x v="1"/>
    <x v="1"/>
    <n v="1000"/>
    <n v="897864"/>
    <n v="395451"/>
    <n v="341684"/>
    <n v="221252"/>
    <n v="178187"/>
    <n v="514808"/>
    <n v="978154"/>
    <n v="85160"/>
    <n v="71577"/>
    <n v="0.39987150837988827"/>
    <n v="8.7061955479403041E-2"/>
    <n v="0.1654208947801899"/>
    <n v="1.7873329958599244"/>
    <n v="0.66371151963450448"/>
    <n v="0.19845655912253971"/>
    <n v="0.84050023485204317"/>
    <n v="1.9993575418994411"/>
    <n v="2.8809186482700881"/>
    <n v="179000000"/>
    <m/>
    <m/>
    <n v="1"/>
    <n v="179000000"/>
  </r>
  <r>
    <x v="0"/>
    <x v="1"/>
    <x v="2"/>
    <n v="1000"/>
    <n v="833632"/>
    <n v="389943"/>
    <n v="279064"/>
    <n v="193082"/>
    <n v="133139"/>
    <n v="506129"/>
    <n v="957301"/>
    <n v="102254"/>
    <n v="71577"/>
    <n v="0.39987150837988827"/>
    <n v="0.10681488894297614"/>
    <n v="0.20203149789875705"/>
    <n v="2.0195719953180515"/>
    <n v="0.55136931493749619"/>
    <n v="0.15970956009366244"/>
    <n v="0.69999217634517963"/>
    <n v="1.9993575418994411"/>
    <n v="2.8809186482700881"/>
    <n v="179000000"/>
    <m/>
    <m/>
    <n v="1"/>
    <n v="179000000"/>
  </r>
  <r>
    <x v="0"/>
    <x v="1"/>
    <x v="3"/>
    <n v="1000"/>
    <n v="810120"/>
    <n v="426031"/>
    <n v="252457"/>
    <n v="208094"/>
    <n v="125687"/>
    <n v="479534"/>
    <n v="906317"/>
    <n v="113004"/>
    <n v="71577"/>
    <n v="0.39987150837988827"/>
    <n v="0.12468485088550695"/>
    <n v="0.23565378054527938"/>
    <n v="2.0473007390890654"/>
    <n v="0.52646319134826725"/>
    <n v="0.1551461511874784"/>
    <n v="0.63340235743867479"/>
    <n v="1.9993575418994411"/>
    <n v="2.8809186482700881"/>
    <n v="179000000"/>
    <m/>
    <m/>
    <n v="1"/>
    <n v="179000000"/>
  </r>
  <r>
    <x v="0"/>
    <x v="1"/>
    <x v="4"/>
    <n v="1000"/>
    <n v="691935"/>
    <n v="350886"/>
    <n v="225889"/>
    <n v="162585"/>
    <n v="87674"/>
    <n v="438106"/>
    <n v="820238"/>
    <n v="97193"/>
    <n v="71576"/>
    <n v="0.39986592178770952"/>
    <n v="0.11849365671914737"/>
    <n v="0.22184813720880334"/>
    <n v="2.1581695728388226"/>
    <n v="0.51560352973937817"/>
    <n v="0.12670843359564121"/>
    <n v="0.73643163602317041"/>
    <n v="1.9993296089385475"/>
    <n v="2.8808783990468982"/>
    <n v="179000000"/>
    <m/>
    <m/>
    <n v="1"/>
    <n v="179000000"/>
  </r>
  <r>
    <x v="0"/>
    <x v="1"/>
    <x v="5"/>
    <n v="1000"/>
    <n v="661078"/>
    <n v="339304"/>
    <n v="209989"/>
    <n v="170278"/>
    <n v="74237"/>
    <n v="412489"/>
    <n v="758745"/>
    <n v="102084"/>
    <n v="80522"/>
    <n v="0.44984357541899439"/>
    <n v="0.13454322598501472"/>
    <n v="0.24748296318204849"/>
    <n v="1.9926473179154089"/>
    <n v="0.50907781783271799"/>
    <n v="0.11229688478515394"/>
    <n v="0.78878178754750994"/>
    <n v="2.249217877094972"/>
    <n v="3.2409479497045703"/>
    <n v="179000000"/>
    <m/>
    <m/>
    <n v="1"/>
    <n v="179000000"/>
  </r>
  <r>
    <x v="0"/>
    <x v="2"/>
    <x v="0"/>
    <n v="1"/>
    <n v="51759369"/>
    <n v="40073071"/>
    <n v="10628881"/>
    <n v="24282647"/>
    <n v="133691560"/>
    <n v="-84842745"/>
    <n v="29639628"/>
    <n v="3146460"/>
    <n v="0"/>
    <n v="0"/>
    <n v="0.10615720278270699"/>
    <n v="-3.7085787358718765E-2"/>
    <n v="1.6502760592780514"/>
    <n v="-0.12527742943724887"/>
    <n v="2.5829441622443272"/>
    <n v="0"/>
    <n v="0"/>
    <n v="0"/>
    <n v="11900000"/>
    <m/>
    <m/>
    <n v="1"/>
    <n v="11900000"/>
  </r>
  <r>
    <x v="0"/>
    <x v="2"/>
    <x v="1"/>
    <n v="1"/>
    <n v="47457148"/>
    <n v="35012548"/>
    <n v="11429183"/>
    <n v="24395810"/>
    <n v="132487435"/>
    <n v="-87989205"/>
    <n v="35906523"/>
    <n v="4980786"/>
    <n v="0"/>
    <n v="0"/>
    <n v="0.1387153526394076"/>
    <n v="-5.6606784889123615E-2"/>
    <n v="1.4351869439875127"/>
    <n v="-0.12989301358047275"/>
    <n v="2.7917277076995863"/>
    <n v="0"/>
    <n v="0"/>
    <n v="0"/>
    <n v="11900000"/>
    <m/>
    <m/>
    <n v="1"/>
    <n v="11900000"/>
  </r>
  <r>
    <x v="0"/>
    <x v="2"/>
    <x v="2"/>
    <n v="1"/>
    <n v="41558683"/>
    <n v="28698154"/>
    <n v="11953112"/>
    <n v="24101452"/>
    <n v="131624150"/>
    <n v="-92969991"/>
    <n v="30557202"/>
    <n v="2980352"/>
    <n v="0"/>
    <n v="0"/>
    <n v="9.7533537265617448E-2"/>
    <n v="-3.2057139814071836E-2"/>
    <n v="1.1907230319567468"/>
    <n v="-0.12856957251937348"/>
    <n v="3.1671877090041569"/>
    <n v="0"/>
    <n v="0"/>
    <n v="0"/>
    <n v="11900000"/>
    <m/>
    <m/>
    <n v="1"/>
    <n v="11900000"/>
  </r>
  <r>
    <x v="0"/>
    <x v="2"/>
    <x v="3"/>
    <n v="1"/>
    <n v="39246524"/>
    <n v="27131279"/>
    <n v="11310690"/>
    <n v="22096731"/>
    <n v="152641133"/>
    <n v="-92298672"/>
    <n v="29752636"/>
    <n v="9269275"/>
    <n v="0"/>
    <n v="0"/>
    <n v="0.31154466447947671"/>
    <n v="-0.10042695955582112"/>
    <n v="1.2278413037657019"/>
    <n v="-0.12254445004365827"/>
    <n v="3.8892905012428618"/>
    <n v="0"/>
    <n v="0"/>
    <n v="0"/>
    <n v="11900000"/>
    <m/>
    <m/>
    <n v="1"/>
    <n v="11900000"/>
  </r>
  <r>
    <x v="0"/>
    <x v="2"/>
    <x v="4"/>
    <n v="1"/>
    <n v="35584137"/>
    <n v="24773914"/>
    <n v="9772546"/>
    <n v="32145570"/>
    <n v="134022990"/>
    <n v="-101567947"/>
    <n v="35138573"/>
    <n v="6310578"/>
    <n v="0"/>
    <n v="0"/>
    <n v="0.17959118601657501"/>
    <n v="-6.2131589604740162E-2"/>
    <n v="0.77067894580808494"/>
    <n v="-9.6216831083530713E-2"/>
    <n v="3.7663689862704834"/>
    <n v="0"/>
    <n v="0"/>
    <n v="0"/>
    <n v="11900000"/>
    <m/>
    <m/>
    <n v="1"/>
    <n v="11900000"/>
  </r>
  <r>
    <x v="0"/>
    <x v="2"/>
    <x v="5"/>
    <n v="1"/>
    <n v="35273547"/>
    <n v="26451292"/>
    <n v="8099838"/>
    <n v="30459038"/>
    <n v="139788284"/>
    <n v="-107878525"/>
    <n v="33805465"/>
    <n v="3517578"/>
    <n v="0"/>
    <n v="0"/>
    <n v="0.10405353098973791"/>
    <n v="-3.2606841815829422E-2"/>
    <n v="0.86842178009692883"/>
    <n v="-7.5082950939494214E-2"/>
    <n v="3.9629778088378806"/>
    <n v="0"/>
    <n v="0"/>
    <n v="0"/>
    <n v="11900000"/>
    <m/>
    <m/>
    <n v="1"/>
    <n v="11900000"/>
  </r>
  <r>
    <x v="0"/>
    <x v="3"/>
    <x v="0"/>
    <n v="1000"/>
    <n v="287489"/>
    <n v="278855"/>
    <n v="2513"/>
    <n v="190603"/>
    <n v="14696"/>
    <n v="39515"/>
    <n v="6005"/>
    <n v="-9499"/>
    <n v="0"/>
    <n v="0"/>
    <n v="-1.5818484596169859"/>
    <n v="-0.24038972542072631"/>
    <n v="1.4630147479315645"/>
    <n v="6.3596102745792735E-2"/>
    <n v="5.1118477576533365E-2"/>
    <n v="0"/>
    <n v="0"/>
    <n v="0"/>
    <n v="6104107"/>
    <n v="5889300"/>
    <m/>
    <n v="1"/>
    <n v="11993407"/>
  </r>
  <r>
    <x v="0"/>
    <x v="3"/>
    <x v="1"/>
    <n v="1000"/>
    <n v="276996"/>
    <n v="267016"/>
    <n v="4141"/>
    <n v="180155"/>
    <n v="12107"/>
    <n v="49588"/>
    <n v="12343"/>
    <n v="9917"/>
    <n v="0"/>
    <n v="0"/>
    <n v="0.80345134894272052"/>
    <n v="0.19998790029845931"/>
    <n v="1.4821459298937028"/>
    <n v="8.3508106800032261E-2"/>
    <n v="4.3708212392958745E-2"/>
    <n v="0"/>
    <n v="0"/>
    <n v="0"/>
    <n v="6104107"/>
    <n v="5889300"/>
    <m/>
    <n v="1"/>
    <n v="11993407"/>
  </r>
  <r>
    <x v="0"/>
    <x v="3"/>
    <x v="2"/>
    <n v="1000"/>
    <n v="314799"/>
    <n v="264058"/>
    <n v="4459"/>
    <n v="230321"/>
    <n v="11111"/>
    <n v="39632"/>
    <n v="16212"/>
    <n v="-1617"/>
    <n v="0"/>
    <n v="0"/>
    <n v="-9.974093264248704E-2"/>
    <n v="-4.0800363342753332E-2"/>
    <n v="1.1464781761107323"/>
    <n v="0.11251009285425918"/>
    <n v="3.529553778760415E-2"/>
    <n v="0"/>
    <n v="0"/>
    <n v="0"/>
    <n v="6104107"/>
    <n v="5889300"/>
    <m/>
    <n v="1"/>
    <n v="11993407"/>
  </r>
  <r>
    <x v="0"/>
    <x v="3"/>
    <x v="3"/>
    <n v="1000"/>
    <n v="342770"/>
    <n v="332459"/>
    <n v="4246"/>
    <n v="262325"/>
    <n v="15063"/>
    <n v="41721"/>
    <n v="15398"/>
    <n v="-7800"/>
    <n v="0"/>
    <n v="0"/>
    <n v="-0.50655929341472916"/>
    <n v="-0.18695620910332925"/>
    <n v="1.2673553797769941"/>
    <n v="0.10177129023753026"/>
    <n v="4.394491933366397E-2"/>
    <n v="0"/>
    <n v="0"/>
    <n v="0"/>
    <n v="6104107"/>
    <n v="5889300"/>
    <m/>
    <n v="1"/>
    <n v="11993407"/>
  </r>
  <r>
    <x v="0"/>
    <x v="3"/>
    <x v="4"/>
    <n v="1000"/>
    <n v="330395"/>
    <n v="321333"/>
    <n v="3933"/>
    <n v="246792"/>
    <n v="12720"/>
    <n v="49863"/>
    <n v="14709"/>
    <n v="-636"/>
    <n v="0"/>
    <n v="0"/>
    <n v="-4.3238833367326125E-2"/>
    <n v="-1.2754948559051802E-2"/>
    <n v="1.302039774384907"/>
    <n v="7.8876120570362793E-2"/>
    <n v="3.849937196386144E-2"/>
    <n v="0"/>
    <n v="0"/>
    <n v="0"/>
    <n v="6104107"/>
    <n v="5889300"/>
    <m/>
    <n v="1"/>
    <n v="11993407"/>
  </r>
  <r>
    <x v="0"/>
    <x v="3"/>
    <x v="5"/>
    <n v="1000"/>
    <n v="358147"/>
    <n v="348830"/>
    <n v="3955"/>
    <n v="280489"/>
    <n v="11174"/>
    <n v="50698"/>
    <n v="11073"/>
    <n v="-3220"/>
    <n v="0"/>
    <n v="0"/>
    <n v="-0.29079743520274542"/>
    <n v="-6.3513353583967813E-2"/>
    <n v="1.2436494835804612"/>
    <n v="7.8010966902047424E-2"/>
    <n v="3.1199479543316012E-2"/>
    <n v="0"/>
    <n v="0"/>
    <n v="0"/>
    <n v="6104107"/>
    <n v="5889300"/>
    <m/>
    <n v="1"/>
    <n v="11993407"/>
  </r>
  <r>
    <x v="0"/>
    <x v="4"/>
    <x v="0"/>
    <n v="1000"/>
    <n v="1637957"/>
    <n v="435541"/>
    <n v="1004067"/>
    <n v="218904"/>
    <n v="630213"/>
    <n v="962231"/>
    <n v="576106"/>
    <n v="-97801"/>
    <n v="0"/>
    <n v="0"/>
    <n v="-0.1697621618243865"/>
    <n v="-0.10163983492529341"/>
    <n v="1.9896438621496182"/>
    <n v="1.0434781253150232"/>
    <n v="0.38475552166509863"/>
    <n v="0"/>
    <n v="0"/>
    <n v="0"/>
    <n v="175586442"/>
    <m/>
    <m/>
    <n v="1"/>
    <n v="175586442"/>
  </r>
  <r>
    <x v="0"/>
    <x v="4"/>
    <x v="1"/>
    <n v="1000"/>
    <n v="1892723"/>
    <n v="425333"/>
    <n v="1200148"/>
    <n v="221214"/>
    <n v="777265"/>
    <n v="1059397"/>
    <n v="794166"/>
    <n v="64268"/>
    <n v="25081"/>
    <n v="0.14284132484443191"/>
    <n v="8.0925146631812495E-2"/>
    <n v="6.0664698880589618E-2"/>
    <n v="1.922721889211352"/>
    <n v="1.1328595417959462"/>
    <n v="0.41065966863613956"/>
    <n v="0.39025642621522377"/>
    <n v="0.71420662422215953"/>
    <n v="1.0291161732307774"/>
    <n v="175586442"/>
    <m/>
    <m/>
    <n v="1"/>
    <n v="175586442"/>
  </r>
  <r>
    <x v="0"/>
    <x v="4"/>
    <x v="2"/>
    <n v="1000"/>
    <n v="1801245"/>
    <n v="319464"/>
    <n v="1224476"/>
    <n v="254983"/>
    <n v="706547"/>
    <n v="1016513"/>
    <n v="832262"/>
    <n v="172592"/>
    <n v="46498"/>
    <n v="0.26481543489559406"/>
    <n v="0.20737700387618321"/>
    <n v="0.16978828603274135"/>
    <n v="1.2528835255683712"/>
    <n v="1.2045846929650679"/>
    <n v="0.39225480154004594"/>
    <n v="0.26940993788819878"/>
    <n v="1.3240771744779702"/>
    <n v="1.907892182244914"/>
    <n v="175586442"/>
    <m/>
    <m/>
    <n v="1"/>
    <n v="175586442"/>
  </r>
  <r>
    <x v="0"/>
    <x v="4"/>
    <x v="3"/>
    <n v="1000"/>
    <n v="1664061"/>
    <n v="473677"/>
    <n v="1003347"/>
    <n v="214527"/>
    <n v="697562"/>
    <n v="859326"/>
    <n v="879274"/>
    <n v="151516"/>
    <n v="41780"/>
    <n v="0.23794547872893285"/>
    <n v="0.17231943626218904"/>
    <n v="0.17631958069463743"/>
    <n v="2.2080064514023876"/>
    <n v="1.1675976288393461"/>
    <n v="0.41919256565714841"/>
    <n v="0.27574645581984741"/>
    <n v="1.1897273936446642"/>
    <n v="1.7143046017934642"/>
    <n v="175586442"/>
    <m/>
    <m/>
    <n v="1"/>
    <n v="175586442"/>
  </r>
  <r>
    <x v="0"/>
    <x v="4"/>
    <x v="4"/>
    <n v="1000"/>
    <n v="1280619"/>
    <n v="224869"/>
    <n v="872886"/>
    <n v="177737"/>
    <n v="456321"/>
    <n v="736140"/>
    <n v="677592"/>
    <n v="92177"/>
    <n v="25347"/>
    <n v="0.14435624818913981"/>
    <n v="0.13603613974190959"/>
    <n v="0.12521667074197843"/>
    <n v="1.2651783252783608"/>
    <n v="1.1857608607058441"/>
    <n v="0.35632846303233046"/>
    <n v="0.27498182843876456"/>
    <n v="0.72178124094569895"/>
    <n v="1.0400306065499985"/>
    <n v="175586442"/>
    <m/>
    <m/>
    <n v="1"/>
    <n v="175586442"/>
  </r>
  <r>
    <x v="0"/>
    <x v="4"/>
    <x v="5"/>
    <n v="1000"/>
    <n v="924093"/>
    <n v="307915"/>
    <n v="551174"/>
    <n v="160790"/>
    <n v="195139"/>
    <n v="655152"/>
    <n v="549884"/>
    <n v="103283"/>
    <n v="28112"/>
    <n v="0.16010347769334035"/>
    <n v="0.18782688712528461"/>
    <n v="0.15764738564485797"/>
    <n v="1.9150133714783257"/>
    <n v="0.84129179182846114"/>
    <n v="0.21116814000322479"/>
    <n v="0.27218419294559609"/>
    <n v="0.80051738846670173"/>
    <n v="1.1534832686840082"/>
    <n v="175586442"/>
    <m/>
    <m/>
    <n v="1"/>
    <n v="175586442"/>
  </r>
  <r>
    <x v="0"/>
    <x v="5"/>
    <x v="0"/>
    <n v="1000"/>
    <n v="1351893"/>
    <n v="639604"/>
    <n v="444194"/>
    <n v="439490"/>
    <n v="866551"/>
    <n v="231856"/>
    <n v="1060395"/>
    <n v="52673"/>
    <n v="13209"/>
    <n v="8.3343577503473015E-2"/>
    <n v="4.9672999212557585E-2"/>
    <n v="0.22717980125595197"/>
    <n v="1.4553323170037999"/>
    <n v="1.9158184390311228"/>
    <n v="0.64099081806030511"/>
    <n v="0.25077364114441936"/>
    <n v="0.41671788751736505"/>
    <n v="0.60045805117775941"/>
    <n v="158488517"/>
    <m/>
    <m/>
    <n v="1"/>
    <n v="158488517"/>
  </r>
  <r>
    <x v="0"/>
    <x v="5"/>
    <x v="1"/>
    <n v="1000"/>
    <n v="1132348"/>
    <n v="497839"/>
    <n v="392585"/>
    <n v="460243"/>
    <n v="643355"/>
    <n v="237280"/>
    <n v="949147"/>
    <n v="93484"/>
    <n v="45133"/>
    <n v="0.28477141974897779"/>
    <n v="9.8492646555275426E-2"/>
    <n v="0.39398179366149699"/>
    <n v="1.0816872825876764"/>
    <n v="1.6545220836142953"/>
    <n v="0.56816014158191652"/>
    <n v="0.48278849856659961"/>
    <n v="1.4238570987448889"/>
    <n v="2.051667289257765"/>
    <n v="158488517"/>
    <m/>
    <m/>
    <n v="1"/>
    <n v="158488517"/>
  </r>
  <r>
    <x v="0"/>
    <x v="5"/>
    <x v="2"/>
    <n v="1000"/>
    <n v="904908"/>
    <n v="433732"/>
    <n v="265572"/>
    <n v="352485"/>
    <n v="450337"/>
    <n v="191857"/>
    <n v="834032"/>
    <n v="90511"/>
    <n v="30091"/>
    <n v="0.18986233557854543"/>
    <n v="0.10852221497496499"/>
    <n v="0.47176282335280967"/>
    <n v="1.2304977516773763"/>
    <n v="1.3842184543696607"/>
    <n v="0.49766053565666346"/>
    <n v="0.33245682845179036"/>
    <n v="0.94931167789272708"/>
    <n v="1.3678842620932667"/>
    <n v="158488517"/>
    <m/>
    <m/>
    <n v="1"/>
    <n v="158488517"/>
  </r>
  <r>
    <x v="0"/>
    <x v="5"/>
    <x v="3"/>
    <n v="1000"/>
    <n v="695321"/>
    <n v="328230"/>
    <n v="187056"/>
    <n v="295375"/>
    <n v="318586"/>
    <n v="127127"/>
    <n v="706471"/>
    <n v="65675"/>
    <n v="15595"/>
    <n v="9.8398295947207323E-2"/>
    <n v="9.2962060721529974E-2"/>
    <n v="0.51660937487709147"/>
    <n v="1.1112314853999155"/>
    <n v="1.4714104792844951"/>
    <n v="0.45818549993456259"/>
    <n v="0.23745717548534451"/>
    <n v="0.49199147973603657"/>
    <n v="0.70892144054183948"/>
    <n v="158488517"/>
    <m/>
    <m/>
    <n v="1"/>
    <n v="158488517"/>
  </r>
  <r>
    <x v="0"/>
    <x v="5"/>
    <x v="4"/>
    <n v="1000"/>
    <n v="550222"/>
    <n v="215923"/>
    <n v="178052"/>
    <n v="245403"/>
    <n v="271267"/>
    <n v="81798"/>
    <n v="586806"/>
    <n v="24390"/>
    <n v="0"/>
    <n v="0"/>
    <n v="4.1563992188218934E-2"/>
    <n v="0.29817354947553731"/>
    <n v="0.87987106922083269"/>
    <n v="2.1767280373603266"/>
    <n v="0.49301372900392931"/>
    <n v="0"/>
    <n v="0"/>
    <n v="0"/>
    <n v="158488517"/>
    <m/>
    <m/>
    <n v="1"/>
    <n v="158488517"/>
  </r>
  <r>
    <x v="0"/>
    <x v="5"/>
    <x v="5"/>
    <n v="1000"/>
    <n v="538113"/>
    <n v="214884"/>
    <n v="178226"/>
    <n v="251275"/>
    <n v="303978"/>
    <n v="60836"/>
    <n v="511415"/>
    <n v="32304"/>
    <n v="0"/>
    <n v="0"/>
    <n v="6.3165922000723476E-2"/>
    <n v="0.53100138076139125"/>
    <n v="0.85517460949159285"/>
    <n v="2.9296140443158656"/>
    <n v="0.56489622068227308"/>
    <n v="0"/>
    <n v="0"/>
    <n v="0"/>
    <n v="158488517"/>
    <m/>
    <m/>
    <n v="1"/>
    <n v="158488517"/>
  </r>
  <r>
    <x v="0"/>
    <x v="6"/>
    <x v="0"/>
    <n v="1000"/>
    <n v="1183121"/>
    <n v="68133"/>
    <n v="148607"/>
    <n v="346069"/>
    <n v="585501"/>
    <n v="214395"/>
    <n v="39909"/>
    <n v="28224"/>
    <n v="0"/>
    <n v="0"/>
    <n v="0.70720890024806438"/>
    <n v="0.13164486112082838"/>
    <n v="0.19687692338811047"/>
    <n v="0.69314582896056343"/>
    <n v="0.49487837676788765"/>
    <n v="0"/>
    <n v="0"/>
    <n v="0"/>
    <n v="7489720"/>
    <n v="5110280"/>
    <m/>
    <n v="1"/>
    <n v="12600000"/>
  </r>
  <r>
    <x v="0"/>
    <x v="6"/>
    <x v="1"/>
    <n v="1000"/>
    <n v="1075230"/>
    <n v="61381"/>
    <n v="155187"/>
    <n v="241051"/>
    <n v="520205"/>
    <n v="186171"/>
    <n v="95381"/>
    <n v="-21212"/>
    <n v="0"/>
    <n v="0"/>
    <n v="-0.22239230035331983"/>
    <n v="-0.11393826106106751"/>
    <n v="0.25463905978402912"/>
    <n v="0.83357236089401676"/>
    <n v="0.48380811547296859"/>
    <n v="0"/>
    <n v="0"/>
    <n v="0"/>
    <n v="7489720"/>
    <n v="5110280"/>
    <m/>
    <n v="1"/>
    <n v="12600000"/>
  </r>
  <r>
    <x v="0"/>
    <x v="6"/>
    <x v="2"/>
    <n v="1000"/>
    <n v="1002815"/>
    <n v="93066"/>
    <n v="161887"/>
    <n v="211762"/>
    <n v="459650"/>
    <n v="207388"/>
    <n v="153174"/>
    <n v="-21768"/>
    <n v="0"/>
    <n v="0"/>
    <n v="-0.14211289122174781"/>
    <n v="-0.10496267865064517"/>
    <n v="0.43948394896157006"/>
    <n v="0.78059964896715339"/>
    <n v="0.45835971739553155"/>
    <n v="0"/>
    <n v="0"/>
    <n v="0"/>
    <n v="7489720"/>
    <n v="5110280"/>
    <m/>
    <n v="1"/>
    <n v="12600000"/>
  </r>
  <r>
    <x v="0"/>
    <x v="6"/>
    <x v="3"/>
    <n v="1000"/>
    <n v="928838"/>
    <n v="45927"/>
    <n v="179535"/>
    <n v="200207"/>
    <n v="406622"/>
    <n v="229159"/>
    <n v="122167"/>
    <n v="-46293"/>
    <n v="0"/>
    <n v="0"/>
    <n v="-0.37893211751127553"/>
    <n v="-0.20201257642073844"/>
    <n v="0.22939757351141568"/>
    <n v="0.78345166456477822"/>
    <n v="0.43777494030175335"/>
    <n v="0"/>
    <n v="0"/>
    <n v="0"/>
    <n v="7489720"/>
    <n v="5110280"/>
    <m/>
    <n v="1"/>
    <n v="12600000"/>
  </r>
  <r>
    <x v="0"/>
    <x v="6"/>
    <x v="4"/>
    <n v="1000"/>
    <n v="937943"/>
    <n v="91661"/>
    <n v="189884"/>
    <n v="170793"/>
    <n v="412302"/>
    <n v="275452"/>
    <n v="161462"/>
    <n v="559"/>
    <n v="0"/>
    <n v="0"/>
    <n v="3.4621149248739639E-3"/>
    <n v="2.0293916907482973E-3"/>
    <n v="0.53667890370214233"/>
    <n v="0.68935422505554511"/>
    <n v="0.43958108328544487"/>
    <n v="0"/>
    <n v="0"/>
    <n v="0"/>
    <n v="7489720"/>
    <n v="5110280"/>
    <m/>
    <n v="1"/>
    <n v="12600000"/>
  </r>
  <r>
    <x v="0"/>
    <x v="6"/>
    <x v="5"/>
    <n v="1000"/>
    <n v="965109"/>
    <n v="117030"/>
    <n v="197284"/>
    <n v="142533"/>
    <n v="433452"/>
    <n v="274952"/>
    <n v="201369"/>
    <n v="22348"/>
    <n v="0"/>
    <n v="0"/>
    <n v="0.11098033957560498"/>
    <n v="8.1279641537431987E-2"/>
    <n v="0.82107301467028693"/>
    <n v="0.71752160377083996"/>
    <n v="0.4491223271153828"/>
    <n v="0"/>
    <n v="0"/>
    <n v="0"/>
    <n v="7489720"/>
    <n v="5110280"/>
    <m/>
    <n v="1"/>
    <n v="12600000"/>
  </r>
  <r>
    <x v="0"/>
    <x v="7"/>
    <x v="0"/>
    <n v="1000"/>
    <n v="2621368"/>
    <n v="863895"/>
    <n v="373298"/>
    <n v="1589799"/>
    <n v="1619686"/>
    <n v="170694"/>
    <n v="3209384"/>
    <n v="-226778"/>
    <n v="0"/>
    <n v="0"/>
    <n v="-7.0660911875923854E-2"/>
    <n v="-1.3285645658312535"/>
    <n v="0.5433988825002406"/>
    <n v="2.1869427162056079"/>
    <n v="0.61787814606724423"/>
    <n v="0"/>
    <n v="0"/>
    <n v="0"/>
    <n v="345767870"/>
    <m/>
    <m/>
    <n v="1"/>
    <n v="345767870"/>
  </r>
  <r>
    <x v="0"/>
    <x v="7"/>
    <x v="1"/>
    <n v="1000"/>
    <n v="2653754"/>
    <n v="948876"/>
    <n v="448575"/>
    <n v="1005819"/>
    <n v="1499796"/>
    <n v="395783"/>
    <n v="3452231"/>
    <n v="96646"/>
    <n v="24162"/>
    <n v="6.9879251649379678E-2"/>
    <n v="2.799522975142741E-2"/>
    <n v="0.24418936639522162"/>
    <n v="0.94338643433858382"/>
    <n v="1.1333862242693598"/>
    <n v="0.56516014672045711"/>
    <n v="0.25000517351985596"/>
    <n v="0.34939625824689835"/>
    <n v="0.50345282168140981"/>
    <n v="345767870"/>
    <m/>
    <m/>
    <n v="1"/>
    <n v="345767870"/>
  </r>
  <r>
    <x v="0"/>
    <x v="7"/>
    <x v="2"/>
    <n v="1000"/>
    <n v="2638616"/>
    <n v="918194"/>
    <n v="508411"/>
    <n v="933277"/>
    <n v="1319305"/>
    <n v="438249"/>
    <n v="3617962"/>
    <n v="103620"/>
    <n v="25564"/>
    <n v="7.3933995081729251E-2"/>
    <n v="2.8640433481612024E-2"/>
    <n v="0.23644092741797471"/>
    <n v="0.9838386674052827"/>
    <n v="1.1600962010181426"/>
    <n v="0.49999886304032115"/>
    <n v="0.24670912951167728"/>
    <n v="0.36966997540864621"/>
    <n v="0.53266567061764591"/>
    <n v="345767870"/>
    <m/>
    <m/>
    <n v="1"/>
    <n v="345767870"/>
  </r>
  <r>
    <x v="0"/>
    <x v="7"/>
    <x v="3"/>
    <n v="1000"/>
    <n v="2479819"/>
    <n v="867306"/>
    <n v="542446"/>
    <n v="823782"/>
    <n v="1215903"/>
    <n v="504422"/>
    <n v="3619013"/>
    <n v="50303"/>
    <n v="44527"/>
    <n v="0.12877714751228911"/>
    <n v="1.3899646118983269E-2"/>
    <n v="9.9724040585065676E-2"/>
    <n v="1.0528343663736279"/>
    <n v="1.075381327539243"/>
    <n v="0.49031925313903957"/>
    <n v="0.88517583444327375"/>
    <n v="0.64388573756144551"/>
    <n v="0.92778924720669387"/>
    <n v="345767870"/>
    <m/>
    <m/>
    <n v="1"/>
    <n v="345767870"/>
  </r>
  <r>
    <x v="0"/>
    <x v="7"/>
    <x v="4"/>
    <n v="1000"/>
    <n v="2647457"/>
    <n v="1120650"/>
    <n v="519913"/>
    <n v="1150354"/>
    <n v="1419120"/>
    <n v="498141"/>
    <n v="2956199"/>
    <n v="23285"/>
    <n v="19874"/>
    <n v="5.7477868027471728E-2"/>
    <n v="7.8766686545797496E-3"/>
    <n v="4.6743793423950249E-2"/>
    <n v="0.97417838334982099"/>
    <n v="1.0437065007698623"/>
    <n v="0.53603136897029868"/>
    <n v="0.85351084389091691"/>
    <n v="0.28738934013735862"/>
    <n v="0.41410567743135246"/>
    <n v="345767870"/>
    <m/>
    <m/>
    <n v="1"/>
    <n v="345767870"/>
  </r>
  <r>
    <x v="0"/>
    <x v="7"/>
    <x v="5"/>
    <n v="1000"/>
    <n v="1378557"/>
    <n v="602073"/>
    <n v="405873"/>
    <n v="504476"/>
    <n v="512498"/>
    <n v="420971"/>
    <n v="2397309"/>
    <n v="109053"/>
    <n v="100000"/>
    <n v="0.2892113717795699"/>
    <n v="4.5489755388229053E-2"/>
    <n v="0.25905109853172786"/>
    <n v="1.1934621270387491"/>
    <n v="0.96413529673065368"/>
    <n v="0.37176409825636519"/>
    <n v="0.91698531906504177"/>
    <n v="1.4460568588978495"/>
    <n v="2.0836554162793219"/>
    <n v="345767870"/>
    <m/>
    <m/>
    <n v="1"/>
    <n v="345767870"/>
  </r>
  <r>
    <x v="1"/>
    <x v="8"/>
    <x v="0"/>
    <n v="1000"/>
    <n v="9948401"/>
    <n v="5257690"/>
    <n v="565965"/>
    <n v="3262136"/>
    <n v="4692564"/>
    <n v="2706133"/>
    <n v="9013779"/>
    <n v="-418437"/>
    <n v="0"/>
    <n v="0"/>
    <n v="-4.6421928028188841E-2"/>
    <n v="-0.1546254378480289"/>
    <n v="1.6117323128158973"/>
    <n v="0.20914160538303181"/>
    <n v="0.47169027464815705"/>
    <n v="0"/>
    <n v="0"/>
    <n v="0"/>
    <n v="341794262"/>
    <m/>
    <m/>
    <n v="1"/>
    <n v="341794262"/>
  </r>
  <r>
    <x v="1"/>
    <x v="8"/>
    <x v="1"/>
    <n v="1000"/>
    <n v="7634965"/>
    <n v="4027890"/>
    <n v="474169"/>
    <n v="3107329"/>
    <n v="2269423"/>
    <n v="3079457"/>
    <n v="7963835"/>
    <n v="-163313"/>
    <n v="0"/>
    <n v="0"/>
    <n v="-2.050682868241243E-2"/>
    <n v="-5.3033050956710875E-2"/>
    <n v="1.2962547577034811"/>
    <n v="0.15397812016858817"/>
    <n v="0.29724078630353906"/>
    <n v="0"/>
    <n v="0"/>
    <n v="0"/>
    <n v="341794262"/>
    <m/>
    <m/>
    <n v="1"/>
    <n v="341794262"/>
  </r>
  <r>
    <x v="1"/>
    <x v="8"/>
    <x v="2"/>
    <n v="1000"/>
    <n v="6613476"/>
    <n v="4142478"/>
    <n v="319636"/>
    <n v="2556308"/>
    <n v="3798332"/>
    <n v="829673"/>
    <n v="6088500"/>
    <n v="-159562"/>
    <n v="0"/>
    <n v="0"/>
    <n v="-2.6207111768087377E-2"/>
    <n v="-0.19231914260196487"/>
    <n v="1.6204925228102405"/>
    <n v="0.38525539580051416"/>
    <n v="0.57433216662463127"/>
    <n v="0"/>
    <n v="0"/>
    <n v="0"/>
    <n v="341794262"/>
    <m/>
    <m/>
    <n v="1"/>
    <n v="341794262"/>
  </r>
  <r>
    <x v="1"/>
    <x v="8"/>
    <x v="3"/>
    <n v="1000"/>
    <n v="4786747"/>
    <n v="3136775"/>
    <n v="262015"/>
    <n v="1647391"/>
    <n v="2797056"/>
    <n v="969013"/>
    <n v="4812439"/>
    <n v="-170667"/>
    <n v="0"/>
    <n v="0"/>
    <n v="-3.5463722241466336E-2"/>
    <n v="-0.17612457211616356"/>
    <n v="1.9040865222645991"/>
    <n v="0.27039368924875107"/>
    <n v="0.5843333687784209"/>
    <n v="0"/>
    <n v="0"/>
    <n v="0"/>
    <n v="341794262"/>
    <m/>
    <m/>
    <n v="1"/>
    <n v="341794262"/>
  </r>
  <r>
    <x v="1"/>
    <x v="8"/>
    <x v="4"/>
    <n v="1000"/>
    <n v="4090027"/>
    <n v="2801029"/>
    <n v="213037"/>
    <n v="1400221"/>
    <n v="2145625"/>
    <n v="1138848"/>
    <n v="4232137"/>
    <n v="-89168"/>
    <n v="0"/>
    <n v="0"/>
    <n v="-2.1069261226656887E-2"/>
    <n v="-7.8296664699766788E-2"/>
    <n v="2.0004192195374872"/>
    <n v="0.18706359408806092"/>
    <n v="0.52459922636207534"/>
    <n v="0"/>
    <n v="0"/>
    <n v="0"/>
    <n v="341794262"/>
    <m/>
    <m/>
    <n v="1"/>
    <n v="341794262"/>
  </r>
  <r>
    <x v="1"/>
    <x v="8"/>
    <x v="5"/>
    <n v="1000"/>
    <n v="3212014"/>
    <n v="2324298"/>
    <n v="131949"/>
    <n v="1400288"/>
    <n v="2127671"/>
    <n v="225945"/>
    <n v="4073569"/>
    <n v="33587"/>
    <n v="6186"/>
    <n v="1.8098606933313586E-2"/>
    <n v="8.2451039862096367E-3"/>
    <n v="0.1486512204297506"/>
    <n v="1.659871397883864"/>
    <n v="0.58398725353515235"/>
    <n v="0.66241025101384987"/>
    <n v="0.18417840235805519"/>
    <n v="9.0493034666567926E-2"/>
    <n v="0.13039342170975204"/>
    <n v="341794262"/>
    <m/>
    <m/>
    <n v="1"/>
    <n v="341794262"/>
  </r>
  <r>
    <x v="1"/>
    <x v="9"/>
    <x v="0"/>
    <n v="1000"/>
    <n v="15823430"/>
    <n v="9771757"/>
    <n v="740661"/>
    <n v="3350320"/>
    <n v="6532948"/>
    <n v="8030455"/>
    <n v="2956649"/>
    <n v="559872"/>
    <n v="24908"/>
    <n v="3.9396552621333805E-2"/>
    <n v="0.18936031974035469"/>
    <n v="6.9718590042531836E-2"/>
    <n v="2.9166637813701377"/>
    <n v="9.2231511165930202E-2"/>
    <n v="0.41286547859724471"/>
    <n v="4.4488740283493367E-2"/>
    <n v="0.19698276310666901"/>
    <n v="0.2838368344476499"/>
    <n v="632238060"/>
    <m/>
    <m/>
    <n v="1"/>
    <n v="632238060"/>
  </r>
  <r>
    <x v="1"/>
    <x v="9"/>
    <x v="1"/>
    <n v="1000"/>
    <n v="13887691"/>
    <n v="4825420"/>
    <n v="1666691"/>
    <n v="2989129"/>
    <n v="5620018"/>
    <n v="7475963"/>
    <n v="2768096"/>
    <n v="402695"/>
    <n v="0"/>
    <n v="0"/>
    <n v="0.14547725223402658"/>
    <n v="5.3865301366526293E-2"/>
    <n v="1.6143231021478164"/>
    <n v="0.22293997442202429"/>
    <n v="0.40467619851276931"/>
    <n v="0"/>
    <n v="0"/>
    <n v="0"/>
    <n v="632238060"/>
    <m/>
    <m/>
    <n v="1"/>
    <n v="632238060"/>
  </r>
  <r>
    <x v="1"/>
    <x v="9"/>
    <x v="2"/>
    <n v="1000"/>
    <n v="12501987"/>
    <n v="3774193"/>
    <n v="1521759"/>
    <n v="1916989"/>
    <n v="4526446"/>
    <n v="7078577"/>
    <n v="4258740"/>
    <n v="256722"/>
    <n v="0"/>
    <n v="0"/>
    <n v="6.0281209935332987E-2"/>
    <n v="3.6267458840950659E-2"/>
    <n v="1.9688130709148566"/>
    <n v="0.21498092060028448"/>
    <n v="0.3620581272400939"/>
    <n v="0"/>
    <n v="0"/>
    <n v="0"/>
    <n v="632238060"/>
    <m/>
    <m/>
    <n v="1"/>
    <n v="632238060"/>
  </r>
  <r>
    <x v="1"/>
    <x v="9"/>
    <x v="3"/>
    <n v="1000"/>
    <n v="12656511"/>
    <n v="4011689"/>
    <n v="1376971"/>
    <n v="1658867"/>
    <n v="4834039"/>
    <n v="6868366"/>
    <n v="3873683"/>
    <n v="203913"/>
    <n v="102112"/>
    <n v="0.16150878357433907"/>
    <n v="5.2640600689318147E-2"/>
    <n v="2.9688720723386026E-2"/>
    <n v="2.4183307040287136"/>
    <n v="0.20048014331210653"/>
    <n v="0.38194088402404108"/>
    <n v="0.50076258011995312"/>
    <n v="0.80754391787169533"/>
    <n v="1.1636079508237684"/>
    <n v="632238060"/>
    <m/>
    <m/>
    <n v="1"/>
    <n v="632238060"/>
  </r>
  <r>
    <x v="1"/>
    <x v="9"/>
    <x v="4"/>
    <n v="1000"/>
    <n v="13325286"/>
    <n v="4718407"/>
    <n v="1258664"/>
    <n v="1599875"/>
    <n v="5637876"/>
    <n v="6645934"/>
    <n v="3324630"/>
    <n v="-54651"/>
    <n v="0"/>
    <n v="0"/>
    <n v="-1.6438220192923726E-2"/>
    <n v="-8.2232234024593089E-3"/>
    <n v="2.9492347839674973"/>
    <n v="0.1893885795435224"/>
    <n v="0.42309605962678776"/>
    <n v="0"/>
    <n v="0"/>
    <n v="0"/>
    <n v="632238060"/>
    <m/>
    <m/>
    <n v="1"/>
    <n v="632238060"/>
  </r>
  <r>
    <x v="1"/>
    <x v="9"/>
    <x v="5"/>
    <n v="1000"/>
    <n v="9987182"/>
    <n v="4487508"/>
    <n v="739685"/>
    <n v="1748553"/>
    <n v="4573848"/>
    <n v="5059091"/>
    <n v="3159728"/>
    <n v="261901"/>
    <n v="0"/>
    <n v="0"/>
    <n v="8.2887197885387606E-2"/>
    <n v="5.1768390803802501E-2"/>
    <n v="2.5664123420908602"/>
    <n v="0.14620907194592864"/>
    <n v="0.4579718282895015"/>
    <n v="0"/>
    <n v="0"/>
    <n v="0"/>
    <n v="632238060"/>
    <m/>
    <m/>
    <n v="1"/>
    <n v="632238060"/>
  </r>
  <r>
    <x v="1"/>
    <x v="10"/>
    <x v="0"/>
    <n v="1000"/>
    <n v="20528253"/>
    <n v="12281139"/>
    <n v="2716759"/>
    <n v="7618062"/>
    <n v="10970057"/>
    <n v="2943605"/>
    <n v="17926155"/>
    <n v="64474"/>
    <n v="115500"/>
    <n v="8.1721555081212205E-2"/>
    <n v="3.5966441213969198E-3"/>
    <n v="2.1903074631276956E-2"/>
    <n v="1.6121080400763343"/>
    <n v="0.92293599175161067"/>
    <n v="0.53438824044111299"/>
    <n v="1.7914197971275243"/>
    <n v="0.40860777540606102"/>
    <n v="0.5887720106715576"/>
    <n v="1413335807"/>
    <m/>
    <m/>
    <n v="1"/>
    <n v="1413335807"/>
  </r>
  <r>
    <x v="1"/>
    <x v="10"/>
    <x v="1"/>
    <n v="1000"/>
    <n v="16858031"/>
    <n v="10093028"/>
    <n v="2317668"/>
    <n v="6547473"/>
    <n v="8262536"/>
    <n v="3048280"/>
    <n v="16145669"/>
    <n v="355210"/>
    <n v="115500"/>
    <n v="8.1721555081212205E-2"/>
    <n v="2.2000327146555525E-2"/>
    <n v="0.11652800923799651"/>
    <n v="1.5415150241933033"/>
    <n v="0.76031991811775823"/>
    <n v="0.4901246177563679"/>
    <n v="0.32515976464626561"/>
    <n v="0.40860777540606102"/>
    <n v="0.5887720106715576"/>
    <n v="1413335807"/>
    <m/>
    <m/>
    <n v="1"/>
    <n v="1413335807"/>
  </r>
  <r>
    <x v="1"/>
    <x v="10"/>
    <x v="2"/>
    <n v="1000"/>
    <n v="14138353"/>
    <n v="8991570"/>
    <n v="1785347"/>
    <n v="5480314"/>
    <n v="7838772"/>
    <n v="1488484"/>
    <n v="13401172"/>
    <n v="402617"/>
    <n v="115500"/>
    <n v="8.1721555081212205E-2"/>
    <n v="3.0043417098146341E-2"/>
    <n v="0.27048795956154048"/>
    <n v="1.6407034341462916"/>
    <n v="1.1994398327425757"/>
    <n v="0.55443317902728839"/>
    <n v="0.28687313253041974"/>
    <n v="0.40860777540606102"/>
    <n v="0.5887720106715576"/>
    <n v="1413335807"/>
    <m/>
    <m/>
    <n v="1"/>
    <n v="1413335807"/>
  </r>
  <r>
    <x v="1"/>
    <x v="10"/>
    <x v="3"/>
    <n v="1000"/>
    <n v="11080294"/>
    <n v="7354002"/>
    <n v="1334442"/>
    <n v="4904392"/>
    <n v="6387490"/>
    <n v="1169305"/>
    <n v="11334061"/>
    <n v="346574"/>
    <n v="100000"/>
    <n v="7.0754593143906669E-2"/>
    <n v="3.0578095529925239E-2"/>
    <n v="0.29639315661867521"/>
    <n v="1.4994727175152394"/>
    <n v="1.1412266260727526"/>
    <n v="0.57647297084355342"/>
    <n v="0.28853866706677361"/>
    <n v="0.35377296571953332"/>
    <n v="0.50975931659875118"/>
    <n v="1413335807"/>
    <m/>
    <m/>
    <n v="1"/>
    <n v="1413335807"/>
  </r>
  <r>
    <x v="1"/>
    <x v="10"/>
    <x v="4"/>
    <n v="1000"/>
    <n v="9458027"/>
    <n v="6772293"/>
    <n v="934592"/>
    <n v="4565564"/>
    <n v="5134248"/>
    <n v="1158428"/>
    <n v="9978406"/>
    <n v="303766"/>
    <n v="79846"/>
    <n v="5.649471244168372E-2"/>
    <n v="3.0442337182912782E-2"/>
    <n v="0.26222259821067861"/>
    <n v="1.4833420361646448"/>
    <n v="0.8067760793074753"/>
    <n v="0.54284556387923188"/>
    <n v="0.26285364392328303"/>
    <n v="0.28247356220841857"/>
    <n v="0.40702242393143889"/>
    <n v="1413335807"/>
    <m/>
    <m/>
    <n v="1"/>
    <n v="1413335807"/>
  </r>
  <r>
    <x v="1"/>
    <x v="10"/>
    <x v="5"/>
    <n v="1000"/>
    <n v="7996619"/>
    <n v="5851663"/>
    <n v="638406"/>
    <n v="4444963"/>
    <n v="4283463"/>
    <n v="550678"/>
    <n v="9149051"/>
    <n v="324201"/>
    <n v="71262"/>
    <n v="5.0421138166210772E-2"/>
    <n v="3.5435478499354744E-2"/>
    <n v="0.58873061934560666"/>
    <n v="1.316470575795569"/>
    <n v="1.1593090699101833"/>
    <n v="0.53565925799390968"/>
    <n v="0.21980808202318933"/>
    <n v="0.25210569083105383"/>
    <n v="0.36326468419460206"/>
    <n v="1413335807"/>
    <m/>
    <m/>
    <n v="1"/>
    <n v="1413335807"/>
  </r>
  <r>
    <x v="1"/>
    <x v="11"/>
    <x v="0"/>
    <n v="1000"/>
    <n v="1750734"/>
    <n v="1338522"/>
    <n v="99361"/>
    <n v="846456"/>
    <n v="750712"/>
    <n v="524552"/>
    <n v="1772815"/>
    <n v="93714"/>
    <n v="19884"/>
    <n v="0.74467043258783272"/>
    <n v="5.2861691716281731E-2"/>
    <n v="0.17865530967377877"/>
    <n v="1.581324959596246"/>
    <n v="0.18942068660495051"/>
    <n v="0.42879843539909546"/>
    <n v="0.21217747615084193"/>
    <n v="3.7233521629391633"/>
    <n v="5.3650607535146451"/>
    <n v="26701745"/>
    <m/>
    <m/>
    <n v="1"/>
    <n v="26701745"/>
  </r>
  <r>
    <x v="1"/>
    <x v="11"/>
    <x v="1"/>
    <n v="1000"/>
    <n v="1871799"/>
    <n v="1444747"/>
    <n v="118341"/>
    <n v="1053068"/>
    <n v="877650"/>
    <n v="472518"/>
    <n v="1821453"/>
    <n v="5747"/>
    <n v="5466"/>
    <n v="0.20470572241626905"/>
    <n v="3.1551733698316673E-3"/>
    <n v="1.2162499629643738E-2"/>
    <n v="1.3719408433263569"/>
    <n v="0.25044760199611443"/>
    <n v="0.46888047274306699"/>
    <n v="0.95110492430833482"/>
    <n v="1.0235286120813452"/>
    <n v="1.4748250894543879"/>
    <n v="26701745"/>
    <m/>
    <m/>
    <n v="1"/>
    <n v="26701745"/>
  </r>
  <r>
    <x v="1"/>
    <x v="11"/>
    <x v="2"/>
    <n v="1000"/>
    <n v="1326029"/>
    <n v="949363"/>
    <n v="116092"/>
    <n v="549896"/>
    <n v="505244"/>
    <n v="515741"/>
    <n v="2143751"/>
    <n v="13021"/>
    <n v="12372"/>
    <n v="0.4633405045250788"/>
    <n v="6.0739330267367804E-3"/>
    <n v="2.5247168636970883E-2"/>
    <n v="1.7264409997526806"/>
    <n v="0.22509748110000949"/>
    <n v="0.38102032459320273"/>
    <n v="0.9501574379847938"/>
    <n v="2.3167025226253939"/>
    <n v="3.3381880729472533"/>
    <n v="26701745"/>
    <m/>
    <m/>
    <n v="1"/>
    <n v="26701745"/>
  </r>
  <r>
    <x v="1"/>
    <x v="11"/>
    <x v="3"/>
    <n v="1000"/>
    <n v="1334917"/>
    <n v="964310"/>
    <n v="126154"/>
    <n v="552460"/>
    <n v="439413"/>
    <n v="515941"/>
    <n v="1923508"/>
    <n v="77015"/>
    <n v="25985"/>
    <n v="0.97315737229907628"/>
    <n v="4.0038824897011084E-2"/>
    <n v="0.14927094377070246"/>
    <n v="1.7454838359338232"/>
    <n v="0.24451245394337726"/>
    <n v="0.32916877978181414"/>
    <n v="0.33740180484321236"/>
    <n v="4.8657868614953808"/>
    <n v="7.0112202615207222"/>
    <n v="26701745"/>
    <m/>
    <m/>
    <n v="1"/>
    <n v="26701745"/>
  </r>
  <r>
    <x v="1"/>
    <x v="11"/>
    <x v="4"/>
    <n v="1000"/>
    <n v="1294402"/>
    <n v="969973"/>
    <n v="130235"/>
    <n v="538135"/>
    <n v="448850"/>
    <n v="466207"/>
    <n v="1888967"/>
    <n v="64921"/>
    <n v="24839"/>
    <n v="0.93023882896042942"/>
    <n v="3.4368519937087311E-2"/>
    <n v="0.13925359336088905"/>
    <n v="1.802471498787479"/>
    <n v="0.27935015990750889"/>
    <n v="0.34676244319770827"/>
    <n v="0.38260347191201616"/>
    <n v="4.6511941448021465"/>
    <n v="6.7020088541817682"/>
    <n v="26701745"/>
    <m/>
    <m/>
    <n v="1"/>
    <n v="26701745"/>
  </r>
  <r>
    <x v="1"/>
    <x v="11"/>
    <x v="5"/>
    <n v="1000"/>
    <n v="1102477"/>
    <n v="969973"/>
    <n v="124731"/>
    <n v="470639"/>
    <n v="297572"/>
    <n v="424464"/>
    <n v="1564936"/>
    <n v="61023"/>
    <n v="22288"/>
    <n v="0.83470200168565767"/>
    <n v="3.8993926908193054E-2"/>
    <n v="0.14376484224810585"/>
    <n v="2.0609702978291216"/>
    <n v="0.29385530928417958"/>
    <n v="0.26991220678526628"/>
    <n v="0.36523933598807007"/>
    <n v="4.1735100084282877"/>
    <n v="6.0137031821733258"/>
    <n v="26701745"/>
    <m/>
    <m/>
    <n v="1"/>
    <n v="26701745"/>
  </r>
  <r>
    <x v="1"/>
    <x v="12"/>
    <x v="0"/>
    <n v="1000"/>
    <n v="290342"/>
    <n v="177901"/>
    <n v="2224"/>
    <n v="27327"/>
    <n v="25195"/>
    <n v="254077"/>
    <n v="29446"/>
    <n v="-33517"/>
    <m/>
    <n v="0"/>
    <n v="-1.1382530734225362"/>
    <n v="-0.13191670241698383"/>
    <n v="6.5100816042741609"/>
    <n v="8.753251966923413E-3"/>
    <n v="8.6776973362448426E-2"/>
    <n v="0"/>
    <n v="0"/>
    <n v="0"/>
    <n v="48443062"/>
    <m/>
    <m/>
    <n v="1"/>
    <n v="48443062"/>
  </r>
  <r>
    <x v="1"/>
    <x v="12"/>
    <x v="1"/>
    <n v="1000"/>
    <n v="422054"/>
    <n v="228507"/>
    <n v="4436"/>
    <n v="57363"/>
    <n v="63484"/>
    <n v="343913"/>
    <n v="19713"/>
    <n v="-36899"/>
    <m/>
    <n v="0"/>
    <n v="-1.8718104803936488"/>
    <n v="-0.10729166969553347"/>
    <n v="3.9835259662151561"/>
    <n v="1.2898610985917951E-2"/>
    <n v="0.15041677131362338"/>
    <n v="0"/>
    <n v="0"/>
    <n v="0"/>
    <n v="48443062"/>
    <m/>
    <m/>
    <n v="1"/>
    <n v="48443062"/>
  </r>
  <r>
    <x v="1"/>
    <x v="12"/>
    <x v="2"/>
    <n v="1000"/>
    <n v="583886"/>
    <n v="338861"/>
    <n v="6115"/>
    <n v="146164"/>
    <n v="169647"/>
    <n v="391464"/>
    <n v="109380"/>
    <n v="-8776"/>
    <m/>
    <n v="0"/>
    <n v="-8.0234046443591153E-2"/>
    <n v="-2.2418408844746898E-2"/>
    <n v="2.3183615664595933"/>
    <n v="1.5620848915864549E-2"/>
    <n v="0.29054815494805492"/>
    <n v="0"/>
    <n v="0"/>
    <n v="0"/>
    <n v="48443062"/>
    <m/>
    <m/>
    <n v="1"/>
    <n v="48443062"/>
  </r>
  <r>
    <x v="1"/>
    <x v="12"/>
    <x v="3"/>
    <n v="1000"/>
    <n v="669990"/>
    <n v="400627"/>
    <n v="7183"/>
    <n v="202429"/>
    <n v="215869"/>
    <n v="413615"/>
    <n v="157399"/>
    <n v="-23175"/>
    <n v="0"/>
    <n v="0"/>
    <n v="-0.14723727596744579"/>
    <n v="-5.6030366403539526E-2"/>
    <n v="1.979098844533145"/>
    <n v="1.7366391450987027E-2"/>
    <n v="0.32219734622904822"/>
    <n v="0"/>
    <n v="0"/>
    <n v="0"/>
    <n v="48443062"/>
    <m/>
    <m/>
    <n v="1"/>
    <n v="48443062"/>
  </r>
  <r>
    <x v="1"/>
    <x v="12"/>
    <x v="4"/>
    <n v="1000"/>
    <n v="787859"/>
    <n v="449768"/>
    <n v="8235"/>
    <n v="225010"/>
    <n v="286296"/>
    <n v="441015"/>
    <n v="195616"/>
    <n v="14795"/>
    <n v="1762"/>
    <n v="3.6372597586832971E-2"/>
    <n v="7.5632872566661208E-2"/>
    <n v="3.3547611759237213E-2"/>
    <n v="1.9988800497755654"/>
    <n v="1.8672834257338185E-2"/>
    <n v="0.36338481885718132"/>
    <n v="0.11909428861101723"/>
    <n v="0.18186298793416483"/>
    <n v="0.26205041489072745"/>
    <n v="48443062"/>
    <m/>
    <m/>
    <n v="1"/>
    <n v="48443062"/>
  </r>
  <r>
    <x v="1"/>
    <x v="12"/>
    <x v="5"/>
    <n v="1000"/>
    <n v="814146"/>
    <n v="471059"/>
    <n v="10169"/>
    <n v="236293"/>
    <n v="329041"/>
    <n v="431120"/>
    <n v="434070"/>
    <n v="45158"/>
    <n v="11151"/>
    <n v="0.23018776145900935"/>
    <n v="0.1040339115810814"/>
    <n v="0.10474577843755799"/>
    <n v="1.9935376841463777"/>
    <n v="2.358740025978846E-2"/>
    <n v="0.40415478304874064"/>
    <n v="0.2469329908321892"/>
    <n v="1.1509388072950466"/>
    <n v="1.6584132669957445"/>
    <n v="48443062"/>
    <m/>
    <m/>
    <n v="1"/>
    <n v="48443062"/>
  </r>
  <r>
    <x v="1"/>
    <x v="13"/>
    <x v="0"/>
    <n v="1000"/>
    <n v="12729588"/>
    <n v="8438709"/>
    <n v="139671"/>
    <n v="3037540"/>
    <n v="5066016"/>
    <n v="6678887"/>
    <n v="4341184"/>
    <n v="593153"/>
    <n v="106352"/>
    <n v="0.26605107150410484"/>
    <n v="0.13663392291135321"/>
    <n v="8.8810156542549673E-2"/>
    <n v="2.7781392179197639"/>
    <n v="2.0912316677913552E-2"/>
    <n v="0.39797171754498262"/>
    <n v="0.17929943876200577"/>
    <n v="1.330255357520524"/>
    <n v="1.9167944632860578"/>
    <n v="399742799"/>
    <m/>
    <m/>
    <n v="1"/>
    <n v="399742799"/>
  </r>
  <r>
    <x v="1"/>
    <x v="13"/>
    <x v="1"/>
    <n v="1000"/>
    <n v="13420612"/>
    <n v="8643734"/>
    <n v="171442"/>
    <n v="4059614"/>
    <n v="5987706"/>
    <n v="6367845"/>
    <n v="5817927"/>
    <n v="831386"/>
    <n v="157106"/>
    <n v="0.39301771137095581"/>
    <n v="0.14290072735529338"/>
    <n v="0.13056002462371494"/>
    <n v="2.1292009535881982"/>
    <n v="2.6923079943057659E-2"/>
    <n v="0.44615744796138956"/>
    <n v="0.18896878225036265"/>
    <n v="1.9650885568547789"/>
    <n v="2.8315397072835431"/>
    <n v="399742799"/>
    <m/>
    <m/>
    <n v="1"/>
    <n v="399742799"/>
  </r>
  <r>
    <x v="1"/>
    <x v="13"/>
    <x v="2"/>
    <n v="1000"/>
    <n v="14387099"/>
    <n v="8689340"/>
    <n v="156563"/>
    <n v="3886979"/>
    <n v="6488118"/>
    <n v="6194048"/>
    <n v="5371882"/>
    <n v="893999"/>
    <n v="170723"/>
    <n v="0.42708211486756514"/>
    <n v="0.16642193555256798"/>
    <n v="0.14433194576470831"/>
    <n v="2.2354996000750198"/>
    <n v="2.527636208179207E-2"/>
    <n v="0.45096777328077048"/>
    <n v="0.1909655379927718"/>
    <n v="2.1354105743378256"/>
    <n v="3.0769604817547918"/>
    <n v="399742799"/>
    <m/>
    <m/>
    <n v="1"/>
    <n v="399742799"/>
  </r>
  <r>
    <x v="1"/>
    <x v="13"/>
    <x v="3"/>
    <n v="1000"/>
    <n v="13829895"/>
    <n v="9737751"/>
    <n v="173901"/>
    <n v="4290025"/>
    <n v="6875583"/>
    <n v="5393306"/>
    <n v="5837953"/>
    <n v="778719"/>
    <n v="156786"/>
    <n v="0.39221719663798121"/>
    <n v="0.13338904920954314"/>
    <n v="0.14438620764332674"/>
    <n v="2.2698588003566411"/>
    <n v="3.2243859332290806E-2"/>
    <n v="0.49715366602566397"/>
    <n v="0.20133835183166199"/>
    <n v="1.9610859831899059"/>
    <n v="2.8257723100719105"/>
    <n v="399742799"/>
    <m/>
    <m/>
    <n v="1"/>
    <n v="399742799"/>
  </r>
  <r>
    <x v="1"/>
    <x v="13"/>
    <x v="4"/>
    <n v="1000"/>
    <n v="13644677"/>
    <n v="8781415"/>
    <n v="197318"/>
    <n v="4383469"/>
    <n v="7067171"/>
    <n v="4922766"/>
    <n v="6126781"/>
    <n v="592186"/>
    <n v="118315"/>
    <n v="0.29597781447465171"/>
    <n v="9.6655323570403448E-2"/>
    <n v="0.12029537865500818"/>
    <n v="2.0033026354241357"/>
    <n v="4.0082750226193974E-2"/>
    <n v="0.51794344417240512"/>
    <n v="0.19979364591530363"/>
    <n v="1.4798890723732585"/>
    <n v="2.1324050034196809"/>
    <n v="399742799"/>
    <m/>
    <m/>
    <n v="1"/>
    <n v="399742799"/>
  </r>
  <r>
    <x v="1"/>
    <x v="13"/>
    <x v="5"/>
    <n v="1000"/>
    <n v="12042561"/>
    <n v="8189985"/>
    <n v="168723"/>
    <n v="3921657"/>
    <n v="5914926"/>
    <n v="4681937"/>
    <n v="4890105"/>
    <n v="685066"/>
    <n v="142559"/>
    <n v="0.35662681193163909"/>
    <n v="0.14009228840689514"/>
    <n v="0.14632106326932634"/>
    <n v="2.0883991129259902"/>
    <n v="3.6037007759822486E-2"/>
    <n v="0.49116844830597078"/>
    <n v="0.20809527841113118"/>
    <n v="1.7831340596581953"/>
    <n v="2.5693574346659873"/>
    <n v="399742799"/>
    <m/>
    <m/>
    <n v="1"/>
    <n v="399742799"/>
  </r>
  <r>
    <x v="1"/>
    <x v="14"/>
    <x v="0"/>
    <n v="1000"/>
    <n v="3887452"/>
    <n v="2434863"/>
    <n v="87086"/>
    <n v="668383"/>
    <n v="1840542"/>
    <n v="1777485"/>
    <n v="1569577"/>
    <n v="156210"/>
    <n v="39996"/>
    <n v="0.26073224365082664"/>
    <n v="9.9523629614858014E-2"/>
    <n v="8.7882598165385364E-2"/>
    <n v="3.6429158132388166"/>
    <n v="4.899394369010146E-2"/>
    <n v="0.47345716422993778"/>
    <n v="0.25603994622623394"/>
    <n v="1.3036612182541332"/>
    <n v="1.8784743778877999"/>
    <n v="153398749"/>
    <m/>
    <m/>
    <n v="1"/>
    <n v="153398749"/>
  </r>
  <r>
    <x v="1"/>
    <x v="14"/>
    <x v="1"/>
    <n v="1000"/>
    <n v="3955520"/>
    <n v="2720652"/>
    <n v="109968"/>
    <n v="858910"/>
    <n v="1935533"/>
    <n v="1735531"/>
    <n v="1835613"/>
    <n v="232216"/>
    <n v="51468"/>
    <n v="0.33551772967848648"/>
    <n v="0.12650596830595556"/>
    <n v="0.13380112484305956"/>
    <n v="3.1675635398353728"/>
    <n v="6.3362740279487947E-2"/>
    <n v="0.48932453887225952"/>
    <n v="0.22163847452371929"/>
    <n v="1.6775886483924323"/>
    <n v="2.417274709499182"/>
    <n v="153398749"/>
    <m/>
    <m/>
    <n v="1"/>
    <n v="153398749"/>
  </r>
  <r>
    <x v="1"/>
    <x v="14"/>
    <x v="2"/>
    <n v="1000"/>
    <n v="3433656"/>
    <n v="2441768"/>
    <n v="100908"/>
    <n v="740599"/>
    <n v="1613759"/>
    <n v="1601431"/>
    <n v="1743929"/>
    <n v="236454"/>
    <n v="57051"/>
    <n v="0.37191307212029479"/>
    <n v="0.1355869418995842"/>
    <n v="0.14765169401616429"/>
    <n v="3.2970176843338974"/>
    <n v="6.3011144407720349E-2"/>
    <n v="0.46998272395370999"/>
    <n v="0.2412773731888655"/>
    <n v="1.8595653606014739"/>
    <n v="2.679488992221144"/>
    <n v="153398749"/>
    <m/>
    <m/>
    <n v="1"/>
    <n v="153398749"/>
  </r>
  <r>
    <x v="1"/>
    <x v="14"/>
    <x v="3"/>
    <n v="1000"/>
    <n v="3027111"/>
    <n v="2450571"/>
    <n v="58122"/>
    <n v="724959"/>
    <n v="1455204"/>
    <n v="1421358"/>
    <n v="1367773"/>
    <n v="230167"/>
    <n v="56261"/>
    <n v="0.36676309531050999"/>
    <n v="0.16827865442584405"/>
    <n v="0.16193457243002818"/>
    <n v="3.3802890922107318"/>
    <n v="4.0891879456125761E-2"/>
    <n v="0.48072369992378872"/>
    <n v="0.24443556200497898"/>
    <n v="1.8338154765525498"/>
    <n v="2.6423854128999276"/>
    <n v="153398749"/>
    <m/>
    <m/>
    <n v="1"/>
    <n v="153398749"/>
  </r>
  <r>
    <x v="1"/>
    <x v="14"/>
    <x v="4"/>
    <n v="1000"/>
    <n v="2451913"/>
    <n v="1913558"/>
    <n v="45662"/>
    <n v="667364"/>
    <n v="1051439"/>
    <n v="1232483"/>
    <n v="1072312"/>
    <n v="181590"/>
    <n v="41614"/>
    <n v="0.27127991767390491"/>
    <n v="0.16934436992218682"/>
    <n v="0.14733671782896804"/>
    <n v="2.8673377646981257"/>
    <n v="3.704878687981903E-2"/>
    <n v="0.42882394277447855"/>
    <n v="0.22916460157497659"/>
    <n v="1.3563995883695246"/>
    <n v="1.954466265662139"/>
    <n v="153398749"/>
    <m/>
    <m/>
    <n v="1"/>
    <n v="153398749"/>
  </r>
  <r>
    <x v="1"/>
    <x v="14"/>
    <x v="5"/>
    <n v="1000"/>
    <n v="1679543"/>
    <n v="1308166"/>
    <n v="34630"/>
    <n v="411447"/>
    <n v="737491"/>
    <n v="827855"/>
    <n v="781907"/>
    <n v="180442"/>
    <n v="40272"/>
    <n v="0.26253147605525778"/>
    <n v="0.2307716902393763"/>
    <n v="0.21796329067288353"/>
    <n v="3.1794277270219493"/>
    <n v="4.1830996974107783E-2"/>
    <n v="0.43910218434419362"/>
    <n v="0.22318528945589164"/>
    <n v="1.3126573802762889"/>
    <n v="1.8914371473721741"/>
    <n v="153398749"/>
    <m/>
    <m/>
    <n v="1"/>
    <n v="153398749"/>
  </r>
  <r>
    <x v="1"/>
    <x v="15"/>
    <x v="0"/>
    <n v="1000"/>
    <n v="5083155"/>
    <n v="3812225"/>
    <n v="24769"/>
    <n v="1249605"/>
    <n v="3051596"/>
    <n v="1870312"/>
    <n v="1307399"/>
    <n v="68873"/>
    <n v="16357"/>
    <n v="6.3473046173076864E-2"/>
    <n v="5.2679403915713567E-2"/>
    <n v="3.6824337329814494E-2"/>
    <n v="3.0507440351150965"/>
    <n v="1.3243244977308598E-2"/>
    <n v="0.6003350281468891"/>
    <n v="0.23749509967621565"/>
    <n v="0.31736523086538432"/>
    <n v="0.45729860355242696"/>
    <n v="257699937"/>
    <m/>
    <m/>
    <n v="1"/>
    <n v="257699937"/>
  </r>
  <r>
    <x v="1"/>
    <x v="15"/>
    <x v="1"/>
    <n v="1000"/>
    <n v="5052055"/>
    <n v="3018678"/>
    <n v="33276"/>
    <n v="1253496"/>
    <n v="3111058"/>
    <n v="1779016"/>
    <n v="1602005"/>
    <n v="210757"/>
    <n v="100110"/>
    <n v="0.38847506586701264"/>
    <n v="0.13155826604785878"/>
    <n v="0.118468299329517"/>
    <n v="2.4082071263091387"/>
    <n v="1.8704722161014854E-2"/>
    <n v="0.61580050098425299"/>
    <n v="0.47500201654037588"/>
    <n v="1.9423753293350632"/>
    <n v="2.7988117137392838"/>
    <n v="257699937"/>
    <m/>
    <m/>
    <n v="1"/>
    <n v="257699937"/>
  </r>
  <r>
    <x v="1"/>
    <x v="15"/>
    <x v="2"/>
    <n v="1000"/>
    <n v="4903990"/>
    <n v="3235607"/>
    <n v="41260"/>
    <n v="1097109"/>
    <n v="2974879"/>
    <n v="1713374"/>
    <n v="1802504"/>
    <n v="304121"/>
    <n v="130012"/>
    <n v="0.50450924246830531"/>
    <n v="0.16872140089564294"/>
    <n v="0.17749831618782588"/>
    <n v="2.9492119743799385"/>
    <n v="2.4081140486548764E-2"/>
    <n v="0.60662419784705923"/>
    <n v="0.42750089602493746"/>
    <n v="2.5225462123415263"/>
    <n v="3.6347928131722282"/>
    <n v="257699937"/>
    <m/>
    <m/>
    <n v="1"/>
    <n v="257699937"/>
  </r>
  <r>
    <x v="1"/>
    <x v="15"/>
    <x v="3"/>
    <n v="1000"/>
    <n v="3449668"/>
    <n v="2231996"/>
    <n v="30536"/>
    <n v="974676"/>
    <n v="2129711"/>
    <n v="1128181"/>
    <n v="1432311"/>
    <n v="272116"/>
    <n v="103405"/>
    <n v="0.40126125447985656"/>
    <n v="0.18998387919941967"/>
    <n v="0.24119888563980424"/>
    <n v="2.2899876471771132"/>
    <n v="2.7066578855697802E-2"/>
    <n v="0.61736694661631208"/>
    <n v="0.38000338091108204"/>
    <n v="2.0063062723992826"/>
    <n v="2.8909312282410413"/>
    <n v="257699937"/>
    <m/>
    <m/>
    <n v="1"/>
    <n v="257699937"/>
  </r>
  <r>
    <x v="1"/>
    <x v="15"/>
    <x v="4"/>
    <n v="1000"/>
    <n v="2630337"/>
    <n v="1774019"/>
    <n v="21941"/>
    <n v="819375"/>
    <n v="1553360"/>
    <n v="908993"/>
    <n v="1178528"/>
    <n v="213345"/>
    <n v="70937"/>
    <n v="0.27526976073727172"/>
    <n v="0.18102667055852725"/>
    <n v="0.23470477770455878"/>
    <n v="2.1650880244088482"/>
    <n v="2.4137699630250177E-2"/>
    <n v="0.5905555067658631"/>
    <n v="0.33249900396072091"/>
    <n v="1.3763488036863585"/>
    <n v="1.9832115326892774"/>
    <n v="257699937"/>
    <m/>
    <m/>
    <n v="1"/>
    <n v="257699937"/>
  </r>
  <r>
    <x v="1"/>
    <x v="15"/>
    <x v="5"/>
    <n v="1000"/>
    <n v="2099216"/>
    <n v="1582949"/>
    <n v="13085"/>
    <n v="614683"/>
    <n v="1225573"/>
    <n v="727827"/>
    <n v="987173"/>
    <n v="182058"/>
    <n v="51886"/>
    <n v="0.20134269571047664"/>
    <n v="0.18442360153691401"/>
    <n v="0.25013911272871164"/>
    <n v="2.575228207059574"/>
    <n v="1.7978173384609254E-2"/>
    <n v="0.5838241514927478"/>
    <n v="0.28499708883982028"/>
    <n v="1.006713478552383"/>
    <n v="1.4505957904213014"/>
    <n v="257699937"/>
    <m/>
    <m/>
    <n v="1"/>
    <n v="257699937"/>
  </r>
  <r>
    <x v="1"/>
    <x v="16"/>
    <x v="0"/>
    <n v="1000"/>
    <n v="3712812"/>
    <n v="2107312"/>
    <n v="20266"/>
    <n v="1258696"/>
    <n v="1754318"/>
    <n v="1712013"/>
    <n v="1271749"/>
    <n v="292905"/>
    <n v="28000"/>
    <n v="0.10237659963436929"/>
    <n v="0.23031667412358886"/>
    <n v="0.17108807000881418"/>
    <n v="1.6742025079923986"/>
    <n v="1.1837526934666968E-2"/>
    <n v="0.47250385960829688"/>
    <n v="9.5594134617025997E-2"/>
    <n v="0.51188299817184646"/>
    <n v="0.73758357085280468"/>
    <n v="273500000"/>
    <m/>
    <m/>
    <n v="1"/>
    <n v="273500000"/>
  </r>
  <r>
    <x v="1"/>
    <x v="16"/>
    <x v="1"/>
    <n v="1000"/>
    <n v="4798379"/>
    <n v="3123812"/>
    <n v="57349"/>
    <n v="1833577"/>
    <n v="2819185"/>
    <n v="1700318"/>
    <n v="1612505"/>
    <n v="211790"/>
    <n v="36896"/>
    <n v="0.13490310786106033"/>
    <n v="0.13134222839619103"/>
    <n v="0.12455905307124902"/>
    <n v="1.7036710211788215"/>
    <n v="3.3728396688148921E-2"/>
    <n v="0.58752862164493469"/>
    <n v="0.1742103026582936"/>
    <n v="0.67451553930530161"/>
    <n v="0.97192440822089565"/>
    <n v="273500000"/>
    <m/>
    <m/>
    <n v="1"/>
    <n v="273500000"/>
  </r>
  <r>
    <x v="1"/>
    <x v="16"/>
    <x v="2"/>
    <n v="1000"/>
    <n v="4690095"/>
    <n v="3288973"/>
    <n v="66246"/>
    <n v="1620124"/>
    <n v="2855182"/>
    <n v="1579047"/>
    <n v="1832249"/>
    <n v="285449"/>
    <n v="84035"/>
    <n v="0.30725776965265084"/>
    <n v="0.15579159819435023"/>
    <n v="0.18077295989289743"/>
    <n v="2.0300748584676236"/>
    <n v="4.1953152756061089E-2"/>
    <n v="0.60876847910330179"/>
    <n v="0.29439584654351564"/>
    <n v="1.5362888482632542"/>
    <n v="2.21367269202198"/>
    <n v="273500000"/>
    <m/>
    <m/>
    <n v="1"/>
    <n v="273500000"/>
  </r>
  <r>
    <x v="1"/>
    <x v="16"/>
    <x v="3"/>
    <n v="1000"/>
    <n v="4167991"/>
    <n v="2710386"/>
    <n v="71436"/>
    <n v="1407416"/>
    <n v="2485778"/>
    <n v="1433298"/>
    <n v="1355405"/>
    <n v="-170948"/>
    <n v="0"/>
    <n v="0"/>
    <n v="-0.12612318827214006"/>
    <n v="-0.11926898663083323"/>
    <n v="1.9257888214998267"/>
    <n v="4.9840298388750981E-2"/>
    <n v="0.59639716112630758"/>
    <n v="0"/>
    <n v="0"/>
    <n v="0"/>
    <n v="273500000"/>
    <m/>
    <m/>
    <n v="1"/>
    <n v="273500000"/>
  </r>
  <r>
    <x v="1"/>
    <x v="16"/>
    <x v="4"/>
    <n v="1000"/>
    <n v="3943761"/>
    <n v="2681117"/>
    <n v="40171"/>
    <n v="1066987"/>
    <n v="2076173"/>
    <n v="1632314"/>
    <n v="1596145"/>
    <n v="144411"/>
    <n v="54876"/>
    <n v="0.2006435100548446"/>
    <n v="9.0474862872733999E-2"/>
    <n v="8.8470110530204357E-2"/>
    <n v="2.5127925644829787"/>
    <n v="2.460984835025614E-2"/>
    <n v="0.52644493416309968"/>
    <n v="0.37999875355755447"/>
    <n v="1.0032175502742229"/>
    <n v="1.4455584297899466"/>
    <n v="273500000"/>
    <m/>
    <m/>
    <n v="1"/>
    <n v="273500000"/>
  </r>
  <r>
    <x v="1"/>
    <x v="16"/>
    <x v="5"/>
    <n v="1000"/>
    <n v="3135070"/>
    <n v="1901013"/>
    <n v="36022"/>
    <n v="856221"/>
    <n v="1741766"/>
    <n v="1195384"/>
    <n v="1415218"/>
    <n v="200048"/>
    <n v="47512"/>
    <n v="0.17371846435100549"/>
    <n v="0.14135490079973545"/>
    <n v="0.16735040790239789"/>
    <n v="2.2202363642097076"/>
    <n v="3.0134249747361518E-2"/>
    <n v="0.55557483564960275"/>
    <n v="0.23750299928017277"/>
    <n v="0.86859232175502743"/>
    <n v="1.2515739506556591"/>
    <n v="273500000"/>
    <m/>
    <m/>
    <n v="1"/>
    <n v="273500000"/>
  </r>
  <r>
    <x v="2"/>
    <x v="17"/>
    <x v="0"/>
    <n v="1000"/>
    <n v="1388864529"/>
    <n v="1388864529"/>
    <n v="7411947"/>
    <n v="1388864529"/>
    <m/>
    <n v="86229994"/>
    <n v="182368871"/>
    <n v="15798039"/>
    <n v="4484285"/>
    <n v="1.5649676709186295"/>
    <n v="8.6626839950114068E-2"/>
    <n v="0.18320816536297102"/>
    <n v="1"/>
    <n v="8.5955555093741517E-2"/>
    <n v="0"/>
    <n v="0.28385073615782314"/>
    <n v="7.8248383545931475"/>
    <n v="11.274983219874851"/>
    <n v="2865417020"/>
    <m/>
    <m/>
    <n v="1"/>
    <n v="2865417020"/>
  </r>
  <r>
    <x v="2"/>
    <x v="17"/>
    <x v="1"/>
    <n v="1000"/>
    <n v="1278136948"/>
    <n v="1278136948"/>
    <n v="7179878"/>
    <n v="1278136948"/>
    <m/>
    <n v="85440036"/>
    <n v="137778601"/>
    <n v="13343496"/>
    <n v="4141713"/>
    <n v="1.4454136940946907"/>
    <n v="9.6847376175637032E-2"/>
    <n v="0.1561738106009225"/>
    <n v="1"/>
    <n v="8.4034117214089182E-2"/>
    <n v="0"/>
    <n v="0.31039189429816594"/>
    <n v="7.2270684704734531"/>
    <n v="10.413643329212467"/>
    <n v="2865417020"/>
    <m/>
    <m/>
    <n v="1"/>
    <n v="2865417020"/>
  </r>
  <r>
    <x v="2"/>
    <x v="17"/>
    <x v="2"/>
    <n v="1000"/>
    <n v="1162167882"/>
    <n v="1162167882"/>
    <n v="6575390"/>
    <n v="1162167882"/>
    <m/>
    <n v="76381996"/>
    <n v="104582211"/>
    <n v="11288834"/>
    <n v="5856986"/>
    <n v="2.0440256894963231"/>
    <n v="0.10794220061000623"/>
    <n v="0.14779443574635048"/>
    <n v="1"/>
    <n v="8.6085600591008379E-2"/>
    <n v="0"/>
    <n v="0.51883002265778733"/>
    <n v="10.220128447481615"/>
    <n v="14.726409866688206"/>
    <n v="2865417020"/>
    <m/>
    <m/>
    <n v="1"/>
    <n v="2865417020"/>
  </r>
  <r>
    <x v="2"/>
    <x v="17"/>
    <x v="3"/>
    <n v="1000"/>
    <n v="1136007475"/>
    <n v="1136007475"/>
    <n v="7299814"/>
    <n v="1136007475"/>
    <m/>
    <n v="69898229"/>
    <n v="107931378"/>
    <n v="11438200"/>
    <n v="4438295"/>
    <n v="1.5489176510859142"/>
    <n v="0.1059765956105925"/>
    <n v="0.16364076978259348"/>
    <n v="1"/>
    <n v="0.10443489204855247"/>
    <n v="0"/>
    <n v="0.38802390236225981"/>
    <n v="7.7445882554295702"/>
    <n v="11.159349071224165"/>
    <n v="2865417020"/>
    <m/>
    <m/>
    <n v="1"/>
    <n v="2865417020"/>
  </r>
  <r>
    <x v="2"/>
    <x v="17"/>
    <x v="4"/>
    <n v="1000"/>
    <n v="966823068"/>
    <n v="966823068"/>
    <n v="6194386"/>
    <n v="966823068"/>
    <m/>
    <n v="63269224"/>
    <n v="106919760"/>
    <n v="12736912"/>
    <n v="4089194"/>
    <n v="1.4270851228488899"/>
    <n v="0.11912589403492863"/>
    <n v="0.20131291637147311"/>
    <n v="1"/>
    <n v="9.7905199532714357E-2"/>
    <n v="0"/>
    <n v="0.32105065968894186"/>
    <n v="7.1354256142444488"/>
    <n v="10.281593104098629"/>
    <n v="2865417020"/>
    <m/>
    <m/>
    <n v="1"/>
    <n v="2865417020"/>
  </r>
  <r>
    <x v="2"/>
    <x v="17"/>
    <x v="5"/>
    <n v="1000"/>
    <n v="802819795"/>
    <n v="802819795"/>
    <n v="5553136"/>
    <n v="802819795"/>
    <m/>
    <n v="54418937"/>
    <n v="85143206"/>
    <n v="11330345"/>
    <n v="3885445"/>
    <n v="1.3559788934317141"/>
    <n v="0.13307397656602218"/>
    <n v="0.20820592287570777"/>
    <n v="1"/>
    <n v="0.10204418362674009"/>
    <n v="0"/>
    <n v="0.34292380329107364"/>
    <n v="6.7798944671585701"/>
    <n v="9.7693003849547111"/>
    <n v="2865417020"/>
    <m/>
    <m/>
    <n v="1"/>
    <n v="2865417020"/>
  </r>
  <r>
    <x v="3"/>
    <x v="18"/>
    <x v="0"/>
    <n v="1000"/>
    <n v="4636779"/>
    <n v="1185381"/>
    <n v="3145358"/>
    <n v="915933"/>
    <n v="1480519"/>
    <n v="2018466"/>
    <n v="2625821"/>
    <n v="803316"/>
    <n v="571178"/>
    <n v="0.29032346264125464"/>
    <n v="0.30592945977658037"/>
    <n v="0.3979834190915279"/>
    <n v="1.2941787226794974"/>
    <n v="1.5582912964597868"/>
    <n v="0.31929902201506694"/>
    <n v="0.71102530013095722"/>
    <n v="7.2580865660313654"/>
    <n v="10.458337991399663"/>
    <n v="1967384912"/>
    <m/>
    <m/>
    <n v="5"/>
    <n v="1967384912"/>
  </r>
  <r>
    <x v="3"/>
    <x v="18"/>
    <x v="1"/>
    <n v="1000"/>
    <n v="17673814"/>
    <n v="4424012"/>
    <n v="3161589"/>
    <n v="4548918"/>
    <n v="8195441"/>
    <n v="5902875"/>
    <n v="3205007"/>
    <n v="209826"/>
    <n v="102842"/>
    <n v="5.2273451612197784E-2"/>
    <n v="6.5468187744987763E-2"/>
    <n v="3.5546407470935772E-2"/>
    <n v="0.97254160220078711"/>
    <n v="0.53560155009211607"/>
    <n v="0.46370528738165967"/>
    <n v="0.49012991716946425"/>
    <n v="1.3068362903049446"/>
    <n v="1.8830494096613035"/>
    <n v="1967384912"/>
    <m/>
    <m/>
    <n v="5"/>
    <n v="1967384912"/>
  </r>
  <r>
    <x v="3"/>
    <x v="18"/>
    <x v="2"/>
    <n v="1000"/>
    <n v="16573460"/>
    <n v="3450472"/>
    <n v="3150276"/>
    <n v="2865365"/>
    <n v="7150769"/>
    <n v="6538341"/>
    <n v="2336933"/>
    <n v="1063465"/>
    <n v="396276"/>
    <n v="0.20142270970104909"/>
    <n v="0.45506867334236795"/>
    <n v="0.16265058674669919"/>
    <n v="1.2041998139853038"/>
    <n v="0.48181580006304353"/>
    <n v="0.43145903148769177"/>
    <n v="0.37262721387163661"/>
    <n v="5.0355677425262266"/>
    <n v="7.2558613004700678"/>
    <n v="1967384912"/>
    <m/>
    <m/>
    <n v="5"/>
    <n v="1967384912"/>
  </r>
  <r>
    <x v="3"/>
    <x v="18"/>
    <x v="3"/>
    <n v="1000"/>
    <n v="16440554"/>
    <n v="3684149"/>
    <n v="3129052"/>
    <n v="3272881"/>
    <n v="5600801"/>
    <n v="7344034"/>
    <n v="10099789"/>
    <n v="836528"/>
    <n v="378542"/>
    <n v="0.19240871356240227"/>
    <n v="8.2826284786741589E-2"/>
    <n v="0.11390579074116487"/>
    <n v="1.1256593197247318"/>
    <n v="0.42606719957995837"/>
    <n v="0.34066984604046796"/>
    <n v="0.45251563605760953"/>
    <n v="4.8102178390600567"/>
    <n v="6.9311496240058457"/>
    <n v="1967384912"/>
    <m/>
    <m/>
    <n v="5"/>
    <n v="1967384912"/>
  </r>
  <r>
    <x v="3"/>
    <x v="18"/>
    <x v="4"/>
    <n v="1000"/>
    <n v="17203706"/>
    <n v="4067507"/>
    <n v="3165206"/>
    <n v="3342725"/>
    <n v="5873490"/>
    <n v="8059064"/>
    <n v="9917958"/>
    <n v="2667509"/>
    <n v="994874"/>
    <n v="0.50568345519567548"/>
    <n v="0.26895748096533578"/>
    <n v="0.33099488972912983"/>
    <n v="1.2168236992274268"/>
    <n v="0.39275106885861683"/>
    <n v="0.34140841514031917"/>
    <n v="0.37295994127854865"/>
    <n v="12.642086379891886"/>
    <n v="18.216262795233266"/>
    <n v="1967384912"/>
    <m/>
    <m/>
    <n v="5"/>
    <n v="1967384912"/>
  </r>
  <r>
    <x v="3"/>
    <x v="18"/>
    <x v="5"/>
    <n v="1000"/>
    <n v="17500232"/>
    <n v="4220454"/>
    <n v="3409116"/>
    <n v="3000384"/>
    <n v="6761203"/>
    <n v="7435025"/>
    <n v="9809511"/>
    <n v="1787147"/>
    <n v="695395"/>
    <n v="0.35346159043838393"/>
    <n v="0.18218512625145128"/>
    <n v="0.24036866049542538"/>
    <n v="1.4066379503423563"/>
    <n v="0.45852112131431971"/>
    <n v="0.38634933525452692"/>
    <n v="0.38910901005904941"/>
    <n v="8.8365397609595977"/>
    <n v="12.732766226166568"/>
    <n v="1967384912"/>
    <m/>
    <m/>
    <n v="5"/>
    <n v="1967384912"/>
  </r>
  <r>
    <x v="3"/>
    <x v="19"/>
    <x v="0"/>
    <n v="1000"/>
    <n v="40857089"/>
    <n v="9376738"/>
    <n v="3940323"/>
    <n v="13074072"/>
    <n v="23553108"/>
    <n v="12987676"/>
    <n v="21292211"/>
    <n v="2469003"/>
    <n v="1256497"/>
    <n v="0.99813745120957043"/>
    <n v="0.11595803742504712"/>
    <n v="0.19010352583479909"/>
    <n v="0.71720103728968299"/>
    <n v="0.30338938236525148"/>
    <n v="0.57647543122810341"/>
    <n v="0.50890865665209806"/>
    <n v="4.9906872560478517"/>
    <n v="7.1911920115963284"/>
    <n v="1258841654"/>
    <m/>
    <m/>
    <n v="1"/>
    <n v="1258841654"/>
  </r>
  <r>
    <x v="3"/>
    <x v="19"/>
    <x v="1"/>
    <n v="1000"/>
    <n v="35000003"/>
    <n v="6554378"/>
    <n v="5543620"/>
    <n v="10123317"/>
    <n v="19953019"/>
    <n v="11284952"/>
    <n v="19539578"/>
    <n v="3136903"/>
    <n v="1594633"/>
    <n v="1.2667462940497836"/>
    <n v="0.16054097995361005"/>
    <n v="0.27797220581886389"/>
    <n v="0.64745359648423539"/>
    <n v="0.49124001590790994"/>
    <n v="0.57008620827832501"/>
    <n v="0.50834628931783987"/>
    <n v="6.3337314702489174"/>
    <n v="9.1264142222606885"/>
    <n v="1258841654"/>
    <m/>
    <m/>
    <n v="1"/>
    <n v="1258841654"/>
  </r>
  <r>
    <x v="3"/>
    <x v="19"/>
    <x v="2"/>
    <n v="1000"/>
    <n v="29814142"/>
    <n v="6668783"/>
    <n v="5817455"/>
    <n v="5921641"/>
    <n v="14828084"/>
    <n v="12638357"/>
    <n v="14627280"/>
    <n v="3103855"/>
    <n v="1601074"/>
    <n v="1.2718629026236528"/>
    <n v="0.21219632084707479"/>
    <n v="0.24559007155756085"/>
    <n v="1.1261714447059523"/>
    <n v="0.46030152495296661"/>
    <n v="0.49735068679823152"/>
    <n v="0.51583401930824735"/>
    <n v="6.3593145131182638"/>
    <n v="9.1632773964240108"/>
    <n v="1258841654"/>
    <m/>
    <m/>
    <n v="1"/>
    <n v="1258841654"/>
  </r>
  <r>
    <x v="3"/>
    <x v="19"/>
    <x v="3"/>
    <n v="1000"/>
    <n v="40772961"/>
    <n v="11990079"/>
    <n v="8810529"/>
    <n v="14307372"/>
    <n v="24621139"/>
    <n v="12044062"/>
    <n v="18460375"/>
    <n v="4271685"/>
    <n v="2289976"/>
    <n v="1.8191136214181867"/>
    <n v="0.23139752036456465"/>
    <n v="0.35467145552721335"/>
    <n v="0.83803503536498525"/>
    <n v="0.73152471317401058"/>
    <n v="0.60385947932503603"/>
    <n v="0.53608259972352834"/>
    <n v="9.0955681070909336"/>
    <n v="13.106005917998463"/>
    <n v="1258841654"/>
    <m/>
    <m/>
    <n v="1"/>
    <n v="1258841654"/>
  </r>
  <r>
    <x v="3"/>
    <x v="19"/>
    <x v="4"/>
    <n v="1000"/>
    <n v="37008883"/>
    <n v="8531649"/>
    <n v="8661791"/>
    <n v="12169346"/>
    <n v="21696517"/>
    <n v="11744948"/>
    <n v="15748716"/>
    <n v="2415450"/>
    <n v="1207725"/>
    <n v="0.95939389689118115"/>
    <n v="0.15337440842796327"/>
    <n v="0.20565863722853434"/>
    <n v="0.70107703404932364"/>
    <n v="0.73749079178554044"/>
    <n v="0.58625160343261373"/>
    <n v="0.5"/>
    <n v="4.7969694844559054"/>
    <n v="6.9120597758730629"/>
    <n v="1258841654"/>
    <m/>
    <m/>
    <n v="1"/>
    <n v="1258841654"/>
  </r>
  <r>
    <x v="3"/>
    <x v="19"/>
    <x v="5"/>
    <n v="1000"/>
    <n v="33473963"/>
    <n v="8085576"/>
    <n v="8228513"/>
    <n v="6403358"/>
    <n v="18669289"/>
    <n v="11476133"/>
    <n v="13846934"/>
    <n v="2257976"/>
    <n v="1128988"/>
    <n v="0.89684671333571875"/>
    <n v="0.16306685653300579"/>
    <n v="0.19675408083890278"/>
    <n v="1.2627087225171543"/>
    <n v="0.71701094785151065"/>
    <n v="0.55772568667773215"/>
    <n v="0.5"/>
    <n v="4.4842335666785935"/>
    <n v="6.46143165227463"/>
    <n v="1258841654"/>
    <m/>
    <m/>
    <n v="1"/>
    <n v="1258841654"/>
  </r>
  <r>
    <x v="3"/>
    <x v="20"/>
    <x v="0"/>
    <n v="1000"/>
    <n v="11986763"/>
    <n v="1022615"/>
    <n v="7260107"/>
    <n v="998224"/>
    <n v="4605360"/>
    <n v="7310892"/>
    <n v="2950982"/>
    <n v="-61357"/>
    <n v="41326"/>
    <n v="0.12618522963933182"/>
    <n v="-2.0792061761135783E-2"/>
    <n v="-8.3925463541247771E-3"/>
    <n v="1.0244343954863837"/>
    <n v="0.99305351522085128"/>
    <n v="0.38420380881811045"/>
    <n v="-0.67353358215036585"/>
    <n v="0.63092614819665904"/>
    <n v="0.90911548731507075"/>
    <n v="327502673"/>
    <m/>
    <m/>
    <n v="1"/>
    <n v="327502673"/>
  </r>
  <r>
    <x v="3"/>
    <x v="20"/>
    <x v="1"/>
    <n v="1000"/>
    <n v="14687886"/>
    <n v="2948585"/>
    <n v="8494806"/>
    <n v="2202432"/>
    <n v="5991926"/>
    <n v="8629077"/>
    <n v="4699251"/>
    <n v="560139"/>
    <n v="1773195"/>
    <n v="5.4142916873231135"/>
    <n v="0.11919750615576823"/>
    <n v="6.4912968096124304E-2"/>
    <n v="1.3387859420858397"/>
    <n v="0.984439703110773"/>
    <n v="0.40795019787054448"/>
    <n v="3.165633887302973"/>
    <n v="27.071458436615565"/>
    <n v="39.007865182443176"/>
    <n v="327502673"/>
    <m/>
    <m/>
    <n v="1"/>
    <n v="327502673"/>
  </r>
  <r>
    <x v="3"/>
    <x v="20"/>
    <x v="2"/>
    <n v="1000"/>
    <n v="15174853"/>
    <n v="1471399"/>
    <n v="11076739"/>
    <n v="1251127"/>
    <n v="5783911"/>
    <n v="9317386"/>
    <n v="3904102"/>
    <n v="-195346"/>
    <n v="1044077"/>
    <n v="3.1879953541631094"/>
    <n v="-5.0036090245592968E-2"/>
    <n v="-2.0965751553064346E-2"/>
    <n v="1.1760588653270212"/>
    <n v="1.1888247411881401"/>
    <n v="0.381151039815674"/>
    <n v="-5.3447575071923668"/>
    <n v="15.939976770815546"/>
    <n v="22.968266240368223"/>
    <n v="327502673"/>
    <m/>
    <m/>
    <n v="1"/>
    <n v="327502673"/>
  </r>
  <r>
    <x v="3"/>
    <x v="20"/>
    <x v="3"/>
    <n v="1000"/>
    <n v="16889872"/>
    <n v="1075237"/>
    <n v="15181566"/>
    <n v="1790097"/>
    <n v="6749717"/>
    <n v="9879937"/>
    <n v="3354005"/>
    <n v="147982"/>
    <n v="386172"/>
    <n v="1.1791415210830967"/>
    <n v="4.4120983719463748E-2"/>
    <n v="1.4978030730357896E-2"/>
    <n v="0.6006585118013158"/>
    <n v="1.5366055471811206"/>
    <n v="0.39963103331984989"/>
    <n v="2.6095876525523374"/>
    <n v="5.8957076054154829"/>
    <n v="8.49525591558427"/>
    <n v="327502673"/>
    <m/>
    <m/>
    <n v="1"/>
    <n v="327502673"/>
  </r>
  <r>
    <x v="3"/>
    <x v="20"/>
    <x v="4"/>
    <n v="1000"/>
    <n v="17300019"/>
    <n v="969263"/>
    <n v="15841006"/>
    <n v="1599558"/>
    <n v="6791145"/>
    <n v="10118127"/>
    <n v="2957525"/>
    <n v="108581"/>
    <n v="465405"/>
    <n v="1.4210723709116109"/>
    <n v="3.6713468187082106E-2"/>
    <n v="1.0731333971198425E-2"/>
    <n v="0.60595677055786656"/>
    <n v="1.565606559395825"/>
    <n v="0.39255130297833779"/>
    <n v="4.2862471334763912"/>
    <n v="7.1053618545580539"/>
    <n v="10.238273565645612"/>
    <n v="327502673"/>
    <m/>
    <m/>
    <n v="1"/>
    <n v="327502673"/>
  </r>
  <r>
    <x v="3"/>
    <x v="20"/>
    <x v="5"/>
    <n v="1000"/>
    <n v="17782435"/>
    <n v="857842"/>
    <n v="16476849"/>
    <n v="1583289"/>
    <n v="6819758"/>
    <n v="10474951"/>
    <n v="2905327"/>
    <n v="93042"/>
    <n v="239440"/>
    <n v="0.7311085366316995"/>
    <n v="3.2024622357483337E-2"/>
    <n v="8.882332719265227E-3"/>
    <n v="0.54181011805172652"/>
    <n v="1.5729762363566187"/>
    <n v="0.38351091962377482"/>
    <n v="2.5734614475183251"/>
    <n v="3.6555426831584974"/>
    <n v="5.2673525693926475"/>
    <n v="327502673"/>
    <m/>
    <m/>
    <n v="1"/>
    <n v="327502673"/>
  </r>
  <r>
    <x v="3"/>
    <x v="21"/>
    <x v="0"/>
    <n v="1000"/>
    <n v="8862458"/>
    <n v="2082212"/>
    <n v="22805"/>
    <n v="1008424"/>
    <n v="3912019"/>
    <n v="4377065"/>
    <n v="1542465"/>
    <n v="909423"/>
    <n v="824892"/>
    <n v="0.79815637847582488"/>
    <n v="0.58959068763310674"/>
    <n v="0.20777004682361355"/>
    <n v="2.0648179733921448"/>
    <n v="5.2101122555867916E-3"/>
    <n v="0.44141467299478315"/>
    <n v="0.90704985468808241"/>
    <n v="11.972345677137373"/>
    <n v="17.251218554952988"/>
    <n v="1033496721"/>
    <m/>
    <m/>
    <n v="3"/>
    <n v="1033496721"/>
  </r>
  <r>
    <x v="3"/>
    <x v="21"/>
    <x v="1"/>
    <n v="1000"/>
    <n v="8658788"/>
    <n v="1786946"/>
    <n v="24175"/>
    <n v="751767"/>
    <n v="4035315"/>
    <n v="4224632"/>
    <n v="1495804"/>
    <n v="904845"/>
    <n v="851757"/>
    <n v="0.82415065543299382"/>
    <n v="0.60492216894726847"/>
    <n v="0.21418315252074027"/>
    <n v="2.3769944677007637"/>
    <n v="5.7223919148460742E-3"/>
    <n v="0.46603693265154428"/>
    <n v="0.94132917792550108"/>
    <n v="12.362259831494907"/>
    <n v="17.813054512240498"/>
    <n v="1033496721"/>
    <m/>
    <m/>
    <n v="3"/>
    <n v="1033496721"/>
  </r>
  <r>
    <x v="3"/>
    <x v="21"/>
    <x v="2"/>
    <n v="1000"/>
    <n v="9154079"/>
    <n v="1788028"/>
    <n v="22861"/>
    <n v="1097570"/>
    <n v="4477997"/>
    <n v="4305064"/>
    <n v="1447851"/>
    <n v="892852"/>
    <n v="571078"/>
    <n v="0.55256875846440157"/>
    <n v="0.6166739533280704"/>
    <n v="0.20739575532442722"/>
    <n v="1.6290787831300053"/>
    <n v="5.3102578730536872E-3"/>
    <n v="0.48918050630762527"/>
    <n v="0.63961104415961434"/>
    <n v="8.2885313769660236"/>
    <n v="11.943128785253636"/>
    <n v="1033496721"/>
    <m/>
    <m/>
    <n v="3"/>
    <n v="1033496721"/>
  </r>
  <r>
    <x v="3"/>
    <x v="21"/>
    <x v="3"/>
    <n v="1000"/>
    <n v="9584907"/>
    <n v="3762674"/>
    <n v="17456"/>
    <n v="642962"/>
    <n v="4911317"/>
    <n v="4097243"/>
    <n v="1126865"/>
    <n v="589182"/>
    <n v="519285"/>
    <n v="0.5024544243329051"/>
    <n v="0.52285056328841517"/>
    <n v="0.14379962330767299"/>
    <n v="5.8520939029056152"/>
    <n v="4.2604258522133051E-3"/>
    <n v="0.51240111145575018"/>
    <n v="0.88136602951210319"/>
    <n v="7.5368163649935767"/>
    <n v="10.859965943794778"/>
    <n v="1033496721"/>
    <m/>
    <m/>
    <n v="3"/>
    <n v="1033496721"/>
  </r>
  <r>
    <x v="3"/>
    <x v="21"/>
    <x v="4"/>
    <n v="1000"/>
    <n v="6490580"/>
    <n v="1565781"/>
    <n v="13940"/>
    <n v="1657918"/>
    <n v="3656236"/>
    <n v="2252472"/>
    <n v="997244"/>
    <n v="495399"/>
    <n v="214267"/>
    <n v="0.20732238007748841"/>
    <n v="0.49676809286393298"/>
    <n v="0.21993569731388449"/>
    <n v="0.9444260813864136"/>
    <n v="6.1887561754374746E-3"/>
    <n v="0.56331421845197194"/>
    <n v="0.43251399377067778"/>
    <n v="3.1098357011623259"/>
    <n v="4.4810312696863486"/>
    <n v="1033496721"/>
    <m/>
    <m/>
    <n v="3"/>
    <n v="1033496721"/>
  </r>
  <r>
    <x v="3"/>
    <x v="21"/>
    <x v="5"/>
    <n v="1000"/>
    <n v="4576109"/>
    <n v="1081675"/>
    <n v="12741"/>
    <n v="308495"/>
    <n v="1775237"/>
    <n v="2508354"/>
    <n v="798594"/>
    <n v="428630"/>
    <n v="309929"/>
    <n v="0.29988387355512469"/>
    <n v="0.53673080438871312"/>
    <n v="0.17088098410351968"/>
    <n v="3.5062966984878199"/>
    <n v="5.0794265881131612E-3"/>
    <n v="0.38793590799519856"/>
    <n v="0.7230688472575415"/>
    <n v="4.4982581033268705"/>
    <n v="6.4816399183384297"/>
    <n v="1033496721"/>
    <m/>
    <m/>
    <n v="3"/>
    <n v="1033496721"/>
  </r>
  <r>
    <x v="1"/>
    <x v="22"/>
    <x v="6"/>
    <n v="1"/>
    <n v="430214048"/>
    <n v="202820282"/>
    <n v="219549345"/>
    <n v="151078211"/>
    <n v="179071436"/>
    <n v="169495454"/>
    <n v="512762915"/>
    <n v="21544864"/>
    <m/>
    <n v="0"/>
    <n v="4.2017203993779464E-2"/>
    <n v="0.12711175132756067"/>
    <n v="1.3424853303299971"/>
    <n v="1.2953111120018594"/>
    <n v="0.41623800253031251"/>
    <n v="0"/>
    <n v="0"/>
    <n v="0"/>
    <m/>
    <m/>
    <m/>
    <m/>
    <n v="0"/>
  </r>
  <r>
    <x v="1"/>
    <x v="22"/>
    <x v="0"/>
    <n v="1"/>
    <n v="408847751"/>
    <n v="189174252"/>
    <n v="214743238"/>
    <n v="142809637"/>
    <n v="166234708"/>
    <n v="161110140"/>
    <n v="437796133"/>
    <n v="22391471"/>
    <m/>
    <n v="0"/>
    <n v="5.1145885749520774E-2"/>
    <n v="0.13898238186621897"/>
    <n v="1.3246602678501311"/>
    <n v="1.3328970976004366"/>
    <n v="0.40659318192018135"/>
    <n v="0"/>
    <n v="0"/>
    <n v="0"/>
    <m/>
    <m/>
    <m/>
    <m/>
    <n v="0"/>
  </r>
  <r>
    <x v="1"/>
    <x v="22"/>
    <x v="1"/>
    <n v="1"/>
    <n v="329675271"/>
    <n v="152491777"/>
    <n v="172494592"/>
    <n v="110242069"/>
    <n v="120748105"/>
    <n v="130002611"/>
    <n v="378336450"/>
    <n v="11660540"/>
    <m/>
    <n v="0"/>
    <n v="3.0820556676471433E-2"/>
    <n v="8.9694660055712264E-2"/>
    <n v="1.3832448754204714"/>
    <n v="1.3268548275541943"/>
    <n v="0.36626376201568361"/>
    <n v="0"/>
    <n v="0"/>
    <n v="0"/>
    <m/>
    <m/>
    <m/>
    <m/>
    <n v="0"/>
  </r>
  <r>
    <x v="1"/>
    <x v="22"/>
    <x v="2"/>
    <n v="1"/>
    <n v="335306012"/>
    <n v="157514675"/>
    <n v="172245241"/>
    <n v="162164330"/>
    <n v="136828151"/>
    <n v="124644221"/>
    <n v="322475035"/>
    <n v="3375385"/>
    <m/>
    <n v="0"/>
    <n v="1.0467120346230834E-2"/>
    <n v="2.7080156407732692E-2"/>
    <n v="0.97132751080339308"/>
    <n v="1.381895122117214"/>
    <n v="0.40806948310846275"/>
    <n v="0"/>
    <n v="0"/>
    <n v="0"/>
    <m/>
    <m/>
    <m/>
    <m/>
    <n v="0"/>
  </r>
  <r>
    <x v="1"/>
    <x v="22"/>
    <x v="3"/>
    <n v="1"/>
    <n v="320106318"/>
    <n v="142497337"/>
    <n v="171148994"/>
    <n v="75370315"/>
    <n v="121874981"/>
    <n v="123363825"/>
    <n v="299026601"/>
    <n v="-4330407"/>
    <m/>
    <n v="0"/>
    <n v="-1.4481678170163865E-2"/>
    <n v="-3.5102729669739083E-2"/>
    <n v="1.8906294474157366"/>
    <n v="1.387351551396854"/>
    <n v="0.38073281952529286"/>
    <n v="0"/>
    <n v="0"/>
    <n v="0"/>
    <m/>
    <m/>
    <m/>
    <m/>
    <n v="0"/>
  </r>
  <r>
    <x v="1"/>
    <x v="22"/>
    <x v="4"/>
    <n v="1"/>
    <n v="313043237"/>
    <n v="143412916"/>
    <n v="163872024"/>
    <n v="77854815"/>
    <n v="118977414"/>
    <n v="123678783"/>
    <n v="304734035"/>
    <n v="-10742571"/>
    <m/>
    <n v="0"/>
    <n v="-3.5252284832575399E-2"/>
    <n v="-8.6858640903670598E-2"/>
    <n v="1.8420558317427125"/>
    <n v="1.3249808902146134"/>
    <n v="0.38006703208221682"/>
    <n v="0"/>
    <n v="0"/>
    <n v="0"/>
    <m/>
    <m/>
    <m/>
    <m/>
    <n v="0"/>
  </r>
  <r>
    <x v="3"/>
    <x v="23"/>
    <x v="0"/>
    <n v="1000"/>
    <n v="28947657"/>
    <n v="6933397"/>
    <n v="8692682"/>
    <n v="4789118"/>
    <n v="10343638"/>
    <n v="14584478"/>
    <n v="14728131"/>
    <n v="1265551"/>
    <m/>
    <n v="0"/>
    <n v="8.5927467646777445E-2"/>
    <n v="8.6773828998199312E-2"/>
    <n v="1.4477398552301279"/>
    <n v="0.59602284017295648"/>
    <n v="0.35732211418699622"/>
    <n v="0"/>
    <n v="0"/>
    <n v="0"/>
    <m/>
    <m/>
    <m/>
    <m/>
    <n v="0"/>
  </r>
  <r>
    <x v="3"/>
    <x v="23"/>
    <x v="1"/>
    <n v="1000"/>
    <n v="25618142"/>
    <n v="5218176"/>
    <n v="8304188"/>
    <n v="4055393"/>
    <n v="8086479"/>
    <n v="13682780"/>
    <n v="13918517"/>
    <n v="1335615"/>
    <m/>
    <n v="0"/>
    <n v="9.5959576727894208E-2"/>
    <n v="9.7612838911390817E-2"/>
    <n v="1.2867251090091638"/>
    <n v="0.60690795291600097"/>
    <n v="0.31565439054869787"/>
    <n v="0"/>
    <n v="0"/>
    <n v="0"/>
    <m/>
    <m/>
    <m/>
    <m/>
    <n v="0"/>
  </r>
  <r>
    <x v="3"/>
    <x v="23"/>
    <x v="2"/>
    <n v="1000"/>
    <n v="23111445"/>
    <n v="4680284"/>
    <n v="7983632"/>
    <n v="3347885"/>
    <n v="6565790"/>
    <n v="12928752"/>
    <n v="9180214"/>
    <n v="1101435"/>
    <m/>
    <n v="0"/>
    <n v="0.11997922924236842"/>
    <n v="8.5192677529896163E-2"/>
    <n v="1.3979823082334071"/>
    <n v="0.61750987256929357"/>
    <n v="0.284092578374048"/>
    <n v="0"/>
    <n v="0"/>
    <n v="0"/>
    <m/>
    <m/>
    <m/>
    <m/>
    <n v="0"/>
  </r>
  <r>
    <x v="3"/>
    <x v="23"/>
    <x v="3"/>
    <n v="1000"/>
    <n v="21208903"/>
    <n v="4681692"/>
    <n v="7871753"/>
    <n v="2833444"/>
    <n v="5126310"/>
    <n v="12361890"/>
    <n v="8493252"/>
    <n v="726520"/>
    <m/>
    <n v="0"/>
    <n v="8.5540850548176367E-2"/>
    <n v="5.8770948455292842E-2"/>
    <n v="1.6522973455625027"/>
    <n v="0.63677584900043604"/>
    <n v="0.24170557053328029"/>
    <n v="0"/>
    <n v="0"/>
    <n v="0"/>
    <m/>
    <m/>
    <m/>
    <m/>
    <n v="0"/>
  </r>
  <r>
    <x v="3"/>
    <x v="23"/>
    <x v="4"/>
    <n v="1000"/>
    <n v="19121663"/>
    <n v="3702013"/>
    <n v="7209123"/>
    <n v="2058821"/>
    <n v="3711607"/>
    <n v="12069528"/>
    <n v="7776165"/>
    <n v="1176854"/>
    <m/>
    <n v="0"/>
    <n v="0.15134118167502875"/>
    <n v="9.750621565317219E-2"/>
    <n v="1.7981228091223083"/>
    <n v="0.59729949671602733"/>
    <n v="0.19410482236822185"/>
    <n v="0"/>
    <n v="0"/>
    <n v="0"/>
    <m/>
    <m/>
    <m/>
    <m/>
    <n v="0"/>
  </r>
  <r>
    <x v="3"/>
    <x v="23"/>
    <x v="5"/>
    <n v="1000"/>
    <n v="17859432"/>
    <n v="4157790"/>
    <n v="6663945"/>
    <n v="2536801"/>
    <n v="3489738"/>
    <n v="11295826"/>
    <n v="6901113"/>
    <n v="1010281"/>
    <m/>
    <n v="0"/>
    <n v="0.14639392225572889"/>
    <n v="8.9438435046715489E-2"/>
    <n v="1.6389894201397746"/>
    <n v="0.58994756116108726"/>
    <n v="0.19540027924740272"/>
    <n v="0"/>
    <n v="0"/>
    <n v="0"/>
    <m/>
    <m/>
    <m/>
    <m/>
    <n v="0"/>
  </r>
  <r>
    <x v="2"/>
    <x v="24"/>
    <x v="0"/>
    <n v="1000"/>
    <n v="8780467"/>
    <n v="8780467"/>
    <n v="11484"/>
    <n v="8780467"/>
    <m/>
    <n v="1189753"/>
    <n v="968330"/>
    <n v="40757"/>
    <m/>
    <n v="0"/>
    <n v="4.208998998275381E-2"/>
    <n v="3.4256690254195615E-2"/>
    <n v="1"/>
    <n v="9.6524236543215278E-3"/>
    <n v="0"/>
    <n v="0"/>
    <n v="0"/>
    <n v="0"/>
    <m/>
    <m/>
    <m/>
    <m/>
    <n v="0"/>
  </r>
  <r>
    <x v="2"/>
    <x v="24"/>
    <x v="1"/>
    <n v="1000"/>
    <n v="10279356"/>
    <n v="10279356"/>
    <n v="18746"/>
    <n v="10279356"/>
    <m/>
    <n v="1262420"/>
    <n v="943145"/>
    <n v="95761"/>
    <m/>
    <n v="0"/>
    <n v="0.10153369842389028"/>
    <n v="7.5855103689738759E-2"/>
    <n v="1"/>
    <n v="1.4849257774750083E-2"/>
    <n v="0"/>
    <n v="0"/>
    <n v="0"/>
    <n v="0"/>
    <m/>
    <m/>
    <m/>
    <m/>
    <n v="0"/>
  </r>
  <r>
    <x v="2"/>
    <x v="24"/>
    <x v="2"/>
    <n v="1000"/>
    <n v="10383349"/>
    <n v="10383349"/>
    <n v="25619"/>
    <n v="10383349"/>
    <m/>
    <n v="1277973"/>
    <n v="754602"/>
    <n v="147304"/>
    <m/>
    <n v="0"/>
    <n v="0.19520753986869899"/>
    <n v="0.11526378100319803"/>
    <n v="1"/>
    <n v="2.0046589403688496E-2"/>
    <n v="0"/>
    <n v="0"/>
    <n v="0"/>
    <n v="0"/>
    <m/>
    <m/>
    <m/>
    <m/>
    <n v="0"/>
  </r>
  <r>
    <x v="2"/>
    <x v="24"/>
    <x v="3"/>
    <n v="1000"/>
    <n v="10309979"/>
    <n v="10309979"/>
    <n v="28968"/>
    <n v="10309979"/>
    <m/>
    <n v="1249362"/>
    <n v="740487"/>
    <n v="194546"/>
    <m/>
    <n v="0"/>
    <n v="0.2627270971671346"/>
    <n v="0.15571627758808096"/>
    <n v="1"/>
    <n v="2.3186234253963222E-2"/>
    <n v="0"/>
    <n v="0"/>
    <n v="0"/>
    <n v="0"/>
    <m/>
    <m/>
    <m/>
    <m/>
    <n v="0"/>
  </r>
  <r>
    <x v="2"/>
    <x v="24"/>
    <x v="4"/>
    <n v="1000"/>
    <n v="11153181"/>
    <n v="11153181"/>
    <n v="7471"/>
    <n v="11153181"/>
    <m/>
    <n v="1025914"/>
    <n v="754557"/>
    <n v="184191"/>
    <m/>
    <n v="0"/>
    <n v="0.24410481911903276"/>
    <n v="0.17953844084396939"/>
    <n v="1"/>
    <n v="7.2822868193630269E-3"/>
    <n v="0"/>
    <n v="0"/>
    <n v="0"/>
    <n v="0"/>
    <m/>
    <m/>
    <m/>
    <m/>
    <n v="0"/>
  </r>
  <r>
    <x v="2"/>
    <x v="24"/>
    <x v="5"/>
    <n v="1000"/>
    <n v="9104767"/>
    <n v="9104767"/>
    <n v="9229"/>
    <n v="9104767"/>
    <m/>
    <n v="855290"/>
    <n v="661476"/>
    <n v="162073"/>
    <m/>
    <n v="0"/>
    <n v="0.24501720394995435"/>
    <n v="0.189494791240398"/>
    <n v="1"/>
    <n v="1.0790492113785967E-2"/>
    <n v="0"/>
    <n v="0"/>
    <n v="0"/>
    <n v="0"/>
    <m/>
    <m/>
    <m/>
    <m/>
    <n v="0"/>
  </r>
  <r>
    <x v="0"/>
    <x v="25"/>
    <x v="0"/>
    <n v="1000"/>
    <n v="7860983"/>
    <n v="1118135"/>
    <n v="870470"/>
    <n v="1727597"/>
    <n v="5426716"/>
    <n v="1638454"/>
    <n v="2900707"/>
    <n v="115772"/>
    <m/>
    <n v="0"/>
    <n v="3.9911649125540773E-2"/>
    <n v="7.0659292235241269E-2"/>
    <n v="0.64721980878642416"/>
    <n v="0.53127521431788749"/>
    <n v="0.69033554709379219"/>
    <n v="0"/>
    <n v="0"/>
    <n v="0"/>
    <m/>
    <m/>
    <m/>
    <m/>
    <n v="0"/>
  </r>
  <r>
    <x v="0"/>
    <x v="25"/>
    <x v="1"/>
    <n v="1000"/>
    <n v="6701870"/>
    <n v="922700"/>
    <n v="502303"/>
    <n v="1274886"/>
    <n v="4280746"/>
    <n v="1784186"/>
    <n v="2937001"/>
    <n v="474250"/>
    <m/>
    <n v="0"/>
    <n v="0.16147423851745368"/>
    <n v="0.26580748868111287"/>
    <n v="0.72375098636270219"/>
    <n v="0.28153062517024569"/>
    <n v="0.63873903850716296"/>
    <n v="0"/>
    <n v="0"/>
    <n v="0"/>
    <m/>
    <m/>
    <m/>
    <m/>
    <n v="0"/>
  </r>
  <r>
    <x v="0"/>
    <x v="25"/>
    <x v="2"/>
    <n v="1000"/>
    <n v="6500768"/>
    <n v="1366878"/>
    <n v="426586"/>
    <n v="1165859"/>
    <n v="3861250"/>
    <n v="2098029"/>
    <n v="2639059"/>
    <n v="399512"/>
    <m/>
    <n v="0"/>
    <n v="0.15138426234502525"/>
    <n v="0.19042253467421089"/>
    <n v="1.1724213648477217"/>
    <n v="0.20332702741477834"/>
    <n v="0.59396828190146145"/>
    <n v="0"/>
    <n v="0"/>
    <n v="0"/>
    <m/>
    <m/>
    <m/>
    <m/>
    <n v="0"/>
  </r>
  <r>
    <x v="0"/>
    <x v="25"/>
    <x v="3"/>
    <n v="1000"/>
    <n v="6195956"/>
    <n v="1309781"/>
    <n v="590719"/>
    <n v="1434436"/>
    <n v="3483255"/>
    <n v="2125487"/>
    <n v="2409107"/>
    <n v="427045"/>
    <m/>
    <n v="0"/>
    <n v="0.17726277828257525"/>
    <n v="0.20091630765090543"/>
    <n v="0.91309824906792636"/>
    <n v="0.27792171864612675"/>
    <n v="0.56218201033060922"/>
    <n v="0"/>
    <n v="0"/>
    <n v="0"/>
    <m/>
    <m/>
    <m/>
    <m/>
    <n v="0"/>
  </r>
  <r>
    <x v="0"/>
    <x v="25"/>
    <x v="4"/>
    <n v="1000"/>
    <n v="4156437"/>
    <n v="877632"/>
    <n v="287933"/>
    <n v="861930"/>
    <n v="1804089"/>
    <n v="1885101"/>
    <n v="1827371"/>
    <n v="387566"/>
    <m/>
    <n v="0"/>
    <n v="0.21208938962038906"/>
    <n v="0.20559428911236055"/>
    <n v="1.0182172566217673"/>
    <n v="0.15274141809908329"/>
    <n v="0.43404699746441483"/>
    <n v="0"/>
    <n v="0"/>
    <n v="0"/>
    <m/>
    <m/>
    <m/>
    <m/>
    <n v="0"/>
  </r>
  <r>
    <x v="0"/>
    <x v="25"/>
    <x v="5"/>
    <n v="1000"/>
    <n v="4165776"/>
    <n v="1068482"/>
    <n v="218694"/>
    <n v="1112971"/>
    <n v="1987549"/>
    <n v="1787867"/>
    <n v="1427608"/>
    <n v="594039"/>
    <m/>
    <n v="0"/>
    <n v="0.4161079231833949"/>
    <n v="0.33226129236682594"/>
    <n v="0.96002681112086474"/>
    <n v="0.12232117937184366"/>
    <n v="0.47711374783473715"/>
    <n v="0"/>
    <n v="0"/>
    <n v="0"/>
    <m/>
    <m/>
    <m/>
    <m/>
    <n v="0"/>
  </r>
  <r>
    <x v="4"/>
    <x v="26"/>
    <x v="0"/>
    <n v="1000"/>
    <n v="9694451"/>
    <n v="377977"/>
    <n v="21"/>
    <n v="34290"/>
    <n v="1737140"/>
    <n v="7917193"/>
    <m/>
    <n v="-2590301"/>
    <m/>
    <n v="0"/>
    <n v="0"/>
    <n v="-0.32717416387348397"/>
    <n v="11.022951297754448"/>
    <n v="2.6524552325552757E-6"/>
    <n v="0.17918910519017528"/>
    <n v="0"/>
    <n v="0"/>
    <n v="0"/>
    <m/>
    <m/>
    <m/>
    <m/>
    <n v="0"/>
  </r>
  <r>
    <x v="4"/>
    <x v="26"/>
    <x v="1"/>
    <n v="1000"/>
    <n v="10598919"/>
    <n v="948974"/>
    <n v="24"/>
    <n v="1214912"/>
    <n v="1604425"/>
    <n v="8937995"/>
    <m/>
    <n v="101483"/>
    <m/>
    <n v="0"/>
    <n v="0"/>
    <n v="1.1354112415592088E-2"/>
    <n v="0.78110513354053623"/>
    <n v="2.68516596843028E-6"/>
    <n v="0.15137628658167876"/>
    <n v="0"/>
    <n v="0"/>
    <n v="0"/>
    <m/>
    <m/>
    <m/>
    <m/>
    <n v="0"/>
  </r>
  <r>
    <x v="4"/>
    <x v="26"/>
    <x v="2"/>
    <n v="1000"/>
    <n v="10858768"/>
    <n v="1117283"/>
    <n v="27"/>
    <n v="33460"/>
    <n v="1495754"/>
    <n v="9034225"/>
    <m/>
    <n v="-47709"/>
    <m/>
    <n v="0"/>
    <n v="0"/>
    <n v="-5.2809178429804437E-3"/>
    <n v="33.391601912731623"/>
    <n v="2.9886348856708792E-6"/>
    <n v="0.13774619735866905"/>
    <n v="0"/>
    <n v="0"/>
    <n v="0"/>
    <m/>
    <m/>
    <m/>
    <m/>
    <n v="0"/>
  </r>
  <r>
    <x v="4"/>
    <x v="26"/>
    <x v="3"/>
    <n v="1000"/>
    <n v="11060825"/>
    <n v="883604"/>
    <n v="32"/>
    <n v="1012084"/>
    <n v="1440178"/>
    <n v="9316345"/>
    <m/>
    <n v="476737"/>
    <m/>
    <n v="0"/>
    <n v="0"/>
    <n v="5.1172106657707501E-2"/>
    <n v="0.87305401527936422"/>
    <n v="3.4348234205581697E-6"/>
    <n v="0.13020529662118333"/>
    <n v="0"/>
    <n v="0"/>
    <n v="0"/>
    <m/>
    <m/>
    <m/>
    <m/>
    <n v="0"/>
  </r>
  <r>
    <x v="4"/>
    <x v="26"/>
    <x v="4"/>
    <n v="1000"/>
    <n v="10739426"/>
    <n v="730296"/>
    <n v="37"/>
    <n v="773286"/>
    <n v="1824420"/>
    <n v="8674653"/>
    <m/>
    <n v="2023552"/>
    <m/>
    <n v="0"/>
    <n v="0"/>
    <n v="0.23327180925853749"/>
    <n v="0.94440608002731197"/>
    <n v="4.2653002950089188E-6"/>
    <n v="0.16988058765896799"/>
    <n v="0"/>
    <n v="0"/>
    <n v="0"/>
    <m/>
    <m/>
    <m/>
    <m/>
    <n v="0"/>
  </r>
  <r>
    <x v="4"/>
    <x v="26"/>
    <x v="5"/>
    <n v="1000"/>
    <n v="8518734"/>
    <n v="489059"/>
    <n v="33"/>
    <n v="1138439"/>
    <n v="1556837"/>
    <n v="6778074"/>
    <m/>
    <n v="1759806"/>
    <m/>
    <n v="0"/>
    <n v="0"/>
    <n v="0.25963216099440639"/>
    <n v="0.42958735601995363"/>
    <n v="4.8686396755184438E-6"/>
    <n v="0.18275450319261055"/>
    <n v="0"/>
    <n v="0"/>
    <n v="0"/>
    <m/>
    <m/>
    <m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55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2">
  <location ref="A7:G41" firstHeaderRow="1" firstDataRow="2" firstDataCol="1"/>
  <pivotFields count="27">
    <pivotField axis="axisRow" showAll="0" sortType="ascending">
      <items count="19">
        <item x="0"/>
        <item m="1" x="16"/>
        <item m="1" x="8"/>
        <item m="1" x="11"/>
        <item x="1"/>
        <item m="1" x="9"/>
        <item m="1" x="7"/>
        <item m="1" x="13"/>
        <item m="1" x="17"/>
        <item m="1" x="14"/>
        <item m="1" x="5"/>
        <item x="2"/>
        <item m="1" x="15"/>
        <item m="1" x="6"/>
        <item x="4"/>
        <item x="3"/>
        <item m="1" x="12"/>
        <item m="1" x="10"/>
        <item t="default"/>
      </items>
    </pivotField>
    <pivotField axis="axisRow" showAll="0">
      <items count="28">
        <item sd="0" x="1"/>
        <item sd="0" x="15"/>
        <item sd="0" x="5"/>
        <item sd="0" x="19"/>
        <item sd="0" x="11"/>
        <item sd="0" x="21"/>
        <item sd="0" x="20"/>
        <item sd="0" x="18"/>
        <item sd="0" x="10"/>
        <item sd="0" x="9"/>
        <item sd="0" x="8"/>
        <item sd="0" x="16"/>
        <item sd="0" x="17"/>
        <item sd="0" x="7"/>
        <item sd="0" x="12"/>
        <item sd="0" x="13"/>
        <item sd="0" x="14"/>
        <item sd="0" x="4"/>
        <item sd="0" x="2"/>
        <item sd="0" x="0"/>
        <item sd="0" x="3"/>
        <item sd="0" x="6"/>
        <item sd="0" x="22"/>
        <item sd="0" x="23"/>
        <item sd="0" x="24"/>
        <item sd="0" x="25"/>
        <item sd="0" x="26"/>
        <item t="default"/>
      </items>
    </pivotField>
    <pivotField axis="axisRow" showAll="0">
      <items count="8">
        <item sd="0" x="5"/>
        <item sd="0" x="4"/>
        <item sd="0" x="3"/>
        <item sd="0" x="2"/>
        <item sd="0" x="1"/>
        <item sd="0" x="0"/>
        <item x="6"/>
        <item t="default"/>
      </items>
    </pivotField>
    <pivotField numFmtId="164" showAll="0" defaultSubtotal="0"/>
    <pivotField dataField="1"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44" showAll="0"/>
    <pivotField dataField="1" numFmtId="10" showAll="0"/>
    <pivotField dataField="1" numFmtId="10" showAll="0"/>
    <pivotField dataField="1" numFmtId="43" showAll="0"/>
    <pivotField dataField="1" numFmtId="10" showAll="0"/>
    <pivotField dataField="1" numFmtId="10" showAll="0"/>
    <pivotField numFmtId="10" showAll="0"/>
    <pivotField numFmtId="44" showAll="0" defaultSubtotal="0"/>
    <pivotField numFmtId="44" showAll="0" defaultSubtotal="0"/>
    <pivotField numFmtId="164" showAll="0" defaultSubtotal="0"/>
    <pivotField showAll="0" defaultSubtotal="0"/>
    <pivotField showAll="0" defaultSubtotal="0"/>
    <pivotField showAll="0" defaultSubtotal="0"/>
    <pivotField numFmtId="164" showAll="0" defaultSubtotal="0"/>
  </pivotFields>
  <rowFields count="3">
    <field x="0"/>
    <field x="1"/>
    <field x="2"/>
  </rowFields>
  <rowItems count="33">
    <i>
      <x/>
    </i>
    <i r="1">
      <x/>
    </i>
    <i r="1">
      <x v="2"/>
    </i>
    <i r="1">
      <x v="13"/>
    </i>
    <i r="1">
      <x v="17"/>
    </i>
    <i r="1">
      <x v="18"/>
    </i>
    <i r="1">
      <x v="19"/>
    </i>
    <i r="1">
      <x v="20"/>
    </i>
    <i r="1">
      <x v="21"/>
    </i>
    <i r="1">
      <x v="25"/>
    </i>
    <i>
      <x v="4"/>
    </i>
    <i r="1">
      <x v="1"/>
    </i>
    <i r="1">
      <x v="4"/>
    </i>
    <i r="1">
      <x v="8"/>
    </i>
    <i r="1">
      <x v="9"/>
    </i>
    <i r="1">
      <x v="10"/>
    </i>
    <i r="1">
      <x v="11"/>
    </i>
    <i r="1">
      <x v="14"/>
    </i>
    <i r="1">
      <x v="15"/>
    </i>
    <i r="1">
      <x v="16"/>
    </i>
    <i r="1">
      <x v="22"/>
    </i>
    <i>
      <x v="11"/>
    </i>
    <i r="1">
      <x v="12"/>
    </i>
    <i r="1">
      <x v="24"/>
    </i>
    <i>
      <x v="14"/>
    </i>
    <i r="1">
      <x v="26"/>
    </i>
    <i>
      <x v="15"/>
    </i>
    <i r="1">
      <x v="3"/>
    </i>
    <i r="1">
      <x v="5"/>
    </i>
    <i r="1">
      <x v="6"/>
    </i>
    <i r="1">
      <x v="7"/>
    </i>
    <i r="1">
      <x v="2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*MLL" fld="14" subtotal="average" baseField="0" baseItem="0" numFmtId="10"/>
    <dataField name="*ROE" fld="15" subtotal="average" baseField="0" baseItem="0" numFmtId="10"/>
    <dataField name="*LC" fld="16" subtotal="average" baseField="0" baseItem="0" numFmtId="2"/>
    <dataField name="*IPL" fld="17" subtotal="average" baseField="0" baseItem="0" numFmtId="10"/>
    <dataField name="*EO" fld="18" subtotal="average" baseField="0" baseItem="0" numFmtId="10"/>
    <dataField name="Total" fld="4" subtotal="count" baseField="0" baseItem="0"/>
  </dataFields>
  <formats count="78">
    <format dxfId="8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" count="1">
            <x v="2"/>
          </reference>
        </references>
      </pivotArea>
    </format>
    <format dxfId="8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5"/>
          </reference>
          <reference field="1" count="1">
            <x v="3"/>
          </reference>
        </references>
      </pivotArea>
    </format>
    <format dxfId="8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5"/>
          </reference>
          <reference field="1" count="1">
            <x v="6"/>
          </reference>
        </references>
      </pivotArea>
    </format>
    <format dxfId="8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5"/>
          </reference>
          <reference field="1" count="1">
            <x v="6"/>
          </reference>
        </references>
      </pivotArea>
    </format>
    <format dxfId="82">
      <pivotArea outline="0" fieldPosition="0">
        <references count="1">
          <reference field="4294967294" count="1">
            <x v="4"/>
          </reference>
        </references>
      </pivotArea>
    </format>
    <format dxfId="8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" count="1">
            <x v="8"/>
          </reference>
        </references>
      </pivotArea>
    </format>
    <format dxfId="80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4"/>
          </reference>
          <reference field="1" count="1">
            <x v="1"/>
          </reference>
        </references>
      </pivotArea>
    </format>
    <format dxfId="79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4"/>
          </reference>
          <reference field="1" count="1">
            <x v="9"/>
          </reference>
        </references>
      </pivotArea>
    </format>
    <format dxfId="78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4"/>
          </reference>
          <reference field="1" count="1">
            <x v="8"/>
          </reference>
        </references>
      </pivotArea>
    </format>
    <format dxfId="77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>
            <x v="10"/>
          </reference>
        </references>
      </pivotArea>
    </format>
    <format dxfId="76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4"/>
          </reference>
          <reference field="1" count="1">
            <x v="10"/>
          </reference>
        </references>
      </pivotArea>
    </format>
    <format dxfId="75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4"/>
          </reference>
          <reference field="1" count="1">
            <x v="4"/>
          </reference>
        </references>
      </pivotArea>
    </format>
    <format dxfId="74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4"/>
          </reference>
          <reference field="1" count="1">
            <x v="10"/>
          </reference>
        </references>
      </pivotArea>
    </format>
    <format dxfId="73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9"/>
          </reference>
          <reference field="1" count="1">
            <x v="10"/>
          </reference>
        </references>
      </pivotArea>
    </format>
    <format dxfId="72">
      <pivotArea dataOnly="0" labelOnly="1" fieldPosition="0">
        <references count="2">
          <reference field="0" count="1" selected="0">
            <x v="9"/>
          </reference>
          <reference field="1" count="1">
            <x v="10"/>
          </reference>
        </references>
      </pivotArea>
    </format>
    <format dxfId="7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9"/>
          </reference>
          <reference field="1" count="1">
            <x v="8"/>
          </reference>
        </references>
      </pivotArea>
    </format>
    <format dxfId="70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9"/>
          </reference>
          <reference field="1" count="1">
            <x v="9"/>
          </reference>
        </references>
      </pivotArea>
    </format>
    <format dxfId="69">
      <pivotArea dataOnly="0" labelOnly="1" fieldPosition="0">
        <references count="2">
          <reference field="0" count="1" selected="0">
            <x v="9"/>
          </reference>
          <reference field="1" count="2">
            <x v="8"/>
            <x v="9"/>
          </reference>
        </references>
      </pivotArea>
    </format>
    <format dxfId="6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7"/>
          </reference>
          <reference field="1" count="1">
            <x v="3"/>
          </reference>
        </references>
      </pivotArea>
    </format>
    <format dxfId="6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7"/>
          </reference>
          <reference field="1" count="1">
            <x v="6"/>
          </reference>
        </references>
      </pivotArea>
    </format>
    <format dxfId="66">
      <pivotArea dataOnly="0" labelOnly="1" fieldPosition="0">
        <references count="2">
          <reference field="0" count="1" selected="0">
            <x v="17"/>
          </reference>
          <reference field="1" count="1">
            <x v="3"/>
          </reference>
        </references>
      </pivotArea>
    </format>
    <format dxfId="65">
      <pivotArea dataOnly="0" labelOnly="1" fieldPosition="0">
        <references count="2">
          <reference field="0" count="1" selected="0">
            <x v="17"/>
          </reference>
          <reference field="1" count="1">
            <x v="6"/>
          </reference>
        </references>
      </pivotArea>
    </format>
    <format dxfId="64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>
            <x v="13"/>
          </reference>
        </references>
      </pivotArea>
    </format>
    <format dxfId="63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1" count="1">
            <x v="13"/>
          </reference>
        </references>
      </pivotArea>
    </format>
    <format dxfId="6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" count="1">
            <x v="13"/>
          </reference>
        </references>
      </pivotArea>
    </format>
    <format dxfId="6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" count="1">
            <x v="13"/>
          </reference>
        </references>
      </pivotArea>
    </format>
    <format dxfId="60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3"/>
          </reference>
          <reference field="1" count="1">
            <x v="13"/>
          </reference>
        </references>
      </pivotArea>
    </format>
    <format dxfId="59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3"/>
          </reference>
          <reference field="1" count="1">
            <x v="2"/>
          </reference>
        </references>
      </pivotArea>
    </format>
    <format dxfId="5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" count="1">
            <x v="2"/>
          </reference>
        </references>
      </pivotArea>
    </format>
    <format dxfId="57">
      <pivotArea dataOnly="0" labelOnly="1" fieldPosition="0">
        <references count="2">
          <reference field="0" count="1" selected="0">
            <x v="3"/>
          </reference>
          <reference field="1" count="2">
            <x v="2"/>
            <x v="13"/>
          </reference>
        </references>
      </pivotArea>
    </format>
    <format dxfId="56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>
            <x v="14"/>
          </reference>
        </references>
      </pivotArea>
    </format>
    <format dxfId="55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6"/>
          </reference>
          <reference field="1" count="1">
            <x v="14"/>
          </reference>
        </references>
      </pivotArea>
    </format>
    <format dxfId="54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6"/>
          </reference>
          <reference field="1" count="1">
            <x v="1"/>
          </reference>
        </references>
      </pivotArea>
    </format>
    <format dxfId="53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6"/>
          </reference>
          <reference field="1" count="1">
            <x v="11"/>
          </reference>
        </references>
      </pivotArea>
    </format>
    <format dxfId="52">
      <pivotArea dataOnly="0" labelOnly="1" fieldPosition="0">
        <references count="2">
          <reference field="0" count="1" selected="0">
            <x v="6"/>
          </reference>
          <reference field="1" count="3">
            <x v="1"/>
            <x v="11"/>
            <x v="14"/>
          </reference>
        </references>
      </pivotArea>
    </format>
    <format dxfId="5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" count="1">
            <x v="2"/>
          </reference>
        </references>
      </pivotArea>
    </format>
    <format dxfId="5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" count="1">
            <x v="17"/>
          </reference>
        </references>
      </pivotArea>
    </format>
    <format dxfId="49">
      <pivotArea dataOnly="0" labelOnly="1" fieldPosition="0">
        <references count="2">
          <reference field="0" count="1" selected="0">
            <x v="1"/>
          </reference>
          <reference field="1" count="2">
            <x v="2"/>
            <x v="17"/>
          </reference>
        </references>
      </pivotArea>
    </format>
    <format dxfId="48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" count="1">
            <x v="13"/>
          </reference>
        </references>
      </pivotArea>
    </format>
    <format dxfId="47">
      <pivotArea dataOnly="0" labelOnly="1" fieldPosition="0">
        <references count="2">
          <reference field="0" count="1" selected="0">
            <x v="2"/>
          </reference>
          <reference field="1" count="1">
            <x v="13"/>
          </reference>
        </references>
      </pivotArea>
    </format>
    <format dxfId="46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>
            <x v="18"/>
          </reference>
        </references>
      </pivotArea>
    </format>
    <format dxfId="4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" count="1">
            <x v="18"/>
          </reference>
        </references>
      </pivotArea>
    </format>
    <format dxfId="44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" count="1">
            <x v="18"/>
          </reference>
        </references>
      </pivotArea>
    </format>
    <format dxfId="43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" count="1">
            <x v="2"/>
          </reference>
        </references>
      </pivotArea>
    </format>
    <format dxfId="42">
      <pivotArea dataOnly="0" labelOnly="1" fieldPosition="0">
        <references count="2">
          <reference field="0" count="1" selected="0">
            <x v="1"/>
          </reference>
          <reference field="1" count="1">
            <x v="18"/>
          </reference>
        </references>
      </pivotArea>
    </format>
    <format dxfId="4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" count="1">
            <x v="19"/>
          </reference>
        </references>
      </pivotArea>
    </format>
    <format dxfId="40">
      <pivotArea dataOnly="0" labelOnly="1" fieldPosition="0">
        <references count="2">
          <reference field="0" count="1" selected="0">
            <x v="1"/>
          </reference>
          <reference field="1" count="1">
            <x v="19"/>
          </reference>
        </references>
      </pivotArea>
    </format>
    <format dxfId="39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1"/>
          </reference>
          <reference field="1" count="1">
            <x v="20"/>
          </reference>
        </references>
      </pivotArea>
    </format>
    <format dxfId="38">
      <pivotArea dataOnly="0" labelOnly="1" fieldPosition="0">
        <references count="2">
          <reference field="0" count="1" selected="0">
            <x v="1"/>
          </reference>
          <reference field="1" count="1">
            <x v="20"/>
          </reference>
        </references>
      </pivotArea>
    </format>
    <format dxfId="37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>
            <x v="2"/>
          </reference>
        </references>
      </pivotArea>
    </format>
    <format dxfId="3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" count="1">
            <x v="13"/>
          </reference>
        </references>
      </pivotArea>
    </format>
    <format dxfId="35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>
            <x v="21"/>
          </reference>
        </references>
      </pivotArea>
    </format>
    <format dxfId="3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" count="1">
            <x v="21"/>
          </reference>
        </references>
      </pivotArea>
    </format>
    <format dxfId="3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" count="1">
            <x v="21"/>
          </reference>
        </references>
      </pivotArea>
    </format>
    <format dxfId="32">
      <pivotArea dataOnly="0" labelOnly="1" fieldPosition="0">
        <references count="2">
          <reference field="0" count="1" selected="0">
            <x v="1"/>
          </reference>
          <reference field="1" count="1">
            <x v="21"/>
          </reference>
        </references>
      </pivotArea>
    </format>
    <format dxfId="3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7"/>
          </reference>
          <reference field="1" count="1">
            <x v="7"/>
          </reference>
        </references>
      </pivotArea>
    </format>
    <format dxfId="30">
      <pivotArea dataOnly="0" labelOnly="1" fieldPosition="0">
        <references count="2">
          <reference field="0" count="1" selected="0">
            <x v="17"/>
          </reference>
          <reference field="1" count="1">
            <x v="7"/>
          </reference>
        </references>
      </pivotArea>
    </format>
    <format dxfId="2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6"/>
          </reference>
          <reference field="1" count="1">
            <x v="6"/>
          </reference>
        </references>
      </pivotArea>
    </format>
    <format dxfId="2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6"/>
          </reference>
          <reference field="1" count="1">
            <x v="6"/>
          </reference>
        </references>
      </pivotArea>
    </format>
    <format dxfId="2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6"/>
          </reference>
          <reference field="1" count="1">
            <x v="3"/>
          </reference>
        </references>
      </pivotArea>
    </format>
    <format dxfId="26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16"/>
          </reference>
          <reference field="1" count="1">
            <x v="3"/>
          </reference>
        </references>
      </pivotArea>
    </format>
    <format dxfId="25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>
            <x v="4"/>
          </reference>
        </references>
      </pivotArea>
    </format>
    <format dxfId="24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>
            <x v="8"/>
          </reference>
        </references>
      </pivotArea>
    </format>
    <format dxfId="2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" count="1">
            <x v="22"/>
          </reference>
        </references>
      </pivotArea>
    </format>
    <format dxfId="2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" count="1">
            <x v="13"/>
          </reference>
        </references>
      </pivotArea>
    </format>
    <format dxfId="2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" count="1">
            <x v="17"/>
          </reference>
        </references>
      </pivotArea>
    </format>
    <format dxfId="2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" count="1">
            <x v="18"/>
          </reference>
        </references>
      </pivotArea>
    </format>
    <format dxfId="1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" count="1">
            <x v="19"/>
          </reference>
        </references>
      </pivotArea>
    </format>
    <format dxfId="18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>
            <x v="13"/>
          </reference>
        </references>
      </pivotArea>
    </format>
    <format dxfId="17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>
            <x v="18"/>
          </reference>
        </references>
      </pivotArea>
    </format>
    <format dxfId="16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>
            <x v="20"/>
          </reference>
        </references>
      </pivotArea>
    </format>
    <format dxfId="15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>
            <x v="21"/>
          </reference>
        </references>
      </pivotArea>
    </format>
    <format dxfId="14">
      <pivotArea dataOnly="0" labelOnly="1" fieldPosition="0">
        <references count="2">
          <reference field="0" count="1" selected="0">
            <x v="0"/>
          </reference>
          <reference field="1" count="1">
            <x v="2"/>
          </reference>
        </references>
      </pivotArea>
    </format>
    <format dxfId="1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" count="1">
            <x v="25"/>
          </reference>
        </references>
      </pivotArea>
    </format>
    <format dxfId="10">
      <pivotArea dataOnly="0" labelOnly="1" fieldPosition="0">
        <references count="2">
          <reference field="0" count="1" selected="0">
            <x v="4"/>
          </reference>
          <reference field="1" count="5">
            <x v="1"/>
            <x v="4"/>
            <x v="8"/>
            <x v="9"/>
            <x v="10"/>
          </reference>
        </references>
      </pivotArea>
    </format>
    <format dxfId="4">
      <pivotArea dataOnly="0" labelOnly="1" fieldPosition="0">
        <references count="2">
          <reference field="0" count="1" selected="0">
            <x v="15"/>
          </reference>
          <reference field="1" count="3">
            <x v="3"/>
            <x v="5"/>
            <x v="6"/>
          </reference>
        </references>
      </pivotArea>
    </format>
    <format dxfId="1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>
            <x v="14"/>
          </reference>
        </references>
      </pivotArea>
    </format>
    <format dxfId="0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>
            <x v="22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1" cacheId="55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5" firstHeaderRow="1" firstDataRow="2" firstDataCol="1"/>
  <pivotFields count="27">
    <pivotField axis="axisRow" showAll="0">
      <items count="19">
        <item h="1" x="0"/>
        <item m="1" x="16"/>
        <item h="1" m="1" x="8"/>
        <item h="1" m="1" x="11"/>
        <item h="1" x="1"/>
        <item h="1" m="1" x="7"/>
        <item h="1" m="1" x="14"/>
        <item h="1" m="1" x="5"/>
        <item h="1" m="1" x="15"/>
        <item h="1" x="3"/>
        <item h="1" m="1" x="10"/>
        <item h="1" m="1" x="9"/>
        <item h="1" m="1" x="12"/>
        <item h="1" m="1" x="17"/>
        <item h="1" m="1" x="6"/>
        <item h="1" m="1" x="13"/>
        <item h="1" x="2"/>
        <item h="1" x="4"/>
        <item t="default"/>
      </items>
    </pivotField>
    <pivotField axis="axisCol" showAll="0">
      <items count="28">
        <item x="18"/>
        <item x="8"/>
        <item x="17"/>
        <item x="19"/>
        <item x="20"/>
        <item x="7"/>
        <item x="12"/>
        <item x="13"/>
        <item x="14"/>
        <item x="1"/>
        <item x="2"/>
        <item x="15"/>
        <item x="9"/>
        <item x="10"/>
        <item x="4"/>
        <item x="5"/>
        <item x="11"/>
        <item x="21"/>
        <item x="16"/>
        <item x="0"/>
        <item h="1" x="3"/>
        <item h="1" x="6"/>
        <item h="1" x="22"/>
        <item h="1" x="23"/>
        <item h="1" x="24"/>
        <item h="1" x="25"/>
        <item h="1" x="26"/>
        <item t="default"/>
      </items>
    </pivotField>
    <pivotField axis="axisRow" showAll="0">
      <items count="8">
        <item x="5"/>
        <item x="4"/>
        <item x="3"/>
        <item x="2"/>
        <item x="1"/>
        <item x="0"/>
        <item x="6"/>
        <item t="default"/>
      </items>
    </pivotField>
    <pivotField numFmtId="164" showAll="0"/>
    <pivotField numFmtId="3" showAll="0"/>
    <pivotField numFmtId="3" showAll="0"/>
    <pivotField numFmtId="3" showAll="0"/>
    <pivotField numFmtId="3" showAll="0"/>
    <pivotField showAll="0"/>
    <pivotField numFmtId="3" showAll="0"/>
    <pivotField numFmtId="3" showAll="0"/>
    <pivotField numFmtId="3" showAll="0"/>
    <pivotField showAll="0"/>
    <pivotField numFmtId="44" showAll="0"/>
    <pivotField dataField="1" numFmtId="10" showAll="0"/>
    <pivotField numFmtId="10" showAll="0"/>
    <pivotField numFmtId="43" showAll="0"/>
    <pivotField numFmtId="10" showAll="0"/>
    <pivotField numFmtId="10" showAll="0"/>
    <pivotField numFmtId="10" showAll="0"/>
    <pivotField numFmtId="44" showAll="0"/>
    <pivotField numFmtId="44" showAll="0"/>
    <pivotField numFmtId="164" showAll="0" defaultSubtotal="0"/>
    <pivotField showAll="0" defaultSubtotal="0"/>
    <pivotField showAll="0" defaultSubtotal="0"/>
    <pivotField numFmtId="164" showAll="0"/>
    <pivotField numFmtId="164" showAll="0" defaultSubtotal="0"/>
  </pivotFields>
  <rowFields count="2">
    <field x="0"/>
    <field x="2"/>
  </rowFields>
  <rowItems count="1">
    <i t="grand">
      <x/>
    </i>
  </rowItems>
  <colFields count="1">
    <field x="1"/>
  </colFields>
  <colItems count="1">
    <i t="grand">
      <x/>
    </i>
  </colItems>
  <dataFields count="1">
    <dataField name="Média de MLL" fld="14" subtotal="average" baseField="0" baseItem="0" numFmtId="1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4" cacheId="55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7">
  <location ref="A3:B5" firstHeaderRow="1" firstDataRow="2" firstDataCol="1"/>
  <pivotFields count="27">
    <pivotField axis="axisRow" showAll="0">
      <items count="19">
        <item h="1" x="0"/>
        <item h="1" m="1" x="11"/>
        <item h="1" x="1"/>
        <item h="1" m="1" x="7"/>
        <item h="1" m="1" x="14"/>
        <item h="1" m="1" x="5"/>
        <item h="1" m="1" x="15"/>
        <item h="1" x="3"/>
        <item m="1" x="10"/>
        <item h="1" m="1" x="8"/>
        <item h="1" m="1" x="16"/>
        <item h="1" m="1" x="9"/>
        <item h="1" m="1" x="12"/>
        <item h="1" m="1" x="17"/>
        <item h="1" m="1" x="6"/>
        <item h="1" m="1" x="13"/>
        <item h="1" x="2"/>
        <item h="1" x="4"/>
        <item t="default"/>
      </items>
    </pivotField>
    <pivotField axis="axisCol" showAll="0">
      <items count="28">
        <item x="18"/>
        <item x="8"/>
        <item x="17"/>
        <item x="19"/>
        <item x="20"/>
        <item x="1"/>
        <item x="15"/>
        <item x="9"/>
        <item x="10"/>
        <item x="5"/>
        <item x="11"/>
        <item x="21"/>
        <item x="16"/>
        <item x="7"/>
        <item x="12"/>
        <item x="13"/>
        <item x="14"/>
        <item x="4"/>
        <item x="2"/>
        <item x="0"/>
        <item x="3"/>
        <item x="6"/>
        <item x="22"/>
        <item x="23"/>
        <item x="24"/>
        <item x="25"/>
        <item x="26"/>
        <item t="default"/>
      </items>
    </pivotField>
    <pivotField axis="axisRow" showAll="0">
      <items count="8">
        <item sd="0" x="5"/>
        <item sd="0" x="4"/>
        <item sd="0" x="3"/>
        <item sd="0" x="2"/>
        <item sd="0" x="1"/>
        <item sd="0" x="0"/>
        <item x="6"/>
        <item t="default"/>
      </items>
    </pivotField>
    <pivotField numFmtId="164" showAll="0" defaultSubtotal="0"/>
    <pivotField numFmtId="3" showAll="0"/>
    <pivotField numFmtId="3" showAll="0"/>
    <pivotField numFmtId="3" showAll="0"/>
    <pivotField numFmtId="3" showAll="0"/>
    <pivotField showAll="0"/>
    <pivotField numFmtId="3" showAll="0"/>
    <pivotField numFmtId="3" showAll="0"/>
    <pivotField numFmtId="3" showAll="0"/>
    <pivotField numFmtId="3" showAll="0"/>
    <pivotField numFmtId="44" showAll="0"/>
    <pivotField numFmtId="10" showAll="0"/>
    <pivotField dataField="1" numFmtId="10" showAll="0"/>
    <pivotField numFmtId="43" showAll="0"/>
    <pivotField numFmtId="10" showAll="0"/>
    <pivotField numFmtId="10" showAll="0"/>
    <pivotField numFmtId="10" showAll="0"/>
    <pivotField numFmtId="44" showAll="0"/>
    <pivotField numFmtId="44" showAll="0"/>
    <pivotField numFmtId="164" showAll="0" defaultSubtotal="0"/>
    <pivotField showAll="0" defaultSubtotal="0"/>
    <pivotField showAll="0" defaultSubtotal="0"/>
    <pivotField numFmtId="164" showAll="0"/>
    <pivotField numFmtId="164" showAll="0" defaultSubtotal="0"/>
  </pivotFields>
  <rowFields count="2">
    <field x="0"/>
    <field x="2"/>
  </rowFields>
  <rowItems count="1">
    <i t="grand">
      <x/>
    </i>
  </rowItems>
  <colFields count="1">
    <field x="1"/>
  </colFields>
  <colItems count="1">
    <i t="grand">
      <x/>
    </i>
  </colItems>
  <dataFields count="1">
    <dataField name="Média de ROE" fld="15" subtotal="average" baseField="0" baseItem="0" numFmtId="10"/>
  </dataFields>
  <chartFormats count="12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6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2" name="Tabela2" displayName="Tabela2" ref="A1:AA163" totalsRowShown="0" headerRowDxfId="115" dataDxfId="114">
  <autoFilter ref="A1:AA163">
    <filterColumn colId="3"/>
    <filterColumn colId="22"/>
    <filterColumn colId="23"/>
    <filterColumn colId="24"/>
    <filterColumn colId="26"/>
  </autoFilter>
  <sortState ref="A2:AA133">
    <sortCondition ref="A1:A133"/>
  </sortState>
  <tableColumns count="27">
    <tableColumn id="1" name="Setor" dataDxfId="113"/>
    <tableColumn id="3" name="Nome de Pregão" dataDxfId="112"/>
    <tableColumn id="4" name="ANO" dataDxfId="111"/>
    <tableColumn id="2" name="Reais" dataDxfId="110"/>
    <tableColumn id="6" name="AT" dataDxfId="109"/>
    <tableColumn id="7" name="AC" dataDxfId="108"/>
    <tableColumn id="8" name="AI" dataDxfId="107"/>
    <tableColumn id="9" name="PC" dataDxfId="106"/>
    <tableColumn id="10" name="PO" dataDxfId="105"/>
    <tableColumn id="11" name="PL" dataDxfId="104"/>
    <tableColumn id="12" name="RBV" dataDxfId="103"/>
    <tableColumn id="13" name="LL" dataDxfId="102"/>
    <tableColumn id="14" name="Dividendos" dataDxfId="101"/>
    <tableColumn id="15" name="Div/Ação" dataDxfId="100">
      <calculatedColumnFormula>IF(OR([Preferenciais]&lt;&gt;0,[Ordinárias]&lt;&gt;0),[Dividendos]*[Reais]/((1+[Bônus Preferenciais])*[Preferenciais]+[Ordinárias]),0)</calculatedColumnFormula>
    </tableColumn>
    <tableColumn id="16" name="MLL" dataDxfId="99">
      <calculatedColumnFormula>IF([RBV]&gt;0,[LL]/[RBV],0)</calculatedColumnFormula>
    </tableColumn>
    <tableColumn id="17" name="ROE" dataDxfId="98">
      <calculatedColumnFormula>IF([PL]&lt;&gt;0,[LL]/[PL],0)</calculatedColumnFormula>
    </tableColumn>
    <tableColumn id="18" name="LC" dataDxfId="97">
      <calculatedColumnFormula>IF([PC]&lt;&gt;0,[AC]/[PC],0)</calculatedColumnFormula>
    </tableColumn>
    <tableColumn id="19" name="IPL" dataDxfId="96">
      <calculatedColumnFormula>IF([PL]&lt;&gt;0,[AI]/[PL],0)</calculatedColumnFormula>
    </tableColumn>
    <tableColumn id="20" name="EO" dataDxfId="95">
      <calculatedColumnFormula>IF([AT]&lt;&gt;0,[PO]/[AT],0)</calculatedColumnFormula>
    </tableColumn>
    <tableColumn id="21" name="Payout" dataDxfId="94">
      <calculatedColumnFormula>IF([LL]&lt;&gt;0,[Dividendos]/[LL],0)</calculatedColumnFormula>
    </tableColumn>
    <tableColumn id="22" name="Compra [20%]" dataDxfId="93">
      <calculatedColumnFormula>([Div/Ação]/20%*[Unit])</calculatedColumnFormula>
    </tableColumn>
    <tableColumn id="23" name="Compra [CDI]" dataDxfId="92">
      <calculatedColumnFormula>([Div/Ação]/Setup!$A$2*[Unit])</calculatedColumnFormula>
    </tableColumn>
    <tableColumn id="24" name="Ordinárias" dataDxfId="91" dataCellStyle="Moeda"/>
    <tableColumn id="26" name="Preferenciais" dataDxfId="90" dataCellStyle="Moeda"/>
    <tableColumn id="28" name="Bônus Preferenciais" dataDxfId="89" dataCellStyle="Porcentagem"/>
    <tableColumn id="25" name="Unit" dataDxfId="88"/>
    <tableColumn id="27" name="Total Ações" dataDxfId="87" dataCellStyle="Separador de milhares">
      <calculatedColumnFormula>[Ordinárias]+[Preferenciais]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63"/>
  <sheetViews>
    <sheetView workbookViewId="0">
      <pane xSplit="3" ySplit="1" topLeftCell="D139" activePane="bottomRight" state="frozen"/>
      <selection pane="topRight" activeCell="D1" sqref="D1"/>
      <selection pane="bottomLeft" activeCell="A2" sqref="A2"/>
      <selection pane="bottomRight" activeCell="L163" sqref="L163"/>
    </sheetView>
  </sheetViews>
  <sheetFormatPr defaultRowHeight="12"/>
  <cols>
    <col min="1" max="1" width="40.140625" style="14" bestFit="1" customWidth="1"/>
    <col min="2" max="2" width="15" style="14" bestFit="1" customWidth="1"/>
    <col min="3" max="3" width="6.5703125" style="14" bestFit="1" customWidth="1"/>
    <col min="4" max="4" width="12" style="14" bestFit="1" customWidth="1"/>
    <col min="5" max="6" width="10.85546875" style="14" bestFit="1" customWidth="1"/>
    <col min="7" max="7" width="9.5703125" style="14" bestFit="1" customWidth="1"/>
    <col min="8" max="8" width="10.85546875" style="14" bestFit="1" customWidth="1"/>
    <col min="9" max="9" width="9.5703125" style="14" bestFit="1" customWidth="1"/>
    <col min="10" max="10" width="10.140625" style="14" bestFit="1" customWidth="1"/>
    <col min="11" max="11" width="9.5703125" style="14" bestFit="1" customWidth="1"/>
    <col min="12" max="12" width="9.28515625" style="14" bestFit="1" customWidth="1"/>
    <col min="13" max="13" width="11" style="14" customWidth="1"/>
    <col min="14" max="14" width="9.85546875" style="14" bestFit="1" customWidth="1"/>
    <col min="15" max="15" width="7.5703125" style="14" bestFit="1" customWidth="1"/>
    <col min="16" max="17" width="7.5703125" style="18" bestFit="1" customWidth="1"/>
    <col min="18" max="19" width="7" style="14" bestFit="1" customWidth="1"/>
    <col min="20" max="20" width="8.140625" style="18" bestFit="1" customWidth="1"/>
    <col min="21" max="21" width="13.28515625" style="14" bestFit="1" customWidth="1"/>
    <col min="22" max="22" width="13.85546875" style="14" bestFit="1" customWidth="1"/>
    <col min="23" max="23" width="13.7109375" style="17" bestFit="1" customWidth="1"/>
    <col min="24" max="24" width="12" style="15" bestFit="1" customWidth="1"/>
    <col min="25" max="25" width="13.42578125" style="19" bestFit="1" customWidth="1"/>
    <col min="26" max="26" width="9.140625" style="18"/>
    <col min="27" max="27" width="13.140625" style="15" bestFit="1" customWidth="1"/>
    <col min="28" max="28" width="12.42578125" style="14" bestFit="1" customWidth="1"/>
    <col min="29" max="16384" width="9.140625" style="14"/>
  </cols>
  <sheetData>
    <row r="1" spans="1:27">
      <c r="A1" s="10" t="s">
        <v>28</v>
      </c>
      <c r="B1" s="10" t="s">
        <v>0</v>
      </c>
      <c r="C1" s="10" t="s">
        <v>2</v>
      </c>
      <c r="D1" s="10" t="s">
        <v>54</v>
      </c>
      <c r="E1" s="10" t="s">
        <v>14</v>
      </c>
      <c r="F1" s="10" t="s">
        <v>9</v>
      </c>
      <c r="G1" s="10" t="s">
        <v>12</v>
      </c>
      <c r="H1" s="10" t="s">
        <v>10</v>
      </c>
      <c r="I1" s="10" t="s">
        <v>15</v>
      </c>
      <c r="J1" s="10" t="s">
        <v>5</v>
      </c>
      <c r="K1" s="10" t="s">
        <v>7</v>
      </c>
      <c r="L1" s="10" t="s">
        <v>6</v>
      </c>
      <c r="M1" s="10" t="s">
        <v>17</v>
      </c>
      <c r="N1" s="10" t="s">
        <v>19</v>
      </c>
      <c r="O1" s="11" t="s">
        <v>3</v>
      </c>
      <c r="P1" s="11" t="s">
        <v>4</v>
      </c>
      <c r="Q1" s="10" t="s">
        <v>8</v>
      </c>
      <c r="R1" s="10" t="s">
        <v>11</v>
      </c>
      <c r="S1" s="11" t="s">
        <v>13</v>
      </c>
      <c r="T1" s="11" t="s">
        <v>18</v>
      </c>
      <c r="U1" s="11" t="s">
        <v>30</v>
      </c>
      <c r="V1" s="12" t="s">
        <v>29</v>
      </c>
      <c r="W1" s="12" t="s">
        <v>57</v>
      </c>
      <c r="X1" s="12" t="s">
        <v>58</v>
      </c>
      <c r="Y1" s="11" t="s">
        <v>60</v>
      </c>
      <c r="Z1" s="13" t="s">
        <v>34</v>
      </c>
      <c r="AA1" s="13" t="s">
        <v>59</v>
      </c>
    </row>
    <row r="2" spans="1:27">
      <c r="A2" s="21" t="s">
        <v>66</v>
      </c>
      <c r="B2" s="14" t="s">
        <v>55</v>
      </c>
      <c r="C2" s="14">
        <v>2015</v>
      </c>
      <c r="D2" s="34">
        <v>1000</v>
      </c>
      <c r="E2" s="16">
        <v>166971</v>
      </c>
      <c r="F2" s="16">
        <v>112022</v>
      </c>
      <c r="G2" s="16">
        <v>33617</v>
      </c>
      <c r="H2" s="16">
        <v>58945</v>
      </c>
      <c r="I2" s="16">
        <f>11585+7371+3785+55489</f>
        <v>78230</v>
      </c>
      <c r="J2" s="16">
        <v>45152</v>
      </c>
      <c r="K2" s="16">
        <v>288380</v>
      </c>
      <c r="L2" s="16">
        <v>1245</v>
      </c>
      <c r="M2" s="16">
        <v>2079</v>
      </c>
      <c r="N2" s="20">
        <f>IF(OR([Preferenciais]&lt;&gt;0,[Ordinárias]&lt;&gt;0),[Dividendos]*[Reais]/((1+[Bônus Preferenciais])*[Preferenciais]+[Ordinárias]),0)</f>
        <v>7.6999999999999999E-2</v>
      </c>
      <c r="O2" s="18">
        <f>IF([RBV]&gt;0,[LL]/[RBV],0)</f>
        <v>4.3172203342811567E-3</v>
      </c>
      <c r="P2" s="18">
        <f>IF([PL]&lt;&gt;0,[LL]/[PL],0)</f>
        <v>2.7573529411764705E-2</v>
      </c>
      <c r="Q2" s="51">
        <f>IF([PC]&lt;&gt;0,[AC]/[PC],0)</f>
        <v>1.9004495716345746</v>
      </c>
      <c r="R2" s="35">
        <f>IF([PL]&lt;&gt;0,[AI]/[PL],0)</f>
        <v>0.74452958894401133</v>
      </c>
      <c r="S2" s="18">
        <f>IF([AT]&lt;&gt;0,[PO]/[AT],0)</f>
        <v>0.46852447430991012</v>
      </c>
      <c r="T2" s="35">
        <f>IF([LL]&lt;&gt;0,[Dividendos]/[LL],0)</f>
        <v>1.6698795180722892</v>
      </c>
      <c r="U2" s="20">
        <f>([Div/Ação]/20%*[Unit])</f>
        <v>0.38499999999999995</v>
      </c>
      <c r="V2" s="22">
        <f>([Div/Ação]/Setup!$A$2*[Unit])</f>
        <v>0.55475504322766567</v>
      </c>
      <c r="W2" s="34">
        <v>27000000</v>
      </c>
      <c r="X2" s="22"/>
      <c r="Y2" s="18"/>
      <c r="Z2" s="15">
        <v>1</v>
      </c>
      <c r="AA2" s="15">
        <f>[Ordinárias]+[Preferenciais]</f>
        <v>27000000</v>
      </c>
    </row>
    <row r="3" spans="1:27">
      <c r="A3" s="21" t="s">
        <v>66</v>
      </c>
      <c r="B3" s="14" t="s">
        <v>55</v>
      </c>
      <c r="C3" s="14">
        <v>2014</v>
      </c>
      <c r="D3" s="34">
        <v>1000</v>
      </c>
      <c r="E3" s="16">
        <v>156298</v>
      </c>
      <c r="F3" s="16">
        <v>99298</v>
      </c>
      <c r="G3" s="16">
        <v>33271</v>
      </c>
      <c r="H3" s="16">
        <v>53675</v>
      </c>
      <c r="I3" s="16">
        <f>14616+5727+3373+49450</f>
        <v>73166</v>
      </c>
      <c r="J3" s="16">
        <v>45200</v>
      </c>
      <c r="K3" s="16">
        <v>332742</v>
      </c>
      <c r="L3" s="16">
        <v>7076</v>
      </c>
      <c r="M3" s="16">
        <f>503+1402</f>
        <v>1905</v>
      </c>
      <c r="N3" s="20">
        <f>IF(OR([Preferenciais]&lt;&gt;0,[Ordinárias]&lt;&gt;0),[Dividendos]*[Reais]/((1+[Bônus Preferenciais])*[Preferenciais]+[Ordinárias]),0)</f>
        <v>7.0555555555555552E-2</v>
      </c>
      <c r="O3" s="18">
        <f>IF([RBV]&gt;0,[LL]/[RBV],0)</f>
        <v>2.1265725396854018E-2</v>
      </c>
      <c r="P3" s="18">
        <f>IF([PL]&lt;&gt;0,[LL]/[PL],0)</f>
        <v>0.15654867256637167</v>
      </c>
      <c r="Q3" s="51">
        <f>IF([PC]&lt;&gt;0,[AC]/[PC],0)</f>
        <v>1.8499860270144388</v>
      </c>
      <c r="R3" s="35">
        <f>IF([PL]&lt;&gt;0,[AI]/[PL],0)</f>
        <v>0.73608407079646021</v>
      </c>
      <c r="S3" s="18">
        <f>IF([AT]&lt;&gt;0,[PO]/[AT],0)</f>
        <v>0.46811859396793304</v>
      </c>
      <c r="T3" s="35">
        <f>IF([LL]&lt;&gt;0,[Dividendos]/[LL],0)</f>
        <v>0.26921989824759751</v>
      </c>
      <c r="U3" s="20">
        <f>([Div/Ação]/20%*[Unit])</f>
        <v>0.35277777777777775</v>
      </c>
      <c r="V3" s="22">
        <f>([Div/Ação]/Setup!$A$2*[Unit])</f>
        <v>0.50832532821005438</v>
      </c>
      <c r="W3" s="34">
        <v>27000000</v>
      </c>
      <c r="X3" s="22"/>
      <c r="Y3" s="18"/>
      <c r="Z3" s="15">
        <v>1</v>
      </c>
      <c r="AA3" s="15">
        <f>[Ordinárias]+[Preferenciais]</f>
        <v>27000000</v>
      </c>
    </row>
    <row r="4" spans="1:27">
      <c r="A4" s="21" t="s">
        <v>66</v>
      </c>
      <c r="B4" s="14" t="s">
        <v>55</v>
      </c>
      <c r="C4" s="14">
        <v>2013</v>
      </c>
      <c r="D4" s="34">
        <v>1000</v>
      </c>
      <c r="E4" s="16">
        <v>152651</v>
      </c>
      <c r="F4" s="16">
        <v>93392</v>
      </c>
      <c r="G4" s="16">
        <v>33050</v>
      </c>
      <c r="H4" s="16">
        <v>51156</v>
      </c>
      <c r="I4" s="16">
        <f>9890+6284+4315+53171</f>
        <v>73660</v>
      </c>
      <c r="J4" s="16">
        <v>40009</v>
      </c>
      <c r="K4" s="16">
        <v>287589</v>
      </c>
      <c r="L4" s="16">
        <v>7680</v>
      </c>
      <c r="M4" s="16">
        <v>0</v>
      </c>
      <c r="N4" s="20">
        <f>IF(OR([Preferenciais]&lt;&gt;0,[Ordinárias]&lt;&gt;0),[Dividendos]*[Reais]/((1+[Bônus Preferenciais])*[Preferenciais]+[Ordinárias]),0)</f>
        <v>0</v>
      </c>
      <c r="O4" s="18">
        <f>IF([RBV]&gt;0,[LL]/[RBV],0)</f>
        <v>2.6704776608284738E-2</v>
      </c>
      <c r="P4" s="18">
        <f>IF([PL]&lt;&gt;0,[LL]/[PL],0)</f>
        <v>0.19195680971781348</v>
      </c>
      <c r="Q4" s="51">
        <f>IF([PC]&lt;&gt;0,[AC]/[PC],0)</f>
        <v>1.8256314019860818</v>
      </c>
      <c r="R4" s="35">
        <f>IF([PL]&lt;&gt;0,[AI]/[PL],0)</f>
        <v>0.82606413556949687</v>
      </c>
      <c r="S4" s="18">
        <f>IF([AT]&lt;&gt;0,[PO]/[AT],0)</f>
        <v>0.48253860112282265</v>
      </c>
      <c r="T4" s="35">
        <f>IF([LL]&lt;&gt;0,[Dividendos]/[LL],0)</f>
        <v>0</v>
      </c>
      <c r="U4" s="20">
        <f>([Div/Ação]/20%*[Unit])</f>
        <v>0</v>
      </c>
      <c r="V4" s="22">
        <f>([Div/Ação]/Setup!$A$2*[Unit])</f>
        <v>0</v>
      </c>
      <c r="W4" s="34">
        <v>27000000</v>
      </c>
      <c r="X4" s="22"/>
      <c r="Y4" s="18"/>
      <c r="Z4" s="15">
        <v>1</v>
      </c>
      <c r="AA4" s="15">
        <f>[Ordinárias]+[Preferenciais]</f>
        <v>27000000</v>
      </c>
    </row>
    <row r="5" spans="1:27">
      <c r="A5" s="21" t="s">
        <v>66</v>
      </c>
      <c r="B5" s="14" t="s">
        <v>55</v>
      </c>
      <c r="C5" s="14">
        <v>2012</v>
      </c>
      <c r="D5" s="34">
        <v>1000</v>
      </c>
      <c r="E5" s="16">
        <v>144503</v>
      </c>
      <c r="F5" s="16">
        <v>86342</v>
      </c>
      <c r="G5" s="16">
        <v>36376</v>
      </c>
      <c r="H5" s="16">
        <v>43089</v>
      </c>
      <c r="I5" s="16">
        <f>10173+4750+9162+56457</f>
        <v>80542</v>
      </c>
      <c r="J5" s="16">
        <v>32180</v>
      </c>
      <c r="K5" s="16">
        <v>218242</v>
      </c>
      <c r="L5" s="16">
        <v>8796</v>
      </c>
      <c r="M5" s="16">
        <v>0</v>
      </c>
      <c r="N5" s="20">
        <f>IF(OR([Preferenciais]&lt;&gt;0,[Ordinárias]&lt;&gt;0),[Dividendos]*[Reais]/((1+[Bônus Preferenciais])*[Preferenciais]+[Ordinárias]),0)</f>
        <v>0</v>
      </c>
      <c r="O5" s="18">
        <f>IF([RBV]&gt;0,[LL]/[RBV],0)</f>
        <v>4.0303882845648412E-2</v>
      </c>
      <c r="P5" s="18">
        <f>IF([PL]&lt;&gt;0,[LL]/[PL],0)</f>
        <v>0.27333747669359854</v>
      </c>
      <c r="Q5" s="51">
        <f>IF([PC]&lt;&gt;0,[AC]/[PC],0)</f>
        <v>2.0038060757966072</v>
      </c>
      <c r="R5" s="35">
        <f>IF([PL]&lt;&gt;0,[AI]/[PL],0)</f>
        <v>1.130391547545059</v>
      </c>
      <c r="S5" s="18">
        <f>IF([AT]&lt;&gt;0,[PO]/[AT],0)</f>
        <v>0.55737251129734333</v>
      </c>
      <c r="T5" s="35">
        <f>IF([LL]&lt;&gt;0,[Dividendos]/[LL],0)</f>
        <v>0</v>
      </c>
      <c r="U5" s="20">
        <f>([Div/Ação]/20%*[Unit])</f>
        <v>0</v>
      </c>
      <c r="V5" s="22">
        <f>([Div/Ação]/Setup!$A$2*[Unit])</f>
        <v>0</v>
      </c>
      <c r="W5" s="34">
        <v>27000000</v>
      </c>
      <c r="X5" s="22"/>
      <c r="Y5" s="18"/>
      <c r="Z5" s="15">
        <v>1</v>
      </c>
      <c r="AA5" s="15">
        <f>[Ordinárias]+[Preferenciais]</f>
        <v>27000000</v>
      </c>
    </row>
    <row r="6" spans="1:27">
      <c r="A6" s="21" t="s">
        <v>66</v>
      </c>
      <c r="B6" s="14" t="s">
        <v>55</v>
      </c>
      <c r="C6" s="14">
        <v>2011</v>
      </c>
      <c r="D6" s="34">
        <v>1000</v>
      </c>
      <c r="E6" s="16">
        <v>137095</v>
      </c>
      <c r="F6" s="16">
        <v>86743</v>
      </c>
      <c r="G6" s="16">
        <v>39965</v>
      </c>
      <c r="H6" s="16">
        <v>44048</v>
      </c>
      <c r="I6" s="16">
        <f>11107+7962+4161+54642</f>
        <v>77872</v>
      </c>
      <c r="J6" s="16">
        <v>29682</v>
      </c>
      <c r="K6" s="16">
        <v>187672</v>
      </c>
      <c r="L6" s="16">
        <v>8080</v>
      </c>
      <c r="M6" s="16">
        <v>0</v>
      </c>
      <c r="N6" s="20">
        <f>IF(OR([Preferenciais]&lt;&gt;0,[Ordinárias]&lt;&gt;0),[Dividendos]*[Reais]/((1+[Bônus Preferenciais])*[Preferenciais]+[Ordinárias]),0)</f>
        <v>0</v>
      </c>
      <c r="O6" s="18">
        <f>IF([RBV]&gt;0,[LL]/[RBV],0)</f>
        <v>4.3053838612046549E-2</v>
      </c>
      <c r="P6" s="18">
        <f>IF([PL]&lt;&gt;0,[LL]/[PL],0)</f>
        <v>0.27221885317700961</v>
      </c>
      <c r="Q6" s="51">
        <f>IF([PC]&lt;&gt;0,[AC]/[PC],0)</f>
        <v>1.9692835088993825</v>
      </c>
      <c r="R6" s="35">
        <f>IF([PL]&lt;&gt;0,[AI]/[PL],0)</f>
        <v>1.3464389192102959</v>
      </c>
      <c r="S6" s="18">
        <f>IF([AT]&lt;&gt;0,[PO]/[AT],0)</f>
        <v>0.56801488019256718</v>
      </c>
      <c r="T6" s="35">
        <f>IF([LL]&lt;&gt;0,[Dividendos]/[LL],0)</f>
        <v>0</v>
      </c>
      <c r="U6" s="20">
        <f>([Div/Ação]/20%*[Unit])</f>
        <v>0</v>
      </c>
      <c r="V6" s="22">
        <f>([Div/Ação]/Setup!$A$2*[Unit])</f>
        <v>0</v>
      </c>
      <c r="W6" s="34">
        <v>27000000</v>
      </c>
      <c r="X6" s="22"/>
      <c r="Y6" s="18"/>
      <c r="Z6" s="15">
        <v>1</v>
      </c>
      <c r="AA6" s="15">
        <f>[Ordinárias]+[Preferenciais]</f>
        <v>27000000</v>
      </c>
    </row>
    <row r="7" spans="1:27">
      <c r="A7" s="21" t="s">
        <v>66</v>
      </c>
      <c r="B7" s="21" t="s">
        <v>55</v>
      </c>
      <c r="C7" s="21">
        <v>2010</v>
      </c>
      <c r="D7" s="34">
        <v>1000</v>
      </c>
      <c r="E7" s="23">
        <v>153548</v>
      </c>
      <c r="F7" s="23">
        <v>106739</v>
      </c>
      <c r="G7" s="23">
        <v>37364</v>
      </c>
      <c r="H7" s="23">
        <v>61098</v>
      </c>
      <c r="I7" s="23">
        <f>15260+8617+2795+63226</f>
        <v>89898</v>
      </c>
      <c r="J7" s="23">
        <v>21602</v>
      </c>
      <c r="K7" s="23">
        <v>327356</v>
      </c>
      <c r="L7" s="23">
        <v>16177</v>
      </c>
      <c r="M7" s="23">
        <v>0</v>
      </c>
      <c r="N7" s="27">
        <f>IF(OR([Preferenciais]&lt;&gt;0,[Ordinárias]&lt;&gt;0),[Dividendos]*[Reais]/((1+[Bônus Preferenciais])*[Preferenciais]+[Ordinárias]),0)</f>
        <v>0</v>
      </c>
      <c r="O7" s="25">
        <f>IF([RBV]&gt;0,[LL]/[RBV],0)</f>
        <v>4.9417148303376138E-2</v>
      </c>
      <c r="P7" s="25">
        <f>IF([PL]&lt;&gt;0,[LL]/[PL],0)</f>
        <v>0.74886584575502269</v>
      </c>
      <c r="Q7" s="52">
        <f>IF([PC]&lt;&gt;0,[AC]/[PC],0)</f>
        <v>1.7470129955154015</v>
      </c>
      <c r="R7" s="47">
        <f>IF([PL]&lt;&gt;0,[AI]/[PL],0)</f>
        <v>1.7296546616054069</v>
      </c>
      <c r="S7" s="25">
        <f>IF([AT]&lt;&gt;0,[PO]/[AT],0)</f>
        <v>0.58547164404616148</v>
      </c>
      <c r="T7" s="47">
        <f>IF([LL]&lt;&gt;0,[Dividendos]/[LL],0)</f>
        <v>0</v>
      </c>
      <c r="U7" s="27">
        <f>([Div/Ação]/20%*[Unit])</f>
        <v>0</v>
      </c>
      <c r="V7" s="28">
        <f>([Div/Ação]/Setup!$A$2*[Unit])</f>
        <v>0</v>
      </c>
      <c r="W7" s="34">
        <v>27000000</v>
      </c>
      <c r="X7" s="22"/>
      <c r="Y7" s="18"/>
      <c r="Z7" s="29">
        <v>1</v>
      </c>
      <c r="AA7" s="15">
        <f>[Ordinárias]+[Preferenciais]</f>
        <v>27000000</v>
      </c>
    </row>
    <row r="8" spans="1:27">
      <c r="A8" s="21" t="s">
        <v>66</v>
      </c>
      <c r="B8" s="14" t="s">
        <v>1</v>
      </c>
      <c r="C8" s="14">
        <v>2015</v>
      </c>
      <c r="D8" s="15">
        <v>1000</v>
      </c>
      <c r="E8" s="16">
        <v>933194</v>
      </c>
      <c r="F8" s="16">
        <v>412320</v>
      </c>
      <c r="G8" s="16">
        <v>354047</v>
      </c>
      <c r="H8" s="16">
        <v>205820</v>
      </c>
      <c r="I8" s="16">
        <f>90307+21614+76954+21586</f>
        <v>210461</v>
      </c>
      <c r="J8" s="16">
        <v>500116</v>
      </c>
      <c r="K8" s="16">
        <v>974872</v>
      </c>
      <c r="L8" s="16">
        <v>29421</v>
      </c>
      <c r="M8" s="16">
        <f>1611+23083</f>
        <v>24694</v>
      </c>
      <c r="N8" s="17">
        <f>IF(OR([Preferenciais]&lt;&gt;0,[Ordinárias]&lt;&gt;0),[Dividendos]*[Reais]/((1+[Bônus Preferenciais])*[Preferenciais]+[Ordinárias]),0)</f>
        <v>0.13795530726256983</v>
      </c>
      <c r="O8" s="18">
        <f>IF([RBV]&gt;0,[LL]/[RBV],0)</f>
        <v>3.0179346621915494E-2</v>
      </c>
      <c r="P8" s="18">
        <f>IF([PL]&lt;&gt;0,[LL]/[PL],0)</f>
        <v>5.8828351822377209E-2</v>
      </c>
      <c r="Q8" s="19">
        <f>IF([PC]&lt;&gt;0,[AC]/[PC],0)</f>
        <v>2.0033038577397728</v>
      </c>
      <c r="R8" s="18">
        <f>IF([PL]&lt;&gt;0,[AI]/[PL],0)</f>
        <v>0.70792976029561139</v>
      </c>
      <c r="S8" s="18">
        <f>IF([AT]&lt;&gt;0,[PO]/[AT],0)</f>
        <v>0.22552759661978108</v>
      </c>
      <c r="T8" s="18">
        <f>IF([LL]&lt;&gt;0,[Dividendos]/[LL],0)</f>
        <v>0.83933244961082221</v>
      </c>
      <c r="U8" s="20">
        <f>([Div/Ação]/20%*[Unit])</f>
        <v>0.68977653631284908</v>
      </c>
      <c r="V8" s="20">
        <f>([Div/Ação]/Setup!$A$2*[Unit])</f>
        <v>0.99391431745367309</v>
      </c>
      <c r="W8" s="15">
        <v>179000000</v>
      </c>
      <c r="X8" s="22"/>
      <c r="Y8" s="18"/>
      <c r="Z8" s="15">
        <v>1</v>
      </c>
      <c r="AA8" s="15">
        <f>[Ordinárias]+[Preferenciais]</f>
        <v>179000000</v>
      </c>
    </row>
    <row r="9" spans="1:27">
      <c r="A9" s="21" t="s">
        <v>66</v>
      </c>
      <c r="B9" s="14" t="s">
        <v>1</v>
      </c>
      <c r="C9" s="14">
        <v>2014</v>
      </c>
      <c r="D9" s="15">
        <v>1000</v>
      </c>
      <c r="E9" s="16">
        <v>897864</v>
      </c>
      <c r="F9" s="16">
        <v>395451</v>
      </c>
      <c r="G9" s="16">
        <v>341684</v>
      </c>
      <c r="H9" s="16">
        <v>221252</v>
      </c>
      <c r="I9" s="16">
        <f>88946+28640+38978+21623</f>
        <v>178187</v>
      </c>
      <c r="J9" s="16">
        <v>514808</v>
      </c>
      <c r="K9" s="16">
        <v>978154</v>
      </c>
      <c r="L9" s="16">
        <v>85160</v>
      </c>
      <c r="M9" s="16">
        <f>47688+23889</f>
        <v>71577</v>
      </c>
      <c r="N9" s="17">
        <f>IF(OR([Preferenciais]&lt;&gt;0,[Ordinárias]&lt;&gt;0),[Dividendos]*[Reais]/((1+[Bônus Preferenciais])*[Preferenciais]+[Ordinárias]),0)</f>
        <v>0.39987150837988827</v>
      </c>
      <c r="O9" s="18">
        <f>IF([RBV]&gt;0,[LL]/[RBV],0)</f>
        <v>8.7061955479403041E-2</v>
      </c>
      <c r="P9" s="18">
        <f>IF([PL]&lt;&gt;0,[LL]/[PL],0)</f>
        <v>0.1654208947801899</v>
      </c>
      <c r="Q9" s="19">
        <f>IF([PC]&lt;&gt;0,[AC]/[PC],0)</f>
        <v>1.7873329958599244</v>
      </c>
      <c r="R9" s="18">
        <f>IF([PL]&lt;&gt;0,[AI]/[PL],0)</f>
        <v>0.66371151963450448</v>
      </c>
      <c r="S9" s="18">
        <f>IF([AT]&lt;&gt;0,[PO]/[AT],0)</f>
        <v>0.19845655912253971</v>
      </c>
      <c r="T9" s="18">
        <f>IF([LL]&lt;&gt;0,[Dividendos]/[LL],0)</f>
        <v>0.84050023485204317</v>
      </c>
      <c r="U9" s="20">
        <f>([Div/Ação]/20%*[Unit])</f>
        <v>1.9993575418994411</v>
      </c>
      <c r="V9" s="17">
        <f>([Div/Ação]/Setup!$A$2*[Unit])</f>
        <v>2.8809186482700881</v>
      </c>
      <c r="W9" s="15">
        <v>179000000</v>
      </c>
      <c r="X9" s="22"/>
      <c r="Y9" s="18"/>
      <c r="Z9" s="15">
        <v>1</v>
      </c>
      <c r="AA9" s="15">
        <f>[Ordinárias]+[Preferenciais]</f>
        <v>179000000</v>
      </c>
    </row>
    <row r="10" spans="1:27">
      <c r="A10" s="21" t="s">
        <v>66</v>
      </c>
      <c r="B10" s="14" t="s">
        <v>1</v>
      </c>
      <c r="C10" s="14">
        <v>2013</v>
      </c>
      <c r="D10" s="15">
        <v>1000</v>
      </c>
      <c r="E10" s="16">
        <v>833632</v>
      </c>
      <c r="F10" s="16">
        <v>389943</v>
      </c>
      <c r="G10" s="16">
        <v>279064</v>
      </c>
      <c r="H10" s="16">
        <v>193082</v>
      </c>
      <c r="I10" s="16">
        <f>56881+31023+25799+19436</f>
        <v>133139</v>
      </c>
      <c r="J10" s="16">
        <v>506129</v>
      </c>
      <c r="K10" s="16">
        <v>957301</v>
      </c>
      <c r="L10" s="16">
        <v>102254</v>
      </c>
      <c r="M10" s="16">
        <f>48851+22726</f>
        <v>71577</v>
      </c>
      <c r="N10" s="17">
        <f>IF(OR([Preferenciais]&lt;&gt;0,[Ordinárias]&lt;&gt;0),[Dividendos]*[Reais]/((1+[Bônus Preferenciais])*[Preferenciais]+[Ordinárias]),0)</f>
        <v>0.39987150837988827</v>
      </c>
      <c r="O10" s="18">
        <f>IF([RBV]&gt;0,[LL]/[RBV],0)</f>
        <v>0.10681488894297614</v>
      </c>
      <c r="P10" s="18">
        <f>IF([PL]&lt;&gt;0,[LL]/[PL],0)</f>
        <v>0.20203149789875705</v>
      </c>
      <c r="Q10" s="19">
        <f>IF([PC]&lt;&gt;0,[AC]/[PC],0)</f>
        <v>2.0195719953180515</v>
      </c>
      <c r="R10" s="18">
        <f>IF([PL]&lt;&gt;0,[AI]/[PL],0)</f>
        <v>0.55136931493749619</v>
      </c>
      <c r="S10" s="18">
        <f>IF([AT]&lt;&gt;0,[PO]/[AT],0)</f>
        <v>0.15970956009366244</v>
      </c>
      <c r="T10" s="18">
        <f>IF([LL]&lt;&gt;0,[Dividendos]/[LL],0)</f>
        <v>0.69999217634517963</v>
      </c>
      <c r="U10" s="20">
        <f>([Div/Ação]/20%*[Unit])</f>
        <v>1.9993575418994411</v>
      </c>
      <c r="V10" s="17">
        <f>([Div/Ação]/Setup!$A$2*[Unit])</f>
        <v>2.8809186482700881</v>
      </c>
      <c r="W10" s="15">
        <v>179000000</v>
      </c>
      <c r="X10" s="22"/>
      <c r="Y10" s="18"/>
      <c r="Z10" s="15">
        <v>1</v>
      </c>
      <c r="AA10" s="15">
        <f>[Ordinárias]+[Preferenciais]</f>
        <v>179000000</v>
      </c>
    </row>
    <row r="11" spans="1:27">
      <c r="A11" s="21" t="s">
        <v>66</v>
      </c>
      <c r="B11" s="14" t="s">
        <v>1</v>
      </c>
      <c r="C11" s="14">
        <v>2012</v>
      </c>
      <c r="D11" s="15">
        <v>1000</v>
      </c>
      <c r="E11" s="16">
        <v>810120</v>
      </c>
      <c r="F11" s="16">
        <v>426031</v>
      </c>
      <c r="G11" s="16">
        <v>252457</v>
      </c>
      <c r="H11" s="16">
        <v>208094</v>
      </c>
      <c r="I11" s="16">
        <f>55839+28491+24107+17250</f>
        <v>125687</v>
      </c>
      <c r="J11" s="16">
        <v>479534</v>
      </c>
      <c r="K11" s="16">
        <v>906317</v>
      </c>
      <c r="L11" s="16">
        <v>113004</v>
      </c>
      <c r="M11" s="16">
        <f>24068+47509</f>
        <v>71577</v>
      </c>
      <c r="N11" s="17">
        <f>IF(OR([Preferenciais]&lt;&gt;0,[Ordinárias]&lt;&gt;0),[Dividendos]*[Reais]/((1+[Bônus Preferenciais])*[Preferenciais]+[Ordinárias]),0)</f>
        <v>0.39987150837988827</v>
      </c>
      <c r="O11" s="18">
        <f>IF([RBV]&gt;0,[LL]/[RBV],0)</f>
        <v>0.12468485088550695</v>
      </c>
      <c r="P11" s="18">
        <f>IF([PL]&lt;&gt;0,[LL]/[PL],0)</f>
        <v>0.23565378054527938</v>
      </c>
      <c r="Q11" s="19">
        <f>IF([PC]&lt;&gt;0,[AC]/[PC],0)</f>
        <v>2.0473007390890654</v>
      </c>
      <c r="R11" s="18">
        <f>IF([PL]&lt;&gt;0,[AI]/[PL],0)</f>
        <v>0.52646319134826725</v>
      </c>
      <c r="S11" s="18">
        <f>IF([AT]&lt;&gt;0,[PO]/[AT],0)</f>
        <v>0.1551461511874784</v>
      </c>
      <c r="T11" s="18">
        <f>IF([LL]&lt;&gt;0,[Dividendos]/[LL],0)</f>
        <v>0.63340235743867479</v>
      </c>
      <c r="U11" s="20">
        <f>([Div/Ação]/20%*[Unit])</f>
        <v>1.9993575418994411</v>
      </c>
      <c r="V11" s="17">
        <f>([Div/Ação]/Setup!$A$2*[Unit])</f>
        <v>2.8809186482700881</v>
      </c>
      <c r="W11" s="15">
        <v>179000000</v>
      </c>
      <c r="X11" s="22"/>
      <c r="Y11" s="18"/>
      <c r="Z11" s="15">
        <v>1</v>
      </c>
      <c r="AA11" s="15">
        <f>[Ordinárias]+[Preferenciais]</f>
        <v>179000000</v>
      </c>
    </row>
    <row r="12" spans="1:27">
      <c r="A12" s="21" t="s">
        <v>66</v>
      </c>
      <c r="B12" s="14" t="s">
        <v>1</v>
      </c>
      <c r="C12" s="14">
        <v>2011</v>
      </c>
      <c r="D12" s="15">
        <v>1000</v>
      </c>
      <c r="E12" s="16">
        <v>691935</v>
      </c>
      <c r="F12" s="16">
        <v>350886</v>
      </c>
      <c r="G12" s="16">
        <v>225889</v>
      </c>
      <c r="H12" s="16">
        <v>162585</v>
      </c>
      <c r="I12" s="16">
        <f>40553+29043+7891+10187</f>
        <v>87674</v>
      </c>
      <c r="J12" s="16">
        <v>438106</v>
      </c>
      <c r="K12" s="16">
        <v>820238</v>
      </c>
      <c r="L12" s="16">
        <v>97193</v>
      </c>
      <c r="M12" s="16">
        <f>47956+23620</f>
        <v>71576</v>
      </c>
      <c r="N12" s="17">
        <f>IF(OR([Preferenciais]&lt;&gt;0,[Ordinárias]&lt;&gt;0),[Dividendos]*[Reais]/((1+[Bônus Preferenciais])*[Preferenciais]+[Ordinárias]),0)</f>
        <v>0.39986592178770952</v>
      </c>
      <c r="O12" s="18">
        <f>IF([RBV]&gt;0,[LL]/[RBV],0)</f>
        <v>0.11849365671914737</v>
      </c>
      <c r="P12" s="18">
        <f>IF([PL]&lt;&gt;0,[LL]/[PL],0)</f>
        <v>0.22184813720880334</v>
      </c>
      <c r="Q12" s="19">
        <f>IF([PC]&lt;&gt;0,[AC]/[PC],0)</f>
        <v>2.1581695728388226</v>
      </c>
      <c r="R12" s="18">
        <f>IF([PL]&lt;&gt;0,[AI]/[PL],0)</f>
        <v>0.51560352973937817</v>
      </c>
      <c r="S12" s="18">
        <f>IF([AT]&lt;&gt;0,[PO]/[AT],0)</f>
        <v>0.12670843359564121</v>
      </c>
      <c r="T12" s="18">
        <f>IF([LL]&lt;&gt;0,[Dividendos]/[LL],0)</f>
        <v>0.73643163602317041</v>
      </c>
      <c r="U12" s="20">
        <f>([Div/Ação]/20%*[Unit])</f>
        <v>1.9993296089385475</v>
      </c>
      <c r="V12" s="17">
        <f>([Div/Ação]/Setup!$A$2*[Unit])</f>
        <v>2.8808783990468982</v>
      </c>
      <c r="W12" s="15">
        <v>179000000</v>
      </c>
      <c r="X12" s="22"/>
      <c r="Y12" s="18"/>
      <c r="Z12" s="15">
        <v>1</v>
      </c>
      <c r="AA12" s="15">
        <f>[Ordinárias]+[Preferenciais]</f>
        <v>179000000</v>
      </c>
    </row>
    <row r="13" spans="1:27">
      <c r="A13" s="21" t="s">
        <v>66</v>
      </c>
      <c r="B13" s="14" t="s">
        <v>1</v>
      </c>
      <c r="C13" s="14">
        <v>2010</v>
      </c>
      <c r="D13" s="15">
        <v>1000</v>
      </c>
      <c r="E13" s="16">
        <v>661078</v>
      </c>
      <c r="F13" s="16">
        <v>339304</v>
      </c>
      <c r="G13" s="16">
        <v>209989</v>
      </c>
      <c r="H13" s="16">
        <v>170278</v>
      </c>
      <c r="I13" s="16">
        <f>20443+40781+3491+9522</f>
        <v>74237</v>
      </c>
      <c r="J13" s="16">
        <v>412489</v>
      </c>
      <c r="K13" s="16">
        <v>758745</v>
      </c>
      <c r="L13" s="16">
        <v>102084</v>
      </c>
      <c r="M13" s="16">
        <f>58155+22367</f>
        <v>80522</v>
      </c>
      <c r="N13" s="17">
        <f>IF(OR([Preferenciais]&lt;&gt;0,[Ordinárias]&lt;&gt;0),[Dividendos]*[Reais]/((1+[Bônus Preferenciais])*[Preferenciais]+[Ordinárias]),0)</f>
        <v>0.44984357541899439</v>
      </c>
      <c r="O13" s="18">
        <f>IF([RBV]&gt;0,[LL]/[RBV],0)</f>
        <v>0.13454322598501472</v>
      </c>
      <c r="P13" s="18">
        <f>IF([PL]&lt;&gt;0,[LL]/[PL],0)</f>
        <v>0.24748296318204849</v>
      </c>
      <c r="Q13" s="19">
        <f>IF([PC]&lt;&gt;0,[AC]/[PC],0)</f>
        <v>1.9926473179154089</v>
      </c>
      <c r="R13" s="18">
        <f>IF([PL]&lt;&gt;0,[AI]/[PL],0)</f>
        <v>0.50907781783271799</v>
      </c>
      <c r="S13" s="18">
        <f>IF([AT]&lt;&gt;0,[PO]/[AT],0)</f>
        <v>0.11229688478515394</v>
      </c>
      <c r="T13" s="18">
        <f>IF([LL]&lt;&gt;0,[Dividendos]/[LL],0)</f>
        <v>0.78878178754750994</v>
      </c>
      <c r="U13" s="20">
        <f>([Div/Ação]/20%*[Unit])</f>
        <v>2.249217877094972</v>
      </c>
      <c r="V13" s="17">
        <f>([Div/Ação]/Setup!$A$2*[Unit])</f>
        <v>3.2409479497045703</v>
      </c>
      <c r="W13" s="15">
        <v>179000000</v>
      </c>
      <c r="X13" s="22"/>
      <c r="Y13" s="18"/>
      <c r="Z13" s="15">
        <v>1</v>
      </c>
      <c r="AA13" s="15">
        <f>[Ordinárias]+[Preferenciais]</f>
        <v>179000000</v>
      </c>
    </row>
    <row r="14" spans="1:27">
      <c r="A14" s="21" t="s">
        <v>66</v>
      </c>
      <c r="B14" s="21" t="s">
        <v>53</v>
      </c>
      <c r="C14" s="14">
        <v>2015</v>
      </c>
      <c r="D14" s="15">
        <v>1</v>
      </c>
      <c r="E14" s="23">
        <v>51759369</v>
      </c>
      <c r="F14" s="16">
        <v>40073071</v>
      </c>
      <c r="G14" s="23">
        <v>10628881</v>
      </c>
      <c r="H14" s="23">
        <v>24282647</v>
      </c>
      <c r="I14" s="23">
        <f>21206333+165760+30957216+81362251</f>
        <v>133691560</v>
      </c>
      <c r="J14" s="23">
        <v>-84842745</v>
      </c>
      <c r="K14" s="23">
        <v>29639628</v>
      </c>
      <c r="L14" s="23">
        <v>3146460</v>
      </c>
      <c r="M14" s="23">
        <v>0</v>
      </c>
      <c r="N14" s="27">
        <f>IF(OR([Preferenciais]&lt;&gt;0,[Ordinárias]&lt;&gt;0),[Dividendos]*[Reais]/((1+[Bônus Preferenciais])*[Preferenciais]+[Ordinárias]),0)</f>
        <v>0</v>
      </c>
      <c r="O14" s="47">
        <f>IF([RBV]&gt;0,[LL]/[RBV],0)</f>
        <v>0.10615720278270699</v>
      </c>
      <c r="P14" s="25">
        <f>IF([PL]&lt;&gt;0,[LL]/[PL],0)</f>
        <v>-3.7085787358718765E-2</v>
      </c>
      <c r="Q14" s="48">
        <f>IF([PC]&lt;&gt;0,[AC]/[PC],0)</f>
        <v>1.6502760592780514</v>
      </c>
      <c r="R14" s="47">
        <f>IF([PL]&lt;&gt;0,[AI]/[PL],0)</f>
        <v>-0.12527742943724887</v>
      </c>
      <c r="S14" s="47">
        <f>IF([AT]&lt;&gt;0,[PO]/[AT],0)</f>
        <v>2.5829441622443272</v>
      </c>
      <c r="T14" s="25">
        <f>IF([LL]&lt;&gt;0,[Dividendos]/[LL],0)</f>
        <v>0</v>
      </c>
      <c r="U14" s="27">
        <f>([Div/Ação]/20%*[Unit])</f>
        <v>0</v>
      </c>
      <c r="V14" s="27">
        <f>([Div/Ação]/Setup!$A$2*[Unit])</f>
        <v>0</v>
      </c>
      <c r="W14" s="46">
        <v>11900000</v>
      </c>
      <c r="X14" s="22"/>
      <c r="Y14" s="25"/>
      <c r="Z14" s="49">
        <v>1</v>
      </c>
      <c r="AA14" s="15">
        <f>[Ordinárias]+[Preferenciais]</f>
        <v>11900000</v>
      </c>
    </row>
    <row r="15" spans="1:27">
      <c r="A15" s="21" t="s">
        <v>66</v>
      </c>
      <c r="B15" s="21" t="s">
        <v>53</v>
      </c>
      <c r="C15" s="14">
        <v>2014</v>
      </c>
      <c r="D15" s="15">
        <v>1</v>
      </c>
      <c r="E15" s="23">
        <v>47457148</v>
      </c>
      <c r="F15" s="23">
        <v>35012548</v>
      </c>
      <c r="G15" s="23">
        <v>11429183</v>
      </c>
      <c r="H15" s="23">
        <v>24395810</v>
      </c>
      <c r="I15" s="23">
        <f>21193284+243608+31257094+79793449</f>
        <v>132487435</v>
      </c>
      <c r="J15" s="23">
        <v>-87989205</v>
      </c>
      <c r="K15" s="23">
        <v>35906523</v>
      </c>
      <c r="L15" s="23">
        <v>4980786</v>
      </c>
      <c r="M15" s="23">
        <v>0</v>
      </c>
      <c r="N15" s="27">
        <f>IF(OR([Preferenciais]&lt;&gt;0,[Ordinárias]&lt;&gt;0),[Dividendos]*[Reais]/((1+[Bônus Preferenciais])*[Preferenciais]+[Ordinárias]),0)</f>
        <v>0</v>
      </c>
      <c r="O15" s="47">
        <f>IF([RBV]&gt;0,[LL]/[RBV],0)</f>
        <v>0.1387153526394076</v>
      </c>
      <c r="P15" s="25">
        <f>IF([PL]&lt;&gt;0,[LL]/[PL],0)</f>
        <v>-5.6606784889123615E-2</v>
      </c>
      <c r="Q15" s="48">
        <f>IF([PC]&lt;&gt;0,[AC]/[PC],0)</f>
        <v>1.4351869439875127</v>
      </c>
      <c r="R15" s="47">
        <f>IF([PL]&lt;&gt;0,[AI]/[PL],0)</f>
        <v>-0.12989301358047275</v>
      </c>
      <c r="S15" s="47">
        <f>IF([AT]&lt;&gt;0,[PO]/[AT],0)</f>
        <v>2.7917277076995863</v>
      </c>
      <c r="T15" s="25">
        <f>IF([LL]&lt;&gt;0,[Dividendos]/[LL],0)</f>
        <v>0</v>
      </c>
      <c r="U15" s="27">
        <f>([Div/Ação]/20%*[Unit])</f>
        <v>0</v>
      </c>
      <c r="V15" s="27">
        <f>([Div/Ação]/Setup!$A$2*[Unit])</f>
        <v>0</v>
      </c>
      <c r="W15" s="46">
        <v>11900000</v>
      </c>
      <c r="X15" s="22"/>
      <c r="Y15" s="25"/>
      <c r="Z15" s="49">
        <v>1</v>
      </c>
      <c r="AA15" s="15">
        <f>[Ordinárias]+[Preferenciais]</f>
        <v>11900000</v>
      </c>
    </row>
    <row r="16" spans="1:27">
      <c r="A16" s="21" t="s">
        <v>66</v>
      </c>
      <c r="B16" s="21" t="s">
        <v>53</v>
      </c>
      <c r="C16" s="14">
        <v>2013</v>
      </c>
      <c r="D16" s="15">
        <v>1</v>
      </c>
      <c r="E16" s="23">
        <v>41558683</v>
      </c>
      <c r="F16" s="23">
        <v>28698154</v>
      </c>
      <c r="G16" s="23">
        <v>11953112</v>
      </c>
      <c r="H16" s="23">
        <v>24101452</v>
      </c>
      <c r="I16" s="23">
        <f>20797880+399048+31518059+78909163</f>
        <v>131624150</v>
      </c>
      <c r="J16" s="23">
        <v>-92969991</v>
      </c>
      <c r="K16" s="23">
        <v>30557202</v>
      </c>
      <c r="L16" s="23">
        <v>2980352</v>
      </c>
      <c r="M16" s="23">
        <v>0</v>
      </c>
      <c r="N16" s="27">
        <f>IF(OR([Preferenciais]&lt;&gt;0,[Ordinárias]&lt;&gt;0),[Dividendos]*[Reais]/((1+[Bônus Preferenciais])*[Preferenciais]+[Ordinárias]),0)</f>
        <v>0</v>
      </c>
      <c r="O16" s="47">
        <f>IF([RBV]&gt;0,[LL]/[RBV],0)</f>
        <v>9.7533537265617448E-2</v>
      </c>
      <c r="P16" s="25">
        <f>IF([PL]&lt;&gt;0,[LL]/[PL],0)</f>
        <v>-3.2057139814071836E-2</v>
      </c>
      <c r="Q16" s="48">
        <f>IF([PC]&lt;&gt;0,[AC]/[PC],0)</f>
        <v>1.1907230319567468</v>
      </c>
      <c r="R16" s="47">
        <f>IF([PL]&lt;&gt;0,[AI]/[PL],0)</f>
        <v>-0.12856957251937348</v>
      </c>
      <c r="S16" s="47">
        <f>IF([AT]&lt;&gt;0,[PO]/[AT],0)</f>
        <v>3.1671877090041569</v>
      </c>
      <c r="T16" s="25">
        <f>IF([LL]&lt;&gt;0,[Dividendos]/[LL],0)</f>
        <v>0</v>
      </c>
      <c r="U16" s="27">
        <f>([Div/Ação]/20%*[Unit])</f>
        <v>0</v>
      </c>
      <c r="V16" s="27">
        <f>([Div/Ação]/Setup!$A$2*[Unit])</f>
        <v>0</v>
      </c>
      <c r="W16" s="46">
        <v>11900000</v>
      </c>
      <c r="X16" s="22"/>
      <c r="Y16" s="25"/>
      <c r="Z16" s="49">
        <v>1</v>
      </c>
      <c r="AA16" s="15">
        <f>[Ordinárias]+[Preferenciais]</f>
        <v>11900000</v>
      </c>
    </row>
    <row r="17" spans="1:27">
      <c r="A17" s="21" t="s">
        <v>66</v>
      </c>
      <c r="B17" s="21" t="s">
        <v>53</v>
      </c>
      <c r="C17" s="14">
        <v>2012</v>
      </c>
      <c r="D17" s="15">
        <v>1</v>
      </c>
      <c r="E17" s="23">
        <v>39246524</v>
      </c>
      <c r="F17" s="23">
        <v>27131279</v>
      </c>
      <c r="G17" s="23">
        <v>11310690</v>
      </c>
      <c r="H17" s="23">
        <v>22096731</v>
      </c>
      <c r="I17" s="23">
        <f>19072105+26821793+31681207+75066028</f>
        <v>152641133</v>
      </c>
      <c r="J17" s="23">
        <v>-92298672</v>
      </c>
      <c r="K17" s="23">
        <v>29752636</v>
      </c>
      <c r="L17" s="23">
        <v>9269275</v>
      </c>
      <c r="M17" s="23">
        <v>0</v>
      </c>
      <c r="N17" s="27">
        <f>IF(OR([Preferenciais]&lt;&gt;0,[Ordinárias]&lt;&gt;0),[Dividendos]*[Reais]/((1+[Bônus Preferenciais])*[Preferenciais]+[Ordinárias]),0)</f>
        <v>0</v>
      </c>
      <c r="O17" s="47">
        <f>IF([RBV]&gt;0,[LL]/[RBV],0)</f>
        <v>0.31154466447947671</v>
      </c>
      <c r="P17" s="25">
        <f>IF([PL]&lt;&gt;0,[LL]/[PL],0)</f>
        <v>-0.10042695955582112</v>
      </c>
      <c r="Q17" s="48">
        <f>IF([PC]&lt;&gt;0,[AC]/[PC],0)</f>
        <v>1.2278413037657019</v>
      </c>
      <c r="R17" s="47">
        <f>IF([PL]&lt;&gt;0,[AI]/[PL],0)</f>
        <v>-0.12254445004365827</v>
      </c>
      <c r="S17" s="47">
        <f>IF([AT]&lt;&gt;0,[PO]/[AT],0)</f>
        <v>3.8892905012428618</v>
      </c>
      <c r="T17" s="25">
        <f>IF([LL]&lt;&gt;0,[Dividendos]/[LL],0)</f>
        <v>0</v>
      </c>
      <c r="U17" s="27">
        <f>([Div/Ação]/20%*[Unit])</f>
        <v>0</v>
      </c>
      <c r="V17" s="27">
        <f>([Div/Ação]/Setup!$A$2*[Unit])</f>
        <v>0</v>
      </c>
      <c r="W17" s="46">
        <v>11900000</v>
      </c>
      <c r="X17" s="22"/>
      <c r="Y17" s="25"/>
      <c r="Z17" s="49">
        <v>1</v>
      </c>
      <c r="AA17" s="15">
        <f>[Ordinárias]+[Preferenciais]</f>
        <v>11900000</v>
      </c>
    </row>
    <row r="18" spans="1:27">
      <c r="A18" s="21" t="s">
        <v>66</v>
      </c>
      <c r="B18" s="21" t="s">
        <v>53</v>
      </c>
      <c r="C18" s="14">
        <v>2011</v>
      </c>
      <c r="D18" s="15">
        <v>1</v>
      </c>
      <c r="E18" s="23">
        <v>35584137</v>
      </c>
      <c r="F18" s="23">
        <v>24773914</v>
      </c>
      <c r="G18" s="23">
        <v>9772546</v>
      </c>
      <c r="H18" s="23">
        <v>32145570</v>
      </c>
      <c r="I18" s="23">
        <f>28789091+227385+31786819+73219695</f>
        <v>134022990</v>
      </c>
      <c r="J18" s="23">
        <v>-101567947</v>
      </c>
      <c r="K18" s="23">
        <v>35138573</v>
      </c>
      <c r="L18" s="23">
        <v>6310578</v>
      </c>
      <c r="M18" s="23">
        <v>0</v>
      </c>
      <c r="N18" s="27">
        <f>IF(OR([Preferenciais]&lt;&gt;0,[Ordinárias]&lt;&gt;0),[Dividendos]*[Reais]/((1+[Bônus Preferenciais])*[Preferenciais]+[Ordinárias]),0)</f>
        <v>0</v>
      </c>
      <c r="O18" s="47">
        <f>IF([RBV]&gt;0,[LL]/[RBV],0)</f>
        <v>0.17959118601657501</v>
      </c>
      <c r="P18" s="25">
        <f>IF([PL]&lt;&gt;0,[LL]/[PL],0)</f>
        <v>-6.2131589604740162E-2</v>
      </c>
      <c r="Q18" s="48">
        <f>IF([PC]&lt;&gt;0,[AC]/[PC],0)</f>
        <v>0.77067894580808494</v>
      </c>
      <c r="R18" s="47">
        <f>IF([PL]&lt;&gt;0,[AI]/[PL],0)</f>
        <v>-9.6216831083530713E-2</v>
      </c>
      <c r="S18" s="47">
        <f>IF([AT]&lt;&gt;0,[PO]/[AT],0)</f>
        <v>3.7663689862704834</v>
      </c>
      <c r="T18" s="25">
        <f>IF([LL]&lt;&gt;0,[Dividendos]/[LL],0)</f>
        <v>0</v>
      </c>
      <c r="U18" s="27">
        <f>([Div/Ação]/20%*[Unit])</f>
        <v>0</v>
      </c>
      <c r="V18" s="27">
        <f>([Div/Ação]/Setup!$A$2*[Unit])</f>
        <v>0</v>
      </c>
      <c r="W18" s="46">
        <v>11900000</v>
      </c>
      <c r="X18" s="22"/>
      <c r="Y18" s="25"/>
      <c r="Z18" s="49">
        <v>1</v>
      </c>
      <c r="AA18" s="15">
        <f>[Ordinárias]+[Preferenciais]</f>
        <v>11900000</v>
      </c>
    </row>
    <row r="19" spans="1:27">
      <c r="A19" s="21" t="s">
        <v>66</v>
      </c>
      <c r="B19" s="21" t="s">
        <v>53</v>
      </c>
      <c r="C19" s="21">
        <v>2010</v>
      </c>
      <c r="D19" s="15">
        <v>1</v>
      </c>
      <c r="E19" s="23">
        <v>35273547</v>
      </c>
      <c r="F19" s="23">
        <v>26451292</v>
      </c>
      <c r="G19" s="23">
        <v>8099838</v>
      </c>
      <c r="H19" s="23">
        <v>30459038</v>
      </c>
      <c r="I19" s="23">
        <f>26821793+273457+43583000+69110034</f>
        <v>139788284</v>
      </c>
      <c r="J19" s="23">
        <v>-107878525</v>
      </c>
      <c r="K19" s="23">
        <v>33805465</v>
      </c>
      <c r="L19" s="23">
        <v>3517578</v>
      </c>
      <c r="M19" s="23">
        <v>0</v>
      </c>
      <c r="N19" s="27">
        <f>IF(OR([Preferenciais]&lt;&gt;0,[Ordinárias]&lt;&gt;0),[Dividendos]*[Reais]/((1+[Bônus Preferenciais])*[Preferenciais]+[Ordinárias]),0)</f>
        <v>0</v>
      </c>
      <c r="O19" s="47">
        <f>IF([RBV]&gt;0,[LL]/[RBV],0)</f>
        <v>0.10405353098973791</v>
      </c>
      <c r="P19" s="25">
        <f>IF([PL]&lt;&gt;0,[LL]/[PL],0)</f>
        <v>-3.2606841815829422E-2</v>
      </c>
      <c r="Q19" s="48">
        <f>IF([PC]&lt;&gt;0,[AC]/[PC],0)</f>
        <v>0.86842178009692883</v>
      </c>
      <c r="R19" s="47">
        <f>IF([PL]&lt;&gt;0,[AI]/[PL],0)</f>
        <v>-7.5082950939494214E-2</v>
      </c>
      <c r="S19" s="47">
        <f>IF([AT]&lt;&gt;0,[PO]/[AT],0)</f>
        <v>3.9629778088378806</v>
      </c>
      <c r="T19" s="25">
        <f>IF([LL]&lt;&gt;0,[Dividendos]/[LL],0)</f>
        <v>0</v>
      </c>
      <c r="U19" s="27">
        <f>([Div/Ação]/20%*[Unit])</f>
        <v>0</v>
      </c>
      <c r="V19" s="27">
        <f>([Div/Ação]/Setup!$A$2*[Unit])</f>
        <v>0</v>
      </c>
      <c r="W19" s="46">
        <v>11900000</v>
      </c>
      <c r="X19" s="22"/>
      <c r="Y19" s="25"/>
      <c r="Z19" s="49">
        <v>1</v>
      </c>
      <c r="AA19" s="15">
        <f>[Ordinárias]+[Preferenciais]</f>
        <v>11900000</v>
      </c>
    </row>
    <row r="20" spans="1:27">
      <c r="A20" s="21" t="s">
        <v>66</v>
      </c>
      <c r="B20" s="14" t="s">
        <v>56</v>
      </c>
      <c r="C20" s="14">
        <v>2015</v>
      </c>
      <c r="D20" s="34">
        <v>1000</v>
      </c>
      <c r="E20" s="16">
        <v>287489</v>
      </c>
      <c r="F20" s="16">
        <v>278855</v>
      </c>
      <c r="G20" s="16">
        <v>2513</v>
      </c>
      <c r="H20" s="16">
        <v>190603</v>
      </c>
      <c r="I20" s="16">
        <f>9474+5108+114</f>
        <v>14696</v>
      </c>
      <c r="J20" s="16">
        <v>39515</v>
      </c>
      <c r="K20" s="16">
        <v>6005</v>
      </c>
      <c r="L20" s="16">
        <v>-9499</v>
      </c>
      <c r="M20" s="16">
        <v>0</v>
      </c>
      <c r="N20" s="20">
        <f>IF(OR([Preferenciais]&lt;&gt;0,[Ordinárias]&lt;&gt;0),[Dividendos]*[Reais]/((1+[Bônus Preferenciais])*[Preferenciais]+[Ordinárias]),0)</f>
        <v>0</v>
      </c>
      <c r="O20" s="18">
        <f>IF([RBV]&gt;0,[LL]/[RBV],0)</f>
        <v>-1.5818484596169859</v>
      </c>
      <c r="P20" s="18">
        <f>IF([PL]&lt;&gt;0,[LL]/[PL],0)</f>
        <v>-0.24038972542072631</v>
      </c>
      <c r="Q20" s="51">
        <f>IF([PC]&lt;&gt;0,[AC]/[PC],0)</f>
        <v>1.4630147479315645</v>
      </c>
      <c r="R20" s="35">
        <f>IF([PL]&lt;&gt;0,[AI]/[PL],0)</f>
        <v>6.3596102745792735E-2</v>
      </c>
      <c r="S20" s="18">
        <f>IF([AT]&lt;&gt;0,[PO]/[AT],0)</f>
        <v>5.1118477576533365E-2</v>
      </c>
      <c r="T20" s="35">
        <f>IF([LL]&lt;&gt;0,[Dividendos]/[LL],0)</f>
        <v>0</v>
      </c>
      <c r="U20" s="20">
        <f>([Div/Ação]/20%*[Unit])</f>
        <v>0</v>
      </c>
      <c r="V20" s="22">
        <f>([Div/Ação]/Setup!$A$2*[Unit])</f>
        <v>0</v>
      </c>
      <c r="W20" s="15">
        <v>6104107</v>
      </c>
      <c r="X20" s="15">
        <v>5889300</v>
      </c>
      <c r="Y20" s="18"/>
      <c r="Z20" s="15">
        <v>1</v>
      </c>
      <c r="AA20" s="15">
        <f>[Ordinárias]+[Preferenciais]</f>
        <v>11993407</v>
      </c>
    </row>
    <row r="21" spans="1:27">
      <c r="A21" s="21" t="s">
        <v>66</v>
      </c>
      <c r="B21" s="14" t="s">
        <v>56</v>
      </c>
      <c r="C21" s="14">
        <v>2014</v>
      </c>
      <c r="D21" s="34">
        <v>1000</v>
      </c>
      <c r="E21" s="16">
        <v>276996</v>
      </c>
      <c r="F21" s="16">
        <v>267016</v>
      </c>
      <c r="G21" s="16">
        <v>4141</v>
      </c>
      <c r="H21" s="16">
        <v>180155</v>
      </c>
      <c r="I21" s="16">
        <f>7889+4104+114</f>
        <v>12107</v>
      </c>
      <c r="J21" s="16">
        <v>49588</v>
      </c>
      <c r="K21" s="16">
        <v>12343</v>
      </c>
      <c r="L21" s="16">
        <v>9917</v>
      </c>
      <c r="M21" s="16">
        <v>0</v>
      </c>
      <c r="N21" s="20">
        <f>IF(OR([Preferenciais]&lt;&gt;0,[Ordinárias]&lt;&gt;0),[Dividendos]*[Reais]/((1+[Bônus Preferenciais])*[Preferenciais]+[Ordinárias]),0)</f>
        <v>0</v>
      </c>
      <c r="O21" s="18">
        <f>IF([RBV]&gt;0,[LL]/[RBV],0)</f>
        <v>0.80345134894272052</v>
      </c>
      <c r="P21" s="18">
        <f>IF([PL]&lt;&gt;0,[LL]/[PL],0)</f>
        <v>0.19998790029845931</v>
      </c>
      <c r="Q21" s="51">
        <f>IF([PC]&lt;&gt;0,[AC]/[PC],0)</f>
        <v>1.4821459298937028</v>
      </c>
      <c r="R21" s="35">
        <f>IF([PL]&lt;&gt;0,[AI]/[PL],0)</f>
        <v>8.3508106800032261E-2</v>
      </c>
      <c r="S21" s="18">
        <f>IF([AT]&lt;&gt;0,[PO]/[AT],0)</f>
        <v>4.3708212392958745E-2</v>
      </c>
      <c r="T21" s="35">
        <f>IF([LL]&lt;&gt;0,[Dividendos]/[LL],0)</f>
        <v>0</v>
      </c>
      <c r="U21" s="20">
        <f>([Div/Ação]/20%*[Unit])</f>
        <v>0</v>
      </c>
      <c r="V21" s="22">
        <f>([Div/Ação]/Setup!$A$2*[Unit])</f>
        <v>0</v>
      </c>
      <c r="W21" s="15">
        <v>6104107</v>
      </c>
      <c r="X21" s="15">
        <v>5889300</v>
      </c>
      <c r="Y21" s="18"/>
      <c r="Z21" s="15">
        <v>1</v>
      </c>
      <c r="AA21" s="15">
        <f>[Ordinárias]+[Preferenciais]</f>
        <v>11993407</v>
      </c>
    </row>
    <row r="22" spans="1:27">
      <c r="A22" s="21" t="s">
        <v>66</v>
      </c>
      <c r="B22" s="14" t="s">
        <v>56</v>
      </c>
      <c r="C22" s="14">
        <v>2013</v>
      </c>
      <c r="D22" s="34">
        <v>1000</v>
      </c>
      <c r="E22" s="16">
        <v>314799</v>
      </c>
      <c r="F22" s="16">
        <v>264058</v>
      </c>
      <c r="G22" s="16">
        <v>4459</v>
      </c>
      <c r="H22" s="16">
        <v>230321</v>
      </c>
      <c r="I22" s="16">
        <f>7119+2639+1353</f>
        <v>11111</v>
      </c>
      <c r="J22" s="16">
        <v>39632</v>
      </c>
      <c r="K22" s="16">
        <v>16212</v>
      </c>
      <c r="L22" s="16">
        <v>-1617</v>
      </c>
      <c r="M22" s="16">
        <v>0</v>
      </c>
      <c r="N22" s="20">
        <f>IF(OR([Preferenciais]&lt;&gt;0,[Ordinárias]&lt;&gt;0),[Dividendos]*[Reais]/((1+[Bônus Preferenciais])*[Preferenciais]+[Ordinárias]),0)</f>
        <v>0</v>
      </c>
      <c r="O22" s="18">
        <f>IF([RBV]&gt;0,[LL]/[RBV],0)</f>
        <v>-9.974093264248704E-2</v>
      </c>
      <c r="P22" s="18">
        <f>IF([PL]&lt;&gt;0,[LL]/[PL],0)</f>
        <v>-4.0800363342753332E-2</v>
      </c>
      <c r="Q22" s="51">
        <f>IF([PC]&lt;&gt;0,[AC]/[PC],0)</f>
        <v>1.1464781761107323</v>
      </c>
      <c r="R22" s="35">
        <f>IF([PL]&lt;&gt;0,[AI]/[PL],0)</f>
        <v>0.11251009285425918</v>
      </c>
      <c r="S22" s="18">
        <f>IF([AT]&lt;&gt;0,[PO]/[AT],0)</f>
        <v>3.529553778760415E-2</v>
      </c>
      <c r="T22" s="35">
        <f>IF([LL]&lt;&gt;0,[Dividendos]/[LL],0)</f>
        <v>0</v>
      </c>
      <c r="U22" s="20">
        <f>([Div/Ação]/20%*[Unit])</f>
        <v>0</v>
      </c>
      <c r="V22" s="22">
        <f>([Div/Ação]/Setup!$A$2*[Unit])</f>
        <v>0</v>
      </c>
      <c r="W22" s="15">
        <v>6104107</v>
      </c>
      <c r="X22" s="15">
        <v>5889300</v>
      </c>
      <c r="Y22" s="18"/>
      <c r="Z22" s="15">
        <v>1</v>
      </c>
      <c r="AA22" s="15">
        <f>[Ordinárias]+[Preferenciais]</f>
        <v>11993407</v>
      </c>
    </row>
    <row r="23" spans="1:27">
      <c r="A23" s="21" t="s">
        <v>66</v>
      </c>
      <c r="B23" s="14" t="s">
        <v>56</v>
      </c>
      <c r="C23" s="14">
        <v>2012</v>
      </c>
      <c r="D23" s="34">
        <v>1000</v>
      </c>
      <c r="E23" s="16">
        <v>342770</v>
      </c>
      <c r="F23" s="16">
        <v>332459</v>
      </c>
      <c r="G23" s="16">
        <v>4246</v>
      </c>
      <c r="H23" s="16">
        <v>262325</v>
      </c>
      <c r="I23" s="16">
        <f>8560+5817+686</f>
        <v>15063</v>
      </c>
      <c r="J23" s="16">
        <v>41721</v>
      </c>
      <c r="K23" s="16">
        <v>15398</v>
      </c>
      <c r="L23" s="16">
        <v>-7800</v>
      </c>
      <c r="M23" s="16">
        <v>0</v>
      </c>
      <c r="N23" s="20">
        <f>IF(OR([Preferenciais]&lt;&gt;0,[Ordinárias]&lt;&gt;0),[Dividendos]*[Reais]/((1+[Bônus Preferenciais])*[Preferenciais]+[Ordinárias]),0)</f>
        <v>0</v>
      </c>
      <c r="O23" s="18">
        <f>IF([RBV]&gt;0,[LL]/[RBV],0)</f>
        <v>-0.50655929341472916</v>
      </c>
      <c r="P23" s="18">
        <f>IF([PL]&lt;&gt;0,[LL]/[PL],0)</f>
        <v>-0.18695620910332925</v>
      </c>
      <c r="Q23" s="51">
        <f>IF([PC]&lt;&gt;0,[AC]/[PC],0)</f>
        <v>1.2673553797769941</v>
      </c>
      <c r="R23" s="35">
        <f>IF([PL]&lt;&gt;0,[AI]/[PL],0)</f>
        <v>0.10177129023753026</v>
      </c>
      <c r="S23" s="18">
        <f>IF([AT]&lt;&gt;0,[PO]/[AT],0)</f>
        <v>4.394491933366397E-2</v>
      </c>
      <c r="T23" s="35">
        <f>IF([LL]&lt;&gt;0,[Dividendos]/[LL],0)</f>
        <v>0</v>
      </c>
      <c r="U23" s="20">
        <f>([Div/Ação]/20%*[Unit])</f>
        <v>0</v>
      </c>
      <c r="V23" s="22">
        <f>([Div/Ação]/Setup!$A$2*[Unit])</f>
        <v>0</v>
      </c>
      <c r="W23" s="15">
        <v>6104107</v>
      </c>
      <c r="X23" s="15">
        <v>5889300</v>
      </c>
      <c r="Y23" s="18"/>
      <c r="Z23" s="15">
        <v>1</v>
      </c>
      <c r="AA23" s="15">
        <f>[Ordinárias]+[Preferenciais]</f>
        <v>11993407</v>
      </c>
    </row>
    <row r="24" spans="1:27">
      <c r="A24" s="21" t="s">
        <v>66</v>
      </c>
      <c r="B24" s="14" t="s">
        <v>56</v>
      </c>
      <c r="C24" s="14">
        <v>2011</v>
      </c>
      <c r="D24" s="34">
        <v>1000</v>
      </c>
      <c r="E24" s="16">
        <v>330395</v>
      </c>
      <c r="F24" s="16">
        <v>321333</v>
      </c>
      <c r="G24" s="16">
        <v>3933</v>
      </c>
      <c r="H24" s="16">
        <v>246792</v>
      </c>
      <c r="I24" s="16">
        <f>8937+3017+766</f>
        <v>12720</v>
      </c>
      <c r="J24" s="16">
        <v>49863</v>
      </c>
      <c r="K24" s="16">
        <v>14709</v>
      </c>
      <c r="L24" s="16">
        <v>-636</v>
      </c>
      <c r="M24" s="16">
        <v>0</v>
      </c>
      <c r="N24" s="20">
        <f>IF(OR([Preferenciais]&lt;&gt;0,[Ordinárias]&lt;&gt;0),[Dividendos]*[Reais]/((1+[Bônus Preferenciais])*[Preferenciais]+[Ordinárias]),0)</f>
        <v>0</v>
      </c>
      <c r="O24" s="18">
        <f>IF([RBV]&gt;0,[LL]/[RBV],0)</f>
        <v>-4.3238833367326125E-2</v>
      </c>
      <c r="P24" s="18">
        <f>IF([PL]&lt;&gt;0,[LL]/[PL],0)</f>
        <v>-1.2754948559051802E-2</v>
      </c>
      <c r="Q24" s="51">
        <f>IF([PC]&lt;&gt;0,[AC]/[PC],0)</f>
        <v>1.302039774384907</v>
      </c>
      <c r="R24" s="35">
        <f>IF([PL]&lt;&gt;0,[AI]/[PL],0)</f>
        <v>7.8876120570362793E-2</v>
      </c>
      <c r="S24" s="18">
        <f>IF([AT]&lt;&gt;0,[PO]/[AT],0)</f>
        <v>3.849937196386144E-2</v>
      </c>
      <c r="T24" s="35">
        <f>IF([LL]&lt;&gt;0,[Dividendos]/[LL],0)</f>
        <v>0</v>
      </c>
      <c r="U24" s="20">
        <f>([Div/Ação]/20%*[Unit])</f>
        <v>0</v>
      </c>
      <c r="V24" s="22">
        <f>([Div/Ação]/Setup!$A$2*[Unit])</f>
        <v>0</v>
      </c>
      <c r="W24" s="15">
        <v>6104107</v>
      </c>
      <c r="X24" s="15">
        <v>5889300</v>
      </c>
      <c r="Y24" s="18"/>
      <c r="Z24" s="15">
        <v>1</v>
      </c>
      <c r="AA24" s="15">
        <f>[Ordinárias]+[Preferenciais]</f>
        <v>11993407</v>
      </c>
    </row>
    <row r="25" spans="1:27">
      <c r="A25" s="21" t="s">
        <v>66</v>
      </c>
      <c r="B25" s="21" t="s">
        <v>56</v>
      </c>
      <c r="C25" s="21">
        <v>2010</v>
      </c>
      <c r="D25" s="34">
        <v>1000</v>
      </c>
      <c r="E25" s="23">
        <v>358147</v>
      </c>
      <c r="F25" s="23">
        <v>348830</v>
      </c>
      <c r="G25" s="23">
        <v>3955</v>
      </c>
      <c r="H25" s="23">
        <v>280489</v>
      </c>
      <c r="I25" s="23">
        <f>8084+2471+619</f>
        <v>11174</v>
      </c>
      <c r="J25" s="23">
        <v>50698</v>
      </c>
      <c r="K25" s="23">
        <v>11073</v>
      </c>
      <c r="L25" s="23">
        <v>-3220</v>
      </c>
      <c r="M25" s="23">
        <v>0</v>
      </c>
      <c r="N25" s="27">
        <f>IF(OR([Preferenciais]&lt;&gt;0,[Ordinárias]&lt;&gt;0),[Dividendos]*[Reais]/((1+[Bônus Preferenciais])*[Preferenciais]+[Ordinárias]),0)</f>
        <v>0</v>
      </c>
      <c r="O25" s="25">
        <f>IF([RBV]&gt;0,[LL]/[RBV],0)</f>
        <v>-0.29079743520274542</v>
      </c>
      <c r="P25" s="25">
        <f>IF([PL]&lt;&gt;0,[LL]/[PL],0)</f>
        <v>-6.3513353583967813E-2</v>
      </c>
      <c r="Q25" s="52">
        <f>IF([PC]&lt;&gt;0,[AC]/[PC],0)</f>
        <v>1.2436494835804612</v>
      </c>
      <c r="R25" s="47">
        <f>IF([PL]&lt;&gt;0,[AI]/[PL],0)</f>
        <v>7.8010966902047424E-2</v>
      </c>
      <c r="S25" s="25">
        <f>IF([AT]&lt;&gt;0,[PO]/[AT],0)</f>
        <v>3.1199479543316012E-2</v>
      </c>
      <c r="T25" s="47">
        <f>IF([LL]&lt;&gt;0,[Dividendos]/[LL],0)</f>
        <v>0</v>
      </c>
      <c r="U25" s="27">
        <f>([Div/Ação]/20%*[Unit])</f>
        <v>0</v>
      </c>
      <c r="V25" s="28">
        <f>([Div/Ação]/Setup!$A$2*[Unit])</f>
        <v>0</v>
      </c>
      <c r="W25" s="15">
        <v>6104107</v>
      </c>
      <c r="X25" s="15">
        <v>5889300</v>
      </c>
      <c r="Y25" s="18"/>
      <c r="Z25" s="29">
        <v>1</v>
      </c>
      <c r="AA25" s="15">
        <f>[Ordinárias]+[Preferenciais]</f>
        <v>11993407</v>
      </c>
    </row>
    <row r="26" spans="1:27">
      <c r="A26" s="21" t="s">
        <v>66</v>
      </c>
      <c r="B26" s="21" t="s">
        <v>52</v>
      </c>
      <c r="C26" s="14">
        <v>2015</v>
      </c>
      <c r="D26" s="15">
        <v>1000</v>
      </c>
      <c r="E26" s="23">
        <v>1637957</v>
      </c>
      <c r="F26" s="23">
        <v>435541</v>
      </c>
      <c r="G26" s="23">
        <v>1004067</v>
      </c>
      <c r="H26" s="23">
        <v>218904</v>
      </c>
      <c r="I26" s="23">
        <f>189819+184+431016+9194</f>
        <v>630213</v>
      </c>
      <c r="J26" s="23">
        <v>962231</v>
      </c>
      <c r="K26" s="23">
        <v>576106</v>
      </c>
      <c r="L26" s="23">
        <v>-97801</v>
      </c>
      <c r="M26" s="23">
        <v>0</v>
      </c>
      <c r="N26" s="27">
        <f>IF(OR([Preferenciais]&lt;&gt;0,[Ordinárias]&lt;&gt;0),[Dividendos]*[Reais]/((1+[Bônus Preferenciais])*[Preferenciais]+[Ordinárias]),0)</f>
        <v>0</v>
      </c>
      <c r="O26" s="47">
        <f>IF([RBV]&gt;0,[LL]/[RBV],0)</f>
        <v>-0.1697621618243865</v>
      </c>
      <c r="P26" s="25">
        <f>IF([PL]&lt;&gt;0,[LL]/[PL],0)</f>
        <v>-0.10163983492529341</v>
      </c>
      <c r="Q26" s="48">
        <f>IF([PC]&lt;&gt;0,[AC]/[PC],0)</f>
        <v>1.9896438621496182</v>
      </c>
      <c r="R26" s="47">
        <f>IF([PL]&lt;&gt;0,[AI]/[PL],0)</f>
        <v>1.0434781253150232</v>
      </c>
      <c r="S26" s="47">
        <f>IF([AT]&lt;&gt;0,[PO]/[AT],0)</f>
        <v>0.38475552166509863</v>
      </c>
      <c r="T26" s="25">
        <f>IF([LL]&lt;&gt;0,[Dividendos]/[LL],0)</f>
        <v>0</v>
      </c>
      <c r="U26" s="27">
        <f>([Div/Ação]/20%*[Unit])</f>
        <v>0</v>
      </c>
      <c r="V26" s="27">
        <f>([Div/Ação]/Setup!$A$2*[Unit])</f>
        <v>0</v>
      </c>
      <c r="W26" s="46">
        <v>175586442</v>
      </c>
      <c r="X26" s="22"/>
      <c r="Y26" s="25"/>
      <c r="Z26" s="49">
        <v>1</v>
      </c>
      <c r="AA26" s="15">
        <f>[Ordinárias]+[Preferenciais]</f>
        <v>175586442</v>
      </c>
    </row>
    <row r="27" spans="1:27">
      <c r="A27" s="21" t="s">
        <v>66</v>
      </c>
      <c r="B27" s="21" t="s">
        <v>52</v>
      </c>
      <c r="C27" s="14">
        <v>2014</v>
      </c>
      <c r="D27" s="15">
        <v>1000</v>
      </c>
      <c r="E27" s="23">
        <v>1892723</v>
      </c>
      <c r="F27" s="23">
        <v>425333</v>
      </c>
      <c r="G27" s="23">
        <v>1200148</v>
      </c>
      <c r="H27" s="23">
        <v>221214</v>
      </c>
      <c r="I27" s="23">
        <f>154952+22781+590432+9100</f>
        <v>777265</v>
      </c>
      <c r="J27" s="23">
        <v>1059397</v>
      </c>
      <c r="K27" s="23">
        <v>794166</v>
      </c>
      <c r="L27" s="23">
        <v>64268</v>
      </c>
      <c r="M27" s="23">
        <v>25081</v>
      </c>
      <c r="N27" s="27">
        <f>IF(OR([Preferenciais]&lt;&gt;0,[Ordinárias]&lt;&gt;0),[Dividendos]*[Reais]/((1+[Bônus Preferenciais])*[Preferenciais]+[Ordinárias]),0)</f>
        <v>0.14284132484443191</v>
      </c>
      <c r="O27" s="47">
        <f>IF([RBV]&gt;0,[LL]/[RBV],0)</f>
        <v>8.0925146631812495E-2</v>
      </c>
      <c r="P27" s="25">
        <f>IF([PL]&lt;&gt;0,[LL]/[PL],0)</f>
        <v>6.0664698880589618E-2</v>
      </c>
      <c r="Q27" s="48">
        <f>IF([PC]&lt;&gt;0,[AC]/[PC],0)</f>
        <v>1.922721889211352</v>
      </c>
      <c r="R27" s="47">
        <f>IF([PL]&lt;&gt;0,[AI]/[PL],0)</f>
        <v>1.1328595417959462</v>
      </c>
      <c r="S27" s="47">
        <f>IF([AT]&lt;&gt;0,[PO]/[AT],0)</f>
        <v>0.41065966863613956</v>
      </c>
      <c r="T27" s="25">
        <f>IF([LL]&lt;&gt;0,[Dividendos]/[LL],0)</f>
        <v>0.39025642621522377</v>
      </c>
      <c r="U27" s="27">
        <f>([Div/Ação]/20%*[Unit])</f>
        <v>0.71420662422215953</v>
      </c>
      <c r="V27" s="27">
        <f>([Div/Ação]/Setup!$A$2*[Unit])</f>
        <v>1.0291161732307774</v>
      </c>
      <c r="W27" s="46">
        <v>175586442</v>
      </c>
      <c r="X27" s="22"/>
      <c r="Y27" s="25"/>
      <c r="Z27" s="49">
        <v>1</v>
      </c>
      <c r="AA27" s="15">
        <f>[Ordinárias]+[Preferenciais]</f>
        <v>175586442</v>
      </c>
    </row>
    <row r="28" spans="1:27">
      <c r="A28" s="21" t="s">
        <v>66</v>
      </c>
      <c r="B28" s="21" t="s">
        <v>52</v>
      </c>
      <c r="C28" s="14">
        <v>2013</v>
      </c>
      <c r="D28" s="15">
        <v>1000</v>
      </c>
      <c r="E28" s="23">
        <v>1801245</v>
      </c>
      <c r="F28" s="23">
        <v>319464</v>
      </c>
      <c r="G28" s="23">
        <v>1224476</v>
      </c>
      <c r="H28" s="23">
        <v>254983</v>
      </c>
      <c r="I28" s="23">
        <f>125296+64553+506987+9711</f>
        <v>706547</v>
      </c>
      <c r="J28" s="23">
        <v>1016513</v>
      </c>
      <c r="K28" s="23">
        <v>832262</v>
      </c>
      <c r="L28" s="23">
        <v>172592</v>
      </c>
      <c r="M28" s="23">
        <f>3484+43014</f>
        <v>46498</v>
      </c>
      <c r="N28" s="27">
        <f>IF(OR([Preferenciais]&lt;&gt;0,[Ordinárias]&lt;&gt;0),[Dividendos]*[Reais]/((1+[Bônus Preferenciais])*[Preferenciais]+[Ordinárias]),0)</f>
        <v>0.26481543489559406</v>
      </c>
      <c r="O28" s="47">
        <f>IF([RBV]&gt;0,[LL]/[RBV],0)</f>
        <v>0.20737700387618321</v>
      </c>
      <c r="P28" s="25">
        <f>IF([PL]&lt;&gt;0,[LL]/[PL],0)</f>
        <v>0.16978828603274135</v>
      </c>
      <c r="Q28" s="48">
        <f>IF([PC]&lt;&gt;0,[AC]/[PC],0)</f>
        <v>1.2528835255683712</v>
      </c>
      <c r="R28" s="47">
        <f>IF([PL]&lt;&gt;0,[AI]/[PL],0)</f>
        <v>1.2045846929650679</v>
      </c>
      <c r="S28" s="47">
        <f>IF([AT]&lt;&gt;0,[PO]/[AT],0)</f>
        <v>0.39225480154004594</v>
      </c>
      <c r="T28" s="25">
        <f>IF([LL]&lt;&gt;0,[Dividendos]/[LL],0)</f>
        <v>0.26940993788819878</v>
      </c>
      <c r="U28" s="27">
        <f>([Div/Ação]/20%*[Unit])</f>
        <v>1.3240771744779702</v>
      </c>
      <c r="V28" s="27">
        <f>([Div/Ação]/Setup!$A$2*[Unit])</f>
        <v>1.907892182244914</v>
      </c>
      <c r="W28" s="46">
        <v>175586442</v>
      </c>
      <c r="X28" s="22"/>
      <c r="Y28" s="25"/>
      <c r="Z28" s="49">
        <v>1</v>
      </c>
      <c r="AA28" s="15">
        <f>[Ordinárias]+[Preferenciais]</f>
        <v>175586442</v>
      </c>
    </row>
    <row r="29" spans="1:27">
      <c r="A29" s="21" t="s">
        <v>66</v>
      </c>
      <c r="B29" s="21" t="s">
        <v>52</v>
      </c>
      <c r="C29" s="14">
        <v>2012</v>
      </c>
      <c r="D29" s="15">
        <v>1000</v>
      </c>
      <c r="E29" s="23">
        <v>1664061</v>
      </c>
      <c r="F29" s="23">
        <v>473677</v>
      </c>
      <c r="G29" s="23">
        <v>1003347</v>
      </c>
      <c r="H29" s="23">
        <v>214527</v>
      </c>
      <c r="I29" s="23">
        <f>54790+64864+567662+10246</f>
        <v>697562</v>
      </c>
      <c r="J29" s="23">
        <v>859326</v>
      </c>
      <c r="K29" s="23">
        <v>879274</v>
      </c>
      <c r="L29" s="23">
        <v>151516</v>
      </c>
      <c r="M29" s="23">
        <v>41780</v>
      </c>
      <c r="N29" s="27">
        <f>IF(OR([Preferenciais]&lt;&gt;0,[Ordinárias]&lt;&gt;0),[Dividendos]*[Reais]/((1+[Bônus Preferenciais])*[Preferenciais]+[Ordinárias]),0)</f>
        <v>0.23794547872893285</v>
      </c>
      <c r="O29" s="47">
        <f>IF([RBV]&gt;0,[LL]/[RBV],0)</f>
        <v>0.17231943626218904</v>
      </c>
      <c r="P29" s="25">
        <f>IF([PL]&lt;&gt;0,[LL]/[PL],0)</f>
        <v>0.17631958069463743</v>
      </c>
      <c r="Q29" s="48">
        <f>IF([PC]&lt;&gt;0,[AC]/[PC],0)</f>
        <v>2.2080064514023876</v>
      </c>
      <c r="R29" s="47">
        <f>IF([PL]&lt;&gt;0,[AI]/[PL],0)</f>
        <v>1.1675976288393461</v>
      </c>
      <c r="S29" s="47">
        <f>IF([AT]&lt;&gt;0,[PO]/[AT],0)</f>
        <v>0.41919256565714841</v>
      </c>
      <c r="T29" s="25">
        <f>IF([LL]&lt;&gt;0,[Dividendos]/[LL],0)</f>
        <v>0.27574645581984741</v>
      </c>
      <c r="U29" s="27">
        <f>([Div/Ação]/20%*[Unit])</f>
        <v>1.1897273936446642</v>
      </c>
      <c r="V29" s="27">
        <f>([Div/Ação]/Setup!$A$2*[Unit])</f>
        <v>1.7143046017934642</v>
      </c>
      <c r="W29" s="46">
        <v>175586442</v>
      </c>
      <c r="X29" s="22"/>
      <c r="Y29" s="25"/>
      <c r="Z29" s="49">
        <v>1</v>
      </c>
      <c r="AA29" s="15">
        <f>[Ordinárias]+[Preferenciais]</f>
        <v>175586442</v>
      </c>
    </row>
    <row r="30" spans="1:27">
      <c r="A30" s="21" t="s">
        <v>66</v>
      </c>
      <c r="B30" s="21" t="s">
        <v>52</v>
      </c>
      <c r="C30" s="14">
        <v>2011</v>
      </c>
      <c r="D30" s="15">
        <v>1000</v>
      </c>
      <c r="E30" s="23">
        <v>1280619</v>
      </c>
      <c r="F30" s="23">
        <v>224869</v>
      </c>
      <c r="G30" s="23">
        <v>872886</v>
      </c>
      <c r="H30" s="23">
        <v>177737</v>
      </c>
      <c r="I30" s="23">
        <f>71408+34250+339538+11125</f>
        <v>456321</v>
      </c>
      <c r="J30" s="23">
        <v>736140</v>
      </c>
      <c r="K30" s="23">
        <v>677592</v>
      </c>
      <c r="L30" s="23">
        <v>92177</v>
      </c>
      <c r="M30" s="23">
        <f>947+24400</f>
        <v>25347</v>
      </c>
      <c r="N30" s="27">
        <f>IF(OR([Preferenciais]&lt;&gt;0,[Ordinárias]&lt;&gt;0),[Dividendos]*[Reais]/((1+[Bônus Preferenciais])*[Preferenciais]+[Ordinárias]),0)</f>
        <v>0.14435624818913981</v>
      </c>
      <c r="O30" s="47">
        <f>IF([RBV]&gt;0,[LL]/[RBV],0)</f>
        <v>0.13603613974190959</v>
      </c>
      <c r="P30" s="25">
        <f>IF([PL]&lt;&gt;0,[LL]/[PL],0)</f>
        <v>0.12521667074197843</v>
      </c>
      <c r="Q30" s="48">
        <f>IF([PC]&lt;&gt;0,[AC]/[PC],0)</f>
        <v>1.2651783252783608</v>
      </c>
      <c r="R30" s="47">
        <f>IF([PL]&lt;&gt;0,[AI]/[PL],0)</f>
        <v>1.1857608607058441</v>
      </c>
      <c r="S30" s="47">
        <f>IF([AT]&lt;&gt;0,[PO]/[AT],0)</f>
        <v>0.35632846303233046</v>
      </c>
      <c r="T30" s="25">
        <f>IF([LL]&lt;&gt;0,[Dividendos]/[LL],0)</f>
        <v>0.27498182843876456</v>
      </c>
      <c r="U30" s="27">
        <f>([Div/Ação]/20%*[Unit])</f>
        <v>0.72178124094569895</v>
      </c>
      <c r="V30" s="27">
        <f>([Div/Ação]/Setup!$A$2*[Unit])</f>
        <v>1.0400306065499985</v>
      </c>
      <c r="W30" s="46">
        <v>175586442</v>
      </c>
      <c r="X30" s="22"/>
      <c r="Y30" s="25"/>
      <c r="Z30" s="49">
        <v>1</v>
      </c>
      <c r="AA30" s="15">
        <f>[Ordinárias]+[Preferenciais]</f>
        <v>175586442</v>
      </c>
    </row>
    <row r="31" spans="1:27">
      <c r="A31" s="21" t="s">
        <v>66</v>
      </c>
      <c r="B31" s="21" t="s">
        <v>52</v>
      </c>
      <c r="C31" s="21">
        <v>2010</v>
      </c>
      <c r="D31" s="15">
        <v>1000</v>
      </c>
      <c r="E31" s="23">
        <v>924093</v>
      </c>
      <c r="F31" s="23">
        <v>307915</v>
      </c>
      <c r="G31" s="23">
        <v>551174</v>
      </c>
      <c r="H31" s="23">
        <v>160790</v>
      </c>
      <c r="I31" s="23">
        <f>46698+51429+85925+11087</f>
        <v>195139</v>
      </c>
      <c r="J31" s="23">
        <v>655152</v>
      </c>
      <c r="K31" s="23">
        <v>549884</v>
      </c>
      <c r="L31" s="23">
        <v>103283</v>
      </c>
      <c r="M31" s="23">
        <f>2712+25400</f>
        <v>28112</v>
      </c>
      <c r="N31" s="27">
        <f>IF(OR([Preferenciais]&lt;&gt;0,[Ordinárias]&lt;&gt;0),[Dividendos]*[Reais]/((1+[Bônus Preferenciais])*[Preferenciais]+[Ordinárias]),0)</f>
        <v>0.16010347769334035</v>
      </c>
      <c r="O31" s="47">
        <f>IF([RBV]&gt;0,[LL]/[RBV],0)</f>
        <v>0.18782688712528461</v>
      </c>
      <c r="P31" s="25">
        <f>IF([PL]&lt;&gt;0,[LL]/[PL],0)</f>
        <v>0.15764738564485797</v>
      </c>
      <c r="Q31" s="48">
        <f>IF([PC]&lt;&gt;0,[AC]/[PC],0)</f>
        <v>1.9150133714783257</v>
      </c>
      <c r="R31" s="47">
        <f>IF([PL]&lt;&gt;0,[AI]/[PL],0)</f>
        <v>0.84129179182846114</v>
      </c>
      <c r="S31" s="47">
        <f>IF([AT]&lt;&gt;0,[PO]/[AT],0)</f>
        <v>0.21116814000322479</v>
      </c>
      <c r="T31" s="25">
        <f>IF([LL]&lt;&gt;0,[Dividendos]/[LL],0)</f>
        <v>0.27218419294559609</v>
      </c>
      <c r="U31" s="27">
        <f>([Div/Ação]/20%*[Unit])</f>
        <v>0.80051738846670173</v>
      </c>
      <c r="V31" s="27">
        <f>([Div/Ação]/Setup!$A$2*[Unit])</f>
        <v>1.1534832686840082</v>
      </c>
      <c r="W31" s="46">
        <v>175586442</v>
      </c>
      <c r="X31" s="22"/>
      <c r="Y31" s="25"/>
      <c r="Z31" s="49">
        <v>1</v>
      </c>
      <c r="AA31" s="15">
        <f>[Ordinárias]+[Preferenciais]</f>
        <v>175586442</v>
      </c>
    </row>
    <row r="32" spans="1:27">
      <c r="A32" s="21" t="s">
        <v>66</v>
      </c>
      <c r="B32" s="14" t="s">
        <v>27</v>
      </c>
      <c r="C32" s="14">
        <v>2015</v>
      </c>
      <c r="D32" s="15">
        <v>1000</v>
      </c>
      <c r="E32" s="16">
        <v>1351893</v>
      </c>
      <c r="F32" s="16">
        <v>639604</v>
      </c>
      <c r="G32" s="16">
        <v>444194</v>
      </c>
      <c r="H32" s="16">
        <v>439490</v>
      </c>
      <c r="I32" s="16">
        <f>210714+47481+487014+121342</f>
        <v>866551</v>
      </c>
      <c r="J32" s="16">
        <v>231856</v>
      </c>
      <c r="K32" s="16">
        <v>1060395</v>
      </c>
      <c r="L32" s="16">
        <v>52673</v>
      </c>
      <c r="M32" s="16">
        <f>7269+5940</f>
        <v>13209</v>
      </c>
      <c r="N32" s="17">
        <f>IF(OR([Preferenciais]&lt;&gt;0,[Ordinárias]&lt;&gt;0),[Dividendos]*[Reais]/((1+[Bônus Preferenciais])*[Preferenciais]+[Ordinárias]),0)</f>
        <v>8.3343577503473015E-2</v>
      </c>
      <c r="O32" s="18">
        <f>IF([RBV]&gt;0,[LL]/[RBV],0)</f>
        <v>4.9672999212557585E-2</v>
      </c>
      <c r="P32" s="18">
        <f>IF([PL]&lt;&gt;0,[LL]/[PL],0)</f>
        <v>0.22717980125595197</v>
      </c>
      <c r="Q32" s="19">
        <f>IF([PC]&lt;&gt;0,[AC]/[PC],0)</f>
        <v>1.4553323170037999</v>
      </c>
      <c r="R32" s="18">
        <f>IF([PL]&lt;&gt;0,[AI]/[PL],0)</f>
        <v>1.9158184390311228</v>
      </c>
      <c r="S32" s="18">
        <f>IF([AT]&lt;&gt;0,[PO]/[AT],0)</f>
        <v>0.64099081806030511</v>
      </c>
      <c r="T32" s="18">
        <f>IF([LL]&lt;&gt;0,[Dividendos]/[LL],0)</f>
        <v>0.25077364114441936</v>
      </c>
      <c r="U32" s="20">
        <f>([Div/Ação]/20%*[Unit])</f>
        <v>0.41671788751736505</v>
      </c>
      <c r="V32" s="17">
        <f>([Div/Ação]/Setup!$A$2*[Unit])</f>
        <v>0.60045805117775941</v>
      </c>
      <c r="W32" s="15">
        <v>158488517</v>
      </c>
      <c r="X32" s="22"/>
      <c r="Y32" s="18"/>
      <c r="Z32" s="15">
        <v>1</v>
      </c>
      <c r="AA32" s="15">
        <f>[Ordinárias]+[Preferenciais]</f>
        <v>158488517</v>
      </c>
    </row>
    <row r="33" spans="1:27">
      <c r="A33" s="21" t="s">
        <v>66</v>
      </c>
      <c r="B33" s="14" t="s">
        <v>27</v>
      </c>
      <c r="C33" s="14">
        <v>2014</v>
      </c>
      <c r="D33" s="15">
        <v>1000</v>
      </c>
      <c r="E33" s="16">
        <v>1132348</v>
      </c>
      <c r="F33" s="16">
        <v>497839</v>
      </c>
      <c r="G33" s="16">
        <v>392585</v>
      </c>
      <c r="H33" s="16">
        <v>460243</v>
      </c>
      <c r="I33" s="16">
        <f>172722+86005+274646+109982</f>
        <v>643355</v>
      </c>
      <c r="J33" s="16">
        <v>237280</v>
      </c>
      <c r="K33" s="16">
        <v>949147</v>
      </c>
      <c r="L33" s="16">
        <v>93484</v>
      </c>
      <c r="M33" s="16">
        <f>6447+16488+22198</f>
        <v>45133</v>
      </c>
      <c r="N33" s="17">
        <f>IF(OR([Preferenciais]&lt;&gt;0,[Ordinárias]&lt;&gt;0),[Dividendos]*[Reais]/((1+[Bônus Preferenciais])*[Preferenciais]+[Ordinárias]),0)</f>
        <v>0.28477141974897779</v>
      </c>
      <c r="O33" s="18">
        <f>IF([RBV]&gt;0,[LL]/[RBV],0)</f>
        <v>9.8492646555275426E-2</v>
      </c>
      <c r="P33" s="18">
        <f>IF([PL]&lt;&gt;0,[LL]/[PL],0)</f>
        <v>0.39398179366149699</v>
      </c>
      <c r="Q33" s="19">
        <f>IF([PC]&lt;&gt;0,[AC]/[PC],0)</f>
        <v>1.0816872825876764</v>
      </c>
      <c r="R33" s="18">
        <f>IF([PL]&lt;&gt;0,[AI]/[PL],0)</f>
        <v>1.6545220836142953</v>
      </c>
      <c r="S33" s="18">
        <f>IF([AT]&lt;&gt;0,[PO]/[AT],0)</f>
        <v>0.56816014158191652</v>
      </c>
      <c r="T33" s="18">
        <f>IF([LL]&lt;&gt;0,[Dividendos]/[LL],0)</f>
        <v>0.48278849856659961</v>
      </c>
      <c r="U33" s="20">
        <f>([Div/Ação]/20%*[Unit])</f>
        <v>1.4238570987448889</v>
      </c>
      <c r="V33" s="17">
        <f>([Div/Ação]/Setup!$A$2*[Unit])</f>
        <v>2.051667289257765</v>
      </c>
      <c r="W33" s="15">
        <v>158488517</v>
      </c>
      <c r="X33" s="22"/>
      <c r="Y33" s="18"/>
      <c r="Z33" s="15">
        <v>1</v>
      </c>
      <c r="AA33" s="15">
        <f>[Ordinárias]+[Preferenciais]</f>
        <v>158488517</v>
      </c>
    </row>
    <row r="34" spans="1:27">
      <c r="A34" s="21" t="s">
        <v>66</v>
      </c>
      <c r="B34" s="14" t="s">
        <v>27</v>
      </c>
      <c r="C34" s="14">
        <v>2013</v>
      </c>
      <c r="D34" s="15">
        <v>1000</v>
      </c>
      <c r="E34" s="16">
        <v>904908</v>
      </c>
      <c r="F34" s="16">
        <v>433732</v>
      </c>
      <c r="G34" s="16">
        <v>265572</v>
      </c>
      <c r="H34" s="16">
        <v>352485</v>
      </c>
      <c r="I34" s="16">
        <f>91068+40003+202066+117200</f>
        <v>450337</v>
      </c>
      <c r="J34" s="16">
        <v>191857</v>
      </c>
      <c r="K34" s="16">
        <v>834032</v>
      </c>
      <c r="L34" s="16">
        <v>90511</v>
      </c>
      <c r="M34" s="16">
        <f>17836+3658+8597</f>
        <v>30091</v>
      </c>
      <c r="N34" s="17">
        <f>IF(OR([Preferenciais]&lt;&gt;0,[Ordinárias]&lt;&gt;0),[Dividendos]*[Reais]/((1+[Bônus Preferenciais])*[Preferenciais]+[Ordinárias]),0)</f>
        <v>0.18986233557854543</v>
      </c>
      <c r="O34" s="18">
        <f>IF([RBV]&gt;0,[LL]/[RBV],0)</f>
        <v>0.10852221497496499</v>
      </c>
      <c r="P34" s="18">
        <f>IF([PL]&lt;&gt;0,[LL]/[PL],0)</f>
        <v>0.47176282335280967</v>
      </c>
      <c r="Q34" s="19">
        <f>IF([PC]&lt;&gt;0,[AC]/[PC],0)</f>
        <v>1.2304977516773763</v>
      </c>
      <c r="R34" s="18">
        <f>IF([PL]&lt;&gt;0,[AI]/[PL],0)</f>
        <v>1.3842184543696607</v>
      </c>
      <c r="S34" s="18">
        <f>IF([AT]&lt;&gt;0,[PO]/[AT],0)</f>
        <v>0.49766053565666346</v>
      </c>
      <c r="T34" s="18">
        <f>IF([LL]&lt;&gt;0,[Dividendos]/[LL],0)</f>
        <v>0.33245682845179036</v>
      </c>
      <c r="U34" s="20">
        <f>([Div/Ação]/20%*[Unit])</f>
        <v>0.94931167789272708</v>
      </c>
      <c r="V34" s="17">
        <f>([Div/Ação]/Setup!$A$2*[Unit])</f>
        <v>1.3678842620932667</v>
      </c>
      <c r="W34" s="15">
        <v>158488517</v>
      </c>
      <c r="X34" s="22"/>
      <c r="Y34" s="18"/>
      <c r="Z34" s="15">
        <v>1</v>
      </c>
      <c r="AA34" s="15">
        <f>[Ordinárias]+[Preferenciais]</f>
        <v>158488517</v>
      </c>
    </row>
    <row r="35" spans="1:27">
      <c r="A35" s="21" t="s">
        <v>66</v>
      </c>
      <c r="B35" s="14" t="s">
        <v>27</v>
      </c>
      <c r="C35" s="14">
        <v>2012</v>
      </c>
      <c r="D35" s="15">
        <v>1000</v>
      </c>
      <c r="E35" s="16">
        <v>695321</v>
      </c>
      <c r="F35" s="16">
        <v>328230</v>
      </c>
      <c r="G35" s="16">
        <v>187056</v>
      </c>
      <c r="H35" s="16">
        <v>295375</v>
      </c>
      <c r="I35" s="16">
        <f>75584+38707+90931+113364</f>
        <v>318586</v>
      </c>
      <c r="J35" s="16">
        <v>127127</v>
      </c>
      <c r="K35" s="16">
        <v>706471</v>
      </c>
      <c r="L35" s="16">
        <v>65675</v>
      </c>
      <c r="M35" s="16">
        <f>13742+1853</f>
        <v>15595</v>
      </c>
      <c r="N35" s="17">
        <f>IF(OR([Preferenciais]&lt;&gt;0,[Ordinárias]&lt;&gt;0),[Dividendos]*[Reais]/((1+[Bônus Preferenciais])*[Preferenciais]+[Ordinárias]),0)</f>
        <v>9.8398295947207323E-2</v>
      </c>
      <c r="O35" s="18">
        <f>IF([RBV]&gt;0,[LL]/[RBV],0)</f>
        <v>9.2962060721529974E-2</v>
      </c>
      <c r="P35" s="18">
        <f>IF([PL]&lt;&gt;0,[LL]/[PL],0)</f>
        <v>0.51660937487709147</v>
      </c>
      <c r="Q35" s="19">
        <f>IF([PC]&lt;&gt;0,[AC]/[PC],0)</f>
        <v>1.1112314853999155</v>
      </c>
      <c r="R35" s="18">
        <f>IF([PL]&lt;&gt;0,[AI]/[PL],0)</f>
        <v>1.4714104792844951</v>
      </c>
      <c r="S35" s="18">
        <f>IF([AT]&lt;&gt;0,[PO]/[AT],0)</f>
        <v>0.45818549993456259</v>
      </c>
      <c r="T35" s="18">
        <f>IF([LL]&lt;&gt;0,[Dividendos]/[LL],0)</f>
        <v>0.23745717548534451</v>
      </c>
      <c r="U35" s="20">
        <f>([Div/Ação]/20%*[Unit])</f>
        <v>0.49199147973603657</v>
      </c>
      <c r="V35" s="17">
        <f>([Div/Ação]/Setup!$A$2*[Unit])</f>
        <v>0.70892144054183948</v>
      </c>
      <c r="W35" s="15">
        <v>158488517</v>
      </c>
      <c r="X35" s="22"/>
      <c r="Y35" s="18"/>
      <c r="Z35" s="15">
        <v>1</v>
      </c>
      <c r="AA35" s="15">
        <f>[Ordinárias]+[Preferenciais]</f>
        <v>158488517</v>
      </c>
    </row>
    <row r="36" spans="1:27">
      <c r="A36" s="21" t="s">
        <v>66</v>
      </c>
      <c r="B36" s="14" t="s">
        <v>27</v>
      </c>
      <c r="C36" s="14">
        <v>2011</v>
      </c>
      <c r="D36" s="15">
        <v>1000</v>
      </c>
      <c r="E36" s="16">
        <v>550222</v>
      </c>
      <c r="F36" s="16">
        <v>215923</v>
      </c>
      <c r="G36" s="16">
        <v>178052</v>
      </c>
      <c r="H36" s="16">
        <v>245403</v>
      </c>
      <c r="I36" s="16">
        <f>79600+23401+40210+128056</f>
        <v>271267</v>
      </c>
      <c r="J36" s="16">
        <v>81798</v>
      </c>
      <c r="K36" s="16">
        <v>586806</v>
      </c>
      <c r="L36" s="16">
        <v>24390</v>
      </c>
      <c r="M36" s="16">
        <v>0</v>
      </c>
      <c r="N36" s="17">
        <f>IF(OR([Preferenciais]&lt;&gt;0,[Ordinárias]&lt;&gt;0),[Dividendos]*[Reais]/((1+[Bônus Preferenciais])*[Preferenciais]+[Ordinárias]),0)</f>
        <v>0</v>
      </c>
      <c r="O36" s="18">
        <f>IF([RBV]&gt;0,[LL]/[RBV],0)</f>
        <v>4.1563992188218934E-2</v>
      </c>
      <c r="P36" s="18">
        <f>IF([PL]&lt;&gt;0,[LL]/[PL],0)</f>
        <v>0.29817354947553731</v>
      </c>
      <c r="Q36" s="19">
        <f>IF([PC]&lt;&gt;0,[AC]/[PC],0)</f>
        <v>0.87987106922083269</v>
      </c>
      <c r="R36" s="18">
        <f>IF([PL]&lt;&gt;0,[AI]/[PL],0)</f>
        <v>2.1767280373603266</v>
      </c>
      <c r="S36" s="18">
        <f>IF([AT]&lt;&gt;0,[PO]/[AT],0)</f>
        <v>0.49301372900392931</v>
      </c>
      <c r="T36" s="18">
        <f>IF([LL]&lt;&gt;0,[Dividendos]/[LL],0)</f>
        <v>0</v>
      </c>
      <c r="U36" s="20">
        <f>([Div/Ação]/20%*[Unit])</f>
        <v>0</v>
      </c>
      <c r="V36" s="17">
        <f>([Div/Ação]/Setup!$A$2*[Unit])</f>
        <v>0</v>
      </c>
      <c r="W36" s="15">
        <v>158488517</v>
      </c>
      <c r="X36" s="22"/>
      <c r="Y36" s="18"/>
      <c r="Z36" s="15">
        <v>1</v>
      </c>
      <c r="AA36" s="15">
        <f>[Ordinárias]+[Preferenciais]</f>
        <v>158488517</v>
      </c>
    </row>
    <row r="37" spans="1:27">
      <c r="A37" s="21" t="s">
        <v>66</v>
      </c>
      <c r="B37" s="14" t="s">
        <v>27</v>
      </c>
      <c r="C37" s="14">
        <v>2010</v>
      </c>
      <c r="D37" s="15">
        <v>1000</v>
      </c>
      <c r="E37" s="16">
        <v>538113</v>
      </c>
      <c r="F37" s="16">
        <v>214884</v>
      </c>
      <c r="G37" s="16">
        <v>178226</v>
      </c>
      <c r="H37" s="16">
        <v>251275</v>
      </c>
      <c r="I37" s="16">
        <f>97584+20885+45242+140267</f>
        <v>303978</v>
      </c>
      <c r="J37" s="16">
        <v>60836</v>
      </c>
      <c r="K37" s="16">
        <v>511415</v>
      </c>
      <c r="L37" s="16">
        <v>32304</v>
      </c>
      <c r="M37" s="16">
        <v>0</v>
      </c>
      <c r="N37" s="17">
        <f>IF(OR([Preferenciais]&lt;&gt;0,[Ordinárias]&lt;&gt;0),[Dividendos]*[Reais]/((1+[Bônus Preferenciais])*[Preferenciais]+[Ordinárias]),0)</f>
        <v>0</v>
      </c>
      <c r="O37" s="18">
        <f>IF([RBV]&gt;0,[LL]/[RBV],0)</f>
        <v>6.3165922000723476E-2</v>
      </c>
      <c r="P37" s="18">
        <f>IF([PL]&lt;&gt;0,[LL]/[PL],0)</f>
        <v>0.53100138076139125</v>
      </c>
      <c r="Q37" s="19">
        <f>IF([PC]&lt;&gt;0,[AC]/[PC],0)</f>
        <v>0.85517460949159285</v>
      </c>
      <c r="R37" s="18">
        <f>IF([PL]&lt;&gt;0,[AI]/[PL],0)</f>
        <v>2.9296140443158656</v>
      </c>
      <c r="S37" s="18">
        <f>IF([AT]&lt;&gt;0,[PO]/[AT],0)</f>
        <v>0.56489622068227308</v>
      </c>
      <c r="T37" s="18">
        <f>IF([LL]&lt;&gt;0,[Dividendos]/[LL],0)</f>
        <v>0</v>
      </c>
      <c r="U37" s="20">
        <f>([Div/Ação]/20%*[Unit])</f>
        <v>0</v>
      </c>
      <c r="V37" s="17">
        <f>([Div/Ação]/Setup!$A$2*[Unit])</f>
        <v>0</v>
      </c>
      <c r="W37" s="15">
        <v>158488517</v>
      </c>
      <c r="X37" s="22"/>
      <c r="Y37" s="18"/>
      <c r="Z37" s="15">
        <v>1</v>
      </c>
      <c r="AA37" s="15">
        <f>[Ordinárias]+[Preferenciais]</f>
        <v>158488517</v>
      </c>
    </row>
    <row r="38" spans="1:27">
      <c r="A38" s="21" t="s">
        <v>66</v>
      </c>
      <c r="B38" s="21" t="s">
        <v>61</v>
      </c>
      <c r="C38" s="14">
        <v>2015</v>
      </c>
      <c r="D38" s="46">
        <v>1000</v>
      </c>
      <c r="E38" s="23">
        <v>1183121</v>
      </c>
      <c r="F38" s="23">
        <v>68133</v>
      </c>
      <c r="G38" s="23">
        <v>148607</v>
      </c>
      <c r="H38" s="23">
        <v>346069</v>
      </c>
      <c r="I38" s="23">
        <f>151694+96709+50917+286181</f>
        <v>585501</v>
      </c>
      <c r="J38" s="23">
        <v>214395</v>
      </c>
      <c r="K38" s="23">
        <v>39909</v>
      </c>
      <c r="L38" s="23">
        <v>28224</v>
      </c>
      <c r="M38" s="23">
        <v>0</v>
      </c>
      <c r="N38" s="27">
        <f>IF(OR([Preferenciais]&lt;&gt;0,[Ordinárias]&lt;&gt;0),[Dividendos]*[Reais]/((1+[Bônus Preferenciais])*[Preferenciais]+[Ordinárias]),0)</f>
        <v>0</v>
      </c>
      <c r="O38" s="25">
        <f>IF([RBV]&gt;0,[LL]/[RBV],0)</f>
        <v>0.70720890024806438</v>
      </c>
      <c r="P38" s="25">
        <f>IF([PL]&lt;&gt;0,[LL]/[PL],0)</f>
        <v>0.13164486112082838</v>
      </c>
      <c r="Q38" s="52">
        <f>IF([PC]&lt;&gt;0,[AC]/[PC],0)</f>
        <v>0.19687692338811047</v>
      </c>
      <c r="R38" s="47">
        <f>IF([PL]&lt;&gt;0,[AI]/[PL],0)</f>
        <v>0.69314582896056343</v>
      </c>
      <c r="S38" s="25">
        <f>IF([AT]&lt;&gt;0,[PO]/[AT],0)</f>
        <v>0.49487837676788765</v>
      </c>
      <c r="T38" s="47">
        <f>IF([LL]&lt;&gt;0,[Dividendos]/[LL],0)</f>
        <v>0</v>
      </c>
      <c r="U38" s="27">
        <f>([Div/Ação]/20%*[Unit])</f>
        <v>0</v>
      </c>
      <c r="V38" s="28">
        <f>([Div/Ação]/Setup!$A$2*[Unit])</f>
        <v>0</v>
      </c>
      <c r="W38" s="29">
        <v>7489720</v>
      </c>
      <c r="X38" s="29">
        <v>5110280</v>
      </c>
      <c r="Y38" s="25"/>
      <c r="Z38" s="29">
        <v>1</v>
      </c>
      <c r="AA38" s="29">
        <f>[Ordinárias]+[Preferenciais]</f>
        <v>12600000</v>
      </c>
    </row>
    <row r="39" spans="1:27">
      <c r="A39" s="21" t="s">
        <v>66</v>
      </c>
      <c r="B39" s="21" t="s">
        <v>61</v>
      </c>
      <c r="C39" s="14">
        <v>2014</v>
      </c>
      <c r="D39" s="34">
        <v>1000</v>
      </c>
      <c r="E39" s="23">
        <v>1075230</v>
      </c>
      <c r="F39" s="23">
        <v>61381</v>
      </c>
      <c r="G39" s="23">
        <v>155187</v>
      </c>
      <c r="H39" s="23">
        <v>241051</v>
      </c>
      <c r="I39" s="23">
        <f>93753+65354+74395+286703</f>
        <v>520205</v>
      </c>
      <c r="J39" s="23">
        <v>186171</v>
      </c>
      <c r="K39" s="23">
        <v>95381</v>
      </c>
      <c r="L39" s="23">
        <v>-21212</v>
      </c>
      <c r="M39" s="23">
        <v>0</v>
      </c>
      <c r="N39" s="27">
        <f>IF(OR([Preferenciais]&lt;&gt;0,[Ordinárias]&lt;&gt;0),[Dividendos]*[Reais]/((1+[Bônus Preferenciais])*[Preferenciais]+[Ordinárias]),0)</f>
        <v>0</v>
      </c>
      <c r="O39" s="25">
        <f>IF([RBV]&gt;0,[LL]/[RBV],0)</f>
        <v>-0.22239230035331983</v>
      </c>
      <c r="P39" s="25">
        <f>IF([PL]&lt;&gt;0,[LL]/[PL],0)</f>
        <v>-0.11393826106106751</v>
      </c>
      <c r="Q39" s="52">
        <f>IF([PC]&lt;&gt;0,[AC]/[PC],0)</f>
        <v>0.25463905978402912</v>
      </c>
      <c r="R39" s="47">
        <f>IF([PL]&lt;&gt;0,[AI]/[PL],0)</f>
        <v>0.83357236089401676</v>
      </c>
      <c r="S39" s="25">
        <f>IF([AT]&lt;&gt;0,[PO]/[AT],0)</f>
        <v>0.48380811547296859</v>
      </c>
      <c r="T39" s="47">
        <f>IF([LL]&lt;&gt;0,[Dividendos]/[LL],0)</f>
        <v>0</v>
      </c>
      <c r="U39" s="27">
        <f>([Div/Ação]/20%*[Unit])</f>
        <v>0</v>
      </c>
      <c r="V39" s="28">
        <f>([Div/Ação]/Setup!$A$2*[Unit])</f>
        <v>0</v>
      </c>
      <c r="W39" s="29">
        <v>7489720</v>
      </c>
      <c r="X39" s="29">
        <v>5110280</v>
      </c>
      <c r="Y39" s="25"/>
      <c r="Z39" s="29">
        <v>1</v>
      </c>
      <c r="AA39" s="29">
        <f>[Ordinárias]+[Preferenciais]</f>
        <v>12600000</v>
      </c>
    </row>
    <row r="40" spans="1:27">
      <c r="A40" s="21" t="s">
        <v>66</v>
      </c>
      <c r="B40" s="21" t="s">
        <v>61</v>
      </c>
      <c r="C40" s="14">
        <v>2013</v>
      </c>
      <c r="D40" s="34">
        <v>1000</v>
      </c>
      <c r="E40" s="23">
        <v>1002815</v>
      </c>
      <c r="F40" s="23">
        <v>93066</v>
      </c>
      <c r="G40" s="23">
        <v>161887</v>
      </c>
      <c r="H40" s="23">
        <v>211762</v>
      </c>
      <c r="I40" s="23">
        <f>76590+56738+73223+253099</f>
        <v>459650</v>
      </c>
      <c r="J40" s="23">
        <v>207388</v>
      </c>
      <c r="K40" s="23">
        <v>153174</v>
      </c>
      <c r="L40" s="23">
        <v>-21768</v>
      </c>
      <c r="M40" s="23">
        <v>0</v>
      </c>
      <c r="N40" s="27">
        <f>IF(OR([Preferenciais]&lt;&gt;0,[Ordinárias]&lt;&gt;0),[Dividendos]*[Reais]/((1+[Bônus Preferenciais])*[Preferenciais]+[Ordinárias]),0)</f>
        <v>0</v>
      </c>
      <c r="O40" s="25">
        <f>IF([RBV]&gt;0,[LL]/[RBV],0)</f>
        <v>-0.14211289122174781</v>
      </c>
      <c r="P40" s="25">
        <f>IF([PL]&lt;&gt;0,[LL]/[PL],0)</f>
        <v>-0.10496267865064517</v>
      </c>
      <c r="Q40" s="52">
        <f>IF([PC]&lt;&gt;0,[AC]/[PC],0)</f>
        <v>0.43948394896157006</v>
      </c>
      <c r="R40" s="47">
        <f>IF([PL]&lt;&gt;0,[AI]/[PL],0)</f>
        <v>0.78059964896715339</v>
      </c>
      <c r="S40" s="25">
        <f>IF([AT]&lt;&gt;0,[PO]/[AT],0)</f>
        <v>0.45835971739553155</v>
      </c>
      <c r="T40" s="47">
        <f>IF([LL]&lt;&gt;0,[Dividendos]/[LL],0)</f>
        <v>0</v>
      </c>
      <c r="U40" s="27">
        <f>([Div/Ação]/20%*[Unit])</f>
        <v>0</v>
      </c>
      <c r="V40" s="28">
        <f>([Div/Ação]/Setup!$A$2*[Unit])</f>
        <v>0</v>
      </c>
      <c r="W40" s="29">
        <v>7489720</v>
      </c>
      <c r="X40" s="29">
        <v>5110280</v>
      </c>
      <c r="Y40" s="25"/>
      <c r="Z40" s="29">
        <v>1</v>
      </c>
      <c r="AA40" s="29">
        <f>[Ordinárias]+[Preferenciais]</f>
        <v>12600000</v>
      </c>
    </row>
    <row r="41" spans="1:27">
      <c r="A41" s="21" t="s">
        <v>66</v>
      </c>
      <c r="B41" s="21" t="s">
        <v>61</v>
      </c>
      <c r="C41" s="14">
        <v>2012</v>
      </c>
      <c r="D41" s="34">
        <v>1000</v>
      </c>
      <c r="E41" s="23">
        <v>928838</v>
      </c>
      <c r="F41" s="23">
        <v>45927</v>
      </c>
      <c r="G41" s="23">
        <v>179535</v>
      </c>
      <c r="H41" s="23">
        <v>200207</v>
      </c>
      <c r="I41" s="23">
        <f>87317+48643+53459+217203</f>
        <v>406622</v>
      </c>
      <c r="J41" s="23">
        <v>229159</v>
      </c>
      <c r="K41" s="23">
        <v>122167</v>
      </c>
      <c r="L41" s="23">
        <v>-46293</v>
      </c>
      <c r="M41" s="23">
        <v>0</v>
      </c>
      <c r="N41" s="27">
        <f>IF(OR([Preferenciais]&lt;&gt;0,[Ordinárias]&lt;&gt;0),[Dividendos]*[Reais]/((1+[Bônus Preferenciais])*[Preferenciais]+[Ordinárias]),0)</f>
        <v>0</v>
      </c>
      <c r="O41" s="25">
        <f>IF([RBV]&gt;0,[LL]/[RBV],0)</f>
        <v>-0.37893211751127553</v>
      </c>
      <c r="P41" s="25">
        <f>IF([PL]&lt;&gt;0,[LL]/[PL],0)</f>
        <v>-0.20201257642073844</v>
      </c>
      <c r="Q41" s="52">
        <f>IF([PC]&lt;&gt;0,[AC]/[PC],0)</f>
        <v>0.22939757351141568</v>
      </c>
      <c r="R41" s="47">
        <f>IF([PL]&lt;&gt;0,[AI]/[PL],0)</f>
        <v>0.78345166456477822</v>
      </c>
      <c r="S41" s="25">
        <f>IF([AT]&lt;&gt;0,[PO]/[AT],0)</f>
        <v>0.43777494030175335</v>
      </c>
      <c r="T41" s="47">
        <f>IF([LL]&lt;&gt;0,[Dividendos]/[LL],0)</f>
        <v>0</v>
      </c>
      <c r="U41" s="27">
        <f>([Div/Ação]/20%*[Unit])</f>
        <v>0</v>
      </c>
      <c r="V41" s="28">
        <f>([Div/Ação]/Setup!$A$2*[Unit])</f>
        <v>0</v>
      </c>
      <c r="W41" s="29">
        <v>7489720</v>
      </c>
      <c r="X41" s="29">
        <v>5110280</v>
      </c>
      <c r="Y41" s="25"/>
      <c r="Z41" s="29">
        <v>1</v>
      </c>
      <c r="AA41" s="29">
        <f>[Ordinárias]+[Preferenciais]</f>
        <v>12600000</v>
      </c>
    </row>
    <row r="42" spans="1:27">
      <c r="A42" s="21" t="s">
        <v>66</v>
      </c>
      <c r="B42" s="21" t="s">
        <v>61</v>
      </c>
      <c r="C42" s="14">
        <v>2011</v>
      </c>
      <c r="D42" s="34">
        <v>1000</v>
      </c>
      <c r="E42" s="23">
        <v>937943</v>
      </c>
      <c r="F42" s="23">
        <v>91661</v>
      </c>
      <c r="G42" s="23">
        <v>189884</v>
      </c>
      <c r="H42" s="23">
        <v>170793</v>
      </c>
      <c r="I42" s="23">
        <f>90601+40018+63993+217690</f>
        <v>412302</v>
      </c>
      <c r="J42" s="23">
        <v>275452</v>
      </c>
      <c r="K42" s="23">
        <v>161462</v>
      </c>
      <c r="L42" s="23">
        <v>559</v>
      </c>
      <c r="M42" s="23">
        <v>0</v>
      </c>
      <c r="N42" s="27">
        <f>IF(OR([Preferenciais]&lt;&gt;0,[Ordinárias]&lt;&gt;0),[Dividendos]*[Reais]/((1+[Bônus Preferenciais])*[Preferenciais]+[Ordinárias]),0)</f>
        <v>0</v>
      </c>
      <c r="O42" s="25">
        <f>IF([RBV]&gt;0,[LL]/[RBV],0)</f>
        <v>3.4621149248739639E-3</v>
      </c>
      <c r="P42" s="25">
        <f>IF([PL]&lt;&gt;0,[LL]/[PL],0)</f>
        <v>2.0293916907482973E-3</v>
      </c>
      <c r="Q42" s="52">
        <f>IF([PC]&lt;&gt;0,[AC]/[PC],0)</f>
        <v>0.53667890370214233</v>
      </c>
      <c r="R42" s="47">
        <f>IF([PL]&lt;&gt;0,[AI]/[PL],0)</f>
        <v>0.68935422505554511</v>
      </c>
      <c r="S42" s="25">
        <f>IF([AT]&lt;&gt;0,[PO]/[AT],0)</f>
        <v>0.43958108328544487</v>
      </c>
      <c r="T42" s="47">
        <f>IF([LL]&lt;&gt;0,[Dividendos]/[LL],0)</f>
        <v>0</v>
      </c>
      <c r="U42" s="27">
        <f>([Div/Ação]/20%*[Unit])</f>
        <v>0</v>
      </c>
      <c r="V42" s="28">
        <f>([Div/Ação]/Setup!$A$2*[Unit])</f>
        <v>0</v>
      </c>
      <c r="W42" s="29">
        <v>7489720</v>
      </c>
      <c r="X42" s="29">
        <v>5110280</v>
      </c>
      <c r="Y42" s="25"/>
      <c r="Z42" s="29">
        <v>1</v>
      </c>
      <c r="AA42" s="29">
        <f>[Ordinárias]+[Preferenciais]</f>
        <v>12600000</v>
      </c>
    </row>
    <row r="43" spans="1:27">
      <c r="A43" s="21" t="s">
        <v>66</v>
      </c>
      <c r="B43" s="21" t="s">
        <v>61</v>
      </c>
      <c r="C43" s="21">
        <v>2010</v>
      </c>
      <c r="D43" s="46">
        <v>1000</v>
      </c>
      <c r="E43" s="23">
        <v>965109</v>
      </c>
      <c r="F43" s="23">
        <v>117030</v>
      </c>
      <c r="G43" s="23">
        <v>197284</v>
      </c>
      <c r="H43" s="23">
        <v>142533</v>
      </c>
      <c r="I43" s="23">
        <f>76525+36159+57733+263035</f>
        <v>433452</v>
      </c>
      <c r="J43" s="23">
        <v>274952</v>
      </c>
      <c r="K43" s="23">
        <v>201369</v>
      </c>
      <c r="L43" s="23">
        <v>22348</v>
      </c>
      <c r="M43" s="23">
        <v>0</v>
      </c>
      <c r="N43" s="27">
        <f>IF(OR([Preferenciais]&lt;&gt;0,[Ordinárias]&lt;&gt;0),[Dividendos]*[Reais]/((1+[Bônus Preferenciais])*[Preferenciais]+[Ordinárias]),0)</f>
        <v>0</v>
      </c>
      <c r="O43" s="25">
        <f>IF([RBV]&gt;0,[LL]/[RBV],0)</f>
        <v>0.11098033957560498</v>
      </c>
      <c r="P43" s="25">
        <f>IF([PL]&lt;&gt;0,[LL]/[PL],0)</f>
        <v>8.1279641537431987E-2</v>
      </c>
      <c r="Q43" s="52">
        <f>IF([PC]&lt;&gt;0,[AC]/[PC],0)</f>
        <v>0.82107301467028693</v>
      </c>
      <c r="R43" s="47">
        <f>IF([PL]&lt;&gt;0,[AI]/[PL],0)</f>
        <v>0.71752160377083996</v>
      </c>
      <c r="S43" s="25">
        <f>IF([AT]&lt;&gt;0,[PO]/[AT],0)</f>
        <v>0.4491223271153828</v>
      </c>
      <c r="T43" s="47">
        <f>IF([LL]&lt;&gt;0,[Dividendos]/[LL],0)</f>
        <v>0</v>
      </c>
      <c r="U43" s="27">
        <f>([Div/Ação]/20%*[Unit])</f>
        <v>0</v>
      </c>
      <c r="V43" s="28">
        <f>([Div/Ação]/Setup!$A$2*[Unit])</f>
        <v>0</v>
      </c>
      <c r="W43" s="29">
        <v>7489720</v>
      </c>
      <c r="X43" s="29">
        <v>5110280</v>
      </c>
      <c r="Y43" s="25"/>
      <c r="Z43" s="29">
        <v>1</v>
      </c>
      <c r="AA43" s="29">
        <f>[Ordinárias]+[Preferenciais]</f>
        <v>12600000</v>
      </c>
    </row>
    <row r="44" spans="1:27">
      <c r="A44" s="21" t="s">
        <v>66</v>
      </c>
      <c r="B44" s="14" t="s">
        <v>44</v>
      </c>
      <c r="C44" s="14">
        <v>2015</v>
      </c>
      <c r="D44" s="15">
        <v>1000</v>
      </c>
      <c r="E44" s="16">
        <v>2621368</v>
      </c>
      <c r="F44" s="16">
        <v>863895</v>
      </c>
      <c r="G44" s="16">
        <v>373298</v>
      </c>
      <c r="H44" s="16">
        <v>1589799</v>
      </c>
      <c r="I44" s="16">
        <f>860078+41245+712252+6111</f>
        <v>1619686</v>
      </c>
      <c r="J44" s="16">
        <v>170694</v>
      </c>
      <c r="K44" s="16">
        <v>3209384</v>
      </c>
      <c r="L44" s="16">
        <v>-226778</v>
      </c>
      <c r="M44" s="16">
        <v>0</v>
      </c>
      <c r="N44" s="20">
        <f>IF(OR([Preferenciais]&lt;&gt;0,[Ordinárias]&lt;&gt;0),[Dividendos]*[Reais]/((1+[Bônus Preferenciais])*[Preferenciais]+[Ordinárias]),0)</f>
        <v>0</v>
      </c>
      <c r="O44" s="35">
        <f>IF([RBV]&gt;0,[LL]/[RBV],0)</f>
        <v>-7.0660911875923854E-2</v>
      </c>
      <c r="P44" s="18">
        <f>IF([PL]&lt;&gt;0,[LL]/[PL],0)</f>
        <v>-1.3285645658312535</v>
      </c>
      <c r="Q44" s="36">
        <f>IF([PC]&lt;&gt;0,[AC]/[PC],0)</f>
        <v>0.5433988825002406</v>
      </c>
      <c r="R44" s="35">
        <f>IF([PL]&lt;&gt;0,[AI]/[PL],0)</f>
        <v>2.1869427162056079</v>
      </c>
      <c r="S44" s="35">
        <f>IF([AT]&lt;&gt;0,[PO]/[AT],0)</f>
        <v>0.61787814606724423</v>
      </c>
      <c r="T44" s="18">
        <f>IF([LL]&lt;&gt;0,[Dividendos]/[LL],0)</f>
        <v>0</v>
      </c>
      <c r="U44" s="20">
        <f>([Div/Ação]/20%*[Unit])</f>
        <v>0</v>
      </c>
      <c r="V44" s="20">
        <f>([Div/Ação]/Setup!$A$2*[Unit])</f>
        <v>0</v>
      </c>
      <c r="W44" s="34">
        <v>345767870</v>
      </c>
      <c r="X44" s="22"/>
      <c r="Y44" s="18"/>
      <c r="Z44" s="37">
        <v>1</v>
      </c>
      <c r="AA44" s="15">
        <f>[Ordinárias]+[Preferenciais]</f>
        <v>345767870</v>
      </c>
    </row>
    <row r="45" spans="1:27">
      <c r="A45" s="21" t="s">
        <v>66</v>
      </c>
      <c r="B45" s="14" t="s">
        <v>44</v>
      </c>
      <c r="C45" s="14">
        <v>2014</v>
      </c>
      <c r="D45" s="15">
        <v>1000</v>
      </c>
      <c r="E45" s="16">
        <v>2653754</v>
      </c>
      <c r="F45" s="16">
        <v>948876</v>
      </c>
      <c r="G45" s="16">
        <v>448575</v>
      </c>
      <c r="H45" s="16">
        <v>1005819</v>
      </c>
      <c r="I45" s="16">
        <f>375337+83183+1038093+3183</f>
        <v>1499796</v>
      </c>
      <c r="J45" s="16">
        <v>395783</v>
      </c>
      <c r="K45" s="16">
        <v>3452231</v>
      </c>
      <c r="L45" s="16">
        <v>96646</v>
      </c>
      <c r="M45" s="16">
        <v>24162</v>
      </c>
      <c r="N45" s="20">
        <f>IF(OR([Preferenciais]&lt;&gt;0,[Ordinárias]&lt;&gt;0),[Dividendos]*[Reais]/((1+[Bônus Preferenciais])*[Preferenciais]+[Ordinárias]),0)</f>
        <v>6.9879251649379678E-2</v>
      </c>
      <c r="O45" s="35">
        <f>IF([RBV]&gt;0,[LL]/[RBV],0)</f>
        <v>2.799522975142741E-2</v>
      </c>
      <c r="P45" s="18">
        <f>IF([PL]&lt;&gt;0,[LL]/[PL],0)</f>
        <v>0.24418936639522162</v>
      </c>
      <c r="Q45" s="36">
        <f>IF([PC]&lt;&gt;0,[AC]/[PC],0)</f>
        <v>0.94338643433858382</v>
      </c>
      <c r="R45" s="35">
        <f>IF([PL]&lt;&gt;0,[AI]/[PL],0)</f>
        <v>1.1333862242693598</v>
      </c>
      <c r="S45" s="35">
        <f>IF([AT]&lt;&gt;0,[PO]/[AT],0)</f>
        <v>0.56516014672045711</v>
      </c>
      <c r="T45" s="18">
        <f>IF([LL]&lt;&gt;0,[Dividendos]/[LL],0)</f>
        <v>0.25000517351985596</v>
      </c>
      <c r="U45" s="20">
        <f>([Div/Ação]/20%*[Unit])</f>
        <v>0.34939625824689835</v>
      </c>
      <c r="V45" s="20">
        <f>([Div/Ação]/Setup!$A$2*[Unit])</f>
        <v>0.50345282168140981</v>
      </c>
      <c r="W45" s="34">
        <v>345767870</v>
      </c>
      <c r="X45" s="22"/>
      <c r="Y45" s="18"/>
      <c r="Z45" s="37">
        <v>1</v>
      </c>
      <c r="AA45" s="15">
        <f>[Ordinárias]+[Preferenciais]</f>
        <v>345767870</v>
      </c>
    </row>
    <row r="46" spans="1:27">
      <c r="A46" s="21" t="s">
        <v>66</v>
      </c>
      <c r="B46" s="14" t="s">
        <v>44</v>
      </c>
      <c r="C46" s="14">
        <v>2013</v>
      </c>
      <c r="D46" s="15">
        <v>1000</v>
      </c>
      <c r="E46" s="16">
        <v>2638616</v>
      </c>
      <c r="F46" s="16">
        <v>918194</v>
      </c>
      <c r="G46" s="16">
        <v>508411</v>
      </c>
      <c r="H46" s="16">
        <v>933277</v>
      </c>
      <c r="I46" s="16">
        <f>200290+81229+1013561+24225</f>
        <v>1319305</v>
      </c>
      <c r="J46" s="16">
        <v>438249</v>
      </c>
      <c r="K46" s="16">
        <v>3617962</v>
      </c>
      <c r="L46" s="16">
        <v>103620</v>
      </c>
      <c r="M46" s="16">
        <v>25564</v>
      </c>
      <c r="N46" s="20">
        <f>IF(OR([Preferenciais]&lt;&gt;0,[Ordinárias]&lt;&gt;0),[Dividendos]*[Reais]/((1+[Bônus Preferenciais])*[Preferenciais]+[Ordinárias]),0)</f>
        <v>7.3933995081729251E-2</v>
      </c>
      <c r="O46" s="35">
        <f>IF([RBV]&gt;0,[LL]/[RBV],0)</f>
        <v>2.8640433481612024E-2</v>
      </c>
      <c r="P46" s="18">
        <f>IF([PL]&lt;&gt;0,[LL]/[PL],0)</f>
        <v>0.23644092741797471</v>
      </c>
      <c r="Q46" s="36">
        <f>IF([PC]&lt;&gt;0,[AC]/[PC],0)</f>
        <v>0.9838386674052827</v>
      </c>
      <c r="R46" s="35">
        <f>IF([PL]&lt;&gt;0,[AI]/[PL],0)</f>
        <v>1.1600962010181426</v>
      </c>
      <c r="S46" s="35">
        <f>IF([AT]&lt;&gt;0,[PO]/[AT],0)</f>
        <v>0.49999886304032115</v>
      </c>
      <c r="T46" s="18">
        <f>IF([LL]&lt;&gt;0,[Dividendos]/[LL],0)</f>
        <v>0.24670912951167728</v>
      </c>
      <c r="U46" s="20">
        <f>([Div/Ação]/20%*[Unit])</f>
        <v>0.36966997540864621</v>
      </c>
      <c r="V46" s="20">
        <f>([Div/Ação]/Setup!$A$2*[Unit])</f>
        <v>0.53266567061764591</v>
      </c>
      <c r="W46" s="34">
        <v>345767870</v>
      </c>
      <c r="X46" s="22"/>
      <c r="Y46" s="18"/>
      <c r="Z46" s="37">
        <v>1</v>
      </c>
      <c r="AA46" s="15">
        <f>[Ordinárias]+[Preferenciais]</f>
        <v>345767870</v>
      </c>
    </row>
    <row r="47" spans="1:27">
      <c r="A47" s="21" t="s">
        <v>66</v>
      </c>
      <c r="B47" s="14" t="s">
        <v>44</v>
      </c>
      <c r="C47" s="14">
        <v>2012</v>
      </c>
      <c r="D47" s="15">
        <v>1000</v>
      </c>
      <c r="E47" s="16">
        <v>2479819</v>
      </c>
      <c r="F47" s="16">
        <v>867306</v>
      </c>
      <c r="G47" s="16">
        <v>542446</v>
      </c>
      <c r="H47" s="16">
        <v>823782</v>
      </c>
      <c r="I47" s="16">
        <f>185622+72853+917916+39512</f>
        <v>1215903</v>
      </c>
      <c r="J47" s="16">
        <v>504422</v>
      </c>
      <c r="K47" s="16">
        <v>3619013</v>
      </c>
      <c r="L47" s="16">
        <v>50303</v>
      </c>
      <c r="M47" s="16">
        <f>15500+29027</f>
        <v>44527</v>
      </c>
      <c r="N47" s="20">
        <f>IF(OR([Preferenciais]&lt;&gt;0,[Ordinárias]&lt;&gt;0),[Dividendos]*[Reais]/((1+[Bônus Preferenciais])*[Preferenciais]+[Ordinárias]),0)</f>
        <v>0.12877714751228911</v>
      </c>
      <c r="O47" s="35">
        <f>IF([RBV]&gt;0,[LL]/[RBV],0)</f>
        <v>1.3899646118983269E-2</v>
      </c>
      <c r="P47" s="18">
        <f>IF([PL]&lt;&gt;0,[LL]/[PL],0)</f>
        <v>9.9724040585065676E-2</v>
      </c>
      <c r="Q47" s="36">
        <f>IF([PC]&lt;&gt;0,[AC]/[PC],0)</f>
        <v>1.0528343663736279</v>
      </c>
      <c r="R47" s="35">
        <f>IF([PL]&lt;&gt;0,[AI]/[PL],0)</f>
        <v>1.075381327539243</v>
      </c>
      <c r="S47" s="35">
        <f>IF([AT]&lt;&gt;0,[PO]/[AT],0)</f>
        <v>0.49031925313903957</v>
      </c>
      <c r="T47" s="18">
        <f>IF([LL]&lt;&gt;0,[Dividendos]/[LL],0)</f>
        <v>0.88517583444327375</v>
      </c>
      <c r="U47" s="20">
        <f>([Div/Ação]/20%*[Unit])</f>
        <v>0.64388573756144551</v>
      </c>
      <c r="V47" s="20">
        <f>([Div/Ação]/Setup!$A$2*[Unit])</f>
        <v>0.92778924720669387</v>
      </c>
      <c r="W47" s="34">
        <v>345767870</v>
      </c>
      <c r="X47" s="22"/>
      <c r="Y47" s="18"/>
      <c r="Z47" s="37">
        <v>1</v>
      </c>
      <c r="AA47" s="15">
        <f>[Ordinárias]+[Preferenciais]</f>
        <v>345767870</v>
      </c>
    </row>
    <row r="48" spans="1:27">
      <c r="A48" s="21" t="s">
        <v>66</v>
      </c>
      <c r="B48" s="14" t="s">
        <v>44</v>
      </c>
      <c r="C48" s="14">
        <v>2011</v>
      </c>
      <c r="D48" s="15">
        <v>1000</v>
      </c>
      <c r="E48" s="16">
        <v>2647457</v>
      </c>
      <c r="F48" s="16">
        <v>1120650</v>
      </c>
      <c r="G48" s="16">
        <v>519913</v>
      </c>
      <c r="H48" s="16">
        <v>1150354</v>
      </c>
      <c r="I48" s="16">
        <f>505441+81571+762411+69697</f>
        <v>1419120</v>
      </c>
      <c r="J48" s="16">
        <v>498141</v>
      </c>
      <c r="K48" s="16">
        <v>2956199</v>
      </c>
      <c r="L48" s="16">
        <v>23285</v>
      </c>
      <c r="M48" s="16">
        <f>4374+15500</f>
        <v>19874</v>
      </c>
      <c r="N48" s="20">
        <f>IF(OR([Preferenciais]&lt;&gt;0,[Ordinárias]&lt;&gt;0),[Dividendos]*[Reais]/((1+[Bônus Preferenciais])*[Preferenciais]+[Ordinárias]),0)</f>
        <v>5.7477868027471728E-2</v>
      </c>
      <c r="O48" s="35">
        <f>IF([RBV]&gt;0,[LL]/[RBV],0)</f>
        <v>7.8766686545797496E-3</v>
      </c>
      <c r="P48" s="18">
        <f>IF([PL]&lt;&gt;0,[LL]/[PL],0)</f>
        <v>4.6743793423950249E-2</v>
      </c>
      <c r="Q48" s="36">
        <f>IF([PC]&lt;&gt;0,[AC]/[PC],0)</f>
        <v>0.97417838334982099</v>
      </c>
      <c r="R48" s="35">
        <f>IF([PL]&lt;&gt;0,[AI]/[PL],0)</f>
        <v>1.0437065007698623</v>
      </c>
      <c r="S48" s="35">
        <f>IF([AT]&lt;&gt;0,[PO]/[AT],0)</f>
        <v>0.53603136897029868</v>
      </c>
      <c r="T48" s="18">
        <f>IF([LL]&lt;&gt;0,[Dividendos]/[LL],0)</f>
        <v>0.85351084389091691</v>
      </c>
      <c r="U48" s="20">
        <f>([Div/Ação]/20%*[Unit])</f>
        <v>0.28738934013735862</v>
      </c>
      <c r="V48" s="20">
        <f>([Div/Ação]/Setup!$A$2*[Unit])</f>
        <v>0.41410567743135246</v>
      </c>
      <c r="W48" s="34">
        <v>345767870</v>
      </c>
      <c r="X48" s="22"/>
      <c r="Y48" s="18"/>
      <c r="Z48" s="37">
        <v>1</v>
      </c>
      <c r="AA48" s="15">
        <f>[Ordinárias]+[Preferenciais]</f>
        <v>345767870</v>
      </c>
    </row>
    <row r="49" spans="1:27">
      <c r="A49" s="21" t="s">
        <v>66</v>
      </c>
      <c r="B49" s="14" t="s">
        <v>44</v>
      </c>
      <c r="C49" s="21">
        <v>2010</v>
      </c>
      <c r="D49" s="15">
        <v>1000</v>
      </c>
      <c r="E49" s="16">
        <v>1378557</v>
      </c>
      <c r="F49" s="16">
        <v>602073</v>
      </c>
      <c r="G49" s="16">
        <v>405873</v>
      </c>
      <c r="H49" s="16">
        <v>504476</v>
      </c>
      <c r="I49" s="16">
        <f>69150+78504+317994+46850</f>
        <v>512498</v>
      </c>
      <c r="J49" s="16">
        <v>420971</v>
      </c>
      <c r="K49" s="16">
        <v>2397309</v>
      </c>
      <c r="L49" s="16">
        <v>109053</v>
      </c>
      <c r="M49" s="16">
        <v>100000</v>
      </c>
      <c r="N49" s="20">
        <f>IF(OR([Preferenciais]&lt;&gt;0,[Ordinárias]&lt;&gt;0),[Dividendos]*[Reais]/((1+[Bônus Preferenciais])*[Preferenciais]+[Ordinárias]),0)</f>
        <v>0.2892113717795699</v>
      </c>
      <c r="O49" s="35">
        <f>IF([RBV]&gt;0,[LL]/[RBV],0)</f>
        <v>4.5489755388229053E-2</v>
      </c>
      <c r="P49" s="18">
        <f>IF([PL]&lt;&gt;0,[LL]/[PL],0)</f>
        <v>0.25905109853172786</v>
      </c>
      <c r="Q49" s="36">
        <f>IF([PC]&lt;&gt;0,[AC]/[PC],0)</f>
        <v>1.1934621270387491</v>
      </c>
      <c r="R49" s="35">
        <f>IF([PL]&lt;&gt;0,[AI]/[PL],0)</f>
        <v>0.96413529673065368</v>
      </c>
      <c r="S49" s="35">
        <f>IF([AT]&lt;&gt;0,[PO]/[AT],0)</f>
        <v>0.37176409825636519</v>
      </c>
      <c r="T49" s="18">
        <f>IF([LL]&lt;&gt;0,[Dividendos]/[LL],0)</f>
        <v>0.91698531906504177</v>
      </c>
      <c r="U49" s="20">
        <f>([Div/Ação]/20%*[Unit])</f>
        <v>1.4460568588978495</v>
      </c>
      <c r="V49" s="20">
        <f>([Div/Ação]/Setup!$A$2*[Unit])</f>
        <v>2.0836554162793219</v>
      </c>
      <c r="W49" s="34">
        <v>345767870</v>
      </c>
      <c r="X49" s="22"/>
      <c r="Y49" s="18"/>
      <c r="Z49" s="37">
        <v>1</v>
      </c>
      <c r="AA49" s="15">
        <f>[Ordinárias]+[Preferenciais]</f>
        <v>345767870</v>
      </c>
    </row>
    <row r="50" spans="1:27">
      <c r="A50" s="21" t="s">
        <v>67</v>
      </c>
      <c r="B50" s="21" t="s">
        <v>40</v>
      </c>
      <c r="C50" s="14">
        <v>2015</v>
      </c>
      <c r="D50" s="15">
        <v>1000</v>
      </c>
      <c r="E50" s="23">
        <v>9948401</v>
      </c>
      <c r="F50" s="23">
        <v>5257690</v>
      </c>
      <c r="G50" s="23">
        <v>565965</v>
      </c>
      <c r="H50" s="23">
        <v>3262136</v>
      </c>
      <c r="I50" s="23">
        <f>554553+371690+3646642+119679</f>
        <v>4692564</v>
      </c>
      <c r="J50" s="16">
        <v>2706133</v>
      </c>
      <c r="K50" s="23">
        <v>9013779</v>
      </c>
      <c r="L50" s="23">
        <v>-418437</v>
      </c>
      <c r="M50" s="23">
        <v>0</v>
      </c>
      <c r="N50" s="28">
        <f>IF(OR([Preferenciais]&lt;&gt;0,[Ordinárias]&lt;&gt;0),[Dividendos]*[Reais]/((1+[Bônus Preferenciais])*[Preferenciais]+[Ordinárias]),0)</f>
        <v>0</v>
      </c>
      <c r="O50" s="25">
        <f>IF([RBV]&gt;0,[LL]/[RBV],0)</f>
        <v>-4.6421928028188841E-2</v>
      </c>
      <c r="P50" s="25">
        <f>IF([PL]&lt;&gt;0,[LL]/[PL],0)</f>
        <v>-0.1546254378480289</v>
      </c>
      <c r="Q50" s="32">
        <f>IF([PC]&lt;&gt;0,[AC]/[PC],0)</f>
        <v>1.6117323128158973</v>
      </c>
      <c r="R50" s="25">
        <f>IF([PL]&lt;&gt;0,[AI]/[PL],0)</f>
        <v>0.20914160538303181</v>
      </c>
      <c r="S50" s="25">
        <f>IF([AT]&lt;&gt;0,[PO]/[AT],0)</f>
        <v>0.47169027464815705</v>
      </c>
      <c r="T50" s="25">
        <f>IF([LL]&lt;&gt;0,[Dividendos]/[LL],0)</f>
        <v>0</v>
      </c>
      <c r="U50" s="27">
        <f>([Div/Ação]/20%*[Unit])</f>
        <v>0</v>
      </c>
      <c r="V50" s="28">
        <f>([Div/Ação]/Setup!$A$2*[Unit])</f>
        <v>0</v>
      </c>
      <c r="W50" s="29">
        <v>341794262</v>
      </c>
      <c r="X50" s="22"/>
      <c r="Y50" s="25"/>
      <c r="Z50" s="29">
        <v>1</v>
      </c>
      <c r="AA50" s="15">
        <f>[Ordinárias]+[Preferenciais]</f>
        <v>341794262</v>
      </c>
    </row>
    <row r="51" spans="1:27">
      <c r="A51" s="21" t="s">
        <v>67</v>
      </c>
      <c r="B51" s="21" t="s">
        <v>40</v>
      </c>
      <c r="C51" s="14">
        <v>2014</v>
      </c>
      <c r="D51" s="15">
        <v>1000</v>
      </c>
      <c r="E51" s="16">
        <v>7634965</v>
      </c>
      <c r="F51" s="16">
        <v>4027890</v>
      </c>
      <c r="G51" s="16">
        <v>474169</v>
      </c>
      <c r="H51" s="16">
        <v>3107329</v>
      </c>
      <c r="I51" s="16">
        <f>574549+287070+1335018+72786</f>
        <v>2269423</v>
      </c>
      <c r="J51" s="16">
        <v>3079457</v>
      </c>
      <c r="K51" s="16">
        <v>7963835</v>
      </c>
      <c r="L51" s="16">
        <v>-163313</v>
      </c>
      <c r="M51" s="16">
        <v>0</v>
      </c>
      <c r="N51" s="22">
        <f>IF(OR([Preferenciais]&lt;&gt;0,[Ordinárias]&lt;&gt;0),[Dividendos]*[Reais]/((1+[Bônus Preferenciais])*[Preferenciais]+[Ordinárias]),0)</f>
        <v>0</v>
      </c>
      <c r="O51" s="18">
        <f>IF([RBV]&gt;0,[LL]/[RBV],0)</f>
        <v>-2.050682868241243E-2</v>
      </c>
      <c r="P51" s="18">
        <f>IF([PL]&lt;&gt;0,[LL]/[PL],0)</f>
        <v>-5.3033050956710875E-2</v>
      </c>
      <c r="Q51" s="33">
        <f>IF([PC]&lt;&gt;0,[AC]/[PC],0)</f>
        <v>1.2962547577034811</v>
      </c>
      <c r="R51" s="18">
        <f>IF([PL]&lt;&gt;0,[AI]/[PL],0)</f>
        <v>0.15397812016858817</v>
      </c>
      <c r="S51" s="18">
        <f>IF([AT]&lt;&gt;0,[PO]/[AT],0)</f>
        <v>0.29724078630353906</v>
      </c>
      <c r="T51" s="18">
        <f>IF([LL]&lt;&gt;0,[Dividendos]/[LL],0)</f>
        <v>0</v>
      </c>
      <c r="U51" s="20">
        <f>([Div/Ação]/20%*[Unit])</f>
        <v>0</v>
      </c>
      <c r="V51" s="22">
        <f>([Div/Ação]/Setup!$A$2*[Unit])</f>
        <v>0</v>
      </c>
      <c r="W51" s="29">
        <v>341794262</v>
      </c>
      <c r="X51" s="22"/>
      <c r="Y51" s="25"/>
      <c r="Z51" s="15">
        <v>1</v>
      </c>
      <c r="AA51" s="15">
        <f>[Ordinárias]+[Preferenciais]</f>
        <v>341794262</v>
      </c>
    </row>
    <row r="52" spans="1:27">
      <c r="A52" s="21" t="s">
        <v>67</v>
      </c>
      <c r="B52" s="21" t="s">
        <v>40</v>
      </c>
      <c r="C52" s="14">
        <v>2013</v>
      </c>
      <c r="D52" s="15">
        <v>1000</v>
      </c>
      <c r="E52" s="16">
        <v>6613476</v>
      </c>
      <c r="F52" s="16">
        <v>4142478</v>
      </c>
      <c r="G52" s="16">
        <v>319636</v>
      </c>
      <c r="H52" s="16">
        <v>2556308</v>
      </c>
      <c r="I52" s="16">
        <f>506499+107691+3074147+109995</f>
        <v>3798332</v>
      </c>
      <c r="J52" s="16">
        <v>829673</v>
      </c>
      <c r="K52" s="16">
        <v>6088500</v>
      </c>
      <c r="L52" s="16">
        <v>-159562</v>
      </c>
      <c r="M52" s="16">
        <v>0</v>
      </c>
      <c r="N52" s="22">
        <f>IF(OR([Preferenciais]&lt;&gt;0,[Ordinárias]&lt;&gt;0),[Dividendos]*[Reais]/((1+[Bônus Preferenciais])*[Preferenciais]+[Ordinárias]),0)</f>
        <v>0</v>
      </c>
      <c r="O52" s="18">
        <f>IF([RBV]&gt;0,[LL]/[RBV],0)</f>
        <v>-2.6207111768087377E-2</v>
      </c>
      <c r="P52" s="18">
        <f>IF([PL]&lt;&gt;0,[LL]/[PL],0)</f>
        <v>-0.19231914260196487</v>
      </c>
      <c r="Q52" s="33">
        <f>IF([PC]&lt;&gt;0,[AC]/[PC],0)</f>
        <v>1.6204925228102405</v>
      </c>
      <c r="R52" s="18">
        <f>IF([PL]&lt;&gt;0,[AI]/[PL],0)</f>
        <v>0.38525539580051416</v>
      </c>
      <c r="S52" s="18">
        <f>IF([AT]&lt;&gt;0,[PO]/[AT],0)</f>
        <v>0.57433216662463127</v>
      </c>
      <c r="T52" s="18">
        <f>IF([LL]&lt;&gt;0,[Dividendos]/[LL],0)</f>
        <v>0</v>
      </c>
      <c r="U52" s="20">
        <f>([Div/Ação]/20%*[Unit])</f>
        <v>0</v>
      </c>
      <c r="V52" s="22">
        <f>([Div/Ação]/Setup!$A$2*[Unit])</f>
        <v>0</v>
      </c>
      <c r="W52" s="29">
        <v>341794262</v>
      </c>
      <c r="X52" s="22"/>
      <c r="Y52" s="25"/>
      <c r="Z52" s="15">
        <v>1</v>
      </c>
      <c r="AA52" s="15">
        <f>[Ordinárias]+[Preferenciais]</f>
        <v>341794262</v>
      </c>
    </row>
    <row r="53" spans="1:27">
      <c r="A53" s="21" t="s">
        <v>67</v>
      </c>
      <c r="B53" s="21" t="s">
        <v>40</v>
      </c>
      <c r="C53" s="14">
        <v>2012</v>
      </c>
      <c r="D53" s="15">
        <v>1000</v>
      </c>
      <c r="E53" s="16">
        <v>4786747</v>
      </c>
      <c r="F53" s="16">
        <v>3136775</v>
      </c>
      <c r="G53" s="16">
        <v>262015</v>
      </c>
      <c r="H53" s="16">
        <v>1647391</v>
      </c>
      <c r="I53" s="16">
        <f>617141+28513+2141711+9691</f>
        <v>2797056</v>
      </c>
      <c r="J53" s="16">
        <v>969013</v>
      </c>
      <c r="K53" s="16">
        <v>4812439</v>
      </c>
      <c r="L53" s="16">
        <v>-170667</v>
      </c>
      <c r="M53" s="16">
        <v>0</v>
      </c>
      <c r="N53" s="22">
        <f>IF(OR([Preferenciais]&lt;&gt;0,[Ordinárias]&lt;&gt;0),[Dividendos]*[Reais]/((1+[Bônus Preferenciais])*[Preferenciais]+[Ordinárias]),0)</f>
        <v>0</v>
      </c>
      <c r="O53" s="18">
        <f>IF([RBV]&gt;0,[LL]/[RBV],0)</f>
        <v>-3.5463722241466336E-2</v>
      </c>
      <c r="P53" s="18">
        <f>IF([PL]&lt;&gt;0,[LL]/[PL],0)</f>
        <v>-0.17612457211616356</v>
      </c>
      <c r="Q53" s="33">
        <f>IF([PC]&lt;&gt;0,[AC]/[PC],0)</f>
        <v>1.9040865222645991</v>
      </c>
      <c r="R53" s="18">
        <f>IF([PL]&lt;&gt;0,[AI]/[PL],0)</f>
        <v>0.27039368924875107</v>
      </c>
      <c r="S53" s="18">
        <f>IF([AT]&lt;&gt;0,[PO]/[AT],0)</f>
        <v>0.5843333687784209</v>
      </c>
      <c r="T53" s="18">
        <f>IF([LL]&lt;&gt;0,[Dividendos]/[LL],0)</f>
        <v>0</v>
      </c>
      <c r="U53" s="20">
        <f>([Div/Ação]/20%*[Unit])</f>
        <v>0</v>
      </c>
      <c r="V53" s="22">
        <f>([Div/Ação]/Setup!$A$2*[Unit])</f>
        <v>0</v>
      </c>
      <c r="W53" s="29">
        <v>341794262</v>
      </c>
      <c r="X53" s="22"/>
      <c r="Y53" s="25"/>
      <c r="Z53" s="15">
        <v>1</v>
      </c>
      <c r="AA53" s="15">
        <f>[Ordinárias]+[Preferenciais]</f>
        <v>341794262</v>
      </c>
    </row>
    <row r="54" spans="1:27">
      <c r="A54" s="21" t="s">
        <v>67</v>
      </c>
      <c r="B54" s="21" t="s">
        <v>40</v>
      </c>
      <c r="C54" s="14">
        <v>2011</v>
      </c>
      <c r="D54" s="15">
        <v>1000</v>
      </c>
      <c r="E54" s="16">
        <v>4090027</v>
      </c>
      <c r="F54" s="16">
        <v>2801029</v>
      </c>
      <c r="G54" s="16">
        <v>213037</v>
      </c>
      <c r="H54" s="16">
        <v>1400221</v>
      </c>
      <c r="I54" s="16">
        <f>644557+25806+1466335+8927</f>
        <v>2145625</v>
      </c>
      <c r="J54" s="16">
        <v>1138848</v>
      </c>
      <c r="K54" s="16">
        <v>4232137</v>
      </c>
      <c r="L54" s="16">
        <v>-89168</v>
      </c>
      <c r="M54" s="16">
        <v>0</v>
      </c>
      <c r="N54" s="22">
        <f>IF(OR([Preferenciais]&lt;&gt;0,[Ordinárias]&lt;&gt;0),[Dividendos]*[Reais]/((1+[Bônus Preferenciais])*[Preferenciais]+[Ordinárias]),0)</f>
        <v>0</v>
      </c>
      <c r="O54" s="18">
        <f>IF([RBV]&gt;0,[LL]/[RBV],0)</f>
        <v>-2.1069261226656887E-2</v>
      </c>
      <c r="P54" s="18">
        <f>IF([PL]&lt;&gt;0,[LL]/[PL],0)</f>
        <v>-7.8296664699766788E-2</v>
      </c>
      <c r="Q54" s="33">
        <f>IF([PC]&lt;&gt;0,[AC]/[PC],0)</f>
        <v>2.0004192195374872</v>
      </c>
      <c r="R54" s="18">
        <f>IF([PL]&lt;&gt;0,[AI]/[PL],0)</f>
        <v>0.18706359408806092</v>
      </c>
      <c r="S54" s="18">
        <f>IF([AT]&lt;&gt;0,[PO]/[AT],0)</f>
        <v>0.52459922636207534</v>
      </c>
      <c r="T54" s="18">
        <f>IF([LL]&lt;&gt;0,[Dividendos]/[LL],0)</f>
        <v>0</v>
      </c>
      <c r="U54" s="20">
        <f>([Div/Ação]/20%*[Unit])</f>
        <v>0</v>
      </c>
      <c r="V54" s="22">
        <f>([Div/Ação]/Setup!$A$2*[Unit])</f>
        <v>0</v>
      </c>
      <c r="W54" s="29">
        <v>341794262</v>
      </c>
      <c r="X54" s="22"/>
      <c r="Y54" s="25"/>
      <c r="Z54" s="15">
        <v>1</v>
      </c>
      <c r="AA54" s="15">
        <f>[Ordinárias]+[Preferenciais]</f>
        <v>341794262</v>
      </c>
    </row>
    <row r="55" spans="1:27">
      <c r="A55" s="21" t="s">
        <v>67</v>
      </c>
      <c r="B55" s="21" t="s">
        <v>40</v>
      </c>
      <c r="C55" s="21">
        <v>2010</v>
      </c>
      <c r="D55" s="15">
        <v>1000</v>
      </c>
      <c r="E55" s="16">
        <v>3212014</v>
      </c>
      <c r="F55" s="16">
        <v>2324298</v>
      </c>
      <c r="G55" s="16">
        <v>131949</v>
      </c>
      <c r="H55" s="16">
        <v>1400288</v>
      </c>
      <c r="I55" s="16">
        <f>543113+42668+1535216+6674</f>
        <v>2127671</v>
      </c>
      <c r="J55" s="16">
        <v>225945</v>
      </c>
      <c r="K55" s="16">
        <v>4073569</v>
      </c>
      <c r="L55" s="16">
        <v>33587</v>
      </c>
      <c r="M55" s="16">
        <f>5383+803</f>
        <v>6186</v>
      </c>
      <c r="N55" s="22">
        <f>IF(OR([Preferenciais]&lt;&gt;0,[Ordinárias]&lt;&gt;0),[Dividendos]*[Reais]/((1+[Bônus Preferenciais])*[Preferenciais]+[Ordinárias]),0)</f>
        <v>1.8098606933313586E-2</v>
      </c>
      <c r="O55" s="18">
        <f>IF([RBV]&gt;0,[LL]/[RBV],0)</f>
        <v>8.2451039862096367E-3</v>
      </c>
      <c r="P55" s="18">
        <f>IF([PL]&lt;&gt;0,[LL]/[PL],0)</f>
        <v>0.1486512204297506</v>
      </c>
      <c r="Q55" s="33">
        <f>IF([PC]&lt;&gt;0,[AC]/[PC],0)</f>
        <v>1.659871397883864</v>
      </c>
      <c r="R55" s="18">
        <f>IF([PL]&lt;&gt;0,[AI]/[PL],0)</f>
        <v>0.58398725353515235</v>
      </c>
      <c r="S55" s="18">
        <f>IF([AT]&lt;&gt;0,[PO]/[AT],0)</f>
        <v>0.66241025101384987</v>
      </c>
      <c r="T55" s="18">
        <f>IF([LL]&lt;&gt;0,[Dividendos]/[LL],0)</f>
        <v>0.18417840235805519</v>
      </c>
      <c r="U55" s="20">
        <f>([Div/Ação]/20%*[Unit])</f>
        <v>9.0493034666567926E-2</v>
      </c>
      <c r="V55" s="22">
        <f>([Div/Ação]/Setup!$A$2*[Unit])</f>
        <v>0.13039342170975204</v>
      </c>
      <c r="W55" s="29">
        <v>341794262</v>
      </c>
      <c r="X55" s="22"/>
      <c r="Y55" s="25"/>
      <c r="Z55" s="15">
        <v>1</v>
      </c>
      <c r="AA55" s="15">
        <f>[Ordinárias]+[Preferenciais]</f>
        <v>341794262</v>
      </c>
    </row>
    <row r="56" spans="1:27">
      <c r="A56" s="21" t="s">
        <v>67</v>
      </c>
      <c r="B56" s="21" t="s">
        <v>39</v>
      </c>
      <c r="C56" s="14">
        <v>2015</v>
      </c>
      <c r="D56" s="15">
        <v>1000</v>
      </c>
      <c r="E56" s="23">
        <v>15823430</v>
      </c>
      <c r="F56" s="23">
        <v>9771757</v>
      </c>
      <c r="G56" s="23">
        <v>740661</v>
      </c>
      <c r="H56" s="23">
        <v>3350320</v>
      </c>
      <c r="I56" s="23">
        <f>765659+1581290+4155486+30513</f>
        <v>6532948</v>
      </c>
      <c r="J56" s="23">
        <v>8030455</v>
      </c>
      <c r="K56" s="23">
        <v>2956649</v>
      </c>
      <c r="L56" s="23">
        <v>559872</v>
      </c>
      <c r="M56" s="23">
        <v>24908</v>
      </c>
      <c r="N56" s="28">
        <f>IF(OR([Preferenciais]&lt;&gt;0,[Ordinárias]&lt;&gt;0),[Dividendos]*[Reais]/((1+[Bônus Preferenciais])*[Preferenciais]+[Ordinárias]),0)</f>
        <v>3.9396552621333805E-2</v>
      </c>
      <c r="O56" s="25">
        <f>IF([RBV]&gt;0,[LL]/[RBV],0)</f>
        <v>0.18936031974035469</v>
      </c>
      <c r="P56" s="25">
        <f>IF([PL]&lt;&gt;0,[LL]/[PL],0)</f>
        <v>6.9718590042531836E-2</v>
      </c>
      <c r="Q56" s="32">
        <f>IF([PC]&lt;&gt;0,[AC]/[PC],0)</f>
        <v>2.9166637813701377</v>
      </c>
      <c r="R56" s="25">
        <f>IF([PL]&lt;&gt;0,[AI]/[PL],0)</f>
        <v>9.2231511165930202E-2</v>
      </c>
      <c r="S56" s="25">
        <f>IF([AT]&lt;&gt;0,[PO]/[AT],0)</f>
        <v>0.41286547859724471</v>
      </c>
      <c r="T56" s="25">
        <f>IF([LL]&lt;&gt;0,[Dividendos]/[LL],0)</f>
        <v>4.4488740283493367E-2</v>
      </c>
      <c r="U56" s="27">
        <f>([Div/Ação]/20%*[Unit])</f>
        <v>0.19698276310666901</v>
      </c>
      <c r="V56" s="28">
        <f>([Div/Ação]/Setup!$A$2*[Unit])</f>
        <v>0.2838368344476499</v>
      </c>
      <c r="W56" s="29">
        <v>632238060</v>
      </c>
      <c r="X56" s="22"/>
      <c r="Y56" s="25"/>
      <c r="Z56" s="29">
        <v>1</v>
      </c>
      <c r="AA56" s="15">
        <f>[Ordinárias]+[Preferenciais]</f>
        <v>632238060</v>
      </c>
    </row>
    <row r="57" spans="1:27">
      <c r="A57" s="21" t="s">
        <v>67</v>
      </c>
      <c r="B57" s="21" t="s">
        <v>39</v>
      </c>
      <c r="C57" s="14">
        <v>2014</v>
      </c>
      <c r="D57" s="15">
        <v>1000</v>
      </c>
      <c r="E57" s="23">
        <v>13887691</v>
      </c>
      <c r="F57" s="23">
        <v>4825420</v>
      </c>
      <c r="G57" s="23">
        <v>1666691</v>
      </c>
      <c r="H57" s="23">
        <v>2989129</v>
      </c>
      <c r="I57" s="23">
        <f>1731023+767012+3073876+48107</f>
        <v>5620018</v>
      </c>
      <c r="J57" s="23">
        <v>7475963</v>
      </c>
      <c r="K57" s="23">
        <v>2768096</v>
      </c>
      <c r="L57" s="23">
        <v>402695</v>
      </c>
      <c r="M57" s="23">
        <v>0</v>
      </c>
      <c r="N57" s="28">
        <f>IF(OR([Preferenciais]&lt;&gt;0,[Ordinárias]&lt;&gt;0),[Dividendos]*[Reais]/((1+[Bônus Preferenciais])*[Preferenciais]+[Ordinárias]),0)</f>
        <v>0</v>
      </c>
      <c r="O57" s="25">
        <f>IF([RBV]&gt;0,[LL]/[RBV],0)</f>
        <v>0.14547725223402658</v>
      </c>
      <c r="P57" s="25">
        <f>IF([PL]&lt;&gt;0,[LL]/[PL],0)</f>
        <v>5.3865301366526293E-2</v>
      </c>
      <c r="Q57" s="32">
        <f>IF([PC]&lt;&gt;0,[AC]/[PC],0)</f>
        <v>1.6143231021478164</v>
      </c>
      <c r="R57" s="25">
        <f>IF([PL]&lt;&gt;0,[AI]/[PL],0)</f>
        <v>0.22293997442202429</v>
      </c>
      <c r="S57" s="25">
        <f>IF([AT]&lt;&gt;0,[PO]/[AT],0)</f>
        <v>0.40467619851276931</v>
      </c>
      <c r="T57" s="25">
        <f>IF([LL]&lt;&gt;0,[Dividendos]/[LL],0)</f>
        <v>0</v>
      </c>
      <c r="U57" s="27">
        <f>([Div/Ação]/20%*[Unit])</f>
        <v>0</v>
      </c>
      <c r="V57" s="28">
        <f>([Div/Ação]/Setup!$A$2*[Unit])</f>
        <v>0</v>
      </c>
      <c r="W57" s="29">
        <v>632238060</v>
      </c>
      <c r="X57" s="22"/>
      <c r="Y57" s="25"/>
      <c r="Z57" s="29">
        <v>1</v>
      </c>
      <c r="AA57" s="15">
        <f>[Ordinárias]+[Preferenciais]</f>
        <v>632238060</v>
      </c>
    </row>
    <row r="58" spans="1:27">
      <c r="A58" s="21" t="s">
        <v>67</v>
      </c>
      <c r="B58" s="21" t="s">
        <v>39</v>
      </c>
      <c r="C58" s="14">
        <v>2013</v>
      </c>
      <c r="D58" s="15">
        <v>1000</v>
      </c>
      <c r="E58" s="23">
        <v>12501987</v>
      </c>
      <c r="F58" s="23">
        <v>3774193</v>
      </c>
      <c r="G58" s="23">
        <v>1521759</v>
      </c>
      <c r="H58" s="23">
        <v>1916989</v>
      </c>
      <c r="I58" s="23">
        <f>769231+434807+3139621+182787</f>
        <v>4526446</v>
      </c>
      <c r="J58" s="23">
        <v>7078577</v>
      </c>
      <c r="K58" s="23">
        <v>4258740</v>
      </c>
      <c r="L58" s="23">
        <v>256722</v>
      </c>
      <c r="M58" s="23">
        <v>0</v>
      </c>
      <c r="N58" s="28">
        <f>IF(OR([Preferenciais]&lt;&gt;0,[Ordinárias]&lt;&gt;0),[Dividendos]*[Reais]/((1+[Bônus Preferenciais])*[Preferenciais]+[Ordinárias]),0)</f>
        <v>0</v>
      </c>
      <c r="O58" s="25">
        <f>IF([RBV]&gt;0,[LL]/[RBV],0)</f>
        <v>6.0281209935332987E-2</v>
      </c>
      <c r="P58" s="25">
        <f>IF([PL]&lt;&gt;0,[LL]/[PL],0)</f>
        <v>3.6267458840950659E-2</v>
      </c>
      <c r="Q58" s="32">
        <f>IF([PC]&lt;&gt;0,[AC]/[PC],0)</f>
        <v>1.9688130709148566</v>
      </c>
      <c r="R58" s="25">
        <f>IF([PL]&lt;&gt;0,[AI]/[PL],0)</f>
        <v>0.21498092060028448</v>
      </c>
      <c r="S58" s="25">
        <f>IF([AT]&lt;&gt;0,[PO]/[AT],0)</f>
        <v>0.3620581272400939</v>
      </c>
      <c r="T58" s="25">
        <f>IF([LL]&lt;&gt;0,[Dividendos]/[LL],0)</f>
        <v>0</v>
      </c>
      <c r="U58" s="27">
        <f>([Div/Ação]/20%*[Unit])</f>
        <v>0</v>
      </c>
      <c r="V58" s="28">
        <f>([Div/Ação]/Setup!$A$2*[Unit])</f>
        <v>0</v>
      </c>
      <c r="W58" s="29">
        <v>632238060</v>
      </c>
      <c r="X58" s="22"/>
      <c r="Y58" s="25"/>
      <c r="Z58" s="29">
        <v>1</v>
      </c>
      <c r="AA58" s="15">
        <f>[Ordinárias]+[Preferenciais]</f>
        <v>632238060</v>
      </c>
    </row>
    <row r="59" spans="1:27">
      <c r="A59" s="21" t="s">
        <v>67</v>
      </c>
      <c r="B59" s="21" t="s">
        <v>39</v>
      </c>
      <c r="C59" s="14">
        <v>2012</v>
      </c>
      <c r="D59" s="15">
        <v>1000</v>
      </c>
      <c r="E59" s="23">
        <v>12656511</v>
      </c>
      <c r="F59" s="23">
        <v>4011689</v>
      </c>
      <c r="G59" s="23">
        <v>1376971</v>
      </c>
      <c r="H59" s="23">
        <v>1658867</v>
      </c>
      <c r="I59" s="23">
        <f>346103+637839+3613847+236250</f>
        <v>4834039</v>
      </c>
      <c r="J59" s="23">
        <v>6868366</v>
      </c>
      <c r="K59" s="23">
        <v>3873683</v>
      </c>
      <c r="L59" s="23">
        <v>203913</v>
      </c>
      <c r="M59" s="23">
        <v>102112</v>
      </c>
      <c r="N59" s="28">
        <f>IF(OR([Preferenciais]&lt;&gt;0,[Ordinárias]&lt;&gt;0),[Dividendos]*[Reais]/((1+[Bônus Preferenciais])*[Preferenciais]+[Ordinárias]),0)</f>
        <v>0.16150878357433907</v>
      </c>
      <c r="O59" s="25">
        <f>IF([RBV]&gt;0,[LL]/[RBV],0)</f>
        <v>5.2640600689318147E-2</v>
      </c>
      <c r="P59" s="25">
        <f>IF([PL]&lt;&gt;0,[LL]/[PL],0)</f>
        <v>2.9688720723386026E-2</v>
      </c>
      <c r="Q59" s="32">
        <f>IF([PC]&lt;&gt;0,[AC]/[PC],0)</f>
        <v>2.4183307040287136</v>
      </c>
      <c r="R59" s="25">
        <f>IF([PL]&lt;&gt;0,[AI]/[PL],0)</f>
        <v>0.20048014331210653</v>
      </c>
      <c r="S59" s="25">
        <f>IF([AT]&lt;&gt;0,[PO]/[AT],0)</f>
        <v>0.38194088402404108</v>
      </c>
      <c r="T59" s="25">
        <f>IF([LL]&lt;&gt;0,[Dividendos]/[LL],0)</f>
        <v>0.50076258011995312</v>
      </c>
      <c r="U59" s="27">
        <f>([Div/Ação]/20%*[Unit])</f>
        <v>0.80754391787169533</v>
      </c>
      <c r="V59" s="28">
        <f>([Div/Ação]/Setup!$A$2*[Unit])</f>
        <v>1.1636079508237684</v>
      </c>
      <c r="W59" s="29">
        <v>632238060</v>
      </c>
      <c r="X59" s="22"/>
      <c r="Y59" s="25"/>
      <c r="Z59" s="29">
        <v>1</v>
      </c>
      <c r="AA59" s="15">
        <f>[Ordinárias]+[Preferenciais]</f>
        <v>632238060</v>
      </c>
    </row>
    <row r="60" spans="1:27">
      <c r="A60" s="21" t="s">
        <v>67</v>
      </c>
      <c r="B60" s="21" t="s">
        <v>39</v>
      </c>
      <c r="C60" s="14">
        <v>2011</v>
      </c>
      <c r="D60" s="15">
        <v>1000</v>
      </c>
      <c r="E60" s="23">
        <v>13325286</v>
      </c>
      <c r="F60" s="23">
        <v>4718407</v>
      </c>
      <c r="G60" s="23">
        <v>1258664</v>
      </c>
      <c r="H60" s="23">
        <v>1599875</v>
      </c>
      <c r="I60" s="23">
        <f>532488+587771+4014204+503413</f>
        <v>5637876</v>
      </c>
      <c r="J60" s="23">
        <v>6645934</v>
      </c>
      <c r="K60" s="23">
        <v>3324630</v>
      </c>
      <c r="L60" s="23">
        <v>-54651</v>
      </c>
      <c r="M60" s="23">
        <v>0</v>
      </c>
      <c r="N60" s="28">
        <f>IF(OR([Preferenciais]&lt;&gt;0,[Ordinárias]&lt;&gt;0),[Dividendos]*[Reais]/((1+[Bônus Preferenciais])*[Preferenciais]+[Ordinárias]),0)</f>
        <v>0</v>
      </c>
      <c r="O60" s="25">
        <f>IF([RBV]&gt;0,[LL]/[RBV],0)</f>
        <v>-1.6438220192923726E-2</v>
      </c>
      <c r="P60" s="25">
        <f>IF([PL]&lt;&gt;0,[LL]/[PL],0)</f>
        <v>-8.2232234024593089E-3</v>
      </c>
      <c r="Q60" s="32">
        <f>IF([PC]&lt;&gt;0,[AC]/[PC],0)</f>
        <v>2.9492347839674973</v>
      </c>
      <c r="R60" s="25">
        <f>IF([PL]&lt;&gt;0,[AI]/[PL],0)</f>
        <v>0.1893885795435224</v>
      </c>
      <c r="S60" s="25">
        <f>IF([AT]&lt;&gt;0,[PO]/[AT],0)</f>
        <v>0.42309605962678776</v>
      </c>
      <c r="T60" s="25">
        <f>IF([LL]&lt;&gt;0,[Dividendos]/[LL],0)</f>
        <v>0</v>
      </c>
      <c r="U60" s="27">
        <f>([Div/Ação]/20%*[Unit])</f>
        <v>0</v>
      </c>
      <c r="V60" s="28">
        <f>([Div/Ação]/Setup!$A$2*[Unit])</f>
        <v>0</v>
      </c>
      <c r="W60" s="29">
        <v>632238060</v>
      </c>
      <c r="X60" s="22"/>
      <c r="Y60" s="25"/>
      <c r="Z60" s="29">
        <v>1</v>
      </c>
      <c r="AA60" s="15">
        <f>[Ordinárias]+[Preferenciais]</f>
        <v>632238060</v>
      </c>
    </row>
    <row r="61" spans="1:27">
      <c r="A61" s="21" t="s">
        <v>67</v>
      </c>
      <c r="B61" s="21" t="s">
        <v>39</v>
      </c>
      <c r="C61" s="21">
        <v>2010</v>
      </c>
      <c r="D61" s="15">
        <v>1000</v>
      </c>
      <c r="E61" s="23">
        <v>9987182</v>
      </c>
      <c r="F61" s="23">
        <v>4487508</v>
      </c>
      <c r="G61" s="23">
        <v>739685</v>
      </c>
      <c r="H61" s="23">
        <v>1748553</v>
      </c>
      <c r="I61" s="23">
        <f>488646+939117+2461653+684432</f>
        <v>4573848</v>
      </c>
      <c r="J61" s="23">
        <v>5059091</v>
      </c>
      <c r="K61" s="23">
        <v>3159728</v>
      </c>
      <c r="L61" s="23">
        <v>261901</v>
      </c>
      <c r="M61" s="23">
        <v>0</v>
      </c>
      <c r="N61" s="28">
        <f>IF(OR([Preferenciais]&lt;&gt;0,[Ordinárias]&lt;&gt;0),[Dividendos]*[Reais]/((1+[Bônus Preferenciais])*[Preferenciais]+[Ordinárias]),0)</f>
        <v>0</v>
      </c>
      <c r="O61" s="25">
        <f>IF([RBV]&gt;0,[LL]/[RBV],0)</f>
        <v>8.2887197885387606E-2</v>
      </c>
      <c r="P61" s="25">
        <f>IF([PL]&lt;&gt;0,[LL]/[PL],0)</f>
        <v>5.1768390803802501E-2</v>
      </c>
      <c r="Q61" s="32">
        <f>IF([PC]&lt;&gt;0,[AC]/[PC],0)</f>
        <v>2.5664123420908602</v>
      </c>
      <c r="R61" s="25">
        <f>IF([PL]&lt;&gt;0,[AI]/[PL],0)</f>
        <v>0.14620907194592864</v>
      </c>
      <c r="S61" s="25">
        <f>IF([AT]&lt;&gt;0,[PO]/[AT],0)</f>
        <v>0.4579718282895015</v>
      </c>
      <c r="T61" s="25">
        <f>IF([LL]&lt;&gt;0,[Dividendos]/[LL],0)</f>
        <v>0</v>
      </c>
      <c r="U61" s="27">
        <f>([Div/Ação]/20%*[Unit])</f>
        <v>0</v>
      </c>
      <c r="V61" s="28">
        <f>([Div/Ação]/Setup!$A$2*[Unit])</f>
        <v>0</v>
      </c>
      <c r="W61" s="29">
        <v>632238060</v>
      </c>
      <c r="X61" s="22"/>
      <c r="Y61" s="25"/>
      <c r="Z61" s="29">
        <v>1</v>
      </c>
      <c r="AA61" s="15">
        <f>[Ordinárias]+[Preferenciais]</f>
        <v>632238060</v>
      </c>
    </row>
    <row r="62" spans="1:27">
      <c r="A62" s="21" t="s">
        <v>67</v>
      </c>
      <c r="B62" s="21" t="s">
        <v>37</v>
      </c>
      <c r="C62" s="14">
        <v>2015</v>
      </c>
      <c r="D62" s="15">
        <v>1000</v>
      </c>
      <c r="E62" s="23">
        <v>20528253</v>
      </c>
      <c r="F62" s="23">
        <v>12281139</v>
      </c>
      <c r="G62" s="23">
        <v>2716759</v>
      </c>
      <c r="H62" s="23">
        <v>7618062</v>
      </c>
      <c r="I62" s="23">
        <f>1223546+140364+9541570+64577</f>
        <v>10970057</v>
      </c>
      <c r="J62" s="23">
        <v>2943605</v>
      </c>
      <c r="K62" s="23">
        <v>17926155</v>
      </c>
      <c r="L62" s="23">
        <v>64474</v>
      </c>
      <c r="M62" s="23">
        <f>94000+21500</f>
        <v>115500</v>
      </c>
      <c r="N62" s="28">
        <f>IF(OR([Preferenciais]&lt;&gt;0,[Ordinárias]&lt;&gt;0),[Dividendos]*[Reais]/((1+[Bônus Preferenciais])*[Preferenciais]+[Ordinárias]),0)</f>
        <v>8.1721555081212205E-2</v>
      </c>
      <c r="O62" s="25">
        <f>IF([RBV]&gt;0,[LL]/[RBV],0)</f>
        <v>3.5966441213969198E-3</v>
      </c>
      <c r="P62" s="25">
        <f>IF([PL]&lt;&gt;0,[LL]/[PL],0)</f>
        <v>2.1903074631276956E-2</v>
      </c>
      <c r="Q62" s="32">
        <f>IF([PC]&lt;&gt;0,[AC]/[PC],0)</f>
        <v>1.6121080400763343</v>
      </c>
      <c r="R62" s="25">
        <f>IF([PL]&lt;&gt;0,[AI]/[PL],0)</f>
        <v>0.92293599175161067</v>
      </c>
      <c r="S62" s="25">
        <f>IF([AT]&lt;&gt;0,[PO]/[AT],0)</f>
        <v>0.53438824044111299</v>
      </c>
      <c r="T62" s="25">
        <f>IF([LL]&lt;&gt;0,[Dividendos]/[LL],0)</f>
        <v>1.7914197971275243</v>
      </c>
      <c r="U62" s="27">
        <f>([Div/Ação]/20%*[Unit])</f>
        <v>0.40860777540606102</v>
      </c>
      <c r="V62" s="28">
        <f>([Div/Ação]/Setup!$A$2*[Unit])</f>
        <v>0.5887720106715576</v>
      </c>
      <c r="W62" s="29">
        <v>1413335807</v>
      </c>
      <c r="X62" s="22"/>
      <c r="Y62" s="25"/>
      <c r="Z62" s="29">
        <v>1</v>
      </c>
      <c r="AA62" s="15">
        <f>[Ordinárias]+[Preferenciais]</f>
        <v>1413335807</v>
      </c>
    </row>
    <row r="63" spans="1:27">
      <c r="A63" s="21" t="s">
        <v>67</v>
      </c>
      <c r="B63" s="21" t="s">
        <v>37</v>
      </c>
      <c r="C63" s="14">
        <v>2014</v>
      </c>
      <c r="D63" s="15">
        <v>1000</v>
      </c>
      <c r="E63" s="16">
        <v>16858031</v>
      </c>
      <c r="F63" s="16">
        <v>10093028</v>
      </c>
      <c r="G63" s="16">
        <v>2317668</v>
      </c>
      <c r="H63" s="16">
        <v>6547473</v>
      </c>
      <c r="I63" s="16">
        <f>966353+226230+7049027+20926</f>
        <v>8262536</v>
      </c>
      <c r="J63" s="16">
        <v>3048280</v>
      </c>
      <c r="K63" s="16">
        <v>16145669</v>
      </c>
      <c r="L63" s="16">
        <v>355210</v>
      </c>
      <c r="M63" s="16">
        <f>54415+55000+6085</f>
        <v>115500</v>
      </c>
      <c r="N63" s="22">
        <f>IF(OR([Preferenciais]&lt;&gt;0,[Ordinárias]&lt;&gt;0),[Dividendos]*[Reais]/((1+[Bônus Preferenciais])*[Preferenciais]+[Ordinárias]),0)</f>
        <v>8.1721555081212205E-2</v>
      </c>
      <c r="O63" s="18">
        <f>IF([RBV]&gt;0,[LL]/[RBV],0)</f>
        <v>2.2000327146555525E-2</v>
      </c>
      <c r="P63" s="18">
        <f>IF([PL]&lt;&gt;0,[LL]/[PL],0)</f>
        <v>0.11652800923799651</v>
      </c>
      <c r="Q63" s="33">
        <f>IF([PC]&lt;&gt;0,[AC]/[PC],0)</f>
        <v>1.5415150241933033</v>
      </c>
      <c r="R63" s="18">
        <f>IF([PL]&lt;&gt;0,[AI]/[PL],0)</f>
        <v>0.76031991811775823</v>
      </c>
      <c r="S63" s="18">
        <f>IF([AT]&lt;&gt;0,[PO]/[AT],0)</f>
        <v>0.4901246177563679</v>
      </c>
      <c r="T63" s="18">
        <f>IF([LL]&lt;&gt;0,[Dividendos]/[LL],0)</f>
        <v>0.32515976464626561</v>
      </c>
      <c r="U63" s="20">
        <f>([Div/Ação]/20%*[Unit])</f>
        <v>0.40860777540606102</v>
      </c>
      <c r="V63" s="22">
        <f>([Div/Ação]/Setup!$A$2*[Unit])</f>
        <v>0.5887720106715576</v>
      </c>
      <c r="W63" s="29">
        <v>1413335807</v>
      </c>
      <c r="X63" s="22"/>
      <c r="Y63" s="25"/>
      <c r="Z63" s="15">
        <v>1</v>
      </c>
      <c r="AA63" s="15">
        <f>[Ordinárias]+[Preferenciais]</f>
        <v>1413335807</v>
      </c>
    </row>
    <row r="64" spans="1:27">
      <c r="A64" s="21" t="s">
        <v>67</v>
      </c>
      <c r="B64" s="21" t="s">
        <v>37</v>
      </c>
      <c r="C64" s="14">
        <v>2013</v>
      </c>
      <c r="D64" s="15">
        <v>1000</v>
      </c>
      <c r="E64" s="16">
        <v>14138353</v>
      </c>
      <c r="F64" s="16">
        <v>8991570</v>
      </c>
      <c r="G64" s="16">
        <v>1785347</v>
      </c>
      <c r="H64" s="16">
        <v>5480314</v>
      </c>
      <c r="I64" s="16">
        <f>747650+134396+6945688+11038</f>
        <v>7838772</v>
      </c>
      <c r="J64" s="16">
        <v>1488484</v>
      </c>
      <c r="K64" s="16">
        <v>13401172</v>
      </c>
      <c r="L64" s="16">
        <v>402617</v>
      </c>
      <c r="M64" s="16">
        <f>73758+39000+2742</f>
        <v>115500</v>
      </c>
      <c r="N64" s="22">
        <f>IF(OR([Preferenciais]&lt;&gt;0,[Ordinárias]&lt;&gt;0),[Dividendos]*[Reais]/((1+[Bônus Preferenciais])*[Preferenciais]+[Ordinárias]),0)</f>
        <v>8.1721555081212205E-2</v>
      </c>
      <c r="O64" s="18">
        <f>IF([RBV]&gt;0,[LL]/[RBV],0)</f>
        <v>3.0043417098146341E-2</v>
      </c>
      <c r="P64" s="18">
        <f>IF([PL]&lt;&gt;0,[LL]/[PL],0)</f>
        <v>0.27048795956154048</v>
      </c>
      <c r="Q64" s="33">
        <f>IF([PC]&lt;&gt;0,[AC]/[PC],0)</f>
        <v>1.6407034341462916</v>
      </c>
      <c r="R64" s="18">
        <f>IF([PL]&lt;&gt;0,[AI]/[PL],0)</f>
        <v>1.1994398327425757</v>
      </c>
      <c r="S64" s="18">
        <f>IF([AT]&lt;&gt;0,[PO]/[AT],0)</f>
        <v>0.55443317902728839</v>
      </c>
      <c r="T64" s="18">
        <f>IF([LL]&lt;&gt;0,[Dividendos]/[LL],0)</f>
        <v>0.28687313253041974</v>
      </c>
      <c r="U64" s="20">
        <f>([Div/Ação]/20%*[Unit])</f>
        <v>0.40860777540606102</v>
      </c>
      <c r="V64" s="22">
        <f>([Div/Ação]/Setup!$A$2*[Unit])</f>
        <v>0.5887720106715576</v>
      </c>
      <c r="W64" s="29">
        <v>1413335807</v>
      </c>
      <c r="X64" s="22"/>
      <c r="Y64" s="25"/>
      <c r="Z64" s="15">
        <v>1</v>
      </c>
      <c r="AA64" s="15">
        <f>[Ordinárias]+[Preferenciais]</f>
        <v>1413335807</v>
      </c>
    </row>
    <row r="65" spans="1:28">
      <c r="A65" s="21" t="s">
        <v>67</v>
      </c>
      <c r="B65" s="21" t="s">
        <v>37</v>
      </c>
      <c r="C65" s="14">
        <v>2012</v>
      </c>
      <c r="D65" s="15">
        <v>1000</v>
      </c>
      <c r="E65" s="16">
        <v>11080294</v>
      </c>
      <c r="F65" s="16">
        <v>7354002</v>
      </c>
      <c r="G65" s="16">
        <v>1334442</v>
      </c>
      <c r="H65" s="16">
        <v>4904392</v>
      </c>
      <c r="I65" s="16">
        <f>1360086+117896+4892209+17299</f>
        <v>6387490</v>
      </c>
      <c r="J65" s="16">
        <v>1169305</v>
      </c>
      <c r="K65" s="16">
        <v>11334061</v>
      </c>
      <c r="L65" s="16">
        <v>346574</v>
      </c>
      <c r="M65" s="16">
        <f>60627+37500+1873</f>
        <v>100000</v>
      </c>
      <c r="N65" s="22">
        <f>IF(OR([Preferenciais]&lt;&gt;0,[Ordinárias]&lt;&gt;0),[Dividendos]*[Reais]/((1+[Bônus Preferenciais])*[Preferenciais]+[Ordinárias]),0)</f>
        <v>7.0754593143906669E-2</v>
      </c>
      <c r="O65" s="18">
        <f>IF([RBV]&gt;0,[LL]/[RBV],0)</f>
        <v>3.0578095529925239E-2</v>
      </c>
      <c r="P65" s="18">
        <f>IF([PL]&lt;&gt;0,[LL]/[PL],0)</f>
        <v>0.29639315661867521</v>
      </c>
      <c r="Q65" s="33">
        <f>IF([PC]&lt;&gt;0,[AC]/[PC],0)</f>
        <v>1.4994727175152394</v>
      </c>
      <c r="R65" s="18">
        <f>IF([PL]&lt;&gt;0,[AI]/[PL],0)</f>
        <v>1.1412266260727526</v>
      </c>
      <c r="S65" s="18">
        <f>IF([AT]&lt;&gt;0,[PO]/[AT],0)</f>
        <v>0.57647297084355342</v>
      </c>
      <c r="T65" s="18">
        <f>IF([LL]&lt;&gt;0,[Dividendos]/[LL],0)</f>
        <v>0.28853866706677361</v>
      </c>
      <c r="U65" s="20">
        <f>([Div/Ação]/20%*[Unit])</f>
        <v>0.35377296571953332</v>
      </c>
      <c r="V65" s="22">
        <f>([Div/Ação]/Setup!$A$2*[Unit])</f>
        <v>0.50975931659875118</v>
      </c>
      <c r="W65" s="29">
        <v>1413335807</v>
      </c>
      <c r="X65" s="22"/>
      <c r="Y65" s="25"/>
      <c r="Z65" s="15">
        <v>1</v>
      </c>
      <c r="AA65" s="15">
        <f>[Ordinárias]+[Preferenciais]</f>
        <v>1413335807</v>
      </c>
    </row>
    <row r="66" spans="1:28">
      <c r="A66" s="21" t="s">
        <v>67</v>
      </c>
      <c r="B66" s="21" t="s">
        <v>37</v>
      </c>
      <c r="C66" s="14">
        <v>2011</v>
      </c>
      <c r="D66" s="15">
        <v>1000</v>
      </c>
      <c r="E66" s="16">
        <v>9458027</v>
      </c>
      <c r="F66" s="16">
        <v>6772293</v>
      </c>
      <c r="G66" s="16">
        <v>934592</v>
      </c>
      <c r="H66" s="16">
        <v>4565564</v>
      </c>
      <c r="I66" s="16">
        <f>1433457+96185+3563254+41352</f>
        <v>5134248</v>
      </c>
      <c r="J66" s="16">
        <v>1158428</v>
      </c>
      <c r="K66" s="16">
        <v>9978406</v>
      </c>
      <c r="L66" s="16">
        <v>303766</v>
      </c>
      <c r="M66" s="16">
        <f>50846+29000</f>
        <v>79846</v>
      </c>
      <c r="N66" s="22">
        <f>IF(OR([Preferenciais]&lt;&gt;0,[Ordinárias]&lt;&gt;0),[Dividendos]*[Reais]/((1+[Bônus Preferenciais])*[Preferenciais]+[Ordinárias]),0)</f>
        <v>5.649471244168372E-2</v>
      </c>
      <c r="O66" s="18">
        <f>IF([RBV]&gt;0,[LL]/[RBV],0)</f>
        <v>3.0442337182912782E-2</v>
      </c>
      <c r="P66" s="18">
        <f>IF([PL]&lt;&gt;0,[LL]/[PL],0)</f>
        <v>0.26222259821067861</v>
      </c>
      <c r="Q66" s="33">
        <f>IF([PC]&lt;&gt;0,[AC]/[PC],0)</f>
        <v>1.4833420361646448</v>
      </c>
      <c r="R66" s="18">
        <f>IF([PL]&lt;&gt;0,[AI]/[PL],0)</f>
        <v>0.8067760793074753</v>
      </c>
      <c r="S66" s="18">
        <f>IF([AT]&lt;&gt;0,[PO]/[AT],0)</f>
        <v>0.54284556387923188</v>
      </c>
      <c r="T66" s="18">
        <f>IF([LL]&lt;&gt;0,[Dividendos]/[LL],0)</f>
        <v>0.26285364392328303</v>
      </c>
      <c r="U66" s="20">
        <f>([Div/Ação]/20%*[Unit])</f>
        <v>0.28247356220841857</v>
      </c>
      <c r="V66" s="22">
        <f>([Div/Ação]/Setup!$A$2*[Unit])</f>
        <v>0.40702242393143889</v>
      </c>
      <c r="W66" s="29">
        <v>1413335807</v>
      </c>
      <c r="X66" s="22"/>
      <c r="Y66" s="25"/>
      <c r="Z66" s="15">
        <v>1</v>
      </c>
      <c r="AA66" s="15">
        <f>[Ordinárias]+[Preferenciais]</f>
        <v>1413335807</v>
      </c>
    </row>
    <row r="67" spans="1:28">
      <c r="A67" s="21" t="s">
        <v>67</v>
      </c>
      <c r="B67" s="21" t="s">
        <v>37</v>
      </c>
      <c r="C67" s="21">
        <v>2010</v>
      </c>
      <c r="D67" s="15">
        <v>1000</v>
      </c>
      <c r="E67" s="16">
        <v>7996619</v>
      </c>
      <c r="F67" s="16">
        <v>5851663</v>
      </c>
      <c r="G67" s="16">
        <v>638406</v>
      </c>
      <c r="H67" s="16">
        <v>4444963</v>
      </c>
      <c r="I67" s="16">
        <f>1363508+87679+2779793+52483</f>
        <v>4283463</v>
      </c>
      <c r="J67" s="16">
        <v>550678</v>
      </c>
      <c r="K67" s="16">
        <v>9149051</v>
      </c>
      <c r="L67" s="16">
        <v>324201</v>
      </c>
      <c r="M67" s="16">
        <f>47762+23500</f>
        <v>71262</v>
      </c>
      <c r="N67" s="22">
        <f>IF(OR([Preferenciais]&lt;&gt;0,[Ordinárias]&lt;&gt;0),[Dividendos]*[Reais]/((1+[Bônus Preferenciais])*[Preferenciais]+[Ordinárias]),0)</f>
        <v>5.0421138166210772E-2</v>
      </c>
      <c r="O67" s="18">
        <f>IF([RBV]&gt;0,[LL]/[RBV],0)</f>
        <v>3.5435478499354744E-2</v>
      </c>
      <c r="P67" s="18">
        <f>IF([PL]&lt;&gt;0,[LL]/[PL],0)</f>
        <v>0.58873061934560666</v>
      </c>
      <c r="Q67" s="33">
        <f>IF([PC]&lt;&gt;0,[AC]/[PC],0)</f>
        <v>1.316470575795569</v>
      </c>
      <c r="R67" s="18">
        <f>IF([PL]&lt;&gt;0,[AI]/[PL],0)</f>
        <v>1.1593090699101833</v>
      </c>
      <c r="S67" s="18">
        <f>IF([AT]&lt;&gt;0,[PO]/[AT],0)</f>
        <v>0.53565925799390968</v>
      </c>
      <c r="T67" s="18">
        <f>IF([LL]&lt;&gt;0,[Dividendos]/[LL],0)</f>
        <v>0.21980808202318933</v>
      </c>
      <c r="U67" s="20">
        <f>([Div/Ação]/20%*[Unit])</f>
        <v>0.25210569083105383</v>
      </c>
      <c r="V67" s="22">
        <f>([Div/Ação]/Setup!$A$2*[Unit])</f>
        <v>0.36326468419460206</v>
      </c>
      <c r="W67" s="29">
        <v>1413335807</v>
      </c>
      <c r="X67" s="22"/>
      <c r="Y67" s="25"/>
      <c r="Z67" s="15">
        <v>1</v>
      </c>
      <c r="AA67" s="15">
        <f>[Ordinárias]+[Preferenciais]</f>
        <v>1413335807</v>
      </c>
      <c r="AB67" s="19"/>
    </row>
    <row r="68" spans="1:28">
      <c r="A68" s="21" t="s">
        <v>67</v>
      </c>
      <c r="B68" s="21" t="s">
        <v>32</v>
      </c>
      <c r="C68" s="14">
        <v>2015</v>
      </c>
      <c r="D68" s="15">
        <v>1000</v>
      </c>
      <c r="E68" s="23">
        <v>1750734</v>
      </c>
      <c r="F68" s="23">
        <v>1338522</v>
      </c>
      <c r="G68" s="23">
        <v>99361</v>
      </c>
      <c r="H68" s="23">
        <v>846456</v>
      </c>
      <c r="I68" s="23">
        <f>324495+70441+351393+4383</f>
        <v>750712</v>
      </c>
      <c r="J68" s="23">
        <v>524552</v>
      </c>
      <c r="K68" s="23">
        <v>1772815</v>
      </c>
      <c r="L68" s="23">
        <v>93714</v>
      </c>
      <c r="M68" s="23">
        <v>19884</v>
      </c>
      <c r="N68" s="28">
        <f>IF(OR([Preferenciais]&lt;&gt;0,[Ordinárias]&lt;&gt;0),[Dividendos]*[Reais]/((1+[Bônus Preferenciais])*[Preferenciais]+[Ordinárias]),0)</f>
        <v>0.74467043258783272</v>
      </c>
      <c r="O68" s="25">
        <f>IF([RBV]&gt;0,[LL]/[RBV],0)</f>
        <v>5.2861691716281731E-2</v>
      </c>
      <c r="P68" s="25">
        <f>IF([PL]&lt;&gt;0,[LL]/[PL],0)</f>
        <v>0.17865530967377877</v>
      </c>
      <c r="Q68" s="26">
        <f>IF([PC]&lt;&gt;0,[AC]/[PC],0)</f>
        <v>1.581324959596246</v>
      </c>
      <c r="R68" s="25">
        <f>IF([PL]&lt;&gt;0,[AI]/[PL],0)</f>
        <v>0.18942068660495051</v>
      </c>
      <c r="S68" s="25">
        <f>IF([AT]&lt;&gt;0,[PO]/[AT],0)</f>
        <v>0.42879843539909546</v>
      </c>
      <c r="T68" s="25">
        <f>IF([LL]&lt;&gt;0,[Dividendos]/[LL],0)</f>
        <v>0.21217747615084193</v>
      </c>
      <c r="U68" s="27">
        <f>([Div/Ação]/20%*[Unit])</f>
        <v>3.7233521629391633</v>
      </c>
      <c r="V68" s="28">
        <f>([Div/Ação]/Setup!$A$2*[Unit])</f>
        <v>5.3650607535146451</v>
      </c>
      <c r="W68" s="29">
        <v>26701745</v>
      </c>
      <c r="X68" s="22"/>
      <c r="Y68" s="25"/>
      <c r="Z68" s="15">
        <v>1</v>
      </c>
      <c r="AA68" s="15">
        <f>[Ordinárias]+[Preferenciais]</f>
        <v>26701745</v>
      </c>
      <c r="AB68" s="19"/>
    </row>
    <row r="69" spans="1:28">
      <c r="A69" s="21" t="s">
        <v>67</v>
      </c>
      <c r="B69" s="21" t="s">
        <v>32</v>
      </c>
      <c r="C69" s="14">
        <v>2014</v>
      </c>
      <c r="D69" s="15">
        <v>1000</v>
      </c>
      <c r="E69" s="16">
        <v>1871799</v>
      </c>
      <c r="F69" s="16">
        <v>1444747</v>
      </c>
      <c r="G69" s="16">
        <v>118341</v>
      </c>
      <c r="H69" s="16">
        <v>1053068</v>
      </c>
      <c r="I69" s="16">
        <f>503677+68738+297566+7669</f>
        <v>877650</v>
      </c>
      <c r="J69" s="16">
        <v>472518</v>
      </c>
      <c r="K69" s="16">
        <v>1821453</v>
      </c>
      <c r="L69" s="16">
        <v>5747</v>
      </c>
      <c r="M69" s="16">
        <f>1367+4099</f>
        <v>5466</v>
      </c>
      <c r="N69" s="22">
        <f>IF(OR([Preferenciais]&lt;&gt;0,[Ordinárias]&lt;&gt;0),[Dividendos]*[Reais]/((1+[Bônus Preferenciais])*[Preferenciais]+[Ordinárias]),0)</f>
        <v>0.20470572241626905</v>
      </c>
      <c r="O69" s="18">
        <f>IF([RBV]&gt;0,[LL]/[RBV],0)</f>
        <v>3.1551733698316673E-3</v>
      </c>
      <c r="P69" s="18">
        <f>IF([PL]&lt;&gt;0,[LL]/[PL],0)</f>
        <v>1.2162499629643738E-2</v>
      </c>
      <c r="Q69" s="19">
        <f>IF([PC]&lt;&gt;0,[AC]/[PC],0)</f>
        <v>1.3719408433263569</v>
      </c>
      <c r="R69" s="18">
        <f>IF([PL]&lt;&gt;0,[AI]/[PL],0)</f>
        <v>0.25044760199611443</v>
      </c>
      <c r="S69" s="18">
        <f>IF([AT]&lt;&gt;0,[PO]/[AT],0)</f>
        <v>0.46888047274306699</v>
      </c>
      <c r="T69" s="18">
        <f>IF([LL]&lt;&gt;0,[Dividendos]/[LL],0)</f>
        <v>0.95110492430833482</v>
      </c>
      <c r="U69" s="20">
        <f>([Div/Ação]/20%*[Unit])</f>
        <v>1.0235286120813452</v>
      </c>
      <c r="V69" s="22">
        <f>([Div/Ação]/Setup!$A$2*[Unit])</f>
        <v>1.4748250894543879</v>
      </c>
      <c r="W69" s="29">
        <v>26701745</v>
      </c>
      <c r="X69" s="22"/>
      <c r="Y69" s="25"/>
      <c r="Z69" s="15">
        <v>1</v>
      </c>
      <c r="AA69" s="15">
        <f>[Ordinárias]+[Preferenciais]</f>
        <v>26701745</v>
      </c>
      <c r="AB69" s="19"/>
    </row>
    <row r="70" spans="1:28">
      <c r="A70" s="21" t="s">
        <v>67</v>
      </c>
      <c r="B70" s="21" t="s">
        <v>32</v>
      </c>
      <c r="C70" s="14">
        <v>2013</v>
      </c>
      <c r="D70" s="15">
        <v>1000</v>
      </c>
      <c r="E70" s="16">
        <v>1326029</v>
      </c>
      <c r="F70" s="16">
        <v>949363</v>
      </c>
      <c r="G70" s="16">
        <v>116092</v>
      </c>
      <c r="H70" s="16">
        <v>549896</v>
      </c>
      <c r="I70" s="16">
        <f>224722+59346+220962+214</f>
        <v>505244</v>
      </c>
      <c r="J70" s="16">
        <v>515741</v>
      </c>
      <c r="K70" s="16">
        <v>2143751</v>
      </c>
      <c r="L70" s="16">
        <v>13021</v>
      </c>
      <c r="M70" s="16">
        <f>3093+9279</f>
        <v>12372</v>
      </c>
      <c r="N70" s="22">
        <f>IF(OR([Preferenciais]&lt;&gt;0,[Ordinárias]&lt;&gt;0),[Dividendos]*[Reais]/((1+[Bônus Preferenciais])*[Preferenciais]+[Ordinárias]),0)</f>
        <v>0.4633405045250788</v>
      </c>
      <c r="O70" s="18">
        <f>IF([RBV]&gt;0,[LL]/[RBV],0)</f>
        <v>6.0739330267367804E-3</v>
      </c>
      <c r="P70" s="18">
        <f>IF([PL]&lt;&gt;0,[LL]/[PL],0)</f>
        <v>2.5247168636970883E-2</v>
      </c>
      <c r="Q70" s="19">
        <f>IF([PC]&lt;&gt;0,[AC]/[PC],0)</f>
        <v>1.7264409997526806</v>
      </c>
      <c r="R70" s="18">
        <f>IF([PL]&lt;&gt;0,[AI]/[PL],0)</f>
        <v>0.22509748110000949</v>
      </c>
      <c r="S70" s="18">
        <f>IF([AT]&lt;&gt;0,[PO]/[AT],0)</f>
        <v>0.38102032459320273</v>
      </c>
      <c r="T70" s="18">
        <f>IF([LL]&lt;&gt;0,[Dividendos]/[LL],0)</f>
        <v>0.9501574379847938</v>
      </c>
      <c r="U70" s="20">
        <f>([Div/Ação]/20%*[Unit])</f>
        <v>2.3167025226253939</v>
      </c>
      <c r="V70" s="22">
        <f>([Div/Ação]/Setup!$A$2*[Unit])</f>
        <v>3.3381880729472533</v>
      </c>
      <c r="W70" s="29">
        <v>26701745</v>
      </c>
      <c r="X70" s="22"/>
      <c r="Y70" s="25"/>
      <c r="Z70" s="15">
        <v>1</v>
      </c>
      <c r="AA70" s="15">
        <f>[Ordinárias]+[Preferenciais]</f>
        <v>26701745</v>
      </c>
      <c r="AB70" s="19"/>
    </row>
    <row r="71" spans="1:28">
      <c r="A71" s="21" t="s">
        <v>67</v>
      </c>
      <c r="B71" s="21" t="s">
        <v>32</v>
      </c>
      <c r="C71" s="14">
        <v>2012</v>
      </c>
      <c r="D71" s="15">
        <v>1000</v>
      </c>
      <c r="E71" s="16">
        <v>1334917</v>
      </c>
      <c r="F71" s="16">
        <v>964310</v>
      </c>
      <c r="G71" s="16">
        <v>126154</v>
      </c>
      <c r="H71" s="16">
        <v>552460</v>
      </c>
      <c r="I71" s="16">
        <f>148371+59813+226622+4607</f>
        <v>439413</v>
      </c>
      <c r="J71" s="16">
        <v>515941</v>
      </c>
      <c r="K71" s="16">
        <v>1923508</v>
      </c>
      <c r="L71" s="16">
        <v>77015</v>
      </c>
      <c r="M71" s="16">
        <f>18290+7695</f>
        <v>25985</v>
      </c>
      <c r="N71" s="22">
        <f>IF(OR([Preferenciais]&lt;&gt;0,[Ordinárias]&lt;&gt;0),[Dividendos]*[Reais]/((1+[Bônus Preferenciais])*[Preferenciais]+[Ordinárias]),0)</f>
        <v>0.97315737229907628</v>
      </c>
      <c r="O71" s="18">
        <f>IF([RBV]&gt;0,[LL]/[RBV],0)</f>
        <v>4.0038824897011084E-2</v>
      </c>
      <c r="P71" s="18">
        <f>IF([PL]&lt;&gt;0,[LL]/[PL],0)</f>
        <v>0.14927094377070246</v>
      </c>
      <c r="Q71" s="19">
        <f>IF([PC]&lt;&gt;0,[AC]/[PC],0)</f>
        <v>1.7454838359338232</v>
      </c>
      <c r="R71" s="18">
        <f>IF([PL]&lt;&gt;0,[AI]/[PL],0)</f>
        <v>0.24451245394337726</v>
      </c>
      <c r="S71" s="18">
        <f>IF([AT]&lt;&gt;0,[PO]/[AT],0)</f>
        <v>0.32916877978181414</v>
      </c>
      <c r="T71" s="18">
        <f>IF([LL]&lt;&gt;0,[Dividendos]/[LL],0)</f>
        <v>0.33740180484321236</v>
      </c>
      <c r="U71" s="20">
        <f>([Div/Ação]/20%*[Unit])</f>
        <v>4.8657868614953808</v>
      </c>
      <c r="V71" s="22">
        <f>([Div/Ação]/Setup!$A$2*[Unit])</f>
        <v>7.0112202615207222</v>
      </c>
      <c r="W71" s="29">
        <v>26701745</v>
      </c>
      <c r="X71" s="22"/>
      <c r="Y71" s="25"/>
      <c r="Z71" s="15">
        <v>1</v>
      </c>
      <c r="AA71" s="15">
        <f>[Ordinárias]+[Preferenciais]</f>
        <v>26701745</v>
      </c>
      <c r="AB71" s="19"/>
    </row>
    <row r="72" spans="1:28">
      <c r="A72" s="21" t="s">
        <v>67</v>
      </c>
      <c r="B72" s="21" t="s">
        <v>32</v>
      </c>
      <c r="C72" s="14">
        <v>2011</v>
      </c>
      <c r="D72" s="15">
        <v>1000</v>
      </c>
      <c r="E72" s="16">
        <v>1294402</v>
      </c>
      <c r="F72" s="16">
        <v>969973</v>
      </c>
      <c r="G72" s="16">
        <v>130235</v>
      </c>
      <c r="H72" s="16">
        <v>538135</v>
      </c>
      <c r="I72" s="16">
        <f>117872+68025+257864+5089</f>
        <v>448850</v>
      </c>
      <c r="J72" s="16">
        <v>466207</v>
      </c>
      <c r="K72" s="16">
        <v>1888967</v>
      </c>
      <c r="L72" s="16">
        <v>64921</v>
      </c>
      <c r="M72" s="16">
        <f>15419+9420</f>
        <v>24839</v>
      </c>
      <c r="N72" s="22">
        <f>IF(OR([Preferenciais]&lt;&gt;0,[Ordinárias]&lt;&gt;0),[Dividendos]*[Reais]/((1+[Bônus Preferenciais])*[Preferenciais]+[Ordinárias]),0)</f>
        <v>0.93023882896042942</v>
      </c>
      <c r="O72" s="18">
        <f>IF([RBV]&gt;0,[LL]/[RBV],0)</f>
        <v>3.4368519937087311E-2</v>
      </c>
      <c r="P72" s="18">
        <f>IF([PL]&lt;&gt;0,[LL]/[PL],0)</f>
        <v>0.13925359336088905</v>
      </c>
      <c r="Q72" s="19">
        <f>IF([PC]&lt;&gt;0,[AC]/[PC],0)</f>
        <v>1.802471498787479</v>
      </c>
      <c r="R72" s="18">
        <f>IF([PL]&lt;&gt;0,[AI]/[PL],0)</f>
        <v>0.27935015990750889</v>
      </c>
      <c r="S72" s="18">
        <f>IF([AT]&lt;&gt;0,[PO]/[AT],0)</f>
        <v>0.34676244319770827</v>
      </c>
      <c r="T72" s="18">
        <f>IF([LL]&lt;&gt;0,[Dividendos]/[LL],0)</f>
        <v>0.38260347191201616</v>
      </c>
      <c r="U72" s="20">
        <f>([Div/Ação]/20%*[Unit])</f>
        <v>4.6511941448021465</v>
      </c>
      <c r="V72" s="22">
        <f>([Div/Ação]/Setup!$A$2*[Unit])</f>
        <v>6.7020088541817682</v>
      </c>
      <c r="W72" s="29">
        <v>26701745</v>
      </c>
      <c r="X72" s="22"/>
      <c r="Y72" s="25"/>
      <c r="Z72" s="15">
        <v>1</v>
      </c>
      <c r="AA72" s="15">
        <f>[Ordinárias]+[Preferenciais]</f>
        <v>26701745</v>
      </c>
      <c r="AB72" s="19"/>
    </row>
    <row r="73" spans="1:28">
      <c r="A73" s="21" t="s">
        <v>67</v>
      </c>
      <c r="B73" s="21" t="s">
        <v>32</v>
      </c>
      <c r="C73" s="21">
        <v>2010</v>
      </c>
      <c r="D73" s="15">
        <v>1000</v>
      </c>
      <c r="E73" s="16">
        <v>1102477</v>
      </c>
      <c r="F73" s="16">
        <v>969973</v>
      </c>
      <c r="G73" s="16">
        <v>124731</v>
      </c>
      <c r="H73" s="16">
        <v>470639</v>
      </c>
      <c r="I73" s="16">
        <f>96875+50631+144137+5929</f>
        <v>297572</v>
      </c>
      <c r="J73" s="16">
        <v>424464</v>
      </c>
      <c r="K73" s="16">
        <v>1564936</v>
      </c>
      <c r="L73" s="16">
        <v>61023</v>
      </c>
      <c r="M73" s="16">
        <f>14493+7795</f>
        <v>22288</v>
      </c>
      <c r="N73" s="22">
        <f>IF(OR([Preferenciais]&lt;&gt;0,[Ordinárias]&lt;&gt;0),[Dividendos]*[Reais]/((1+[Bônus Preferenciais])*[Preferenciais]+[Ordinárias]),0)</f>
        <v>0.83470200168565767</v>
      </c>
      <c r="O73" s="18">
        <f>IF([RBV]&gt;0,[LL]/[RBV],0)</f>
        <v>3.8993926908193054E-2</v>
      </c>
      <c r="P73" s="18">
        <f>IF([PL]&lt;&gt;0,[LL]/[PL],0)</f>
        <v>0.14376484224810585</v>
      </c>
      <c r="Q73" s="19">
        <f>IF([PC]&lt;&gt;0,[AC]/[PC],0)</f>
        <v>2.0609702978291216</v>
      </c>
      <c r="R73" s="18">
        <f>IF([PL]&lt;&gt;0,[AI]/[PL],0)</f>
        <v>0.29385530928417958</v>
      </c>
      <c r="S73" s="18">
        <f>IF([AT]&lt;&gt;0,[PO]/[AT],0)</f>
        <v>0.26991220678526628</v>
      </c>
      <c r="T73" s="18">
        <f>IF([LL]&lt;&gt;0,[Dividendos]/[LL],0)</f>
        <v>0.36523933598807007</v>
      </c>
      <c r="U73" s="20">
        <f>([Div/Ação]/20%*[Unit])</f>
        <v>4.1735100084282877</v>
      </c>
      <c r="V73" s="22">
        <f>([Div/Ação]/Setup!$A$2*[Unit])</f>
        <v>6.0137031821733258</v>
      </c>
      <c r="W73" s="29">
        <v>26701745</v>
      </c>
      <c r="X73" s="22"/>
      <c r="Y73" s="25"/>
      <c r="Z73" s="15">
        <v>1</v>
      </c>
      <c r="AA73" s="15">
        <f>[Ordinárias]+[Preferenciais]</f>
        <v>26701745</v>
      </c>
      <c r="AB73" s="19"/>
    </row>
    <row r="74" spans="1:28">
      <c r="A74" s="21" t="s">
        <v>67</v>
      </c>
      <c r="B74" s="38" t="s">
        <v>45</v>
      </c>
      <c r="C74" s="14">
        <v>2015</v>
      </c>
      <c r="D74" s="15">
        <v>1000</v>
      </c>
      <c r="E74" s="16">
        <v>290342</v>
      </c>
      <c r="F74" s="16">
        <v>177901</v>
      </c>
      <c r="G74" s="16">
        <v>2224</v>
      </c>
      <c r="H74" s="16">
        <v>27327</v>
      </c>
      <c r="I74" s="16">
        <f>1350+16565+7280</f>
        <v>25195</v>
      </c>
      <c r="J74" s="16">
        <v>254077</v>
      </c>
      <c r="K74" s="16">
        <v>29446</v>
      </c>
      <c r="L74" s="16">
        <v>-33517</v>
      </c>
      <c r="M74" s="16"/>
      <c r="N74" s="41">
        <f>IF(OR([Preferenciais]&lt;&gt;0,[Ordinárias]&lt;&gt;0),[Dividendos]*[Reais]/((1+[Bônus Preferenciais])*[Preferenciais]+[Ordinárias]),0)</f>
        <v>0</v>
      </c>
      <c r="O74" s="42">
        <f>IF([RBV]&gt;0,[LL]/[RBV],0)</f>
        <v>-1.1382530734225362</v>
      </c>
      <c r="P74" s="43">
        <f>IF([PL]&lt;&gt;0,[LL]/[PL],0)</f>
        <v>-0.13191670241698383</v>
      </c>
      <c r="Q74" s="44">
        <f>IF([PC]&lt;&gt;0,[AC]/[PC],0)</f>
        <v>6.5100816042741609</v>
      </c>
      <c r="R74" s="42">
        <f>IF([PL]&lt;&gt;0,[AI]/[PL],0)</f>
        <v>8.753251966923413E-3</v>
      </c>
      <c r="S74" s="42">
        <f>IF([AT]&lt;&gt;0,[PO]/[AT],0)</f>
        <v>8.6776973362448426E-2</v>
      </c>
      <c r="T74" s="43">
        <f>IF([LL]&lt;&gt;0,[Dividendos]/[LL],0)</f>
        <v>0</v>
      </c>
      <c r="U74" s="41">
        <f>([Div/Ação]/20%*[Unit])</f>
        <v>0</v>
      </c>
      <c r="V74" s="41">
        <f>([Div/Ação]/Setup!$A$2*[Unit])</f>
        <v>0</v>
      </c>
      <c r="W74" s="39">
        <v>48443062</v>
      </c>
      <c r="X74" s="22"/>
      <c r="Y74" s="43"/>
      <c r="Z74" s="45">
        <v>1</v>
      </c>
      <c r="AA74" s="15">
        <f>[Ordinárias]+[Preferenciais]</f>
        <v>48443062</v>
      </c>
      <c r="AB74" s="19"/>
    </row>
    <row r="75" spans="1:28">
      <c r="A75" s="21" t="s">
        <v>67</v>
      </c>
      <c r="B75" s="38" t="s">
        <v>45</v>
      </c>
      <c r="C75" s="14">
        <v>2014</v>
      </c>
      <c r="D75" s="15">
        <v>1000</v>
      </c>
      <c r="E75" s="16">
        <v>422054</v>
      </c>
      <c r="F75" s="16">
        <v>228507</v>
      </c>
      <c r="G75" s="16">
        <v>4436</v>
      </c>
      <c r="H75" s="16">
        <v>57363</v>
      </c>
      <c r="I75" s="16">
        <f>32521+11808+5126+14029</f>
        <v>63484</v>
      </c>
      <c r="J75" s="16">
        <v>343913</v>
      </c>
      <c r="K75" s="16">
        <v>19713</v>
      </c>
      <c r="L75" s="16">
        <v>-36899</v>
      </c>
      <c r="M75" s="16"/>
      <c r="N75" s="41">
        <f>IF(OR([Preferenciais]&lt;&gt;0,[Ordinárias]&lt;&gt;0),[Dividendos]*[Reais]/((1+[Bônus Preferenciais])*[Preferenciais]+[Ordinárias]),0)</f>
        <v>0</v>
      </c>
      <c r="O75" s="42">
        <f>IF([RBV]&gt;0,[LL]/[RBV],0)</f>
        <v>-1.8718104803936488</v>
      </c>
      <c r="P75" s="43">
        <f>IF([PL]&lt;&gt;0,[LL]/[PL],0)</f>
        <v>-0.10729166969553347</v>
      </c>
      <c r="Q75" s="44">
        <f>IF([PC]&lt;&gt;0,[AC]/[PC],0)</f>
        <v>3.9835259662151561</v>
      </c>
      <c r="R75" s="42">
        <f>IF([PL]&lt;&gt;0,[AI]/[PL],0)</f>
        <v>1.2898610985917951E-2</v>
      </c>
      <c r="S75" s="42">
        <f>IF([AT]&lt;&gt;0,[PO]/[AT],0)</f>
        <v>0.15041677131362338</v>
      </c>
      <c r="T75" s="43">
        <f>IF([LL]&lt;&gt;0,[Dividendos]/[LL],0)</f>
        <v>0</v>
      </c>
      <c r="U75" s="41">
        <f>([Div/Ação]/20%*[Unit])</f>
        <v>0</v>
      </c>
      <c r="V75" s="41">
        <f>([Div/Ação]/Setup!$A$2*[Unit])</f>
        <v>0</v>
      </c>
      <c r="W75" s="39">
        <v>48443062</v>
      </c>
      <c r="X75" s="22"/>
      <c r="Y75" s="43"/>
      <c r="Z75" s="45">
        <v>1</v>
      </c>
      <c r="AA75" s="15">
        <f>[Ordinárias]+[Preferenciais]</f>
        <v>48443062</v>
      </c>
      <c r="AB75" s="19"/>
    </row>
    <row r="76" spans="1:28">
      <c r="A76" s="21" t="s">
        <v>67</v>
      </c>
      <c r="B76" s="38" t="s">
        <v>45</v>
      </c>
      <c r="C76" s="14">
        <v>2013</v>
      </c>
      <c r="D76" s="15">
        <v>1000</v>
      </c>
      <c r="E76" s="16">
        <v>583886</v>
      </c>
      <c r="F76" s="16">
        <v>338861</v>
      </c>
      <c r="G76" s="16">
        <v>6115</v>
      </c>
      <c r="H76" s="16">
        <v>146164</v>
      </c>
      <c r="I76" s="16">
        <f>100475+27471+4358+37343</f>
        <v>169647</v>
      </c>
      <c r="J76" s="16">
        <v>391464</v>
      </c>
      <c r="K76" s="16">
        <v>109380</v>
      </c>
      <c r="L76" s="16">
        <v>-8776</v>
      </c>
      <c r="M76" s="16"/>
      <c r="N76" s="41">
        <f>IF(OR([Preferenciais]&lt;&gt;0,[Ordinárias]&lt;&gt;0),[Dividendos]*[Reais]/((1+[Bônus Preferenciais])*[Preferenciais]+[Ordinárias]),0)</f>
        <v>0</v>
      </c>
      <c r="O76" s="42">
        <f>IF([RBV]&gt;0,[LL]/[RBV],0)</f>
        <v>-8.0234046443591153E-2</v>
      </c>
      <c r="P76" s="43">
        <f>IF([PL]&lt;&gt;0,[LL]/[PL],0)</f>
        <v>-2.2418408844746898E-2</v>
      </c>
      <c r="Q76" s="44">
        <f>IF([PC]&lt;&gt;0,[AC]/[PC],0)</f>
        <v>2.3183615664595933</v>
      </c>
      <c r="R76" s="42">
        <f>IF([PL]&lt;&gt;0,[AI]/[PL],0)</f>
        <v>1.5620848915864549E-2</v>
      </c>
      <c r="S76" s="42">
        <f>IF([AT]&lt;&gt;0,[PO]/[AT],0)</f>
        <v>0.29054815494805492</v>
      </c>
      <c r="T76" s="43">
        <f>IF([LL]&lt;&gt;0,[Dividendos]/[LL],0)</f>
        <v>0</v>
      </c>
      <c r="U76" s="41">
        <f>([Div/Ação]/20%*[Unit])</f>
        <v>0</v>
      </c>
      <c r="V76" s="41">
        <f>([Div/Ação]/Setup!$A$2*[Unit])</f>
        <v>0</v>
      </c>
      <c r="W76" s="39">
        <v>48443062</v>
      </c>
      <c r="X76" s="22"/>
      <c r="Y76" s="43"/>
      <c r="Z76" s="45">
        <v>1</v>
      </c>
      <c r="AA76" s="15">
        <f>[Ordinárias]+[Preferenciais]</f>
        <v>48443062</v>
      </c>
      <c r="AB76" s="19"/>
    </row>
    <row r="77" spans="1:28">
      <c r="A77" s="21" t="s">
        <v>67</v>
      </c>
      <c r="B77" s="38" t="s">
        <v>45</v>
      </c>
      <c r="C77" s="14">
        <v>2012</v>
      </c>
      <c r="D77" s="15">
        <v>1000</v>
      </c>
      <c r="E77" s="40">
        <v>669990</v>
      </c>
      <c r="F77" s="40">
        <v>400627</v>
      </c>
      <c r="G77" s="40">
        <v>7183</v>
      </c>
      <c r="H77" s="40">
        <v>202429</v>
      </c>
      <c r="I77" s="40">
        <f>154139+19607+36590+5533</f>
        <v>215869</v>
      </c>
      <c r="J77" s="40">
        <v>413615</v>
      </c>
      <c r="K77" s="40">
        <v>157399</v>
      </c>
      <c r="L77" s="40">
        <v>-23175</v>
      </c>
      <c r="M77" s="40">
        <v>0</v>
      </c>
      <c r="N77" s="41">
        <f>IF(OR([Preferenciais]&lt;&gt;0,[Ordinárias]&lt;&gt;0),[Dividendos]*[Reais]/((1+[Bônus Preferenciais])*[Preferenciais]+[Ordinárias]),0)</f>
        <v>0</v>
      </c>
      <c r="O77" s="42">
        <f>IF([RBV]&gt;0,[LL]/[RBV],0)</f>
        <v>-0.14723727596744579</v>
      </c>
      <c r="P77" s="43">
        <f>IF([PL]&lt;&gt;0,[LL]/[PL],0)</f>
        <v>-5.6030366403539526E-2</v>
      </c>
      <c r="Q77" s="44">
        <f>IF([PC]&lt;&gt;0,[AC]/[PC],0)</f>
        <v>1.979098844533145</v>
      </c>
      <c r="R77" s="42">
        <f>IF([PL]&lt;&gt;0,[AI]/[PL],0)</f>
        <v>1.7366391450987027E-2</v>
      </c>
      <c r="S77" s="42">
        <f>IF([AT]&lt;&gt;0,[PO]/[AT],0)</f>
        <v>0.32219734622904822</v>
      </c>
      <c r="T77" s="43">
        <f>IF([LL]&lt;&gt;0,[Dividendos]/[LL],0)</f>
        <v>0</v>
      </c>
      <c r="U77" s="41">
        <f>([Div/Ação]/20%*[Unit])</f>
        <v>0</v>
      </c>
      <c r="V77" s="41">
        <f>([Div/Ação]/Setup!$A$2*[Unit])</f>
        <v>0</v>
      </c>
      <c r="W77" s="39">
        <v>48443062</v>
      </c>
      <c r="X77" s="22"/>
      <c r="Y77" s="43"/>
      <c r="Z77" s="45">
        <v>1</v>
      </c>
      <c r="AA77" s="15">
        <f>[Ordinárias]+[Preferenciais]</f>
        <v>48443062</v>
      </c>
      <c r="AB77" s="19"/>
    </row>
    <row r="78" spans="1:28">
      <c r="A78" s="21" t="s">
        <v>67</v>
      </c>
      <c r="B78" s="38" t="s">
        <v>45</v>
      </c>
      <c r="C78" s="14">
        <v>2011</v>
      </c>
      <c r="D78" s="15">
        <v>1000</v>
      </c>
      <c r="E78" s="40">
        <v>787859</v>
      </c>
      <c r="F78" s="40">
        <v>449768</v>
      </c>
      <c r="G78" s="40">
        <v>8235</v>
      </c>
      <c r="H78" s="40">
        <v>225010</v>
      </c>
      <c r="I78" s="40">
        <f>133904+41024+105020+6348</f>
        <v>286296</v>
      </c>
      <c r="J78" s="40">
        <v>441015</v>
      </c>
      <c r="K78" s="40">
        <v>195616</v>
      </c>
      <c r="L78" s="40">
        <v>14795</v>
      </c>
      <c r="M78" s="40">
        <v>1762</v>
      </c>
      <c r="N78" s="41">
        <f>IF(OR([Preferenciais]&lt;&gt;0,[Ordinárias]&lt;&gt;0),[Dividendos]*[Reais]/((1+[Bônus Preferenciais])*[Preferenciais]+[Ordinárias]),0)</f>
        <v>3.6372597586832971E-2</v>
      </c>
      <c r="O78" s="42">
        <f>IF([RBV]&gt;0,[LL]/[RBV],0)</f>
        <v>7.5632872566661208E-2</v>
      </c>
      <c r="P78" s="43">
        <f>IF([PL]&lt;&gt;0,[LL]/[PL],0)</f>
        <v>3.3547611759237213E-2</v>
      </c>
      <c r="Q78" s="44">
        <f>IF([PC]&lt;&gt;0,[AC]/[PC],0)</f>
        <v>1.9988800497755654</v>
      </c>
      <c r="R78" s="42">
        <f>IF([PL]&lt;&gt;0,[AI]/[PL],0)</f>
        <v>1.8672834257338185E-2</v>
      </c>
      <c r="S78" s="42">
        <f>IF([AT]&lt;&gt;0,[PO]/[AT],0)</f>
        <v>0.36338481885718132</v>
      </c>
      <c r="T78" s="43">
        <f>IF([LL]&lt;&gt;0,[Dividendos]/[LL],0)</f>
        <v>0.11909428861101723</v>
      </c>
      <c r="U78" s="41">
        <f>([Div/Ação]/20%*[Unit])</f>
        <v>0.18186298793416483</v>
      </c>
      <c r="V78" s="41">
        <f>([Div/Ação]/Setup!$A$2*[Unit])</f>
        <v>0.26205041489072745</v>
      </c>
      <c r="W78" s="39">
        <v>48443062</v>
      </c>
      <c r="X78" s="22"/>
      <c r="Y78" s="43"/>
      <c r="Z78" s="45">
        <v>1</v>
      </c>
      <c r="AA78" s="15">
        <f>[Ordinárias]+[Preferenciais]</f>
        <v>48443062</v>
      </c>
      <c r="AB78" s="19"/>
    </row>
    <row r="79" spans="1:28">
      <c r="A79" s="21" t="s">
        <v>67</v>
      </c>
      <c r="B79" s="38" t="s">
        <v>45</v>
      </c>
      <c r="C79" s="21">
        <v>2010</v>
      </c>
      <c r="D79" s="15">
        <v>1000</v>
      </c>
      <c r="E79" s="40">
        <v>814146</v>
      </c>
      <c r="F79" s="40">
        <v>471059</v>
      </c>
      <c r="G79" s="40">
        <v>10169</v>
      </c>
      <c r="H79" s="40">
        <v>236293</v>
      </c>
      <c r="I79" s="40">
        <f>113664+83381+113421+18575</f>
        <v>329041</v>
      </c>
      <c r="J79" s="40">
        <v>431120</v>
      </c>
      <c r="K79" s="40">
        <v>434070</v>
      </c>
      <c r="L79" s="40">
        <v>45158</v>
      </c>
      <c r="M79" s="40">
        <v>11151</v>
      </c>
      <c r="N79" s="41">
        <f>IF(OR([Preferenciais]&lt;&gt;0,[Ordinárias]&lt;&gt;0),[Dividendos]*[Reais]/((1+[Bônus Preferenciais])*[Preferenciais]+[Ordinárias]),0)</f>
        <v>0.23018776145900935</v>
      </c>
      <c r="O79" s="42">
        <f>IF([RBV]&gt;0,[LL]/[RBV],0)</f>
        <v>0.1040339115810814</v>
      </c>
      <c r="P79" s="43">
        <f>IF([PL]&lt;&gt;0,[LL]/[PL],0)</f>
        <v>0.10474577843755799</v>
      </c>
      <c r="Q79" s="44">
        <f>IF([PC]&lt;&gt;0,[AC]/[PC],0)</f>
        <v>1.9935376841463777</v>
      </c>
      <c r="R79" s="42">
        <f>IF([PL]&lt;&gt;0,[AI]/[PL],0)</f>
        <v>2.358740025978846E-2</v>
      </c>
      <c r="S79" s="42">
        <f>IF([AT]&lt;&gt;0,[PO]/[AT],0)</f>
        <v>0.40415478304874064</v>
      </c>
      <c r="T79" s="43">
        <f>IF([LL]&lt;&gt;0,[Dividendos]/[LL],0)</f>
        <v>0.2469329908321892</v>
      </c>
      <c r="U79" s="41">
        <f>([Div/Ação]/20%*[Unit])</f>
        <v>1.1509388072950466</v>
      </c>
      <c r="V79" s="41">
        <f>([Div/Ação]/Setup!$A$2*[Unit])</f>
        <v>1.6584132669957445</v>
      </c>
      <c r="W79" s="39">
        <v>48443062</v>
      </c>
      <c r="X79" s="22"/>
      <c r="Y79" s="43"/>
      <c r="Z79" s="45">
        <v>1</v>
      </c>
      <c r="AA79" s="15">
        <f>[Ordinárias]+[Preferenciais]</f>
        <v>48443062</v>
      </c>
      <c r="AB79" s="19"/>
    </row>
    <row r="80" spans="1:28">
      <c r="A80" s="21" t="s">
        <v>67</v>
      </c>
      <c r="B80" s="21" t="s">
        <v>49</v>
      </c>
      <c r="C80" s="14">
        <v>2015</v>
      </c>
      <c r="D80" s="15">
        <v>1000</v>
      </c>
      <c r="E80" s="23">
        <v>12729588</v>
      </c>
      <c r="F80" s="23">
        <v>8438709</v>
      </c>
      <c r="G80" s="23">
        <v>139671</v>
      </c>
      <c r="H80" s="23">
        <v>3037540</v>
      </c>
      <c r="I80" s="23">
        <f>1233470+1324405+2508141</f>
        <v>5066016</v>
      </c>
      <c r="J80" s="23">
        <v>6678887</v>
      </c>
      <c r="K80" s="23">
        <v>4341184</v>
      </c>
      <c r="L80" s="23">
        <v>593153</v>
      </c>
      <c r="M80" s="23">
        <v>106352</v>
      </c>
      <c r="N80" s="27">
        <f>IF(OR([Preferenciais]&lt;&gt;0,[Ordinárias]&lt;&gt;0),[Dividendos]*[Reais]/((1+[Bônus Preferenciais])*[Preferenciais]+[Ordinárias]),0)</f>
        <v>0.26605107150410484</v>
      </c>
      <c r="O80" s="47">
        <f>IF([RBV]&gt;0,[LL]/[RBV],0)</f>
        <v>0.13663392291135321</v>
      </c>
      <c r="P80" s="25">
        <f>IF([PL]&lt;&gt;0,[LL]/[PL],0)</f>
        <v>8.8810156542549673E-2</v>
      </c>
      <c r="Q80" s="48">
        <f>IF([PC]&lt;&gt;0,[AC]/[PC],0)</f>
        <v>2.7781392179197639</v>
      </c>
      <c r="R80" s="47">
        <f>IF([PL]&lt;&gt;0,[AI]/[PL],0)</f>
        <v>2.0912316677913552E-2</v>
      </c>
      <c r="S80" s="47">
        <f>IF([AT]&lt;&gt;0,[PO]/[AT],0)</f>
        <v>0.39797171754498262</v>
      </c>
      <c r="T80" s="25">
        <f>IF([LL]&lt;&gt;0,[Dividendos]/[LL],0)</f>
        <v>0.17929943876200577</v>
      </c>
      <c r="U80" s="27">
        <f>([Div/Ação]/20%*[Unit])</f>
        <v>1.330255357520524</v>
      </c>
      <c r="V80" s="27">
        <f>([Div/Ação]/Setup!$A$2*[Unit])</f>
        <v>1.9167944632860578</v>
      </c>
      <c r="W80" s="46">
        <v>399742799</v>
      </c>
      <c r="X80" s="22"/>
      <c r="Y80" s="25"/>
      <c r="Z80" s="49">
        <v>1</v>
      </c>
      <c r="AA80" s="15">
        <f>[Ordinárias]+[Preferenciais]</f>
        <v>399742799</v>
      </c>
      <c r="AB80" s="19"/>
    </row>
    <row r="81" spans="1:28">
      <c r="A81" s="21" t="s">
        <v>67</v>
      </c>
      <c r="B81" s="21" t="s">
        <v>49</v>
      </c>
      <c r="C81" s="14">
        <v>2014</v>
      </c>
      <c r="D81" s="15">
        <v>1000</v>
      </c>
      <c r="E81" s="23">
        <v>13420612</v>
      </c>
      <c r="F81" s="23">
        <v>8643734</v>
      </c>
      <c r="G81" s="23">
        <v>171442</v>
      </c>
      <c r="H81" s="23">
        <v>4059614</v>
      </c>
      <c r="I81" s="23">
        <f>1301419+2112486+2573801</f>
        <v>5987706</v>
      </c>
      <c r="J81" s="23">
        <v>6367845</v>
      </c>
      <c r="K81" s="23">
        <v>5817927</v>
      </c>
      <c r="L81" s="23">
        <v>831386</v>
      </c>
      <c r="M81" s="23">
        <v>157106</v>
      </c>
      <c r="N81" s="27">
        <f>IF(OR([Preferenciais]&lt;&gt;0,[Ordinárias]&lt;&gt;0),[Dividendos]*[Reais]/((1+[Bônus Preferenciais])*[Preferenciais]+[Ordinárias]),0)</f>
        <v>0.39301771137095581</v>
      </c>
      <c r="O81" s="47">
        <f>IF([RBV]&gt;0,[LL]/[RBV],0)</f>
        <v>0.14290072735529338</v>
      </c>
      <c r="P81" s="25">
        <f>IF([PL]&lt;&gt;0,[LL]/[PL],0)</f>
        <v>0.13056002462371494</v>
      </c>
      <c r="Q81" s="48">
        <f>IF([PC]&lt;&gt;0,[AC]/[PC],0)</f>
        <v>2.1292009535881982</v>
      </c>
      <c r="R81" s="47">
        <f>IF([PL]&lt;&gt;0,[AI]/[PL],0)</f>
        <v>2.6923079943057659E-2</v>
      </c>
      <c r="S81" s="47">
        <f>IF([AT]&lt;&gt;0,[PO]/[AT],0)</f>
        <v>0.44615744796138956</v>
      </c>
      <c r="T81" s="25">
        <f>IF([LL]&lt;&gt;0,[Dividendos]/[LL],0)</f>
        <v>0.18896878225036265</v>
      </c>
      <c r="U81" s="27">
        <f>([Div/Ação]/20%*[Unit])</f>
        <v>1.9650885568547789</v>
      </c>
      <c r="V81" s="27">
        <f>([Div/Ação]/Setup!$A$2*[Unit])</f>
        <v>2.8315397072835431</v>
      </c>
      <c r="W81" s="46">
        <v>399742799</v>
      </c>
      <c r="X81" s="22"/>
      <c r="Y81" s="25"/>
      <c r="Z81" s="49">
        <v>1</v>
      </c>
      <c r="AA81" s="15">
        <f>[Ordinárias]+[Preferenciais]</f>
        <v>399742799</v>
      </c>
      <c r="AB81" s="19"/>
    </row>
    <row r="82" spans="1:28">
      <c r="A82" s="21" t="s">
        <v>67</v>
      </c>
      <c r="B82" s="21" t="s">
        <v>49</v>
      </c>
      <c r="C82" s="14">
        <v>2013</v>
      </c>
      <c r="D82" s="15">
        <v>1000</v>
      </c>
      <c r="E82" s="23">
        <v>14387099</v>
      </c>
      <c r="F82" s="23">
        <v>8689340</v>
      </c>
      <c r="G82" s="23">
        <v>156563</v>
      </c>
      <c r="H82" s="23">
        <v>3886979</v>
      </c>
      <c r="I82" s="23">
        <f>907317+2274370+3306431</f>
        <v>6488118</v>
      </c>
      <c r="J82" s="23">
        <v>6194048</v>
      </c>
      <c r="K82" s="23">
        <v>5371882</v>
      </c>
      <c r="L82" s="23">
        <v>893999</v>
      </c>
      <c r="M82" s="23">
        <v>170723</v>
      </c>
      <c r="N82" s="27">
        <f>IF(OR([Preferenciais]&lt;&gt;0,[Ordinárias]&lt;&gt;0),[Dividendos]*[Reais]/((1+[Bônus Preferenciais])*[Preferenciais]+[Ordinárias]),0)</f>
        <v>0.42708211486756514</v>
      </c>
      <c r="O82" s="47">
        <f>IF([RBV]&gt;0,[LL]/[RBV],0)</f>
        <v>0.16642193555256798</v>
      </c>
      <c r="P82" s="25">
        <f>IF([PL]&lt;&gt;0,[LL]/[PL],0)</f>
        <v>0.14433194576470831</v>
      </c>
      <c r="Q82" s="48">
        <f>IF([PC]&lt;&gt;0,[AC]/[PC],0)</f>
        <v>2.2354996000750198</v>
      </c>
      <c r="R82" s="47">
        <f>IF([PL]&lt;&gt;0,[AI]/[PL],0)</f>
        <v>2.527636208179207E-2</v>
      </c>
      <c r="S82" s="47">
        <f>IF([AT]&lt;&gt;0,[PO]/[AT],0)</f>
        <v>0.45096777328077048</v>
      </c>
      <c r="T82" s="25">
        <f>IF([LL]&lt;&gt;0,[Dividendos]/[LL],0)</f>
        <v>0.1909655379927718</v>
      </c>
      <c r="U82" s="27">
        <f>([Div/Ação]/20%*[Unit])</f>
        <v>2.1354105743378256</v>
      </c>
      <c r="V82" s="27">
        <f>([Div/Ação]/Setup!$A$2*[Unit])</f>
        <v>3.0769604817547918</v>
      </c>
      <c r="W82" s="46">
        <v>399742799</v>
      </c>
      <c r="X82" s="22"/>
      <c r="Y82" s="25"/>
      <c r="Z82" s="49">
        <v>1</v>
      </c>
      <c r="AA82" s="15">
        <f>[Ordinárias]+[Preferenciais]</f>
        <v>399742799</v>
      </c>
      <c r="AB82" s="19"/>
    </row>
    <row r="83" spans="1:28">
      <c r="A83" s="21" t="s">
        <v>67</v>
      </c>
      <c r="B83" s="21" t="s">
        <v>49</v>
      </c>
      <c r="C83" s="14">
        <v>2012</v>
      </c>
      <c r="D83" s="15">
        <v>1000</v>
      </c>
      <c r="E83" s="23">
        <v>13829895</v>
      </c>
      <c r="F83" s="23">
        <v>9737751</v>
      </c>
      <c r="G83" s="23">
        <v>173901</v>
      </c>
      <c r="H83" s="23">
        <v>4290025</v>
      </c>
      <c r="I83" s="23">
        <f>931598+2656887+3287098</f>
        <v>6875583</v>
      </c>
      <c r="J83" s="23">
        <v>5393306</v>
      </c>
      <c r="K83" s="23">
        <v>5837953</v>
      </c>
      <c r="L83" s="23">
        <v>778719</v>
      </c>
      <c r="M83" s="23">
        <v>156786</v>
      </c>
      <c r="N83" s="27">
        <f>IF(OR([Preferenciais]&lt;&gt;0,[Ordinárias]&lt;&gt;0),[Dividendos]*[Reais]/((1+[Bônus Preferenciais])*[Preferenciais]+[Ordinárias]),0)</f>
        <v>0.39221719663798121</v>
      </c>
      <c r="O83" s="47">
        <f>IF([RBV]&gt;0,[LL]/[RBV],0)</f>
        <v>0.13338904920954314</v>
      </c>
      <c r="P83" s="25">
        <f>IF([PL]&lt;&gt;0,[LL]/[PL],0)</f>
        <v>0.14438620764332674</v>
      </c>
      <c r="Q83" s="48">
        <f>IF([PC]&lt;&gt;0,[AC]/[PC],0)</f>
        <v>2.2698588003566411</v>
      </c>
      <c r="R83" s="47">
        <f>IF([PL]&lt;&gt;0,[AI]/[PL],0)</f>
        <v>3.2243859332290806E-2</v>
      </c>
      <c r="S83" s="47">
        <f>IF([AT]&lt;&gt;0,[PO]/[AT],0)</f>
        <v>0.49715366602566397</v>
      </c>
      <c r="T83" s="25">
        <f>IF([LL]&lt;&gt;0,[Dividendos]/[LL],0)</f>
        <v>0.20133835183166199</v>
      </c>
      <c r="U83" s="27">
        <f>([Div/Ação]/20%*[Unit])</f>
        <v>1.9610859831899059</v>
      </c>
      <c r="V83" s="27">
        <f>([Div/Ação]/Setup!$A$2*[Unit])</f>
        <v>2.8257723100719105</v>
      </c>
      <c r="W83" s="46">
        <v>399742799</v>
      </c>
      <c r="X83" s="22"/>
      <c r="Y83" s="25"/>
      <c r="Z83" s="49">
        <v>1</v>
      </c>
      <c r="AA83" s="15">
        <f>[Ordinárias]+[Preferenciais]</f>
        <v>399742799</v>
      </c>
      <c r="AB83" s="19"/>
    </row>
    <row r="84" spans="1:28">
      <c r="A84" s="21" t="s">
        <v>67</v>
      </c>
      <c r="B84" s="21" t="s">
        <v>49</v>
      </c>
      <c r="C84" s="14">
        <v>2011</v>
      </c>
      <c r="D84" s="15">
        <v>1000</v>
      </c>
      <c r="E84" s="23">
        <v>13644677</v>
      </c>
      <c r="F84" s="23">
        <v>8781415</v>
      </c>
      <c r="G84" s="23">
        <v>197318</v>
      </c>
      <c r="H84" s="23">
        <v>4383469</v>
      </c>
      <c r="I84" s="23">
        <f>1143432+2478064+3445675</f>
        <v>7067171</v>
      </c>
      <c r="J84" s="23">
        <v>4922766</v>
      </c>
      <c r="K84" s="23">
        <v>6126781</v>
      </c>
      <c r="L84" s="23">
        <v>592186</v>
      </c>
      <c r="M84" s="23">
        <v>118315</v>
      </c>
      <c r="N84" s="27">
        <f>IF(OR([Preferenciais]&lt;&gt;0,[Ordinárias]&lt;&gt;0),[Dividendos]*[Reais]/((1+[Bônus Preferenciais])*[Preferenciais]+[Ordinárias]),0)</f>
        <v>0.29597781447465171</v>
      </c>
      <c r="O84" s="47">
        <f>IF([RBV]&gt;0,[LL]/[RBV],0)</f>
        <v>9.6655323570403448E-2</v>
      </c>
      <c r="P84" s="25">
        <f>IF([PL]&lt;&gt;0,[LL]/[PL],0)</f>
        <v>0.12029537865500818</v>
      </c>
      <c r="Q84" s="48">
        <f>IF([PC]&lt;&gt;0,[AC]/[PC],0)</f>
        <v>2.0033026354241357</v>
      </c>
      <c r="R84" s="47">
        <f>IF([PL]&lt;&gt;0,[AI]/[PL],0)</f>
        <v>4.0082750226193974E-2</v>
      </c>
      <c r="S84" s="47">
        <f>IF([AT]&lt;&gt;0,[PO]/[AT],0)</f>
        <v>0.51794344417240512</v>
      </c>
      <c r="T84" s="25">
        <f>IF([LL]&lt;&gt;0,[Dividendos]/[LL],0)</f>
        <v>0.19979364591530363</v>
      </c>
      <c r="U84" s="27">
        <f>([Div/Ação]/20%*[Unit])</f>
        <v>1.4798890723732585</v>
      </c>
      <c r="V84" s="27">
        <f>([Div/Ação]/Setup!$A$2*[Unit])</f>
        <v>2.1324050034196809</v>
      </c>
      <c r="W84" s="46">
        <v>399742799</v>
      </c>
      <c r="X84" s="22"/>
      <c r="Y84" s="25"/>
      <c r="Z84" s="49">
        <v>1</v>
      </c>
      <c r="AA84" s="15">
        <f>[Ordinárias]+[Preferenciais]</f>
        <v>399742799</v>
      </c>
      <c r="AB84" s="19"/>
    </row>
    <row r="85" spans="1:28">
      <c r="A85" s="21" t="s">
        <v>67</v>
      </c>
      <c r="B85" s="21" t="s">
        <v>49</v>
      </c>
      <c r="C85" s="21">
        <v>2010</v>
      </c>
      <c r="D85" s="15">
        <v>1000</v>
      </c>
      <c r="E85" s="23">
        <v>12042561</v>
      </c>
      <c r="F85" s="23">
        <v>8189985</v>
      </c>
      <c r="G85" s="23">
        <v>168723</v>
      </c>
      <c r="H85" s="23">
        <v>3921657</v>
      </c>
      <c r="I85" s="23">
        <f>877948+2482264+2554714</f>
        <v>5914926</v>
      </c>
      <c r="J85" s="23">
        <v>4681937</v>
      </c>
      <c r="K85" s="23">
        <v>4890105</v>
      </c>
      <c r="L85" s="23">
        <v>685066</v>
      </c>
      <c r="M85" s="23">
        <v>142559</v>
      </c>
      <c r="N85" s="27">
        <f>IF(OR([Preferenciais]&lt;&gt;0,[Ordinárias]&lt;&gt;0),[Dividendos]*[Reais]/((1+[Bônus Preferenciais])*[Preferenciais]+[Ordinárias]),0)</f>
        <v>0.35662681193163909</v>
      </c>
      <c r="O85" s="47">
        <f>IF([RBV]&gt;0,[LL]/[RBV],0)</f>
        <v>0.14009228840689514</v>
      </c>
      <c r="P85" s="25">
        <f>IF([PL]&lt;&gt;0,[LL]/[PL],0)</f>
        <v>0.14632106326932634</v>
      </c>
      <c r="Q85" s="48">
        <f>IF([PC]&lt;&gt;0,[AC]/[PC],0)</f>
        <v>2.0883991129259902</v>
      </c>
      <c r="R85" s="47">
        <f>IF([PL]&lt;&gt;0,[AI]/[PL],0)</f>
        <v>3.6037007759822486E-2</v>
      </c>
      <c r="S85" s="47">
        <f>IF([AT]&lt;&gt;0,[PO]/[AT],0)</f>
        <v>0.49116844830597078</v>
      </c>
      <c r="T85" s="25">
        <f>IF([LL]&lt;&gt;0,[Dividendos]/[LL],0)</f>
        <v>0.20809527841113118</v>
      </c>
      <c r="U85" s="27">
        <f>([Div/Ação]/20%*[Unit])</f>
        <v>1.7831340596581953</v>
      </c>
      <c r="V85" s="27">
        <f>([Div/Ação]/Setup!$A$2*[Unit])</f>
        <v>2.5693574346659873</v>
      </c>
      <c r="W85" s="46">
        <v>399742799</v>
      </c>
      <c r="X85" s="22"/>
      <c r="Y85" s="25"/>
      <c r="Z85" s="49">
        <v>1</v>
      </c>
      <c r="AA85" s="15">
        <f>[Ordinárias]+[Preferenciais]</f>
        <v>399742799</v>
      </c>
      <c r="AB85" s="19"/>
    </row>
    <row r="86" spans="1:28">
      <c r="A86" s="21" t="s">
        <v>67</v>
      </c>
      <c r="B86" s="14" t="s">
        <v>50</v>
      </c>
      <c r="C86" s="14">
        <v>2015</v>
      </c>
      <c r="D86" s="15">
        <v>1000</v>
      </c>
      <c r="E86" s="16">
        <v>3887452</v>
      </c>
      <c r="F86" s="16">
        <v>2434863</v>
      </c>
      <c r="G86" s="16">
        <v>87086</v>
      </c>
      <c r="H86" s="16">
        <v>668383</v>
      </c>
      <c r="I86" s="16">
        <f>371584+99285+464867+904806</f>
        <v>1840542</v>
      </c>
      <c r="J86" s="16">
        <v>1777485</v>
      </c>
      <c r="K86" s="16">
        <v>1569577</v>
      </c>
      <c r="L86" s="16">
        <v>156210</v>
      </c>
      <c r="M86" s="16">
        <v>39996</v>
      </c>
      <c r="N86" s="20">
        <f>IF(OR([Preferenciais]&lt;&gt;0,[Ordinárias]&lt;&gt;0),[Dividendos]*[Reais]/((1+[Bônus Preferenciais])*[Preferenciais]+[Ordinárias]),0)</f>
        <v>0.26073224365082664</v>
      </c>
      <c r="O86" s="35">
        <f>IF([RBV]&gt;0,[LL]/[RBV],0)</f>
        <v>9.9523629614858014E-2</v>
      </c>
      <c r="P86" s="18">
        <f>IF([PL]&lt;&gt;0,[LL]/[PL],0)</f>
        <v>8.7882598165385364E-2</v>
      </c>
      <c r="Q86" s="36">
        <f>IF([PC]&lt;&gt;0,[AC]/[PC],0)</f>
        <v>3.6429158132388166</v>
      </c>
      <c r="R86" s="35">
        <f>IF([PL]&lt;&gt;0,[AI]/[PL],0)</f>
        <v>4.899394369010146E-2</v>
      </c>
      <c r="S86" s="35">
        <f>IF([AT]&lt;&gt;0,[PO]/[AT],0)</f>
        <v>0.47345716422993778</v>
      </c>
      <c r="T86" s="18">
        <f>IF([LL]&lt;&gt;0,[Dividendos]/[LL],0)</f>
        <v>0.25603994622623394</v>
      </c>
      <c r="U86" s="20">
        <f>([Div/Ação]/20%*[Unit])</f>
        <v>1.3036612182541332</v>
      </c>
      <c r="V86" s="20">
        <f>([Div/Ação]/Setup!$A$2*[Unit])</f>
        <v>1.8784743778877999</v>
      </c>
      <c r="W86" s="34">
        <v>153398749</v>
      </c>
      <c r="X86" s="22"/>
      <c r="Y86" s="18"/>
      <c r="Z86" s="37">
        <v>1</v>
      </c>
      <c r="AA86" s="15">
        <f>[Ordinárias]+[Preferenciais]</f>
        <v>153398749</v>
      </c>
      <c r="AB86" s="19"/>
    </row>
    <row r="87" spans="1:28">
      <c r="A87" s="21" t="s">
        <v>67</v>
      </c>
      <c r="B87" s="14" t="s">
        <v>50</v>
      </c>
      <c r="C87" s="14">
        <v>2014</v>
      </c>
      <c r="D87" s="15">
        <v>1000</v>
      </c>
      <c r="E87" s="16">
        <v>3955520</v>
      </c>
      <c r="F87" s="16">
        <v>2720652</v>
      </c>
      <c r="G87" s="16">
        <v>109968</v>
      </c>
      <c r="H87" s="16">
        <v>858910</v>
      </c>
      <c r="I87" s="16">
        <f>457772+178272+490625+808864</f>
        <v>1935533</v>
      </c>
      <c r="J87" s="16">
        <v>1735531</v>
      </c>
      <c r="K87" s="16">
        <v>1835613</v>
      </c>
      <c r="L87" s="16">
        <v>232216</v>
      </c>
      <c r="M87" s="16">
        <v>51468</v>
      </c>
      <c r="N87" s="20">
        <f>IF(OR([Preferenciais]&lt;&gt;0,[Ordinárias]&lt;&gt;0),[Dividendos]*[Reais]/((1+[Bônus Preferenciais])*[Preferenciais]+[Ordinárias]),0)</f>
        <v>0.33551772967848648</v>
      </c>
      <c r="O87" s="35">
        <f>IF([RBV]&gt;0,[LL]/[RBV],0)</f>
        <v>0.12650596830595556</v>
      </c>
      <c r="P87" s="18">
        <f>IF([PL]&lt;&gt;0,[LL]/[PL],0)</f>
        <v>0.13380112484305956</v>
      </c>
      <c r="Q87" s="36">
        <f>IF([PC]&lt;&gt;0,[AC]/[PC],0)</f>
        <v>3.1675635398353728</v>
      </c>
      <c r="R87" s="35">
        <f>IF([PL]&lt;&gt;0,[AI]/[PL],0)</f>
        <v>6.3362740279487947E-2</v>
      </c>
      <c r="S87" s="35">
        <f>IF([AT]&lt;&gt;0,[PO]/[AT],0)</f>
        <v>0.48932453887225952</v>
      </c>
      <c r="T87" s="18">
        <f>IF([LL]&lt;&gt;0,[Dividendos]/[LL],0)</f>
        <v>0.22163847452371929</v>
      </c>
      <c r="U87" s="20">
        <f>([Div/Ação]/20%*[Unit])</f>
        <v>1.6775886483924323</v>
      </c>
      <c r="V87" s="20">
        <f>([Div/Ação]/Setup!$A$2*[Unit])</f>
        <v>2.417274709499182</v>
      </c>
      <c r="W87" s="34">
        <v>153398749</v>
      </c>
      <c r="X87" s="22"/>
      <c r="Y87" s="18"/>
      <c r="Z87" s="37">
        <v>1</v>
      </c>
      <c r="AA87" s="15">
        <f>[Ordinárias]+[Preferenciais]</f>
        <v>153398749</v>
      </c>
      <c r="AB87" s="19"/>
    </row>
    <row r="88" spans="1:28">
      <c r="A88" s="21" t="s">
        <v>67</v>
      </c>
      <c r="B88" s="14" t="s">
        <v>50</v>
      </c>
      <c r="C88" s="14">
        <v>2013</v>
      </c>
      <c r="D88" s="15">
        <v>1000</v>
      </c>
      <c r="E88" s="16">
        <v>3433656</v>
      </c>
      <c r="F88" s="16">
        <v>2441768</v>
      </c>
      <c r="G88" s="16">
        <v>100908</v>
      </c>
      <c r="H88" s="16">
        <v>740599</v>
      </c>
      <c r="I88" s="16">
        <f>308165+257820+582135+465639</f>
        <v>1613759</v>
      </c>
      <c r="J88" s="16">
        <v>1601431</v>
      </c>
      <c r="K88" s="16">
        <v>1743929</v>
      </c>
      <c r="L88" s="16">
        <v>236454</v>
      </c>
      <c r="M88" s="16">
        <v>57051</v>
      </c>
      <c r="N88" s="20">
        <f>IF(OR([Preferenciais]&lt;&gt;0,[Ordinárias]&lt;&gt;0),[Dividendos]*[Reais]/((1+[Bônus Preferenciais])*[Preferenciais]+[Ordinárias]),0)</f>
        <v>0.37191307212029479</v>
      </c>
      <c r="O88" s="35">
        <f>IF([RBV]&gt;0,[LL]/[RBV],0)</f>
        <v>0.1355869418995842</v>
      </c>
      <c r="P88" s="18">
        <f>IF([PL]&lt;&gt;0,[LL]/[PL],0)</f>
        <v>0.14765169401616429</v>
      </c>
      <c r="Q88" s="36">
        <f>IF([PC]&lt;&gt;0,[AC]/[PC],0)</f>
        <v>3.2970176843338974</v>
      </c>
      <c r="R88" s="35">
        <f>IF([PL]&lt;&gt;0,[AI]/[PL],0)</f>
        <v>6.3011144407720349E-2</v>
      </c>
      <c r="S88" s="35">
        <f>IF([AT]&lt;&gt;0,[PO]/[AT],0)</f>
        <v>0.46998272395370999</v>
      </c>
      <c r="T88" s="18">
        <f>IF([LL]&lt;&gt;0,[Dividendos]/[LL],0)</f>
        <v>0.2412773731888655</v>
      </c>
      <c r="U88" s="20">
        <f>([Div/Ação]/20%*[Unit])</f>
        <v>1.8595653606014739</v>
      </c>
      <c r="V88" s="20">
        <f>([Div/Ação]/Setup!$A$2*[Unit])</f>
        <v>2.679488992221144</v>
      </c>
      <c r="W88" s="34">
        <v>153398749</v>
      </c>
      <c r="X88" s="22"/>
      <c r="Y88" s="18"/>
      <c r="Z88" s="37">
        <v>1</v>
      </c>
      <c r="AA88" s="15">
        <f>[Ordinárias]+[Preferenciais]</f>
        <v>153398749</v>
      </c>
      <c r="AB88" s="19"/>
    </row>
    <row r="89" spans="1:28">
      <c r="A89" s="21" t="s">
        <v>67</v>
      </c>
      <c r="B89" s="14" t="s">
        <v>50</v>
      </c>
      <c r="C89" s="14">
        <v>2012</v>
      </c>
      <c r="D89" s="15">
        <v>1000</v>
      </c>
      <c r="E89" s="16">
        <v>3027111</v>
      </c>
      <c r="F89" s="16">
        <v>2450571</v>
      </c>
      <c r="G89" s="16">
        <v>58122</v>
      </c>
      <c r="H89" s="16">
        <v>724959</v>
      </c>
      <c r="I89" s="16">
        <f>339221+264681+417231+434071</f>
        <v>1455204</v>
      </c>
      <c r="J89" s="16">
        <v>1421358</v>
      </c>
      <c r="K89" s="16">
        <v>1367773</v>
      </c>
      <c r="L89" s="16">
        <v>230167</v>
      </c>
      <c r="M89" s="16">
        <v>56261</v>
      </c>
      <c r="N89" s="20">
        <f>IF(OR([Preferenciais]&lt;&gt;0,[Ordinárias]&lt;&gt;0),[Dividendos]*[Reais]/((1+[Bônus Preferenciais])*[Preferenciais]+[Ordinárias]),0)</f>
        <v>0.36676309531050999</v>
      </c>
      <c r="O89" s="35">
        <f>IF([RBV]&gt;0,[LL]/[RBV],0)</f>
        <v>0.16827865442584405</v>
      </c>
      <c r="P89" s="18">
        <f>IF([PL]&lt;&gt;0,[LL]/[PL],0)</f>
        <v>0.16193457243002818</v>
      </c>
      <c r="Q89" s="36">
        <f>IF([PC]&lt;&gt;0,[AC]/[PC],0)</f>
        <v>3.3802890922107318</v>
      </c>
      <c r="R89" s="35">
        <f>IF([PL]&lt;&gt;0,[AI]/[PL],0)</f>
        <v>4.0891879456125761E-2</v>
      </c>
      <c r="S89" s="35">
        <f>IF([AT]&lt;&gt;0,[PO]/[AT],0)</f>
        <v>0.48072369992378872</v>
      </c>
      <c r="T89" s="18">
        <f>IF([LL]&lt;&gt;0,[Dividendos]/[LL],0)</f>
        <v>0.24443556200497898</v>
      </c>
      <c r="U89" s="20">
        <f>([Div/Ação]/20%*[Unit])</f>
        <v>1.8338154765525498</v>
      </c>
      <c r="V89" s="20">
        <f>([Div/Ação]/Setup!$A$2*[Unit])</f>
        <v>2.6423854128999276</v>
      </c>
      <c r="W89" s="34">
        <v>153398749</v>
      </c>
      <c r="X89" s="22"/>
      <c r="Y89" s="18"/>
      <c r="Z89" s="37">
        <v>1</v>
      </c>
      <c r="AA89" s="15">
        <f>[Ordinárias]+[Preferenciais]</f>
        <v>153398749</v>
      </c>
      <c r="AB89" s="19"/>
    </row>
    <row r="90" spans="1:28">
      <c r="A90" s="21" t="s">
        <v>67</v>
      </c>
      <c r="B90" s="14" t="s">
        <v>50</v>
      </c>
      <c r="C90" s="14">
        <v>2011</v>
      </c>
      <c r="D90" s="15">
        <v>1000</v>
      </c>
      <c r="E90" s="16">
        <v>2451913</v>
      </c>
      <c r="F90" s="16">
        <v>1913558</v>
      </c>
      <c r="G90" s="16">
        <v>45662</v>
      </c>
      <c r="H90" s="16">
        <v>667364</v>
      </c>
      <c r="I90" s="16">
        <f>280903+250206+192249+328081</f>
        <v>1051439</v>
      </c>
      <c r="J90" s="16">
        <v>1232483</v>
      </c>
      <c r="K90" s="16">
        <v>1072312</v>
      </c>
      <c r="L90" s="16">
        <v>181590</v>
      </c>
      <c r="M90" s="16">
        <v>41614</v>
      </c>
      <c r="N90" s="20">
        <f>IF(OR([Preferenciais]&lt;&gt;0,[Ordinárias]&lt;&gt;0),[Dividendos]*[Reais]/((1+[Bônus Preferenciais])*[Preferenciais]+[Ordinárias]),0)</f>
        <v>0.27127991767390491</v>
      </c>
      <c r="O90" s="35">
        <f>IF([RBV]&gt;0,[LL]/[RBV],0)</f>
        <v>0.16934436992218682</v>
      </c>
      <c r="P90" s="18">
        <f>IF([PL]&lt;&gt;0,[LL]/[PL],0)</f>
        <v>0.14733671782896804</v>
      </c>
      <c r="Q90" s="36">
        <f>IF([PC]&lt;&gt;0,[AC]/[PC],0)</f>
        <v>2.8673377646981257</v>
      </c>
      <c r="R90" s="35">
        <f>IF([PL]&lt;&gt;0,[AI]/[PL],0)</f>
        <v>3.704878687981903E-2</v>
      </c>
      <c r="S90" s="35">
        <f>IF([AT]&lt;&gt;0,[PO]/[AT],0)</f>
        <v>0.42882394277447855</v>
      </c>
      <c r="T90" s="18">
        <f>IF([LL]&lt;&gt;0,[Dividendos]/[LL],0)</f>
        <v>0.22916460157497659</v>
      </c>
      <c r="U90" s="20">
        <f>([Div/Ação]/20%*[Unit])</f>
        <v>1.3563995883695246</v>
      </c>
      <c r="V90" s="20">
        <f>([Div/Ação]/Setup!$A$2*[Unit])</f>
        <v>1.954466265662139</v>
      </c>
      <c r="W90" s="34">
        <v>153398749</v>
      </c>
      <c r="X90" s="22"/>
      <c r="Y90" s="18"/>
      <c r="Z90" s="37">
        <v>1</v>
      </c>
      <c r="AA90" s="15">
        <f>[Ordinárias]+[Preferenciais]</f>
        <v>153398749</v>
      </c>
      <c r="AB90" s="19"/>
    </row>
    <row r="91" spans="1:28">
      <c r="A91" s="21" t="s">
        <v>67</v>
      </c>
      <c r="B91" s="21" t="s">
        <v>50</v>
      </c>
      <c r="C91" s="21">
        <v>2010</v>
      </c>
      <c r="D91" s="15">
        <v>1000</v>
      </c>
      <c r="E91" s="23">
        <v>1679543</v>
      </c>
      <c r="F91" s="23">
        <v>1308166</v>
      </c>
      <c r="G91" s="23">
        <v>34630</v>
      </c>
      <c r="H91" s="23">
        <v>411447</v>
      </c>
      <c r="I91" s="23">
        <f>121643+195470+180731+239647</f>
        <v>737491</v>
      </c>
      <c r="J91" s="23">
        <v>827855</v>
      </c>
      <c r="K91" s="23">
        <v>781907</v>
      </c>
      <c r="L91" s="23">
        <v>180442</v>
      </c>
      <c r="M91" s="23">
        <v>40272</v>
      </c>
      <c r="N91" s="27">
        <f>IF(OR([Preferenciais]&lt;&gt;0,[Ordinárias]&lt;&gt;0),[Dividendos]*[Reais]/((1+[Bônus Preferenciais])*[Preferenciais]+[Ordinárias]),0)</f>
        <v>0.26253147605525778</v>
      </c>
      <c r="O91" s="47">
        <f>IF([RBV]&gt;0,[LL]/[RBV],0)</f>
        <v>0.2307716902393763</v>
      </c>
      <c r="P91" s="25">
        <f>IF([PL]&lt;&gt;0,[LL]/[PL],0)</f>
        <v>0.21796329067288353</v>
      </c>
      <c r="Q91" s="48">
        <f>IF([PC]&lt;&gt;0,[AC]/[PC],0)</f>
        <v>3.1794277270219493</v>
      </c>
      <c r="R91" s="47">
        <f>IF([PL]&lt;&gt;0,[AI]/[PL],0)</f>
        <v>4.1830996974107783E-2</v>
      </c>
      <c r="S91" s="47">
        <f>IF([AT]&lt;&gt;0,[PO]/[AT],0)</f>
        <v>0.43910218434419362</v>
      </c>
      <c r="T91" s="25">
        <f>IF([LL]&lt;&gt;0,[Dividendos]/[LL],0)</f>
        <v>0.22318528945589164</v>
      </c>
      <c r="U91" s="27">
        <f>([Div/Ação]/20%*[Unit])</f>
        <v>1.3126573802762889</v>
      </c>
      <c r="V91" s="27">
        <f>([Div/Ação]/Setup!$A$2*[Unit])</f>
        <v>1.8914371473721741</v>
      </c>
      <c r="W91" s="34">
        <v>153398749</v>
      </c>
      <c r="X91" s="22"/>
      <c r="Y91" s="18"/>
      <c r="Z91" s="49">
        <v>1</v>
      </c>
      <c r="AA91" s="15">
        <f>[Ordinárias]+[Preferenciais]</f>
        <v>153398749</v>
      </c>
      <c r="AB91" s="19"/>
    </row>
    <row r="92" spans="1:28">
      <c r="A92" s="21" t="s">
        <v>67</v>
      </c>
      <c r="B92" s="14" t="s">
        <v>16</v>
      </c>
      <c r="C92" s="14">
        <v>2015</v>
      </c>
      <c r="D92" s="15">
        <v>1000</v>
      </c>
      <c r="E92" s="16">
        <v>5083155</v>
      </c>
      <c r="F92" s="16">
        <v>3812225</v>
      </c>
      <c r="G92" s="16">
        <v>24769</v>
      </c>
      <c r="H92" s="16">
        <v>1249605</v>
      </c>
      <c r="I92" s="16">
        <f>778112+395239+1189566+688679</f>
        <v>3051596</v>
      </c>
      <c r="J92" s="16">
        <v>1870312</v>
      </c>
      <c r="K92" s="16">
        <v>1307399</v>
      </c>
      <c r="L92" s="16">
        <v>68873</v>
      </c>
      <c r="M92" s="16">
        <v>16357</v>
      </c>
      <c r="N92" s="17">
        <f>IF(OR([Preferenciais]&lt;&gt;0,[Ordinárias]&lt;&gt;0),[Dividendos]*[Reais]/((1+[Bônus Preferenciais])*[Preferenciais]+[Ordinárias]),0)</f>
        <v>6.3473046173076864E-2</v>
      </c>
      <c r="O92" s="18">
        <f>IF([RBV]&gt;0,[LL]/[RBV],0)</f>
        <v>5.2679403915713567E-2</v>
      </c>
      <c r="P92" s="18">
        <f>IF([PL]&lt;&gt;0,[LL]/[PL],0)</f>
        <v>3.6824337329814494E-2</v>
      </c>
      <c r="Q92" s="19">
        <f>IF([PC]&lt;&gt;0,[AC]/[PC],0)</f>
        <v>3.0507440351150965</v>
      </c>
      <c r="R92" s="18">
        <f>IF([PL]&lt;&gt;0,[AI]/[PL],0)</f>
        <v>1.3243244977308598E-2</v>
      </c>
      <c r="S92" s="18">
        <f>IF([AT]&lt;&gt;0,[PO]/[AT],0)</f>
        <v>0.6003350281468891</v>
      </c>
      <c r="T92" s="18">
        <f>IF([LL]&lt;&gt;0,[Dividendos]/[LL],0)</f>
        <v>0.23749509967621565</v>
      </c>
      <c r="U92" s="20">
        <f>([Div/Ação]/20%*[Unit])</f>
        <v>0.31736523086538432</v>
      </c>
      <c r="V92" s="17">
        <f>([Div/Ação]/Setup!$A$2*[Unit])</f>
        <v>0.45729860355242696</v>
      </c>
      <c r="W92" s="15">
        <v>257699937</v>
      </c>
      <c r="X92" s="22"/>
      <c r="Y92" s="18"/>
      <c r="Z92" s="15">
        <v>1</v>
      </c>
      <c r="AA92" s="15">
        <f>[Ordinárias]+[Preferenciais]</f>
        <v>257699937</v>
      </c>
      <c r="AB92" s="19"/>
    </row>
    <row r="93" spans="1:28">
      <c r="A93" s="21" t="s">
        <v>67</v>
      </c>
      <c r="B93" s="14" t="s">
        <v>16</v>
      </c>
      <c r="C93" s="14">
        <v>2014</v>
      </c>
      <c r="D93" s="15">
        <v>1000</v>
      </c>
      <c r="E93" s="16">
        <v>5052055</v>
      </c>
      <c r="F93" s="16">
        <v>3018678</v>
      </c>
      <c r="G93" s="16">
        <v>33276</v>
      </c>
      <c r="H93" s="16">
        <v>1253496</v>
      </c>
      <c r="I93" s="16">
        <f>720649+432590+733187+1224632</f>
        <v>3111058</v>
      </c>
      <c r="J93" s="16">
        <v>1779016</v>
      </c>
      <c r="K93" s="16">
        <v>1602005</v>
      </c>
      <c r="L93" s="16">
        <v>210757</v>
      </c>
      <c r="M93" s="16">
        <v>100110</v>
      </c>
      <c r="N93" s="17">
        <f>IF(OR([Preferenciais]&lt;&gt;0,[Ordinárias]&lt;&gt;0),[Dividendos]*[Reais]/((1+[Bônus Preferenciais])*[Preferenciais]+[Ordinárias]),0)</f>
        <v>0.38847506586701264</v>
      </c>
      <c r="O93" s="18">
        <f>IF([RBV]&gt;0,[LL]/[RBV],0)</f>
        <v>0.13155826604785878</v>
      </c>
      <c r="P93" s="18">
        <f>IF([PL]&lt;&gt;0,[LL]/[PL],0)</f>
        <v>0.118468299329517</v>
      </c>
      <c r="Q93" s="19">
        <f>IF([PC]&lt;&gt;0,[AC]/[PC],0)</f>
        <v>2.4082071263091387</v>
      </c>
      <c r="R93" s="18">
        <f>IF([PL]&lt;&gt;0,[AI]/[PL],0)</f>
        <v>1.8704722161014854E-2</v>
      </c>
      <c r="S93" s="18">
        <f>IF([AT]&lt;&gt;0,[PO]/[AT],0)</f>
        <v>0.61580050098425299</v>
      </c>
      <c r="T93" s="18">
        <f>IF([LL]&lt;&gt;0,[Dividendos]/[LL],0)</f>
        <v>0.47500201654037588</v>
      </c>
      <c r="U93" s="20">
        <f>([Div/Ação]/20%*[Unit])</f>
        <v>1.9423753293350632</v>
      </c>
      <c r="V93" s="17">
        <f>([Div/Ação]/Setup!$A$2*[Unit])</f>
        <v>2.7988117137392838</v>
      </c>
      <c r="W93" s="15">
        <v>257699937</v>
      </c>
      <c r="X93" s="22"/>
      <c r="Y93" s="18"/>
      <c r="Z93" s="15">
        <v>1</v>
      </c>
      <c r="AA93" s="15">
        <f>[Ordinárias]+[Preferenciais]</f>
        <v>257699937</v>
      </c>
      <c r="AB93" s="19"/>
    </row>
    <row r="94" spans="1:28">
      <c r="A94" s="21" t="s">
        <v>67</v>
      </c>
      <c r="B94" s="14" t="s">
        <v>16</v>
      </c>
      <c r="C94" s="14">
        <v>2013</v>
      </c>
      <c r="D94" s="15">
        <v>1000</v>
      </c>
      <c r="E94" s="16">
        <v>4903990</v>
      </c>
      <c r="F94" s="16">
        <v>3235607</v>
      </c>
      <c r="G94" s="16">
        <v>41260</v>
      </c>
      <c r="H94" s="16">
        <v>1097109</v>
      </c>
      <c r="I94" s="16">
        <f>573086+402609+762424+1236760</f>
        <v>2974879</v>
      </c>
      <c r="J94" s="16">
        <v>1713374</v>
      </c>
      <c r="K94" s="16">
        <v>1802504</v>
      </c>
      <c r="L94" s="16">
        <v>304121</v>
      </c>
      <c r="M94" s="16">
        <v>130012</v>
      </c>
      <c r="N94" s="17">
        <f>IF(OR([Preferenciais]&lt;&gt;0,[Ordinárias]&lt;&gt;0),[Dividendos]*[Reais]/((1+[Bônus Preferenciais])*[Preferenciais]+[Ordinárias]),0)</f>
        <v>0.50450924246830531</v>
      </c>
      <c r="O94" s="18">
        <f>IF([RBV]&gt;0,[LL]/[RBV],0)</f>
        <v>0.16872140089564294</v>
      </c>
      <c r="P94" s="18">
        <f>IF([PL]&lt;&gt;0,[LL]/[PL],0)</f>
        <v>0.17749831618782588</v>
      </c>
      <c r="Q94" s="19">
        <f>IF([PC]&lt;&gt;0,[AC]/[PC],0)</f>
        <v>2.9492119743799385</v>
      </c>
      <c r="R94" s="18">
        <f>IF([PL]&lt;&gt;0,[AI]/[PL],0)</f>
        <v>2.4081140486548764E-2</v>
      </c>
      <c r="S94" s="18">
        <f>IF([AT]&lt;&gt;0,[PO]/[AT],0)</f>
        <v>0.60662419784705923</v>
      </c>
      <c r="T94" s="18">
        <f>IF([LL]&lt;&gt;0,[Dividendos]/[LL],0)</f>
        <v>0.42750089602493746</v>
      </c>
      <c r="U94" s="20">
        <f>([Div/Ação]/20%*[Unit])</f>
        <v>2.5225462123415263</v>
      </c>
      <c r="V94" s="17">
        <f>([Div/Ação]/Setup!$A$2*[Unit])</f>
        <v>3.6347928131722282</v>
      </c>
      <c r="W94" s="15">
        <v>257699937</v>
      </c>
      <c r="X94" s="22"/>
      <c r="Y94" s="18"/>
      <c r="Z94" s="15">
        <v>1</v>
      </c>
      <c r="AA94" s="15">
        <f>[Ordinárias]+[Preferenciais]</f>
        <v>257699937</v>
      </c>
      <c r="AB94" s="19"/>
    </row>
    <row r="95" spans="1:28">
      <c r="A95" s="21" t="s">
        <v>67</v>
      </c>
      <c r="B95" s="14" t="s">
        <v>16</v>
      </c>
      <c r="C95" s="14">
        <v>2012</v>
      </c>
      <c r="D95" s="15">
        <v>1000</v>
      </c>
      <c r="E95" s="16">
        <v>3449668</v>
      </c>
      <c r="F95" s="16">
        <v>2231996</v>
      </c>
      <c r="G95" s="16">
        <v>30536</v>
      </c>
      <c r="H95" s="16">
        <v>974676</v>
      </c>
      <c r="I95" s="16">
        <f>466104+384297+553653+725657</f>
        <v>2129711</v>
      </c>
      <c r="J95" s="16">
        <v>1128181</v>
      </c>
      <c r="K95" s="16">
        <v>1432311</v>
      </c>
      <c r="L95" s="16">
        <v>272116</v>
      </c>
      <c r="M95" s="16">
        <v>103405</v>
      </c>
      <c r="N95" s="17">
        <f>IF(OR([Preferenciais]&lt;&gt;0,[Ordinárias]&lt;&gt;0),[Dividendos]*[Reais]/((1+[Bônus Preferenciais])*[Preferenciais]+[Ordinárias]),0)</f>
        <v>0.40126125447985656</v>
      </c>
      <c r="O95" s="18">
        <f>IF([RBV]&gt;0,[LL]/[RBV],0)</f>
        <v>0.18998387919941967</v>
      </c>
      <c r="P95" s="18">
        <f>IF([PL]&lt;&gt;0,[LL]/[PL],0)</f>
        <v>0.24119888563980424</v>
      </c>
      <c r="Q95" s="19">
        <f>IF([PC]&lt;&gt;0,[AC]/[PC],0)</f>
        <v>2.2899876471771132</v>
      </c>
      <c r="R95" s="18">
        <f>IF([PL]&lt;&gt;0,[AI]/[PL],0)</f>
        <v>2.7066578855697802E-2</v>
      </c>
      <c r="S95" s="18">
        <f>IF([AT]&lt;&gt;0,[PO]/[AT],0)</f>
        <v>0.61736694661631208</v>
      </c>
      <c r="T95" s="18">
        <f>IF([LL]&lt;&gt;0,[Dividendos]/[LL],0)</f>
        <v>0.38000338091108204</v>
      </c>
      <c r="U95" s="20">
        <f>([Div/Ação]/20%*[Unit])</f>
        <v>2.0063062723992826</v>
      </c>
      <c r="V95" s="17">
        <f>([Div/Ação]/Setup!$A$2*[Unit])</f>
        <v>2.8909312282410413</v>
      </c>
      <c r="W95" s="15">
        <v>257699937</v>
      </c>
      <c r="X95" s="22"/>
      <c r="Y95" s="18"/>
      <c r="Z95" s="15">
        <v>1</v>
      </c>
      <c r="AA95" s="15">
        <f>[Ordinárias]+[Preferenciais]</f>
        <v>257699937</v>
      </c>
      <c r="AB95" s="19"/>
    </row>
    <row r="96" spans="1:28">
      <c r="A96" s="21" t="s">
        <v>67</v>
      </c>
      <c r="B96" s="14" t="s">
        <v>16</v>
      </c>
      <c r="C96" s="14">
        <v>2011</v>
      </c>
      <c r="D96" s="15">
        <v>1000</v>
      </c>
      <c r="E96" s="16">
        <v>2630337</v>
      </c>
      <c r="F96" s="16">
        <v>1774019</v>
      </c>
      <c r="G96" s="16">
        <v>21941</v>
      </c>
      <c r="H96" s="16">
        <v>819375</v>
      </c>
      <c r="I96" s="16">
        <f>469844+231815+280787+570914</f>
        <v>1553360</v>
      </c>
      <c r="J96" s="16">
        <v>908993</v>
      </c>
      <c r="K96" s="16">
        <v>1178528</v>
      </c>
      <c r="L96" s="16">
        <v>213345</v>
      </c>
      <c r="M96" s="16">
        <v>70937</v>
      </c>
      <c r="N96" s="17">
        <f>IF(OR([Preferenciais]&lt;&gt;0,[Ordinárias]&lt;&gt;0),[Dividendos]*[Reais]/((1+[Bônus Preferenciais])*[Preferenciais]+[Ordinárias]),0)</f>
        <v>0.27526976073727172</v>
      </c>
      <c r="O96" s="18">
        <f>IF([RBV]&gt;0,[LL]/[RBV],0)</f>
        <v>0.18102667055852725</v>
      </c>
      <c r="P96" s="18">
        <f>IF([PL]&lt;&gt;0,[LL]/[PL],0)</f>
        <v>0.23470477770455878</v>
      </c>
      <c r="Q96" s="19">
        <f>IF([PC]&lt;&gt;0,[AC]/[PC],0)</f>
        <v>2.1650880244088482</v>
      </c>
      <c r="R96" s="18">
        <f>IF([PL]&lt;&gt;0,[AI]/[PL],0)</f>
        <v>2.4137699630250177E-2</v>
      </c>
      <c r="S96" s="18">
        <f>IF([AT]&lt;&gt;0,[PO]/[AT],0)</f>
        <v>0.5905555067658631</v>
      </c>
      <c r="T96" s="18">
        <f>IF([LL]&lt;&gt;0,[Dividendos]/[LL],0)</f>
        <v>0.33249900396072091</v>
      </c>
      <c r="U96" s="20">
        <f>([Div/Ação]/20%*[Unit])</f>
        <v>1.3763488036863585</v>
      </c>
      <c r="V96" s="17">
        <f>([Div/Ação]/Setup!$A$2*[Unit])</f>
        <v>1.9832115326892774</v>
      </c>
      <c r="W96" s="15">
        <v>257699937</v>
      </c>
      <c r="X96" s="22"/>
      <c r="Y96" s="18"/>
      <c r="Z96" s="15">
        <v>1</v>
      </c>
      <c r="AA96" s="15">
        <f>[Ordinárias]+[Preferenciais]</f>
        <v>257699937</v>
      </c>
      <c r="AB96" s="19"/>
    </row>
    <row r="97" spans="1:28">
      <c r="A97" s="21" t="s">
        <v>67</v>
      </c>
      <c r="B97" s="14" t="s">
        <v>16</v>
      </c>
      <c r="C97" s="14">
        <v>2010</v>
      </c>
      <c r="D97" s="15">
        <v>1000</v>
      </c>
      <c r="E97" s="16">
        <v>2099216</v>
      </c>
      <c r="F97" s="16">
        <v>1582949</v>
      </c>
      <c r="G97" s="16">
        <v>13085</v>
      </c>
      <c r="H97" s="16">
        <v>614683</v>
      </c>
      <c r="I97" s="16">
        <f>292479+209103+258807+465184</f>
        <v>1225573</v>
      </c>
      <c r="J97" s="16">
        <v>727827</v>
      </c>
      <c r="K97" s="16">
        <v>987173</v>
      </c>
      <c r="L97" s="16">
        <v>182058</v>
      </c>
      <c r="M97" s="16">
        <v>51886</v>
      </c>
      <c r="N97" s="17">
        <f>IF(OR([Preferenciais]&lt;&gt;0,[Ordinárias]&lt;&gt;0),[Dividendos]*[Reais]/((1+[Bônus Preferenciais])*[Preferenciais]+[Ordinárias]),0)</f>
        <v>0.20134269571047664</v>
      </c>
      <c r="O97" s="18">
        <f>IF([RBV]&gt;0,[LL]/[RBV],0)</f>
        <v>0.18442360153691401</v>
      </c>
      <c r="P97" s="18">
        <f>IF([PL]&lt;&gt;0,[LL]/[PL],0)</f>
        <v>0.25013911272871164</v>
      </c>
      <c r="Q97" s="19">
        <f>IF([PC]&lt;&gt;0,[AC]/[PC],0)</f>
        <v>2.575228207059574</v>
      </c>
      <c r="R97" s="18">
        <f>IF([PL]&lt;&gt;0,[AI]/[PL],0)</f>
        <v>1.7978173384609254E-2</v>
      </c>
      <c r="S97" s="18">
        <f>IF([AT]&lt;&gt;0,[PO]/[AT],0)</f>
        <v>0.5838241514927478</v>
      </c>
      <c r="T97" s="18">
        <f>IF([LL]&lt;&gt;0,[Dividendos]/[LL],0)</f>
        <v>0.28499708883982028</v>
      </c>
      <c r="U97" s="20">
        <f>([Div/Ação]/20%*[Unit])</f>
        <v>1.006713478552383</v>
      </c>
      <c r="V97" s="17">
        <f>([Div/Ação]/Setup!$A$2*[Unit])</f>
        <v>1.4505957904213014</v>
      </c>
      <c r="W97" s="15">
        <v>257699937</v>
      </c>
      <c r="X97" s="22"/>
      <c r="Y97" s="18"/>
      <c r="Z97" s="15">
        <v>1</v>
      </c>
      <c r="AA97" s="15">
        <f>[Ordinárias]+[Preferenciais]</f>
        <v>257699937</v>
      </c>
      <c r="AB97" s="19"/>
    </row>
    <row r="98" spans="1:28">
      <c r="A98" s="21" t="s">
        <v>67</v>
      </c>
      <c r="B98" s="21" t="s">
        <v>41</v>
      </c>
      <c r="C98" s="14">
        <v>2015</v>
      </c>
      <c r="D98" s="15">
        <v>1000</v>
      </c>
      <c r="E98" s="23">
        <v>3712812</v>
      </c>
      <c r="F98" s="23">
        <v>2107312</v>
      </c>
      <c r="G98" s="23">
        <v>20266</v>
      </c>
      <c r="H98" s="23">
        <v>1258696</v>
      </c>
      <c r="I98" s="23">
        <f>787052+351142+557357+58767</f>
        <v>1754318</v>
      </c>
      <c r="J98" s="23">
        <v>1712013</v>
      </c>
      <c r="K98" s="23">
        <v>1271749</v>
      </c>
      <c r="L98" s="23">
        <v>292905</v>
      </c>
      <c r="M98" s="23">
        <v>28000</v>
      </c>
      <c r="N98" s="28">
        <f>IF(OR([Preferenciais]&lt;&gt;0,[Ordinárias]&lt;&gt;0),[Dividendos]*[Reais]/((1+[Bônus Preferenciais])*[Preferenciais]+[Ordinárias]),0)</f>
        <v>0.10237659963436929</v>
      </c>
      <c r="O98" s="25">
        <f>IF([RBV]&gt;0,[LL]/[RBV],0)</f>
        <v>0.23031667412358886</v>
      </c>
      <c r="P98" s="25">
        <f>IF([PL]&lt;&gt;0,[LL]/[PL],0)</f>
        <v>0.17108807000881418</v>
      </c>
      <c r="Q98" s="32">
        <f>IF([PC]&lt;&gt;0,[AC]/[PC],0)</f>
        <v>1.6742025079923986</v>
      </c>
      <c r="R98" s="25">
        <f>IF([PL]&lt;&gt;0,[AI]/[PL],0)</f>
        <v>1.1837526934666968E-2</v>
      </c>
      <c r="S98" s="25">
        <f>IF([AT]&lt;&gt;0,[PO]/[AT],0)</f>
        <v>0.47250385960829688</v>
      </c>
      <c r="T98" s="25">
        <f>IF([LL]&lt;&gt;0,[Dividendos]/[LL],0)</f>
        <v>9.5594134617025997E-2</v>
      </c>
      <c r="U98" s="27">
        <f>([Div/Ação]/20%*[Unit])</f>
        <v>0.51188299817184646</v>
      </c>
      <c r="V98" s="28">
        <f>([Div/Ação]/Setup!$A$2*[Unit])</f>
        <v>0.73758357085280468</v>
      </c>
      <c r="W98" s="29">
        <v>273500000</v>
      </c>
      <c r="X98" s="22"/>
      <c r="Y98" s="25"/>
      <c r="Z98" s="29">
        <v>1</v>
      </c>
      <c r="AA98" s="15">
        <f>[Ordinárias]+[Preferenciais]</f>
        <v>273500000</v>
      </c>
      <c r="AB98" s="19"/>
    </row>
    <row r="99" spans="1:28">
      <c r="A99" s="21" t="s">
        <v>67</v>
      </c>
      <c r="B99" s="21" t="s">
        <v>41</v>
      </c>
      <c r="C99" s="14">
        <v>2014</v>
      </c>
      <c r="D99" s="15">
        <v>1000</v>
      </c>
      <c r="E99" s="16">
        <v>4798379</v>
      </c>
      <c r="F99" s="16">
        <v>3123812</v>
      </c>
      <c r="G99" s="16">
        <v>57349</v>
      </c>
      <c r="H99" s="16">
        <v>1833577</v>
      </c>
      <c r="I99" s="16">
        <f>1257258+392111+1111674+58142</f>
        <v>2819185</v>
      </c>
      <c r="J99" s="16">
        <v>1700318</v>
      </c>
      <c r="K99" s="16">
        <v>1612505</v>
      </c>
      <c r="L99" s="16">
        <v>211790</v>
      </c>
      <c r="M99" s="16">
        <v>36896</v>
      </c>
      <c r="N99" s="22">
        <f>IF(OR([Preferenciais]&lt;&gt;0,[Ordinárias]&lt;&gt;0),[Dividendos]*[Reais]/((1+[Bônus Preferenciais])*[Preferenciais]+[Ordinárias]),0)</f>
        <v>0.13490310786106033</v>
      </c>
      <c r="O99" s="18">
        <f>IF([RBV]&gt;0,[LL]/[RBV],0)</f>
        <v>0.13134222839619103</v>
      </c>
      <c r="P99" s="18">
        <f>IF([PL]&lt;&gt;0,[LL]/[PL],0)</f>
        <v>0.12455905307124902</v>
      </c>
      <c r="Q99" s="33">
        <f>IF([PC]&lt;&gt;0,[AC]/[PC],0)</f>
        <v>1.7036710211788215</v>
      </c>
      <c r="R99" s="18">
        <f>IF([PL]&lt;&gt;0,[AI]/[PL],0)</f>
        <v>3.3728396688148921E-2</v>
      </c>
      <c r="S99" s="18">
        <f>IF([AT]&lt;&gt;0,[PO]/[AT],0)</f>
        <v>0.58752862164493469</v>
      </c>
      <c r="T99" s="18">
        <f>IF([LL]&lt;&gt;0,[Dividendos]/[LL],0)</f>
        <v>0.1742103026582936</v>
      </c>
      <c r="U99" s="20">
        <f>([Div/Ação]/20%*[Unit])</f>
        <v>0.67451553930530161</v>
      </c>
      <c r="V99" s="22">
        <f>([Div/Ação]/Setup!$A$2*[Unit])</f>
        <v>0.97192440822089565</v>
      </c>
      <c r="W99" s="29">
        <v>273500000</v>
      </c>
      <c r="X99" s="22"/>
      <c r="Y99" s="25"/>
      <c r="Z99" s="15">
        <v>1</v>
      </c>
      <c r="AA99" s="15">
        <f>[Ordinárias]+[Preferenciais]</f>
        <v>273500000</v>
      </c>
      <c r="AB99" s="19"/>
    </row>
    <row r="100" spans="1:28">
      <c r="A100" s="21" t="s">
        <v>67</v>
      </c>
      <c r="B100" s="21" t="s">
        <v>41</v>
      </c>
      <c r="C100" s="14">
        <v>2013</v>
      </c>
      <c r="D100" s="15">
        <v>1000</v>
      </c>
      <c r="E100" s="16">
        <v>4690095</v>
      </c>
      <c r="F100" s="16">
        <v>3288973</v>
      </c>
      <c r="G100" s="16">
        <v>66246</v>
      </c>
      <c r="H100" s="16">
        <v>1620124</v>
      </c>
      <c r="I100" s="16">
        <f>978727+443414+1294361+138680</f>
        <v>2855182</v>
      </c>
      <c r="J100" s="16">
        <v>1579047</v>
      </c>
      <c r="K100" s="16">
        <v>1832249</v>
      </c>
      <c r="L100" s="16">
        <v>285449</v>
      </c>
      <c r="M100" s="16">
        <v>84035</v>
      </c>
      <c r="N100" s="22">
        <f>IF(OR([Preferenciais]&lt;&gt;0,[Ordinárias]&lt;&gt;0),[Dividendos]*[Reais]/((1+[Bônus Preferenciais])*[Preferenciais]+[Ordinárias]),0)</f>
        <v>0.30725776965265084</v>
      </c>
      <c r="O100" s="18">
        <f>IF([RBV]&gt;0,[LL]/[RBV],0)</f>
        <v>0.15579159819435023</v>
      </c>
      <c r="P100" s="18">
        <f>IF([PL]&lt;&gt;0,[LL]/[PL],0)</f>
        <v>0.18077295989289743</v>
      </c>
      <c r="Q100" s="33">
        <f>IF([PC]&lt;&gt;0,[AC]/[PC],0)</f>
        <v>2.0300748584676236</v>
      </c>
      <c r="R100" s="18">
        <f>IF([PL]&lt;&gt;0,[AI]/[PL],0)</f>
        <v>4.1953152756061089E-2</v>
      </c>
      <c r="S100" s="18">
        <f>IF([AT]&lt;&gt;0,[PO]/[AT],0)</f>
        <v>0.60876847910330179</v>
      </c>
      <c r="T100" s="18">
        <f>IF([LL]&lt;&gt;0,[Dividendos]/[LL],0)</f>
        <v>0.29439584654351564</v>
      </c>
      <c r="U100" s="20">
        <f>([Div/Ação]/20%*[Unit])</f>
        <v>1.5362888482632542</v>
      </c>
      <c r="V100" s="22">
        <f>([Div/Ação]/Setup!$A$2*[Unit])</f>
        <v>2.21367269202198</v>
      </c>
      <c r="W100" s="29">
        <v>273500000</v>
      </c>
      <c r="X100" s="22"/>
      <c r="Y100" s="25"/>
      <c r="Z100" s="15">
        <v>1</v>
      </c>
      <c r="AA100" s="15">
        <f>[Ordinárias]+[Preferenciais]</f>
        <v>273500000</v>
      </c>
      <c r="AB100" s="19"/>
    </row>
    <row r="101" spans="1:28">
      <c r="A101" s="21" t="s">
        <v>67</v>
      </c>
      <c r="B101" s="21" t="s">
        <v>41</v>
      </c>
      <c r="C101" s="14">
        <v>2012</v>
      </c>
      <c r="D101" s="15">
        <v>1000</v>
      </c>
      <c r="E101" s="16">
        <v>4167991</v>
      </c>
      <c r="F101" s="16">
        <v>2710386</v>
      </c>
      <c r="G101" s="16">
        <v>71436</v>
      </c>
      <c r="H101" s="16">
        <v>1407416</v>
      </c>
      <c r="I101" s="16">
        <f>845688+378082+1073985+188023</f>
        <v>2485778</v>
      </c>
      <c r="J101" s="16">
        <v>1433298</v>
      </c>
      <c r="K101" s="16">
        <v>1355405</v>
      </c>
      <c r="L101" s="16">
        <v>-170948</v>
      </c>
      <c r="M101" s="16">
        <v>0</v>
      </c>
      <c r="N101" s="22">
        <f>IF(OR([Preferenciais]&lt;&gt;0,[Ordinárias]&lt;&gt;0),[Dividendos]*[Reais]/((1+[Bônus Preferenciais])*[Preferenciais]+[Ordinárias]),0)</f>
        <v>0</v>
      </c>
      <c r="O101" s="18">
        <f>IF([RBV]&gt;0,[LL]/[RBV],0)</f>
        <v>-0.12612318827214006</v>
      </c>
      <c r="P101" s="18">
        <f>IF([PL]&lt;&gt;0,[LL]/[PL],0)</f>
        <v>-0.11926898663083323</v>
      </c>
      <c r="Q101" s="33">
        <f>IF([PC]&lt;&gt;0,[AC]/[PC],0)</f>
        <v>1.9257888214998267</v>
      </c>
      <c r="R101" s="18">
        <f>IF([PL]&lt;&gt;0,[AI]/[PL],0)</f>
        <v>4.9840298388750981E-2</v>
      </c>
      <c r="S101" s="18">
        <f>IF([AT]&lt;&gt;0,[PO]/[AT],0)</f>
        <v>0.59639716112630758</v>
      </c>
      <c r="T101" s="18">
        <f>IF([LL]&lt;&gt;0,[Dividendos]/[LL],0)</f>
        <v>0</v>
      </c>
      <c r="U101" s="20">
        <f>([Div/Ação]/20%*[Unit])</f>
        <v>0</v>
      </c>
      <c r="V101" s="22">
        <f>([Div/Ação]/Setup!$A$2*[Unit])</f>
        <v>0</v>
      </c>
      <c r="W101" s="29">
        <v>273500000</v>
      </c>
      <c r="X101" s="22"/>
      <c r="Y101" s="25"/>
      <c r="Z101" s="15">
        <v>1</v>
      </c>
      <c r="AA101" s="15">
        <f>[Ordinárias]+[Preferenciais]</f>
        <v>273500000</v>
      </c>
      <c r="AB101" s="19"/>
    </row>
    <row r="102" spans="1:28">
      <c r="A102" s="21" t="s">
        <v>67</v>
      </c>
      <c r="B102" s="21" t="s">
        <v>41</v>
      </c>
      <c r="C102" s="14">
        <v>2011</v>
      </c>
      <c r="D102" s="15">
        <v>1000</v>
      </c>
      <c r="E102" s="16">
        <v>3943761</v>
      </c>
      <c r="F102" s="16">
        <v>2681117</v>
      </c>
      <c r="G102" s="16">
        <v>40171</v>
      </c>
      <c r="H102" s="16">
        <v>1066987</v>
      </c>
      <c r="I102" s="16">
        <f>583040+300897+901564+290672</f>
        <v>2076173</v>
      </c>
      <c r="J102" s="16">
        <v>1632314</v>
      </c>
      <c r="K102" s="16">
        <v>1596145</v>
      </c>
      <c r="L102" s="16">
        <v>144411</v>
      </c>
      <c r="M102" s="16">
        <v>54876</v>
      </c>
      <c r="N102" s="22">
        <f>IF(OR([Preferenciais]&lt;&gt;0,[Ordinárias]&lt;&gt;0),[Dividendos]*[Reais]/((1+[Bônus Preferenciais])*[Preferenciais]+[Ordinárias]),0)</f>
        <v>0.2006435100548446</v>
      </c>
      <c r="O102" s="18">
        <f>IF([RBV]&gt;0,[LL]/[RBV],0)</f>
        <v>9.0474862872733999E-2</v>
      </c>
      <c r="P102" s="18">
        <f>IF([PL]&lt;&gt;0,[LL]/[PL],0)</f>
        <v>8.8470110530204357E-2</v>
      </c>
      <c r="Q102" s="33">
        <f>IF([PC]&lt;&gt;0,[AC]/[PC],0)</f>
        <v>2.5127925644829787</v>
      </c>
      <c r="R102" s="18">
        <f>IF([PL]&lt;&gt;0,[AI]/[PL],0)</f>
        <v>2.460984835025614E-2</v>
      </c>
      <c r="S102" s="18">
        <f>IF([AT]&lt;&gt;0,[PO]/[AT],0)</f>
        <v>0.52644493416309968</v>
      </c>
      <c r="T102" s="18">
        <f>IF([LL]&lt;&gt;0,[Dividendos]/[LL],0)</f>
        <v>0.37999875355755447</v>
      </c>
      <c r="U102" s="20">
        <f>([Div/Ação]/20%*[Unit])</f>
        <v>1.0032175502742229</v>
      </c>
      <c r="V102" s="22">
        <f>([Div/Ação]/Setup!$A$2*[Unit])</f>
        <v>1.4455584297899466</v>
      </c>
      <c r="W102" s="29">
        <v>273500000</v>
      </c>
      <c r="X102" s="22"/>
      <c r="Y102" s="25"/>
      <c r="Z102" s="15">
        <v>1</v>
      </c>
      <c r="AA102" s="15">
        <f>[Ordinárias]+[Preferenciais]</f>
        <v>273500000</v>
      </c>
      <c r="AB102" s="19"/>
    </row>
    <row r="103" spans="1:28">
      <c r="A103" s="21" t="s">
        <v>67</v>
      </c>
      <c r="B103" s="21" t="s">
        <v>41</v>
      </c>
      <c r="C103" s="21">
        <v>2010</v>
      </c>
      <c r="D103" s="15">
        <v>1000</v>
      </c>
      <c r="E103" s="16">
        <v>3135070</v>
      </c>
      <c r="F103" s="16">
        <v>1901013</v>
      </c>
      <c r="G103" s="16">
        <v>36022</v>
      </c>
      <c r="H103" s="16">
        <v>856221</v>
      </c>
      <c r="I103" s="16">
        <f>497396+212590+801541+230239</f>
        <v>1741766</v>
      </c>
      <c r="J103" s="16">
        <v>1195384</v>
      </c>
      <c r="K103" s="16">
        <v>1415218</v>
      </c>
      <c r="L103" s="16">
        <v>200048</v>
      </c>
      <c r="M103" s="16">
        <v>47512</v>
      </c>
      <c r="N103" s="22">
        <f>IF(OR([Preferenciais]&lt;&gt;0,[Ordinárias]&lt;&gt;0),[Dividendos]*[Reais]/((1+[Bônus Preferenciais])*[Preferenciais]+[Ordinárias]),0)</f>
        <v>0.17371846435100549</v>
      </c>
      <c r="O103" s="18">
        <f>IF([RBV]&gt;0,[LL]/[RBV],0)</f>
        <v>0.14135490079973545</v>
      </c>
      <c r="P103" s="18">
        <f>IF([PL]&lt;&gt;0,[LL]/[PL],0)</f>
        <v>0.16735040790239789</v>
      </c>
      <c r="Q103" s="33">
        <f>IF([PC]&lt;&gt;0,[AC]/[PC],0)</f>
        <v>2.2202363642097076</v>
      </c>
      <c r="R103" s="18">
        <f>IF([PL]&lt;&gt;0,[AI]/[PL],0)</f>
        <v>3.0134249747361518E-2</v>
      </c>
      <c r="S103" s="18">
        <f>IF([AT]&lt;&gt;0,[PO]/[AT],0)</f>
        <v>0.55557483564960275</v>
      </c>
      <c r="T103" s="18">
        <f>IF([LL]&lt;&gt;0,[Dividendos]/[LL],0)</f>
        <v>0.23750299928017277</v>
      </c>
      <c r="U103" s="20">
        <f>([Div/Ação]/20%*[Unit])</f>
        <v>0.86859232175502743</v>
      </c>
      <c r="V103" s="22">
        <f>([Div/Ação]/Setup!$A$2*[Unit])</f>
        <v>1.2515739506556591</v>
      </c>
      <c r="W103" s="29">
        <v>273500000</v>
      </c>
      <c r="X103" s="22"/>
      <c r="Y103" s="25"/>
      <c r="Z103" s="15">
        <v>1</v>
      </c>
      <c r="AA103" s="15">
        <f>[Ordinárias]+[Preferenciais]</f>
        <v>273500000</v>
      </c>
      <c r="AB103" s="19"/>
    </row>
    <row r="104" spans="1:28">
      <c r="A104" s="21" t="s">
        <v>68</v>
      </c>
      <c r="B104" s="21" t="s">
        <v>42</v>
      </c>
      <c r="C104" s="14">
        <v>2015</v>
      </c>
      <c r="D104" s="15">
        <v>1000</v>
      </c>
      <c r="E104" s="23">
        <v>1388864529</v>
      </c>
      <c r="F104" s="23">
        <v>1388864529</v>
      </c>
      <c r="G104" s="23">
        <v>7411947</v>
      </c>
      <c r="H104" s="23">
        <v>1388864529</v>
      </c>
      <c r="I104" s="23"/>
      <c r="J104" s="23">
        <v>86229994</v>
      </c>
      <c r="K104" s="23">
        <v>182368871</v>
      </c>
      <c r="L104" s="23">
        <v>15798039</v>
      </c>
      <c r="M104" s="23">
        <v>4484285</v>
      </c>
      <c r="N104" s="28">
        <f>IF(OR([Preferenciais]&lt;&gt;0,[Ordinárias]&lt;&gt;0),[Dividendos]*[Reais]/((1+[Bônus Preferenciais])*[Preferenciais]+[Ordinárias]),0)</f>
        <v>1.5649676709186295</v>
      </c>
      <c r="O104" s="25">
        <f>IF([RBV]&gt;0,[LL]/[RBV],0)</f>
        <v>8.6626839950114068E-2</v>
      </c>
      <c r="P104" s="25">
        <f>IF([PL]&lt;&gt;0,[LL]/[PL],0)</f>
        <v>0.18320816536297102</v>
      </c>
      <c r="Q104" s="32">
        <f>IF([PC]&lt;&gt;0,[AC]/[PC],0)</f>
        <v>1</v>
      </c>
      <c r="R104" s="25">
        <f>IF([PL]&lt;&gt;0,[AI]/[PL],0)</f>
        <v>8.5955555093741517E-2</v>
      </c>
      <c r="S104" s="25">
        <f>IF([AT]&lt;&gt;0,[PO]/[AT],0)</f>
        <v>0</v>
      </c>
      <c r="T104" s="25">
        <f>IF([LL]&lt;&gt;0,[Dividendos]/[LL],0)</f>
        <v>0.28385073615782314</v>
      </c>
      <c r="U104" s="27">
        <f>([Div/Ação]/20%*[Unit])</f>
        <v>7.8248383545931475</v>
      </c>
      <c r="V104" s="28">
        <f>([Div/Ação]/Setup!$A$2*[Unit])</f>
        <v>11.274983219874851</v>
      </c>
      <c r="W104" s="29">
        <v>2865417020</v>
      </c>
      <c r="X104" s="22"/>
      <c r="Y104" s="25"/>
      <c r="Z104" s="29">
        <v>1</v>
      </c>
      <c r="AA104" s="15">
        <f>[Ordinárias]+[Preferenciais]</f>
        <v>2865417020</v>
      </c>
      <c r="AB104" s="19"/>
    </row>
    <row r="105" spans="1:28">
      <c r="A105" s="21" t="s">
        <v>68</v>
      </c>
      <c r="B105" s="21" t="s">
        <v>42</v>
      </c>
      <c r="C105" s="14">
        <v>2014</v>
      </c>
      <c r="D105" s="15">
        <v>1000</v>
      </c>
      <c r="E105" s="16">
        <v>1278136948</v>
      </c>
      <c r="F105" s="16">
        <v>1278136948</v>
      </c>
      <c r="G105" s="16">
        <v>7179878</v>
      </c>
      <c r="H105" s="16">
        <v>1278136948</v>
      </c>
      <c r="I105" s="16"/>
      <c r="J105" s="16">
        <v>85440036</v>
      </c>
      <c r="K105" s="16">
        <v>137778601</v>
      </c>
      <c r="L105" s="16">
        <v>13343496</v>
      </c>
      <c r="M105" s="16">
        <v>4141713</v>
      </c>
      <c r="N105" s="22">
        <f>IF(OR([Preferenciais]&lt;&gt;0,[Ordinárias]&lt;&gt;0),[Dividendos]*[Reais]/((1+[Bônus Preferenciais])*[Preferenciais]+[Ordinárias]),0)</f>
        <v>1.4454136940946907</v>
      </c>
      <c r="O105" s="18">
        <f>IF([RBV]&gt;0,[LL]/[RBV],0)</f>
        <v>9.6847376175637032E-2</v>
      </c>
      <c r="P105" s="18">
        <f>IF([PL]&lt;&gt;0,[LL]/[PL],0)</f>
        <v>0.1561738106009225</v>
      </c>
      <c r="Q105" s="33">
        <f>IF([PC]&lt;&gt;0,[AC]/[PC],0)</f>
        <v>1</v>
      </c>
      <c r="R105" s="18">
        <f>IF([PL]&lt;&gt;0,[AI]/[PL],0)</f>
        <v>8.4034117214089182E-2</v>
      </c>
      <c r="S105" s="18">
        <f>IF([AT]&lt;&gt;0,[PO]/[AT],0)</f>
        <v>0</v>
      </c>
      <c r="T105" s="18">
        <f>IF([LL]&lt;&gt;0,[Dividendos]/[LL],0)</f>
        <v>0.31039189429816594</v>
      </c>
      <c r="U105" s="20">
        <f>([Div/Ação]/20%*[Unit])</f>
        <v>7.2270684704734531</v>
      </c>
      <c r="V105" s="22">
        <f>([Div/Ação]/Setup!$A$2*[Unit])</f>
        <v>10.413643329212467</v>
      </c>
      <c r="W105" s="29">
        <v>2865417020</v>
      </c>
      <c r="X105" s="22"/>
      <c r="Y105" s="25"/>
      <c r="Z105" s="15">
        <v>1</v>
      </c>
      <c r="AA105" s="15">
        <f>[Ordinárias]+[Preferenciais]</f>
        <v>2865417020</v>
      </c>
      <c r="AB105" s="19"/>
    </row>
    <row r="106" spans="1:28">
      <c r="A106" s="21" t="s">
        <v>68</v>
      </c>
      <c r="B106" s="21" t="s">
        <v>42</v>
      </c>
      <c r="C106" s="14">
        <v>2013</v>
      </c>
      <c r="D106" s="15">
        <v>1000</v>
      </c>
      <c r="E106" s="16">
        <v>1162167882</v>
      </c>
      <c r="F106" s="16">
        <v>1162167882</v>
      </c>
      <c r="G106" s="16">
        <v>6575390</v>
      </c>
      <c r="H106" s="16">
        <v>1162167882</v>
      </c>
      <c r="I106" s="16"/>
      <c r="J106" s="16">
        <v>76381996</v>
      </c>
      <c r="K106" s="16">
        <v>104582211</v>
      </c>
      <c r="L106" s="16">
        <v>11288834</v>
      </c>
      <c r="M106" s="16">
        <v>5856986</v>
      </c>
      <c r="N106" s="22">
        <f>IF(OR([Preferenciais]&lt;&gt;0,[Ordinárias]&lt;&gt;0),[Dividendos]*[Reais]/((1+[Bônus Preferenciais])*[Preferenciais]+[Ordinárias]),0)</f>
        <v>2.0440256894963231</v>
      </c>
      <c r="O106" s="18">
        <f>IF([RBV]&gt;0,[LL]/[RBV],0)</f>
        <v>0.10794220061000623</v>
      </c>
      <c r="P106" s="18">
        <f>IF([PL]&lt;&gt;0,[LL]/[PL],0)</f>
        <v>0.14779443574635048</v>
      </c>
      <c r="Q106" s="33">
        <f>IF([PC]&lt;&gt;0,[AC]/[PC],0)</f>
        <v>1</v>
      </c>
      <c r="R106" s="18">
        <f>IF([PL]&lt;&gt;0,[AI]/[PL],0)</f>
        <v>8.6085600591008379E-2</v>
      </c>
      <c r="S106" s="18">
        <f>IF([AT]&lt;&gt;0,[PO]/[AT],0)</f>
        <v>0</v>
      </c>
      <c r="T106" s="18">
        <f>IF([LL]&lt;&gt;0,[Dividendos]/[LL],0)</f>
        <v>0.51883002265778733</v>
      </c>
      <c r="U106" s="20">
        <f>([Div/Ação]/20%*[Unit])</f>
        <v>10.220128447481615</v>
      </c>
      <c r="V106" s="22">
        <f>([Div/Ação]/Setup!$A$2*[Unit])</f>
        <v>14.726409866688206</v>
      </c>
      <c r="W106" s="29">
        <v>2865417020</v>
      </c>
      <c r="X106" s="22"/>
      <c r="Y106" s="25"/>
      <c r="Z106" s="15">
        <v>1</v>
      </c>
      <c r="AA106" s="15">
        <f>[Ordinárias]+[Preferenciais]</f>
        <v>2865417020</v>
      </c>
      <c r="AB106" s="19"/>
    </row>
    <row r="107" spans="1:28">
      <c r="A107" s="21" t="s">
        <v>68</v>
      </c>
      <c r="B107" s="21" t="s">
        <v>42</v>
      </c>
      <c r="C107" s="14">
        <v>2012</v>
      </c>
      <c r="D107" s="15">
        <v>1000</v>
      </c>
      <c r="E107" s="16">
        <v>1136007475</v>
      </c>
      <c r="F107" s="16">
        <v>1136007475</v>
      </c>
      <c r="G107" s="16">
        <v>7299814</v>
      </c>
      <c r="H107" s="16">
        <v>1136007475</v>
      </c>
      <c r="I107" s="16"/>
      <c r="J107" s="16">
        <v>69898229</v>
      </c>
      <c r="K107" s="16">
        <v>107931378</v>
      </c>
      <c r="L107" s="16">
        <v>11438200</v>
      </c>
      <c r="M107" s="16">
        <v>4438295</v>
      </c>
      <c r="N107" s="22">
        <f>IF(OR([Preferenciais]&lt;&gt;0,[Ordinárias]&lt;&gt;0),[Dividendos]*[Reais]/((1+[Bônus Preferenciais])*[Preferenciais]+[Ordinárias]),0)</f>
        <v>1.5489176510859142</v>
      </c>
      <c r="O107" s="18">
        <f>IF([RBV]&gt;0,[LL]/[RBV],0)</f>
        <v>0.1059765956105925</v>
      </c>
      <c r="P107" s="18">
        <f>IF([PL]&lt;&gt;0,[LL]/[PL],0)</f>
        <v>0.16364076978259348</v>
      </c>
      <c r="Q107" s="33">
        <f>IF([PC]&lt;&gt;0,[AC]/[PC],0)</f>
        <v>1</v>
      </c>
      <c r="R107" s="18">
        <f>IF([PL]&lt;&gt;0,[AI]/[PL],0)</f>
        <v>0.10443489204855247</v>
      </c>
      <c r="S107" s="18">
        <f>IF([AT]&lt;&gt;0,[PO]/[AT],0)</f>
        <v>0</v>
      </c>
      <c r="T107" s="18">
        <f>IF([LL]&lt;&gt;0,[Dividendos]/[LL],0)</f>
        <v>0.38802390236225981</v>
      </c>
      <c r="U107" s="20">
        <f>([Div/Ação]/20%*[Unit])</f>
        <v>7.7445882554295702</v>
      </c>
      <c r="V107" s="22">
        <f>([Div/Ação]/Setup!$A$2*[Unit])</f>
        <v>11.159349071224165</v>
      </c>
      <c r="W107" s="29">
        <v>2865417020</v>
      </c>
      <c r="X107" s="22"/>
      <c r="Y107" s="25"/>
      <c r="Z107" s="15">
        <v>1</v>
      </c>
      <c r="AA107" s="15">
        <f>[Ordinárias]+[Preferenciais]</f>
        <v>2865417020</v>
      </c>
      <c r="AB107" s="19"/>
    </row>
    <row r="108" spans="1:28">
      <c r="A108" s="21" t="s">
        <v>68</v>
      </c>
      <c r="B108" s="21" t="s">
        <v>42</v>
      </c>
      <c r="C108" s="14">
        <v>2011</v>
      </c>
      <c r="D108" s="15">
        <v>1000</v>
      </c>
      <c r="E108" s="16">
        <v>966823068</v>
      </c>
      <c r="F108" s="16">
        <v>966823068</v>
      </c>
      <c r="G108" s="16">
        <v>6194386</v>
      </c>
      <c r="H108" s="16">
        <v>966823068</v>
      </c>
      <c r="I108" s="16"/>
      <c r="J108" s="16">
        <v>63269224</v>
      </c>
      <c r="K108" s="16">
        <v>106919760</v>
      </c>
      <c r="L108" s="16">
        <v>12736912</v>
      </c>
      <c r="M108" s="16">
        <v>4089194</v>
      </c>
      <c r="N108" s="22">
        <f>IF(OR([Preferenciais]&lt;&gt;0,[Ordinárias]&lt;&gt;0),[Dividendos]*[Reais]/((1+[Bônus Preferenciais])*[Preferenciais]+[Ordinárias]),0)</f>
        <v>1.4270851228488899</v>
      </c>
      <c r="O108" s="18">
        <f>IF([RBV]&gt;0,[LL]/[RBV],0)</f>
        <v>0.11912589403492863</v>
      </c>
      <c r="P108" s="18">
        <f>IF([PL]&lt;&gt;0,[LL]/[PL],0)</f>
        <v>0.20131291637147311</v>
      </c>
      <c r="Q108" s="33">
        <f>IF([PC]&lt;&gt;0,[AC]/[PC],0)</f>
        <v>1</v>
      </c>
      <c r="R108" s="18">
        <f>IF([PL]&lt;&gt;0,[AI]/[PL],0)</f>
        <v>9.7905199532714357E-2</v>
      </c>
      <c r="S108" s="18">
        <f>IF([AT]&lt;&gt;0,[PO]/[AT],0)</f>
        <v>0</v>
      </c>
      <c r="T108" s="18">
        <f>IF([LL]&lt;&gt;0,[Dividendos]/[LL],0)</f>
        <v>0.32105065968894186</v>
      </c>
      <c r="U108" s="20">
        <f>([Div/Ação]/20%*[Unit])</f>
        <v>7.1354256142444488</v>
      </c>
      <c r="V108" s="22">
        <f>([Div/Ação]/Setup!$A$2*[Unit])</f>
        <v>10.281593104098629</v>
      </c>
      <c r="W108" s="29">
        <v>2865417020</v>
      </c>
      <c r="X108" s="22"/>
      <c r="Y108" s="25"/>
      <c r="Z108" s="15">
        <v>1</v>
      </c>
      <c r="AA108" s="15">
        <f>[Ordinárias]+[Preferenciais]</f>
        <v>2865417020</v>
      </c>
      <c r="AB108" s="19"/>
    </row>
    <row r="109" spans="1:28">
      <c r="A109" s="21" t="s">
        <v>68</v>
      </c>
      <c r="B109" s="21" t="s">
        <v>42</v>
      </c>
      <c r="C109" s="21">
        <v>2010</v>
      </c>
      <c r="D109" s="15">
        <v>1000</v>
      </c>
      <c r="E109" s="16">
        <v>802819795</v>
      </c>
      <c r="F109" s="16">
        <v>802819795</v>
      </c>
      <c r="G109" s="16">
        <v>5553136</v>
      </c>
      <c r="H109" s="16">
        <v>802819795</v>
      </c>
      <c r="I109" s="16"/>
      <c r="J109" s="16">
        <v>54418937</v>
      </c>
      <c r="K109" s="16">
        <v>85143206</v>
      </c>
      <c r="L109" s="16">
        <v>11330345</v>
      </c>
      <c r="M109" s="16">
        <v>3885445</v>
      </c>
      <c r="N109" s="22">
        <f>IF(OR([Preferenciais]&lt;&gt;0,[Ordinárias]&lt;&gt;0),[Dividendos]*[Reais]/((1+[Bônus Preferenciais])*[Preferenciais]+[Ordinárias]),0)</f>
        <v>1.3559788934317141</v>
      </c>
      <c r="O109" s="18">
        <f>IF([RBV]&gt;0,[LL]/[RBV],0)</f>
        <v>0.13307397656602218</v>
      </c>
      <c r="P109" s="18">
        <f>IF([PL]&lt;&gt;0,[LL]/[PL],0)</f>
        <v>0.20820592287570777</v>
      </c>
      <c r="Q109" s="33">
        <f>IF([PC]&lt;&gt;0,[AC]/[PC],0)</f>
        <v>1</v>
      </c>
      <c r="R109" s="18">
        <f>IF([PL]&lt;&gt;0,[AI]/[PL],0)</f>
        <v>0.10204418362674009</v>
      </c>
      <c r="S109" s="18">
        <f>IF([AT]&lt;&gt;0,[PO]/[AT],0)</f>
        <v>0</v>
      </c>
      <c r="T109" s="18">
        <f>IF([LL]&lt;&gt;0,[Dividendos]/[LL],0)</f>
        <v>0.34292380329107364</v>
      </c>
      <c r="U109" s="20">
        <f>([Div/Ação]/20%*[Unit])</f>
        <v>6.7798944671585701</v>
      </c>
      <c r="V109" s="22">
        <f>([Div/Ação]/Setup!$A$2*[Unit])</f>
        <v>9.7693003849547111</v>
      </c>
      <c r="W109" s="29">
        <v>2865417020</v>
      </c>
      <c r="X109" s="22"/>
      <c r="Y109" s="25"/>
      <c r="Z109" s="15">
        <v>1</v>
      </c>
      <c r="AA109" s="15">
        <f>[Ordinárias]+[Preferenciais]</f>
        <v>2865417020</v>
      </c>
      <c r="AB109" s="19"/>
    </row>
    <row r="110" spans="1:28">
      <c r="A110" s="14" t="s">
        <v>69</v>
      </c>
      <c r="B110" s="21" t="s">
        <v>36</v>
      </c>
      <c r="C110" s="14">
        <v>2015</v>
      </c>
      <c r="D110" s="15">
        <v>1000</v>
      </c>
      <c r="E110" s="23">
        <v>4636779</v>
      </c>
      <c r="F110" s="23">
        <v>1185381</v>
      </c>
      <c r="G110" s="23">
        <v>3145358</v>
      </c>
      <c r="H110" s="23">
        <v>915933</v>
      </c>
      <c r="I110" s="23">
        <f>160597+75476+1231061+13385</f>
        <v>1480519</v>
      </c>
      <c r="J110" s="23">
        <v>2018466</v>
      </c>
      <c r="K110" s="23">
        <v>2625821</v>
      </c>
      <c r="L110" s="23">
        <v>803316</v>
      </c>
      <c r="M110" s="23">
        <f>107362+35432+428384</f>
        <v>571178</v>
      </c>
      <c r="N110" s="28">
        <f>IF(OR([Preferenciais]&lt;&gt;0,[Ordinárias]&lt;&gt;0),[Dividendos]*[Reais]/((1+[Bônus Preferenciais])*[Preferenciais]+[Ordinárias]),0)</f>
        <v>0.29032346264125464</v>
      </c>
      <c r="O110" s="25">
        <f>IF([RBV]&gt;0,[LL]/[RBV],0)</f>
        <v>0.30592945977658037</v>
      </c>
      <c r="P110" s="25">
        <f>IF([PL]&lt;&gt;0,[LL]/[PL],0)</f>
        <v>0.3979834190915279</v>
      </c>
      <c r="Q110" s="32">
        <f>IF([PC]&lt;&gt;0,[AC]/[PC],0)</f>
        <v>1.2941787226794974</v>
      </c>
      <c r="R110" s="25">
        <f>IF([PL]&lt;&gt;0,[AI]/[PL],0)</f>
        <v>1.5582912964597868</v>
      </c>
      <c r="S110" s="25">
        <f>IF([AT]&lt;&gt;0,[PO]/[AT],0)</f>
        <v>0.31929902201506694</v>
      </c>
      <c r="T110" s="25">
        <f>IF([LL]&lt;&gt;0,[Dividendos]/[LL],0)</f>
        <v>0.71102530013095722</v>
      </c>
      <c r="U110" s="27">
        <f>([Div/Ação]/20%*[Unit])</f>
        <v>7.2580865660313654</v>
      </c>
      <c r="V110" s="28">
        <f>([Div/Ação]/Setup!$A$2*[Unit])</f>
        <v>10.458337991399663</v>
      </c>
      <c r="W110" s="29">
        <v>1967384912</v>
      </c>
      <c r="X110" s="22"/>
      <c r="Y110" s="25"/>
      <c r="Z110" s="29">
        <v>5</v>
      </c>
      <c r="AA110" s="15">
        <f>[Ordinárias]+[Preferenciais]</f>
        <v>1967384912</v>
      </c>
      <c r="AB110" s="19"/>
    </row>
    <row r="111" spans="1:28">
      <c r="A111" s="14" t="s">
        <v>69</v>
      </c>
      <c r="B111" s="21" t="s">
        <v>36</v>
      </c>
      <c r="C111" s="14">
        <v>2014</v>
      </c>
      <c r="D111" s="15">
        <v>1000</v>
      </c>
      <c r="E111" s="23">
        <v>17673814</v>
      </c>
      <c r="F111" s="23">
        <v>4424012</v>
      </c>
      <c r="G111" s="23">
        <v>3161589</v>
      </c>
      <c r="H111" s="23">
        <v>4548918</v>
      </c>
      <c r="I111" s="23">
        <f>1418388+469128+3277542+3030383</f>
        <v>8195441</v>
      </c>
      <c r="J111" s="23">
        <v>5902875</v>
      </c>
      <c r="K111" s="23">
        <v>3205007</v>
      </c>
      <c r="L111" s="23">
        <v>209826</v>
      </c>
      <c r="M111" s="23">
        <v>102842</v>
      </c>
      <c r="N111" s="28">
        <f>IF(OR([Preferenciais]&lt;&gt;0,[Ordinárias]&lt;&gt;0),[Dividendos]*[Reais]/((1+[Bônus Preferenciais])*[Preferenciais]+[Ordinárias]),0)</f>
        <v>5.2273451612197784E-2</v>
      </c>
      <c r="O111" s="25">
        <f>IF([RBV]&gt;0,[LL]/[RBV],0)</f>
        <v>6.5468187744987763E-2</v>
      </c>
      <c r="P111" s="25">
        <f>IF([PL]&lt;&gt;0,[LL]/[PL],0)</f>
        <v>3.5546407470935772E-2</v>
      </c>
      <c r="Q111" s="32">
        <f>IF([PC]&lt;&gt;0,[AC]/[PC],0)</f>
        <v>0.97254160220078711</v>
      </c>
      <c r="R111" s="25">
        <f>IF([PL]&lt;&gt;0,[AI]/[PL],0)</f>
        <v>0.53560155009211607</v>
      </c>
      <c r="S111" s="25">
        <f>IF([AT]&lt;&gt;0,[PO]/[AT],0)</f>
        <v>0.46370528738165967</v>
      </c>
      <c r="T111" s="25">
        <f>IF([LL]&lt;&gt;0,[Dividendos]/[LL],0)</f>
        <v>0.49012991716946425</v>
      </c>
      <c r="U111" s="27">
        <f>([Div/Ação]/20%*[Unit])</f>
        <v>1.3068362903049446</v>
      </c>
      <c r="V111" s="28">
        <f>([Div/Ação]/Setup!$A$2*[Unit])</f>
        <v>1.8830494096613035</v>
      </c>
      <c r="W111" s="29">
        <v>1967384912</v>
      </c>
      <c r="X111" s="22"/>
      <c r="Y111" s="25"/>
      <c r="Z111" s="29">
        <v>5</v>
      </c>
      <c r="AA111" s="15">
        <f>[Ordinárias]+[Preferenciais]</f>
        <v>1967384912</v>
      </c>
      <c r="AB111" s="19"/>
    </row>
    <row r="112" spans="1:28">
      <c r="A112" s="14" t="s">
        <v>69</v>
      </c>
      <c r="B112" s="21" t="s">
        <v>36</v>
      </c>
      <c r="C112" s="14">
        <v>2013</v>
      </c>
      <c r="D112" s="15">
        <v>1000</v>
      </c>
      <c r="E112" s="23">
        <v>16573460</v>
      </c>
      <c r="F112" s="23">
        <v>3450472</v>
      </c>
      <c r="G112" s="23">
        <v>3150276</v>
      </c>
      <c r="H112" s="23">
        <v>2865365</v>
      </c>
      <c r="I112" s="23">
        <f>441344+501749+3424499+2783177</f>
        <v>7150769</v>
      </c>
      <c r="J112" s="23">
        <v>6538341</v>
      </c>
      <c r="K112" s="23">
        <v>2336933</v>
      </c>
      <c r="L112" s="23">
        <v>1063465</v>
      </c>
      <c r="M112" s="23">
        <f>278000+38276+80000</f>
        <v>396276</v>
      </c>
      <c r="N112" s="28">
        <f>IF(OR([Preferenciais]&lt;&gt;0,[Ordinárias]&lt;&gt;0),[Dividendos]*[Reais]/((1+[Bônus Preferenciais])*[Preferenciais]+[Ordinárias]),0)</f>
        <v>0.20142270970104909</v>
      </c>
      <c r="O112" s="25">
        <f>IF([RBV]&gt;0,[LL]/[RBV],0)</f>
        <v>0.45506867334236795</v>
      </c>
      <c r="P112" s="25">
        <f>IF([PL]&lt;&gt;0,[LL]/[PL],0)</f>
        <v>0.16265058674669919</v>
      </c>
      <c r="Q112" s="32">
        <f>IF([PC]&lt;&gt;0,[AC]/[PC],0)</f>
        <v>1.2041998139853038</v>
      </c>
      <c r="R112" s="25">
        <f>IF([PL]&lt;&gt;0,[AI]/[PL],0)</f>
        <v>0.48181580006304353</v>
      </c>
      <c r="S112" s="25">
        <f>IF([AT]&lt;&gt;0,[PO]/[AT],0)</f>
        <v>0.43145903148769177</v>
      </c>
      <c r="T112" s="25">
        <f>IF([LL]&lt;&gt;0,[Dividendos]/[LL],0)</f>
        <v>0.37262721387163661</v>
      </c>
      <c r="U112" s="27">
        <f>([Div/Ação]/20%*[Unit])</f>
        <v>5.0355677425262266</v>
      </c>
      <c r="V112" s="28">
        <f>([Div/Ação]/Setup!$A$2*[Unit])</f>
        <v>7.2558613004700678</v>
      </c>
      <c r="W112" s="29">
        <v>1967384912</v>
      </c>
      <c r="X112" s="22"/>
      <c r="Y112" s="25"/>
      <c r="Z112" s="29">
        <v>5</v>
      </c>
      <c r="AA112" s="15">
        <f>[Ordinárias]+[Preferenciais]</f>
        <v>1967384912</v>
      </c>
      <c r="AB112" s="19"/>
    </row>
    <row r="113" spans="1:28">
      <c r="A113" s="14" t="s">
        <v>69</v>
      </c>
      <c r="B113" s="21" t="s">
        <v>36</v>
      </c>
      <c r="C113" s="14">
        <v>2012</v>
      </c>
      <c r="D113" s="15">
        <v>1000</v>
      </c>
      <c r="E113" s="23">
        <v>16440554</v>
      </c>
      <c r="F113" s="23">
        <v>3684149</v>
      </c>
      <c r="G113" s="23">
        <v>3129052</v>
      </c>
      <c r="H113" s="23">
        <v>3272881</v>
      </c>
      <c r="I113" s="23">
        <f>401904+522318+3316775+1359804</f>
        <v>5600801</v>
      </c>
      <c r="J113" s="23">
        <v>7344034</v>
      </c>
      <c r="K113" s="23">
        <v>10099789</v>
      </c>
      <c r="L113" s="23">
        <v>836528</v>
      </c>
      <c r="M113" s="23">
        <f>142451+109318+126773</f>
        <v>378542</v>
      </c>
      <c r="N113" s="28">
        <f>IF(OR([Preferenciais]&lt;&gt;0,[Ordinárias]&lt;&gt;0),[Dividendos]*[Reais]/((1+[Bônus Preferenciais])*[Preferenciais]+[Ordinárias]),0)</f>
        <v>0.19240871356240227</v>
      </c>
      <c r="O113" s="25">
        <f>IF([RBV]&gt;0,[LL]/[RBV],0)</f>
        <v>8.2826284786741589E-2</v>
      </c>
      <c r="P113" s="25">
        <f>IF([PL]&lt;&gt;0,[LL]/[PL],0)</f>
        <v>0.11390579074116487</v>
      </c>
      <c r="Q113" s="32">
        <f>IF([PC]&lt;&gt;0,[AC]/[PC],0)</f>
        <v>1.1256593197247318</v>
      </c>
      <c r="R113" s="25">
        <f>IF([PL]&lt;&gt;0,[AI]/[PL],0)</f>
        <v>0.42606719957995837</v>
      </c>
      <c r="S113" s="25">
        <f>IF([AT]&lt;&gt;0,[PO]/[AT],0)</f>
        <v>0.34066984604046796</v>
      </c>
      <c r="T113" s="25">
        <f>IF([LL]&lt;&gt;0,[Dividendos]/[LL],0)</f>
        <v>0.45251563605760953</v>
      </c>
      <c r="U113" s="27">
        <f>([Div/Ação]/20%*[Unit])</f>
        <v>4.8102178390600567</v>
      </c>
      <c r="V113" s="28">
        <f>([Div/Ação]/Setup!$A$2*[Unit])</f>
        <v>6.9311496240058457</v>
      </c>
      <c r="W113" s="29">
        <v>1967384912</v>
      </c>
      <c r="X113" s="22"/>
      <c r="Y113" s="25"/>
      <c r="Z113" s="29">
        <v>5</v>
      </c>
      <c r="AA113" s="15">
        <f>[Ordinárias]+[Preferenciais]</f>
        <v>1967384912</v>
      </c>
      <c r="AB113" s="19"/>
    </row>
    <row r="114" spans="1:28">
      <c r="A114" s="14" t="s">
        <v>69</v>
      </c>
      <c r="B114" s="21" t="s">
        <v>36</v>
      </c>
      <c r="C114" s="14">
        <v>2011</v>
      </c>
      <c r="D114" s="15">
        <v>1000</v>
      </c>
      <c r="E114" s="23">
        <v>17203706</v>
      </c>
      <c r="F114" s="23">
        <v>4067507</v>
      </c>
      <c r="G114" s="23">
        <v>3165206</v>
      </c>
      <c r="H114" s="23">
        <v>3342725</v>
      </c>
      <c r="I114" s="23">
        <f>365883+884073+3054287+1569247</f>
        <v>5873490</v>
      </c>
      <c r="J114" s="23">
        <v>8059064</v>
      </c>
      <c r="K114" s="23">
        <v>9917958</v>
      </c>
      <c r="L114" s="23">
        <v>2667509</v>
      </c>
      <c r="M114" s="23">
        <f>299175+267478+428221</f>
        <v>994874</v>
      </c>
      <c r="N114" s="28">
        <f>IF(OR([Preferenciais]&lt;&gt;0,[Ordinárias]&lt;&gt;0),[Dividendos]*[Reais]/((1+[Bônus Preferenciais])*[Preferenciais]+[Ordinárias]),0)</f>
        <v>0.50568345519567548</v>
      </c>
      <c r="O114" s="25">
        <f>IF([RBV]&gt;0,[LL]/[RBV],0)</f>
        <v>0.26895748096533578</v>
      </c>
      <c r="P114" s="25">
        <f>IF([PL]&lt;&gt;0,[LL]/[PL],0)</f>
        <v>0.33099488972912983</v>
      </c>
      <c r="Q114" s="32">
        <f>IF([PC]&lt;&gt;0,[AC]/[PC],0)</f>
        <v>1.2168236992274268</v>
      </c>
      <c r="R114" s="25">
        <f>IF([PL]&lt;&gt;0,[AI]/[PL],0)</f>
        <v>0.39275106885861683</v>
      </c>
      <c r="S114" s="25">
        <f>IF([AT]&lt;&gt;0,[PO]/[AT],0)</f>
        <v>0.34140841514031917</v>
      </c>
      <c r="T114" s="25">
        <f>IF([LL]&lt;&gt;0,[Dividendos]/[LL],0)</f>
        <v>0.37295994127854865</v>
      </c>
      <c r="U114" s="27">
        <f>([Div/Ação]/20%*[Unit])</f>
        <v>12.642086379891886</v>
      </c>
      <c r="V114" s="28">
        <f>([Div/Ação]/Setup!$A$2*[Unit])</f>
        <v>18.216262795233266</v>
      </c>
      <c r="W114" s="29">
        <v>1967384912</v>
      </c>
      <c r="X114" s="22"/>
      <c r="Y114" s="25"/>
      <c r="Z114" s="29">
        <v>5</v>
      </c>
      <c r="AA114" s="15">
        <f>[Ordinárias]+[Preferenciais]</f>
        <v>1967384912</v>
      </c>
      <c r="AB114" s="19"/>
    </row>
    <row r="115" spans="1:28">
      <c r="A115" s="14" t="s">
        <v>69</v>
      </c>
      <c r="B115" s="21" t="s">
        <v>36</v>
      </c>
      <c r="C115" s="21">
        <v>2010</v>
      </c>
      <c r="D115" s="15">
        <v>1000</v>
      </c>
      <c r="E115" s="23">
        <v>17500232</v>
      </c>
      <c r="F115" s="23">
        <v>4220454</v>
      </c>
      <c r="G115" s="23">
        <v>3409116</v>
      </c>
      <c r="H115" s="23">
        <v>3000384</v>
      </c>
      <c r="I115" s="23">
        <f>353807+573275+4117020+1717101</f>
        <v>6761203</v>
      </c>
      <c r="J115" s="23">
        <v>7435025</v>
      </c>
      <c r="K115" s="23">
        <v>9809511</v>
      </c>
      <c r="L115" s="23">
        <v>1787147</v>
      </c>
      <c r="M115" s="23">
        <f>343331+352064</f>
        <v>695395</v>
      </c>
      <c r="N115" s="28">
        <f>IF(OR([Preferenciais]&lt;&gt;0,[Ordinárias]&lt;&gt;0),[Dividendos]*[Reais]/((1+[Bônus Preferenciais])*[Preferenciais]+[Ordinárias]),0)</f>
        <v>0.35346159043838393</v>
      </c>
      <c r="O115" s="25">
        <f>IF([RBV]&gt;0,[LL]/[RBV],0)</f>
        <v>0.18218512625145128</v>
      </c>
      <c r="P115" s="25">
        <f>IF([PL]&lt;&gt;0,[LL]/[PL],0)</f>
        <v>0.24036866049542538</v>
      </c>
      <c r="Q115" s="32">
        <f>IF([PC]&lt;&gt;0,[AC]/[PC],0)</f>
        <v>1.4066379503423563</v>
      </c>
      <c r="R115" s="25">
        <f>IF([PL]&lt;&gt;0,[AI]/[PL],0)</f>
        <v>0.45852112131431971</v>
      </c>
      <c r="S115" s="25">
        <f>IF([AT]&lt;&gt;0,[PO]/[AT],0)</f>
        <v>0.38634933525452692</v>
      </c>
      <c r="T115" s="25">
        <f>IF([LL]&lt;&gt;0,[Dividendos]/[LL],0)</f>
        <v>0.38910901005904941</v>
      </c>
      <c r="U115" s="27">
        <f>([Div/Ação]/20%*[Unit])</f>
        <v>8.8365397609595977</v>
      </c>
      <c r="V115" s="28">
        <f>([Div/Ação]/Setup!$A$2*[Unit])</f>
        <v>12.732766226166568</v>
      </c>
      <c r="W115" s="29">
        <v>1967384912</v>
      </c>
      <c r="X115" s="22"/>
      <c r="Y115" s="25"/>
      <c r="Z115" s="29">
        <v>5</v>
      </c>
      <c r="AA115" s="15">
        <f>[Ordinárias]+[Preferenciais]</f>
        <v>1967384912</v>
      </c>
    </row>
    <row r="116" spans="1:28">
      <c r="A116" s="14" t="s">
        <v>69</v>
      </c>
      <c r="B116" s="14" t="s">
        <v>31</v>
      </c>
      <c r="C116" s="14">
        <v>2015</v>
      </c>
      <c r="D116" s="15">
        <v>1000</v>
      </c>
      <c r="E116" s="16">
        <v>40857089</v>
      </c>
      <c r="F116" s="16">
        <v>9376738</v>
      </c>
      <c r="G116" s="16">
        <v>3940323</v>
      </c>
      <c r="H116" s="16">
        <v>13074072</v>
      </c>
      <c r="I116" s="16">
        <f>6300359+3901228+8866178+4485343</f>
        <v>23553108</v>
      </c>
      <c r="J116" s="16">
        <v>12987676</v>
      </c>
      <c r="K116" s="16">
        <v>21292211</v>
      </c>
      <c r="L116" s="16">
        <v>2469003</v>
      </c>
      <c r="M116" s="16">
        <f>200000+1056497</f>
        <v>1256497</v>
      </c>
      <c r="N116" s="17">
        <f>IF(OR([Preferenciais]&lt;&gt;0,[Ordinárias]&lt;&gt;0),[Dividendos]*[Reais]/((1+[Bônus Preferenciais])*[Preferenciais]+[Ordinárias]),0)</f>
        <v>0.99813745120957043</v>
      </c>
      <c r="O116" s="18">
        <f>IF([RBV]&gt;0,[LL]/[RBV],0)</f>
        <v>0.11595803742504712</v>
      </c>
      <c r="P116" s="18">
        <f>IF([PL]&lt;&gt;0,[LL]/[PL],0)</f>
        <v>0.19010352583479909</v>
      </c>
      <c r="Q116" s="19">
        <f>IF([PC]&lt;&gt;0,[AC]/[PC],0)</f>
        <v>0.71720103728968299</v>
      </c>
      <c r="R116" s="18">
        <f>IF([PL]&lt;&gt;0,[AI]/[PL],0)</f>
        <v>0.30338938236525148</v>
      </c>
      <c r="S116" s="18">
        <f>IF([AT]&lt;&gt;0,[PO]/[AT],0)</f>
        <v>0.57647543122810341</v>
      </c>
      <c r="T116" s="18">
        <f>IF([LL]&lt;&gt;0,[Dividendos]/[LL],0)</f>
        <v>0.50890865665209806</v>
      </c>
      <c r="U116" s="20">
        <f>([Div/Ação]/20%*[Unit])</f>
        <v>4.9906872560478517</v>
      </c>
      <c r="V116" s="22">
        <f>([Div/Ação]/Setup!$A$2*[Unit])</f>
        <v>7.1911920115963284</v>
      </c>
      <c r="W116" s="15">
        <v>1258841654</v>
      </c>
      <c r="X116" s="22"/>
      <c r="Y116" s="18"/>
      <c r="Z116" s="15">
        <v>1</v>
      </c>
      <c r="AA116" s="15">
        <f>[Ordinárias]+[Preferenciais]</f>
        <v>1258841654</v>
      </c>
    </row>
    <row r="117" spans="1:28">
      <c r="A117" s="14" t="s">
        <v>69</v>
      </c>
      <c r="B117" s="14" t="s">
        <v>31</v>
      </c>
      <c r="C117" s="14">
        <v>2014</v>
      </c>
      <c r="D117" s="15">
        <v>1000</v>
      </c>
      <c r="E117" s="16">
        <v>35000003</v>
      </c>
      <c r="F117" s="16">
        <v>6554378</v>
      </c>
      <c r="G117" s="16">
        <v>5543620</v>
      </c>
      <c r="H117" s="16">
        <v>10123317</v>
      </c>
      <c r="I117" s="16">
        <f>5290655+2437074+8218083+4007207</f>
        <v>19953019</v>
      </c>
      <c r="J117" s="16">
        <v>11284952</v>
      </c>
      <c r="K117" s="16">
        <v>19539578</v>
      </c>
      <c r="L117" s="16">
        <v>3136903</v>
      </c>
      <c r="M117" s="16">
        <f>230000+1364633</f>
        <v>1594633</v>
      </c>
      <c r="N117" s="17">
        <f>IF(OR([Preferenciais]&lt;&gt;0,[Ordinárias]&lt;&gt;0),[Dividendos]*[Reais]/((1+[Bônus Preferenciais])*[Preferenciais]+[Ordinárias]),0)</f>
        <v>1.2667462940497836</v>
      </c>
      <c r="O117" s="18">
        <f>IF([RBV]&gt;0,[LL]/[RBV],0)</f>
        <v>0.16054097995361005</v>
      </c>
      <c r="P117" s="18">
        <f>IF([PL]&lt;&gt;0,[LL]/[PL],0)</f>
        <v>0.27797220581886389</v>
      </c>
      <c r="Q117" s="19">
        <f>IF([PC]&lt;&gt;0,[AC]/[PC],0)</f>
        <v>0.64745359648423539</v>
      </c>
      <c r="R117" s="18">
        <f>IF([PL]&lt;&gt;0,[AI]/[PL],0)</f>
        <v>0.49124001590790994</v>
      </c>
      <c r="S117" s="18">
        <f>IF([AT]&lt;&gt;0,[PO]/[AT],0)</f>
        <v>0.57008620827832501</v>
      </c>
      <c r="T117" s="18">
        <f>IF([LL]&lt;&gt;0,[Dividendos]/[LL],0)</f>
        <v>0.50834628931783987</v>
      </c>
      <c r="U117" s="20">
        <f>([Div/Ação]/20%*[Unit])</f>
        <v>6.3337314702489174</v>
      </c>
      <c r="V117" s="22">
        <f>([Div/Ação]/Setup!$A$2*[Unit])</f>
        <v>9.1264142222606885</v>
      </c>
      <c r="W117" s="15">
        <v>1258841654</v>
      </c>
      <c r="X117" s="22"/>
      <c r="Y117" s="18"/>
      <c r="Z117" s="15">
        <v>1</v>
      </c>
      <c r="AA117" s="15">
        <f>[Ordinárias]+[Preferenciais]</f>
        <v>1258841654</v>
      </c>
    </row>
    <row r="118" spans="1:28">
      <c r="A118" s="14" t="s">
        <v>69</v>
      </c>
      <c r="B118" s="14" t="s">
        <v>31</v>
      </c>
      <c r="C118" s="14">
        <v>2013</v>
      </c>
      <c r="D118" s="15">
        <v>1000</v>
      </c>
      <c r="E118" s="16">
        <v>29814142</v>
      </c>
      <c r="F118" s="16">
        <v>6668783</v>
      </c>
      <c r="G118" s="16">
        <v>5817455</v>
      </c>
      <c r="H118" s="16">
        <v>5921641</v>
      </c>
      <c r="I118" s="16">
        <f>2237766+1898372+7219598+3472348</f>
        <v>14828084</v>
      </c>
      <c r="J118" s="16">
        <v>12638357</v>
      </c>
      <c r="K118" s="16">
        <v>14627280</v>
      </c>
      <c r="L118" s="16">
        <v>3103855</v>
      </c>
      <c r="M118" s="16">
        <f>533149+1067925</f>
        <v>1601074</v>
      </c>
      <c r="N118" s="17">
        <f>IF(OR([Preferenciais]&lt;&gt;0,[Ordinárias]&lt;&gt;0),[Dividendos]*[Reais]/((1+[Bônus Preferenciais])*[Preferenciais]+[Ordinárias]),0)</f>
        <v>1.2718629026236528</v>
      </c>
      <c r="O118" s="18">
        <f>IF([RBV]&gt;0,[LL]/[RBV],0)</f>
        <v>0.21219632084707479</v>
      </c>
      <c r="P118" s="18">
        <f>IF([PL]&lt;&gt;0,[LL]/[PL],0)</f>
        <v>0.24559007155756085</v>
      </c>
      <c r="Q118" s="19">
        <f>IF([PC]&lt;&gt;0,[AC]/[PC],0)</f>
        <v>1.1261714447059523</v>
      </c>
      <c r="R118" s="18">
        <f>IF([PL]&lt;&gt;0,[AI]/[PL],0)</f>
        <v>0.46030152495296661</v>
      </c>
      <c r="S118" s="18">
        <f>IF([AT]&lt;&gt;0,[PO]/[AT],0)</f>
        <v>0.49735068679823152</v>
      </c>
      <c r="T118" s="18">
        <f>IF([LL]&lt;&gt;0,[Dividendos]/[LL],0)</f>
        <v>0.51583401930824735</v>
      </c>
      <c r="U118" s="20">
        <f>([Div/Ação]/20%*[Unit])</f>
        <v>6.3593145131182638</v>
      </c>
      <c r="V118" s="22">
        <f>([Div/Ação]/Setup!$A$2*[Unit])</f>
        <v>9.1632773964240108</v>
      </c>
      <c r="W118" s="15">
        <v>1258841654</v>
      </c>
      <c r="X118" s="22"/>
      <c r="Y118" s="18"/>
      <c r="Z118" s="15">
        <v>1</v>
      </c>
      <c r="AA118" s="15">
        <f>[Ordinárias]+[Preferenciais]</f>
        <v>1258841654</v>
      </c>
    </row>
    <row r="119" spans="1:28">
      <c r="A119" s="14" t="s">
        <v>69</v>
      </c>
      <c r="B119" s="14" t="s">
        <v>31</v>
      </c>
      <c r="C119" s="14">
        <v>2012</v>
      </c>
      <c r="D119" s="15">
        <v>1000</v>
      </c>
      <c r="E119" s="16">
        <v>40772961</v>
      </c>
      <c r="F119" s="16">
        <v>11990079</v>
      </c>
      <c r="G119" s="16">
        <v>8810529</v>
      </c>
      <c r="H119" s="16">
        <v>14307372</v>
      </c>
      <c r="I119" s="16">
        <f>7106306+4509362+9064004+3941467</f>
        <v>24621139</v>
      </c>
      <c r="J119" s="16">
        <v>12044062</v>
      </c>
      <c r="K119" s="16">
        <v>18460375</v>
      </c>
      <c r="L119" s="16">
        <v>4271685</v>
      </c>
      <c r="M119" s="16">
        <f>1700000+589976</f>
        <v>2289976</v>
      </c>
      <c r="N119" s="17">
        <f>IF(OR([Preferenciais]&lt;&gt;0,[Ordinárias]&lt;&gt;0),[Dividendos]*[Reais]/((1+[Bônus Preferenciais])*[Preferenciais]+[Ordinárias]),0)</f>
        <v>1.8191136214181867</v>
      </c>
      <c r="O119" s="18">
        <f>IF([RBV]&gt;0,[LL]/[RBV],0)</f>
        <v>0.23139752036456465</v>
      </c>
      <c r="P119" s="18">
        <f>IF([PL]&lt;&gt;0,[LL]/[PL],0)</f>
        <v>0.35467145552721335</v>
      </c>
      <c r="Q119" s="19">
        <f>IF([PC]&lt;&gt;0,[AC]/[PC],0)</f>
        <v>0.83803503536498525</v>
      </c>
      <c r="R119" s="18">
        <f>IF([PL]&lt;&gt;0,[AI]/[PL],0)</f>
        <v>0.73152471317401058</v>
      </c>
      <c r="S119" s="18">
        <f>IF([AT]&lt;&gt;0,[PO]/[AT],0)</f>
        <v>0.60385947932503603</v>
      </c>
      <c r="T119" s="18">
        <f>IF([LL]&lt;&gt;0,[Dividendos]/[LL],0)</f>
        <v>0.53608259972352834</v>
      </c>
      <c r="U119" s="20">
        <f>([Div/Ação]/20%*[Unit])</f>
        <v>9.0955681070909336</v>
      </c>
      <c r="V119" s="22">
        <f>([Div/Ação]/Setup!$A$2*[Unit])</f>
        <v>13.106005917998463</v>
      </c>
      <c r="W119" s="15">
        <v>1258841654</v>
      </c>
      <c r="X119" s="22"/>
      <c r="Y119" s="18"/>
      <c r="Z119" s="15">
        <v>1</v>
      </c>
      <c r="AA119" s="15">
        <f>[Ordinárias]+[Preferenciais]</f>
        <v>1258841654</v>
      </c>
    </row>
    <row r="120" spans="1:28">
      <c r="A120" s="14" t="s">
        <v>69</v>
      </c>
      <c r="B120" s="14" t="s">
        <v>31</v>
      </c>
      <c r="C120" s="14">
        <v>2011</v>
      </c>
      <c r="D120" s="15">
        <v>1000</v>
      </c>
      <c r="E120" s="16">
        <v>37008883</v>
      </c>
      <c r="F120" s="16">
        <v>8531649</v>
      </c>
      <c r="G120" s="16">
        <v>8661791</v>
      </c>
      <c r="H120" s="16">
        <v>12169346</v>
      </c>
      <c r="I120" s="16">
        <f>7821060+2215467+7958009+3701981</f>
        <v>21696517</v>
      </c>
      <c r="J120" s="16">
        <v>11744948</v>
      </c>
      <c r="K120" s="16">
        <v>15748716</v>
      </c>
      <c r="L120" s="16">
        <v>2415450</v>
      </c>
      <c r="M120" s="16">
        <v>1207725</v>
      </c>
      <c r="N120" s="17">
        <f>IF(OR([Preferenciais]&lt;&gt;0,[Ordinárias]&lt;&gt;0),[Dividendos]*[Reais]/((1+[Bônus Preferenciais])*[Preferenciais]+[Ordinárias]),0)</f>
        <v>0.95939389689118115</v>
      </c>
      <c r="O120" s="18">
        <f>IF([RBV]&gt;0,[LL]/[RBV],0)</f>
        <v>0.15337440842796327</v>
      </c>
      <c r="P120" s="18">
        <f>IF([PL]&lt;&gt;0,[LL]/[PL],0)</f>
        <v>0.20565863722853434</v>
      </c>
      <c r="Q120" s="19">
        <f>IF([PC]&lt;&gt;0,[AC]/[PC],0)</f>
        <v>0.70107703404932364</v>
      </c>
      <c r="R120" s="18">
        <f>IF([PL]&lt;&gt;0,[AI]/[PL],0)</f>
        <v>0.73749079178554044</v>
      </c>
      <c r="S120" s="18">
        <f>IF([AT]&lt;&gt;0,[PO]/[AT],0)</f>
        <v>0.58625160343261373</v>
      </c>
      <c r="T120" s="18">
        <f>IF([LL]&lt;&gt;0,[Dividendos]/[LL],0)</f>
        <v>0.5</v>
      </c>
      <c r="U120" s="20">
        <f>([Div/Ação]/20%*[Unit])</f>
        <v>4.7969694844559054</v>
      </c>
      <c r="V120" s="22">
        <f>([Div/Ação]/Setup!$A$2*[Unit])</f>
        <v>6.9120597758730629</v>
      </c>
      <c r="W120" s="15">
        <v>1258841654</v>
      </c>
      <c r="X120" s="22"/>
      <c r="Y120" s="18"/>
      <c r="Z120" s="15">
        <v>1</v>
      </c>
      <c r="AA120" s="15">
        <f>[Ordinárias]+[Preferenciais]</f>
        <v>1258841654</v>
      </c>
    </row>
    <row r="121" spans="1:28">
      <c r="A121" s="14" t="s">
        <v>69</v>
      </c>
      <c r="B121" s="14" t="s">
        <v>31</v>
      </c>
      <c r="C121" s="21">
        <v>2010</v>
      </c>
      <c r="D121" s="15">
        <v>1000</v>
      </c>
      <c r="E121" s="23">
        <v>33473963</v>
      </c>
      <c r="F121" s="23">
        <v>8085576</v>
      </c>
      <c r="G121" s="23">
        <v>8228513</v>
      </c>
      <c r="H121" s="23">
        <v>6403358</v>
      </c>
      <c r="I121" s="23">
        <f>2202566+2226686+11023924+3216113</f>
        <v>18669289</v>
      </c>
      <c r="J121" s="23">
        <v>11476133</v>
      </c>
      <c r="K121" s="23">
        <v>13846934</v>
      </c>
      <c r="L121" s="23">
        <v>2257976</v>
      </c>
      <c r="M121" s="23">
        <v>1128988</v>
      </c>
      <c r="N121" s="24">
        <f>IF(OR([Preferenciais]&lt;&gt;0,[Ordinárias]&lt;&gt;0),[Dividendos]*[Reais]/((1+[Bônus Preferenciais])*[Preferenciais]+[Ordinárias]),0)</f>
        <v>0.89684671333571875</v>
      </c>
      <c r="O121" s="25">
        <f>IF([RBV]&gt;0,[LL]/[RBV],0)</f>
        <v>0.16306685653300579</v>
      </c>
      <c r="P121" s="25">
        <f>IF([PL]&lt;&gt;0,[LL]/[PL],0)</f>
        <v>0.19675408083890278</v>
      </c>
      <c r="Q121" s="26">
        <f>IF([PC]&lt;&gt;0,[AC]/[PC],0)</f>
        <v>1.2627087225171543</v>
      </c>
      <c r="R121" s="25">
        <f>IF([PL]&lt;&gt;0,[AI]/[PL],0)</f>
        <v>0.71701094785151065</v>
      </c>
      <c r="S121" s="25">
        <f>IF([AT]&lt;&gt;0,[PO]/[AT],0)</f>
        <v>0.55772568667773215</v>
      </c>
      <c r="T121" s="25">
        <f>IF([LL]&lt;&gt;0,[Dividendos]/[LL],0)</f>
        <v>0.5</v>
      </c>
      <c r="U121" s="27">
        <f>([Div/Ação]/20%*[Unit])</f>
        <v>4.4842335666785935</v>
      </c>
      <c r="V121" s="28">
        <f>([Div/Ação]/Setup!$A$2*[Unit])</f>
        <v>6.46143165227463</v>
      </c>
      <c r="W121" s="15">
        <v>1258841654</v>
      </c>
      <c r="X121" s="22"/>
      <c r="Y121" s="18"/>
      <c r="Z121" s="15">
        <v>1</v>
      </c>
      <c r="AA121" s="15">
        <f>[Ordinárias]+[Preferenciais]</f>
        <v>1258841654</v>
      </c>
    </row>
    <row r="122" spans="1:28">
      <c r="A122" s="14" t="s">
        <v>69</v>
      </c>
      <c r="B122" s="21" t="s">
        <v>35</v>
      </c>
      <c r="C122" s="14">
        <v>2015</v>
      </c>
      <c r="D122" s="15">
        <v>1000</v>
      </c>
      <c r="E122" s="23">
        <v>11986763</v>
      </c>
      <c r="F122" s="23">
        <v>1022615</v>
      </c>
      <c r="G122" s="23">
        <v>7260107</v>
      </c>
      <c r="H122" s="23">
        <v>998224</v>
      </c>
      <c r="I122" s="23">
        <f>206736+720977+675973+3001674</f>
        <v>4605360</v>
      </c>
      <c r="J122" s="23">
        <v>7310892</v>
      </c>
      <c r="K122" s="23">
        <v>2950982</v>
      </c>
      <c r="L122" s="16">
        <v>-61357</v>
      </c>
      <c r="M122" s="23">
        <v>41326</v>
      </c>
      <c r="N122" s="28">
        <f>IF(OR([Preferenciais]&lt;&gt;0,[Ordinárias]&lt;&gt;0),[Dividendos]*[Reais]/((1+[Bônus Preferenciais])*[Preferenciais]+[Ordinárias]),0)</f>
        <v>0.12618522963933182</v>
      </c>
      <c r="O122" s="25">
        <f>IF([RBV]&gt;0,[LL]/[RBV],0)</f>
        <v>-2.0792061761135783E-2</v>
      </c>
      <c r="P122" s="25">
        <f>IF([PL]&lt;&gt;0,[LL]/[PL],0)</f>
        <v>-8.3925463541247771E-3</v>
      </c>
      <c r="Q122" s="32">
        <f>IF([PC]&lt;&gt;0,[AC]/[PC],0)</f>
        <v>1.0244343954863837</v>
      </c>
      <c r="R122" s="25">
        <f>IF([PL]&lt;&gt;0,[AI]/[PL],0)</f>
        <v>0.99305351522085128</v>
      </c>
      <c r="S122" s="25">
        <f>IF([AT]&lt;&gt;0,[PO]/[AT],0)</f>
        <v>0.38420380881811045</v>
      </c>
      <c r="T122" s="25">
        <f>IF([LL]&lt;&gt;0,[Dividendos]/[LL],0)</f>
        <v>-0.67353358215036585</v>
      </c>
      <c r="U122" s="27">
        <f>([Div/Ação]/20%*[Unit])</f>
        <v>0.63092614819665904</v>
      </c>
      <c r="V122" s="28">
        <f>([Div/Ação]/Setup!$A$2*[Unit])</f>
        <v>0.90911548731507075</v>
      </c>
      <c r="W122" s="29">
        <v>327502673</v>
      </c>
      <c r="X122" s="22"/>
      <c r="Y122" s="25"/>
      <c r="Z122" s="29">
        <v>1</v>
      </c>
      <c r="AA122" s="15">
        <f>[Ordinárias]+[Preferenciais]</f>
        <v>327502673</v>
      </c>
    </row>
    <row r="123" spans="1:28">
      <c r="A123" s="14" t="s">
        <v>69</v>
      </c>
      <c r="B123" s="21" t="s">
        <v>35</v>
      </c>
      <c r="C123" s="14">
        <v>2014</v>
      </c>
      <c r="D123" s="15">
        <v>1000</v>
      </c>
      <c r="E123" s="16">
        <v>14687886</v>
      </c>
      <c r="F123" s="16">
        <v>2948585</v>
      </c>
      <c r="G123" s="16">
        <v>8494806</v>
      </c>
      <c r="H123" s="16">
        <v>2202432</v>
      </c>
      <c r="I123" s="16">
        <f>1149797+985752+605267+3251110</f>
        <v>5991926</v>
      </c>
      <c r="J123" s="16">
        <v>8629077</v>
      </c>
      <c r="K123" s="16">
        <v>4699251</v>
      </c>
      <c r="L123" s="16">
        <v>560139</v>
      </c>
      <c r="M123" s="16">
        <f>404543+193000+1175652</f>
        <v>1773195</v>
      </c>
      <c r="N123" s="22">
        <f>IF(OR([Preferenciais]&lt;&gt;0,[Ordinárias]&lt;&gt;0),[Dividendos]*[Reais]/((1+[Bônus Preferenciais])*[Preferenciais]+[Ordinárias]),0)</f>
        <v>5.4142916873231135</v>
      </c>
      <c r="O123" s="18">
        <f>IF([RBV]&gt;0,[LL]/[RBV],0)</f>
        <v>0.11919750615576823</v>
      </c>
      <c r="P123" s="18">
        <f>IF([PL]&lt;&gt;0,[LL]/[PL],0)</f>
        <v>6.4912968096124304E-2</v>
      </c>
      <c r="Q123" s="33">
        <f>IF([PC]&lt;&gt;0,[AC]/[PC],0)</f>
        <v>1.3387859420858397</v>
      </c>
      <c r="R123" s="18">
        <f>IF([PL]&lt;&gt;0,[AI]/[PL],0)</f>
        <v>0.984439703110773</v>
      </c>
      <c r="S123" s="18">
        <f>IF([AT]&lt;&gt;0,[PO]/[AT],0)</f>
        <v>0.40795019787054448</v>
      </c>
      <c r="T123" s="18">
        <f>IF([LL]&lt;&gt;0,[Dividendos]/[LL],0)</f>
        <v>3.165633887302973</v>
      </c>
      <c r="U123" s="20">
        <f>([Div/Ação]/20%*[Unit])</f>
        <v>27.071458436615565</v>
      </c>
      <c r="V123" s="22">
        <f>([Div/Ação]/Setup!$A$2*[Unit])</f>
        <v>39.007865182443176</v>
      </c>
      <c r="W123" s="29">
        <v>327502673</v>
      </c>
      <c r="X123" s="22"/>
      <c r="Y123" s="25"/>
      <c r="Z123" s="15">
        <v>1</v>
      </c>
      <c r="AA123" s="15">
        <f>[Ordinárias]+[Preferenciais]</f>
        <v>327502673</v>
      </c>
    </row>
    <row r="124" spans="1:28">
      <c r="A124" s="14" t="s">
        <v>69</v>
      </c>
      <c r="B124" s="21" t="s">
        <v>35</v>
      </c>
      <c r="C124" s="14">
        <v>2013</v>
      </c>
      <c r="D124" s="15">
        <v>1000</v>
      </c>
      <c r="E124" s="16">
        <v>15174853</v>
      </c>
      <c r="F124" s="16">
        <v>1471399</v>
      </c>
      <c r="G124" s="16">
        <v>11076739</v>
      </c>
      <c r="H124" s="16">
        <v>1251127</v>
      </c>
      <c r="I124" s="16">
        <f>193781+983790+1569012+3037328</f>
        <v>5783911</v>
      </c>
      <c r="J124" s="16">
        <v>9317386</v>
      </c>
      <c r="K124" s="16">
        <v>3904102</v>
      </c>
      <c r="L124" s="16">
        <v>-195346</v>
      </c>
      <c r="M124" s="16">
        <f>401543+196000+446534</f>
        <v>1044077</v>
      </c>
      <c r="N124" s="22">
        <f>IF(OR([Preferenciais]&lt;&gt;0,[Ordinárias]&lt;&gt;0),[Dividendos]*[Reais]/((1+[Bônus Preferenciais])*[Preferenciais]+[Ordinárias]),0)</f>
        <v>3.1879953541631094</v>
      </c>
      <c r="O124" s="18">
        <f>IF([RBV]&gt;0,[LL]/[RBV],0)</f>
        <v>-5.0036090245592968E-2</v>
      </c>
      <c r="P124" s="18">
        <f>IF([PL]&lt;&gt;0,[LL]/[PL],0)</f>
        <v>-2.0965751553064346E-2</v>
      </c>
      <c r="Q124" s="33">
        <f>IF([PC]&lt;&gt;0,[AC]/[PC],0)</f>
        <v>1.1760588653270212</v>
      </c>
      <c r="R124" s="18">
        <f>IF([PL]&lt;&gt;0,[AI]/[PL],0)</f>
        <v>1.1888247411881401</v>
      </c>
      <c r="S124" s="18">
        <f>IF([AT]&lt;&gt;0,[PO]/[AT],0)</f>
        <v>0.381151039815674</v>
      </c>
      <c r="T124" s="18">
        <f>IF([LL]&lt;&gt;0,[Dividendos]/[LL],0)</f>
        <v>-5.3447575071923668</v>
      </c>
      <c r="U124" s="20">
        <f>([Div/Ação]/20%*[Unit])</f>
        <v>15.939976770815546</v>
      </c>
      <c r="V124" s="22">
        <f>([Div/Ação]/Setup!$A$2*[Unit])</f>
        <v>22.968266240368223</v>
      </c>
      <c r="W124" s="29">
        <v>327502673</v>
      </c>
      <c r="X124" s="22"/>
      <c r="Y124" s="25"/>
      <c r="Z124" s="15">
        <v>1</v>
      </c>
      <c r="AA124" s="15">
        <f>[Ordinárias]+[Preferenciais]</f>
        <v>327502673</v>
      </c>
    </row>
    <row r="125" spans="1:28">
      <c r="A125" s="14" t="s">
        <v>69</v>
      </c>
      <c r="B125" s="21" t="s">
        <v>35</v>
      </c>
      <c r="C125" s="14">
        <v>2012</v>
      </c>
      <c r="D125" s="15">
        <v>1000</v>
      </c>
      <c r="E125" s="16">
        <v>16889872</v>
      </c>
      <c r="F125" s="16">
        <v>1075237</v>
      </c>
      <c r="G125" s="16">
        <v>15181566</v>
      </c>
      <c r="H125" s="16">
        <v>1790097</v>
      </c>
      <c r="I125" s="16">
        <f>703789+1004017+1763999+3277912</f>
        <v>6749717</v>
      </c>
      <c r="J125" s="16">
        <v>9879937</v>
      </c>
      <c r="K125" s="16">
        <v>3354005</v>
      </c>
      <c r="L125" s="16">
        <v>147982</v>
      </c>
      <c r="M125" s="16">
        <f>271172+115000</f>
        <v>386172</v>
      </c>
      <c r="N125" s="22">
        <f>IF(OR([Preferenciais]&lt;&gt;0,[Ordinárias]&lt;&gt;0),[Dividendos]*[Reais]/((1+[Bônus Preferenciais])*[Preferenciais]+[Ordinárias]),0)</f>
        <v>1.1791415210830967</v>
      </c>
      <c r="O125" s="18">
        <f>IF([RBV]&gt;0,[LL]/[RBV],0)</f>
        <v>4.4120983719463748E-2</v>
      </c>
      <c r="P125" s="18">
        <f>IF([PL]&lt;&gt;0,[LL]/[PL],0)</f>
        <v>1.4978030730357896E-2</v>
      </c>
      <c r="Q125" s="33">
        <f>IF([PC]&lt;&gt;0,[AC]/[PC],0)</f>
        <v>0.6006585118013158</v>
      </c>
      <c r="R125" s="18">
        <f>IF([PL]&lt;&gt;0,[AI]/[PL],0)</f>
        <v>1.5366055471811206</v>
      </c>
      <c r="S125" s="18">
        <f>IF([AT]&lt;&gt;0,[PO]/[AT],0)</f>
        <v>0.39963103331984989</v>
      </c>
      <c r="T125" s="18">
        <f>IF([LL]&lt;&gt;0,[Dividendos]/[LL],0)</f>
        <v>2.6095876525523374</v>
      </c>
      <c r="U125" s="20">
        <f>([Div/Ação]/20%*[Unit])</f>
        <v>5.8957076054154829</v>
      </c>
      <c r="V125" s="22">
        <f>([Div/Ação]/Setup!$A$2*[Unit])</f>
        <v>8.49525591558427</v>
      </c>
      <c r="W125" s="29">
        <v>327502673</v>
      </c>
      <c r="X125" s="22"/>
      <c r="Y125" s="25"/>
      <c r="Z125" s="15">
        <v>1</v>
      </c>
      <c r="AA125" s="15">
        <f>[Ordinárias]+[Preferenciais]</f>
        <v>327502673</v>
      </c>
    </row>
    <row r="126" spans="1:28">
      <c r="A126" s="14" t="s">
        <v>69</v>
      </c>
      <c r="B126" s="21" t="s">
        <v>35</v>
      </c>
      <c r="C126" s="14">
        <v>2011</v>
      </c>
      <c r="D126" s="15">
        <v>1000</v>
      </c>
      <c r="E126" s="16">
        <v>17300019</v>
      </c>
      <c r="F126" s="16">
        <v>969263</v>
      </c>
      <c r="G126" s="16">
        <v>15841006</v>
      </c>
      <c r="H126" s="16">
        <v>1599558</v>
      </c>
      <c r="I126" s="16">
        <f>425906+1026385+2223375+3115479</f>
        <v>6791145</v>
      </c>
      <c r="J126" s="16">
        <v>10118127</v>
      </c>
      <c r="K126" s="16">
        <v>2957525</v>
      </c>
      <c r="L126" s="16">
        <v>108581</v>
      </c>
      <c r="M126" s="16">
        <f>390405+75000</f>
        <v>465405</v>
      </c>
      <c r="N126" s="22">
        <f>IF(OR([Preferenciais]&lt;&gt;0,[Ordinárias]&lt;&gt;0),[Dividendos]*[Reais]/((1+[Bônus Preferenciais])*[Preferenciais]+[Ordinárias]),0)</f>
        <v>1.4210723709116109</v>
      </c>
      <c r="O126" s="18">
        <f>IF([RBV]&gt;0,[LL]/[RBV],0)</f>
        <v>3.6713468187082106E-2</v>
      </c>
      <c r="P126" s="18">
        <f>IF([PL]&lt;&gt;0,[LL]/[PL],0)</f>
        <v>1.0731333971198425E-2</v>
      </c>
      <c r="Q126" s="33">
        <f>IF([PC]&lt;&gt;0,[AC]/[PC],0)</f>
        <v>0.60595677055786656</v>
      </c>
      <c r="R126" s="18">
        <f>IF([PL]&lt;&gt;0,[AI]/[PL],0)</f>
        <v>1.565606559395825</v>
      </c>
      <c r="S126" s="18">
        <f>IF([AT]&lt;&gt;0,[PO]/[AT],0)</f>
        <v>0.39255130297833779</v>
      </c>
      <c r="T126" s="18">
        <f>IF([LL]&lt;&gt;0,[Dividendos]/[LL],0)</f>
        <v>4.2862471334763912</v>
      </c>
      <c r="U126" s="20">
        <f>([Div/Ação]/20%*[Unit])</f>
        <v>7.1053618545580539</v>
      </c>
      <c r="V126" s="22">
        <f>([Div/Ação]/Setup!$A$2*[Unit])</f>
        <v>10.238273565645612</v>
      </c>
      <c r="W126" s="29">
        <v>327502673</v>
      </c>
      <c r="X126" s="22"/>
      <c r="Y126" s="25"/>
      <c r="Z126" s="15">
        <v>1</v>
      </c>
      <c r="AA126" s="15">
        <f>[Ordinárias]+[Preferenciais]</f>
        <v>327502673</v>
      </c>
    </row>
    <row r="127" spans="1:28">
      <c r="A127" s="14" t="s">
        <v>69</v>
      </c>
      <c r="B127" s="21" t="s">
        <v>35</v>
      </c>
      <c r="C127" s="21">
        <v>2010</v>
      </c>
      <c r="D127" s="15">
        <v>1000</v>
      </c>
      <c r="E127" s="16">
        <v>17782435</v>
      </c>
      <c r="F127" s="16">
        <v>857842</v>
      </c>
      <c r="G127" s="16">
        <v>16476849</v>
      </c>
      <c r="H127" s="16">
        <v>1583289</v>
      </c>
      <c r="I127" s="16">
        <f>572901+849259+2197143+3200455</f>
        <v>6819758</v>
      </c>
      <c r="J127" s="16">
        <v>10474951</v>
      </c>
      <c r="K127" s="16">
        <v>2905327</v>
      </c>
      <c r="L127" s="16">
        <v>93042</v>
      </c>
      <c r="M127" s="16">
        <f>164440+75000</f>
        <v>239440</v>
      </c>
      <c r="N127" s="22">
        <f>IF(OR([Preferenciais]&lt;&gt;0,[Ordinárias]&lt;&gt;0),[Dividendos]*[Reais]/((1+[Bônus Preferenciais])*[Preferenciais]+[Ordinárias]),0)</f>
        <v>0.7311085366316995</v>
      </c>
      <c r="O127" s="18">
        <f>IF([RBV]&gt;0,[LL]/[RBV],0)</f>
        <v>3.2024622357483337E-2</v>
      </c>
      <c r="P127" s="18">
        <f>IF([PL]&lt;&gt;0,[LL]/[PL],0)</f>
        <v>8.882332719265227E-3</v>
      </c>
      <c r="Q127" s="33">
        <f>IF([PC]&lt;&gt;0,[AC]/[PC],0)</f>
        <v>0.54181011805172652</v>
      </c>
      <c r="R127" s="18">
        <f>IF([PL]&lt;&gt;0,[AI]/[PL],0)</f>
        <v>1.5729762363566187</v>
      </c>
      <c r="S127" s="18">
        <f>IF([AT]&lt;&gt;0,[PO]/[AT],0)</f>
        <v>0.38351091962377482</v>
      </c>
      <c r="T127" s="18">
        <f>IF([LL]&lt;&gt;0,[Dividendos]/[LL],0)</f>
        <v>2.5734614475183251</v>
      </c>
      <c r="U127" s="20">
        <f>([Div/Ação]/20%*[Unit])</f>
        <v>3.6555426831584974</v>
      </c>
      <c r="V127" s="22">
        <f>([Div/Ação]/Setup!$A$2*[Unit])</f>
        <v>5.2673525693926475</v>
      </c>
      <c r="W127" s="29">
        <v>327502673</v>
      </c>
      <c r="X127" s="22"/>
      <c r="Y127" s="25"/>
      <c r="Z127" s="15">
        <v>1</v>
      </c>
      <c r="AA127" s="15">
        <f>[Ordinárias]+[Preferenciais]</f>
        <v>327502673</v>
      </c>
    </row>
    <row r="128" spans="1:28">
      <c r="A128" s="14" t="s">
        <v>69</v>
      </c>
      <c r="B128" s="21" t="s">
        <v>33</v>
      </c>
      <c r="C128" s="14">
        <v>2015</v>
      </c>
      <c r="D128" s="15">
        <v>1000</v>
      </c>
      <c r="E128" s="30">
        <v>8862458</v>
      </c>
      <c r="F128" s="23">
        <v>2082212</v>
      </c>
      <c r="G128" s="23">
        <v>22805</v>
      </c>
      <c r="H128" s="23">
        <v>1008424</v>
      </c>
      <c r="I128" s="23">
        <f>864554+85665+2807991+153809</f>
        <v>3912019</v>
      </c>
      <c r="J128" s="23">
        <v>4377065</v>
      </c>
      <c r="K128" s="23">
        <v>1542465</v>
      </c>
      <c r="L128" s="23">
        <v>909423</v>
      </c>
      <c r="M128" s="23">
        <f>244648+257585+322659</f>
        <v>824892</v>
      </c>
      <c r="N128" s="28">
        <f>IF(OR([Preferenciais]&lt;&gt;0,[Ordinárias]&lt;&gt;0),[Dividendos]*[Reais]/((1+[Bônus Preferenciais])*[Preferenciais]+[Ordinárias]),0)</f>
        <v>0.79815637847582488</v>
      </c>
      <c r="O128" s="25">
        <f>IF([RBV]&gt;0,[LL]/[RBV],0)</f>
        <v>0.58959068763310674</v>
      </c>
      <c r="P128" s="25">
        <f>IF([PL]&lt;&gt;0,[LL]/[PL],0)</f>
        <v>0.20777004682361355</v>
      </c>
      <c r="Q128" s="26">
        <f>IF([PC]&lt;&gt;0,[AC]/[PC],0)</f>
        <v>2.0648179733921448</v>
      </c>
      <c r="R128" s="25">
        <f>IF([PL]&lt;&gt;0,[AI]/[PL],0)</f>
        <v>5.2101122555867916E-3</v>
      </c>
      <c r="S128" s="25">
        <f>IF([AT]&lt;&gt;0,[PO]/[AT],0)</f>
        <v>0.44141467299478315</v>
      </c>
      <c r="T128" s="25">
        <f>IF([LL]&lt;&gt;0,[Dividendos]/[LL],0)</f>
        <v>0.90704985468808241</v>
      </c>
      <c r="U128" s="27">
        <f>([Div/Ação]/20%*[Unit])</f>
        <v>11.972345677137373</v>
      </c>
      <c r="V128" s="28">
        <f>([Div/Ação]/Setup!$A$2*[Unit])</f>
        <v>17.251218554952988</v>
      </c>
      <c r="W128" s="15">
        <v>1033496721</v>
      </c>
      <c r="X128" s="22"/>
      <c r="Y128" s="18"/>
      <c r="Z128" s="29">
        <v>3</v>
      </c>
      <c r="AA128" s="15">
        <f>[Ordinárias]+[Preferenciais]</f>
        <v>1033496721</v>
      </c>
    </row>
    <row r="129" spans="1:27">
      <c r="A129" s="14" t="s">
        <v>69</v>
      </c>
      <c r="B129" s="21" t="s">
        <v>33</v>
      </c>
      <c r="C129" s="14">
        <v>2014</v>
      </c>
      <c r="D129" s="15">
        <v>1000</v>
      </c>
      <c r="E129" s="31">
        <v>8658788</v>
      </c>
      <c r="F129" s="16">
        <v>1786946</v>
      </c>
      <c r="G129" s="16">
        <v>24175</v>
      </c>
      <c r="H129" s="16">
        <v>751767</v>
      </c>
      <c r="I129" s="16">
        <f>605806+96832+3239588+93089</f>
        <v>4035315</v>
      </c>
      <c r="J129" s="16">
        <v>4224632</v>
      </c>
      <c r="K129" s="16">
        <v>1495804</v>
      </c>
      <c r="L129" s="16">
        <v>904845</v>
      </c>
      <c r="M129" s="16">
        <f>400000+197000+254757</f>
        <v>851757</v>
      </c>
      <c r="N129" s="22">
        <f>IF(OR([Preferenciais]&lt;&gt;0,[Ordinárias]&lt;&gt;0),[Dividendos]*[Reais]/((1+[Bônus Preferenciais])*[Preferenciais]+[Ordinárias]),0)</f>
        <v>0.82415065543299382</v>
      </c>
      <c r="O129" s="18">
        <f>IF([RBV]&gt;0,[LL]/[RBV],0)</f>
        <v>0.60492216894726847</v>
      </c>
      <c r="P129" s="18">
        <f>IF([PL]&lt;&gt;0,[LL]/[PL],0)</f>
        <v>0.21418315252074027</v>
      </c>
      <c r="Q129" s="19">
        <f>IF([PC]&lt;&gt;0,[AC]/[PC],0)</f>
        <v>2.3769944677007637</v>
      </c>
      <c r="R129" s="18">
        <f>IF([PL]&lt;&gt;0,[AI]/[PL],0)</f>
        <v>5.7223919148460742E-3</v>
      </c>
      <c r="S129" s="18">
        <f>IF([AT]&lt;&gt;0,[PO]/[AT],0)</f>
        <v>0.46603693265154428</v>
      </c>
      <c r="T129" s="18">
        <f>IF([LL]&lt;&gt;0,[Dividendos]/[LL],0)</f>
        <v>0.94132917792550108</v>
      </c>
      <c r="U129" s="20">
        <f>([Div/Ação]/20%*[Unit])</f>
        <v>12.362259831494907</v>
      </c>
      <c r="V129" s="22">
        <f>([Div/Ação]/Setup!$A$2*[Unit])</f>
        <v>17.813054512240498</v>
      </c>
      <c r="W129" s="15">
        <v>1033496721</v>
      </c>
      <c r="X129" s="22"/>
      <c r="Y129" s="18"/>
      <c r="Z129" s="29">
        <v>3</v>
      </c>
      <c r="AA129" s="15">
        <f>[Ordinárias]+[Preferenciais]</f>
        <v>1033496721</v>
      </c>
    </row>
    <row r="130" spans="1:27">
      <c r="A130" s="14" t="s">
        <v>69</v>
      </c>
      <c r="B130" s="21" t="s">
        <v>33</v>
      </c>
      <c r="C130" s="14">
        <v>2013</v>
      </c>
      <c r="D130" s="15">
        <v>1000</v>
      </c>
      <c r="E130" s="16">
        <v>9154079</v>
      </c>
      <c r="F130" s="16">
        <v>1788028</v>
      </c>
      <c r="G130" s="16">
        <v>22861</v>
      </c>
      <c r="H130" s="16">
        <v>1097570</v>
      </c>
      <c r="I130" s="16">
        <f>942160+110634+3425203</f>
        <v>4477997</v>
      </c>
      <c r="J130" s="16">
        <v>4305064</v>
      </c>
      <c r="K130" s="16">
        <v>1447851</v>
      </c>
      <c r="L130" s="16">
        <v>892852</v>
      </c>
      <c r="M130" s="16">
        <f>25389+190000+210000+145689</f>
        <v>571078</v>
      </c>
      <c r="N130" s="22">
        <f>IF(OR([Preferenciais]&lt;&gt;0,[Ordinárias]&lt;&gt;0),[Dividendos]*[Reais]/((1+[Bônus Preferenciais])*[Preferenciais]+[Ordinárias]),0)</f>
        <v>0.55256875846440157</v>
      </c>
      <c r="O130" s="18">
        <f>IF([RBV]&gt;0,[LL]/[RBV],0)</f>
        <v>0.6166739533280704</v>
      </c>
      <c r="P130" s="18">
        <f>IF([PL]&lt;&gt;0,[LL]/[PL],0)</f>
        <v>0.20739575532442722</v>
      </c>
      <c r="Q130" s="19">
        <f>IF([PC]&lt;&gt;0,[AC]/[PC],0)</f>
        <v>1.6290787831300053</v>
      </c>
      <c r="R130" s="18">
        <f>IF([PL]&lt;&gt;0,[AI]/[PL],0)</f>
        <v>5.3102578730536872E-3</v>
      </c>
      <c r="S130" s="18">
        <f>IF([AT]&lt;&gt;0,[PO]/[AT],0)</f>
        <v>0.48918050630762527</v>
      </c>
      <c r="T130" s="18">
        <f>IF([LL]&lt;&gt;0,[Dividendos]/[LL],0)</f>
        <v>0.63961104415961434</v>
      </c>
      <c r="U130" s="20">
        <f>([Div/Ação]/20%*[Unit])</f>
        <v>8.2885313769660236</v>
      </c>
      <c r="V130" s="22">
        <f>([Div/Ação]/Setup!$A$2*[Unit])</f>
        <v>11.943128785253636</v>
      </c>
      <c r="W130" s="15">
        <v>1033496721</v>
      </c>
      <c r="X130" s="22"/>
      <c r="Y130" s="18"/>
      <c r="Z130" s="29">
        <v>3</v>
      </c>
      <c r="AA130" s="15">
        <f>[Ordinárias]+[Preferenciais]</f>
        <v>1033496721</v>
      </c>
    </row>
    <row r="131" spans="1:27">
      <c r="A131" s="14" t="s">
        <v>69</v>
      </c>
      <c r="B131" s="21" t="s">
        <v>33</v>
      </c>
      <c r="C131" s="14">
        <v>2012</v>
      </c>
      <c r="D131" s="15">
        <v>1000</v>
      </c>
      <c r="E131" s="16">
        <v>9584907</v>
      </c>
      <c r="F131" s="16">
        <v>3762674</v>
      </c>
      <c r="G131" s="16">
        <v>17456</v>
      </c>
      <c r="H131" s="16">
        <v>642962</v>
      </c>
      <c r="I131" s="16">
        <f>421715+173282+4316320</f>
        <v>4911317</v>
      </c>
      <c r="J131" s="16">
        <v>4097243</v>
      </c>
      <c r="K131" s="16">
        <v>1126865</v>
      </c>
      <c r="L131" s="16">
        <v>589182</v>
      </c>
      <c r="M131" s="16">
        <f>99643+259642+160000</f>
        <v>519285</v>
      </c>
      <c r="N131" s="22">
        <f>IF(OR([Preferenciais]&lt;&gt;0,[Ordinárias]&lt;&gt;0),[Dividendos]*[Reais]/((1+[Bônus Preferenciais])*[Preferenciais]+[Ordinárias]),0)</f>
        <v>0.5024544243329051</v>
      </c>
      <c r="O131" s="18">
        <f>IF([RBV]&gt;0,[LL]/[RBV],0)</f>
        <v>0.52285056328841517</v>
      </c>
      <c r="P131" s="18">
        <f>IF([PL]&lt;&gt;0,[LL]/[PL],0)</f>
        <v>0.14379962330767299</v>
      </c>
      <c r="Q131" s="19">
        <f>IF([PC]&lt;&gt;0,[AC]/[PC],0)</f>
        <v>5.8520939029056152</v>
      </c>
      <c r="R131" s="18">
        <f>IF([PL]&lt;&gt;0,[AI]/[PL],0)</f>
        <v>4.2604258522133051E-3</v>
      </c>
      <c r="S131" s="18">
        <f>IF([AT]&lt;&gt;0,[PO]/[AT],0)</f>
        <v>0.51240111145575018</v>
      </c>
      <c r="T131" s="18">
        <f>IF([LL]&lt;&gt;0,[Dividendos]/[LL],0)</f>
        <v>0.88136602951210319</v>
      </c>
      <c r="U131" s="20">
        <f>([Div/Ação]/20%*[Unit])</f>
        <v>7.5368163649935767</v>
      </c>
      <c r="V131" s="22">
        <f>([Div/Ação]/Setup!$A$2*[Unit])</f>
        <v>10.859965943794778</v>
      </c>
      <c r="W131" s="15">
        <v>1033496721</v>
      </c>
      <c r="X131" s="22"/>
      <c r="Y131" s="18"/>
      <c r="Z131" s="29">
        <v>3</v>
      </c>
      <c r="AA131" s="15">
        <f>[Ordinárias]+[Preferenciais]</f>
        <v>1033496721</v>
      </c>
    </row>
    <row r="132" spans="1:27">
      <c r="A132" s="14" t="s">
        <v>69</v>
      </c>
      <c r="B132" s="21" t="s">
        <v>33</v>
      </c>
      <c r="C132" s="14">
        <v>2011</v>
      </c>
      <c r="D132" s="15">
        <v>1000</v>
      </c>
      <c r="E132" s="16">
        <v>6490580</v>
      </c>
      <c r="F132" s="16">
        <v>1565781</v>
      </c>
      <c r="G132" s="16">
        <v>13940</v>
      </c>
      <c r="H132" s="16">
        <v>1657918</v>
      </c>
      <c r="I132" s="16">
        <f>1314304+296644+2015405+29883</f>
        <v>3656236</v>
      </c>
      <c r="J132" s="16">
        <v>2252472</v>
      </c>
      <c r="K132" s="16">
        <v>997244</v>
      </c>
      <c r="L132" s="16">
        <v>495399</v>
      </c>
      <c r="M132" s="16">
        <v>214267</v>
      </c>
      <c r="N132" s="22">
        <f>IF(OR([Preferenciais]&lt;&gt;0,[Ordinárias]&lt;&gt;0),[Dividendos]*[Reais]/((1+[Bônus Preferenciais])*[Preferenciais]+[Ordinárias]),0)</f>
        <v>0.20732238007748841</v>
      </c>
      <c r="O132" s="18">
        <f>IF([RBV]&gt;0,[LL]/[RBV],0)</f>
        <v>0.49676809286393298</v>
      </c>
      <c r="P132" s="18">
        <f>IF([PL]&lt;&gt;0,[LL]/[PL],0)</f>
        <v>0.21993569731388449</v>
      </c>
      <c r="Q132" s="19">
        <f>IF([PC]&lt;&gt;0,[AC]/[PC],0)</f>
        <v>0.9444260813864136</v>
      </c>
      <c r="R132" s="18">
        <f>IF([PL]&lt;&gt;0,[AI]/[PL],0)</f>
        <v>6.1887561754374746E-3</v>
      </c>
      <c r="S132" s="18">
        <f>IF([AT]&lt;&gt;0,[PO]/[AT],0)</f>
        <v>0.56331421845197194</v>
      </c>
      <c r="T132" s="18">
        <f>IF([LL]&lt;&gt;0,[Dividendos]/[LL],0)</f>
        <v>0.43251399377067778</v>
      </c>
      <c r="U132" s="20">
        <f>([Div/Ação]/20%*[Unit])</f>
        <v>3.1098357011623259</v>
      </c>
      <c r="V132" s="22">
        <f>([Div/Ação]/Setup!$A$2*[Unit])</f>
        <v>4.4810312696863486</v>
      </c>
      <c r="W132" s="15">
        <v>1033496721</v>
      </c>
      <c r="X132" s="22"/>
      <c r="Y132" s="18"/>
      <c r="Z132" s="29">
        <v>3</v>
      </c>
      <c r="AA132" s="15">
        <f>[Ordinárias]+[Preferenciais]</f>
        <v>1033496721</v>
      </c>
    </row>
    <row r="133" spans="1:27">
      <c r="A133" s="14" t="s">
        <v>69</v>
      </c>
      <c r="B133" s="21" t="s">
        <v>33</v>
      </c>
      <c r="C133" s="21">
        <v>2010</v>
      </c>
      <c r="D133" s="15">
        <v>1000</v>
      </c>
      <c r="E133" s="16">
        <v>4576109</v>
      </c>
      <c r="F133" s="16">
        <v>1081675</v>
      </c>
      <c r="G133" s="16">
        <v>12741</v>
      </c>
      <c r="H133" s="16">
        <v>308495</v>
      </c>
      <c r="I133" s="16">
        <f>54017+226432+1487279+7509</f>
        <v>1775237</v>
      </c>
      <c r="J133" s="16">
        <v>2508354</v>
      </c>
      <c r="K133" s="16">
        <v>798594</v>
      </c>
      <c r="L133" s="16">
        <v>428630</v>
      </c>
      <c r="M133" s="16">
        <f>106330+203599</f>
        <v>309929</v>
      </c>
      <c r="N133" s="22">
        <f>IF(OR([Preferenciais]&lt;&gt;0,[Ordinárias]&lt;&gt;0),[Dividendos]*[Reais]/((1+[Bônus Preferenciais])*[Preferenciais]+[Ordinárias]),0)</f>
        <v>0.29988387355512469</v>
      </c>
      <c r="O133" s="18">
        <f>IF([RBV]&gt;0,[LL]/[RBV],0)</f>
        <v>0.53673080438871312</v>
      </c>
      <c r="P133" s="18">
        <f>IF([PL]&lt;&gt;0,[LL]/[PL],0)</f>
        <v>0.17088098410351968</v>
      </c>
      <c r="Q133" s="19">
        <f>IF([PC]&lt;&gt;0,[AC]/[PC],0)</f>
        <v>3.5062966984878199</v>
      </c>
      <c r="R133" s="18">
        <f>IF([PL]&lt;&gt;0,[AI]/[PL],0)</f>
        <v>5.0794265881131612E-3</v>
      </c>
      <c r="S133" s="18">
        <f>IF([AT]&lt;&gt;0,[PO]/[AT],0)</f>
        <v>0.38793590799519856</v>
      </c>
      <c r="T133" s="18">
        <f>IF([LL]&lt;&gt;0,[Dividendos]/[LL],0)</f>
        <v>0.7230688472575415</v>
      </c>
      <c r="U133" s="20">
        <f>([Div/Ação]/20%*[Unit])</f>
        <v>4.4982581033268705</v>
      </c>
      <c r="V133" s="22">
        <f>([Div/Ação]/Setup!$A$2*[Unit])</f>
        <v>6.4816399183384297</v>
      </c>
      <c r="W133" s="15">
        <v>1033496721</v>
      </c>
      <c r="X133" s="22"/>
      <c r="Y133" s="18"/>
      <c r="Z133" s="29">
        <v>3</v>
      </c>
      <c r="AA133" s="15">
        <f>[Ordinárias]+[Preferenciais]</f>
        <v>1033496721</v>
      </c>
    </row>
    <row r="134" spans="1:27">
      <c r="A134" s="21" t="s">
        <v>67</v>
      </c>
      <c r="B134" s="38" t="s">
        <v>62</v>
      </c>
      <c r="C134" s="38">
        <v>2016</v>
      </c>
      <c r="D134" s="39">
        <v>1</v>
      </c>
      <c r="E134" s="40">
        <v>430214048</v>
      </c>
      <c r="F134" s="40">
        <v>202820282</v>
      </c>
      <c r="G134" s="40">
        <v>219549345</v>
      </c>
      <c r="H134" s="40">
        <v>151078211</v>
      </c>
      <c r="I134" s="40">
        <f>64696466+24560689+88149841+1664440</f>
        <v>179071436</v>
      </c>
      <c r="J134" s="40">
        <v>169495454</v>
      </c>
      <c r="K134" s="40">
        <v>512762915</v>
      </c>
      <c r="L134" s="40">
        <v>21544864</v>
      </c>
      <c r="M134" s="40"/>
      <c r="N134" s="41">
        <f>IF(OR([Preferenciais]&lt;&gt;0,[Ordinárias]&lt;&gt;0),[Dividendos]*[Reais]/((1+[Bônus Preferenciais])*[Preferenciais]+[Ordinárias]),0)</f>
        <v>0</v>
      </c>
      <c r="O134" s="42">
        <f>IF([RBV]&gt;0,[LL]/[RBV],0)</f>
        <v>4.2017203993779464E-2</v>
      </c>
      <c r="P134" s="43">
        <f>IF([PL]&lt;&gt;0,[LL]/[PL],0)</f>
        <v>0.12711175132756067</v>
      </c>
      <c r="Q134" s="44">
        <f>IF([PC]&lt;&gt;0,[AC]/[PC],0)</f>
        <v>1.3424853303299971</v>
      </c>
      <c r="R134" s="42">
        <f>IF([PL]&lt;&gt;0,[AI]/[PL],0)</f>
        <v>1.2953111120018594</v>
      </c>
      <c r="S134" s="42">
        <f>IF([AT]&lt;&gt;0,[PO]/[AT],0)</f>
        <v>0.41623800253031251</v>
      </c>
      <c r="T134" s="43">
        <f>IF([LL]&lt;&gt;0,[Dividendos]/[LL],0)</f>
        <v>0</v>
      </c>
      <c r="U134" s="41">
        <f>([Div/Ação]/20%*[Unit])</f>
        <v>0</v>
      </c>
      <c r="V134" s="41">
        <f>([Div/Ação]/Setup!$A$2*[Unit])</f>
        <v>0</v>
      </c>
      <c r="W134" s="63"/>
      <c r="X134" s="63"/>
      <c r="Y134" s="43"/>
      <c r="Z134" s="64"/>
      <c r="AA134" s="65">
        <f>[Ordinárias]+[Preferenciais]</f>
        <v>0</v>
      </c>
    </row>
    <row r="135" spans="1:27">
      <c r="A135" s="21" t="s">
        <v>67</v>
      </c>
      <c r="B135" s="38" t="s">
        <v>62</v>
      </c>
      <c r="C135" s="38">
        <v>2015</v>
      </c>
      <c r="D135" s="39">
        <v>1</v>
      </c>
      <c r="E135" s="40">
        <v>408847751</v>
      </c>
      <c r="F135" s="40">
        <v>189174252</v>
      </c>
      <c r="G135" s="40">
        <v>214743238</v>
      </c>
      <c r="H135" s="40">
        <v>142809637</v>
      </c>
      <c r="I135" s="40">
        <f>60911611+17691201+86854491+777405</f>
        <v>166234708</v>
      </c>
      <c r="J135" s="40">
        <v>161110140</v>
      </c>
      <c r="K135" s="40">
        <v>437796133</v>
      </c>
      <c r="L135" s="40">
        <v>22391471</v>
      </c>
      <c r="M135" s="40"/>
      <c r="N135" s="41">
        <f>IF(OR([Preferenciais]&lt;&gt;0,[Ordinárias]&lt;&gt;0),[Dividendos]*[Reais]/((1+[Bônus Preferenciais])*[Preferenciais]+[Ordinárias]),0)</f>
        <v>0</v>
      </c>
      <c r="O135" s="42">
        <f>IF([RBV]&gt;0,[LL]/[RBV],0)</f>
        <v>5.1145885749520774E-2</v>
      </c>
      <c r="P135" s="43">
        <f>IF([PL]&lt;&gt;0,[LL]/[PL],0)</f>
        <v>0.13898238186621897</v>
      </c>
      <c r="Q135" s="44">
        <f>IF([PC]&lt;&gt;0,[AC]/[PC],0)</f>
        <v>1.3246602678501311</v>
      </c>
      <c r="R135" s="42">
        <f>IF([PL]&lt;&gt;0,[AI]/[PL],0)</f>
        <v>1.3328970976004366</v>
      </c>
      <c r="S135" s="42">
        <f>IF([AT]&lt;&gt;0,[PO]/[AT],0)</f>
        <v>0.40659318192018135</v>
      </c>
      <c r="T135" s="43">
        <f>IF([LL]&lt;&gt;0,[Dividendos]/[LL],0)</f>
        <v>0</v>
      </c>
      <c r="U135" s="41">
        <f>([Div/Ação]/20%*[Unit])</f>
        <v>0</v>
      </c>
      <c r="V135" s="41">
        <f>([Div/Ação]/Setup!$A$2*[Unit])</f>
        <v>0</v>
      </c>
      <c r="W135" s="63"/>
      <c r="X135" s="63"/>
      <c r="Y135" s="43"/>
      <c r="Z135" s="64"/>
      <c r="AA135" s="65">
        <f>[Ordinárias]+[Preferenciais]</f>
        <v>0</v>
      </c>
    </row>
    <row r="136" spans="1:27">
      <c r="A136" s="21" t="s">
        <v>67</v>
      </c>
      <c r="B136" s="38" t="s">
        <v>62</v>
      </c>
      <c r="C136" s="38">
        <v>2014</v>
      </c>
      <c r="D136" s="39">
        <v>1</v>
      </c>
      <c r="E136" s="40">
        <v>329675271</v>
      </c>
      <c r="F136" s="40">
        <v>152491777</v>
      </c>
      <c r="G136" s="40">
        <v>172494592</v>
      </c>
      <c r="H136" s="40">
        <v>110242069</v>
      </c>
      <c r="I136" s="40">
        <f>35135562+13785315+71259671+567557</f>
        <v>120748105</v>
      </c>
      <c r="J136" s="40">
        <v>130002611</v>
      </c>
      <c r="K136" s="40">
        <v>378336450</v>
      </c>
      <c r="L136" s="40">
        <v>11660540</v>
      </c>
      <c r="M136" s="40"/>
      <c r="N136" s="41">
        <f>IF(OR([Preferenciais]&lt;&gt;0,[Ordinárias]&lt;&gt;0),[Dividendos]*[Reais]/((1+[Bônus Preferenciais])*[Preferenciais]+[Ordinárias]),0)</f>
        <v>0</v>
      </c>
      <c r="O136" s="42">
        <f>IF([RBV]&gt;0,[LL]/[RBV],0)</f>
        <v>3.0820556676471433E-2</v>
      </c>
      <c r="P136" s="43">
        <f>IF([PL]&lt;&gt;0,[LL]/[PL],0)</f>
        <v>8.9694660055712264E-2</v>
      </c>
      <c r="Q136" s="44">
        <f>IF([PC]&lt;&gt;0,[AC]/[PC],0)</f>
        <v>1.3832448754204714</v>
      </c>
      <c r="R136" s="42">
        <f>IF([PL]&lt;&gt;0,[AI]/[PL],0)</f>
        <v>1.3268548275541943</v>
      </c>
      <c r="S136" s="42">
        <f>IF([AT]&lt;&gt;0,[PO]/[AT],0)</f>
        <v>0.36626376201568361</v>
      </c>
      <c r="T136" s="43">
        <f>IF([LL]&lt;&gt;0,[Dividendos]/[LL],0)</f>
        <v>0</v>
      </c>
      <c r="U136" s="41">
        <f>([Div/Ação]/20%*[Unit])</f>
        <v>0</v>
      </c>
      <c r="V136" s="41">
        <f>([Div/Ação]/Setup!$A$2*[Unit])</f>
        <v>0</v>
      </c>
      <c r="W136" s="63"/>
      <c r="X136" s="63"/>
      <c r="Y136" s="43"/>
      <c r="Z136" s="64"/>
      <c r="AA136" s="65">
        <f>[Ordinárias]+[Preferenciais]</f>
        <v>0</v>
      </c>
    </row>
    <row r="137" spans="1:27">
      <c r="A137" s="21" t="s">
        <v>67</v>
      </c>
      <c r="B137" s="38" t="s">
        <v>62</v>
      </c>
      <c r="C137" s="38">
        <v>2013</v>
      </c>
      <c r="D137" s="39">
        <v>1</v>
      </c>
      <c r="E137" s="40">
        <v>335306012</v>
      </c>
      <c r="F137" s="40">
        <v>157514675</v>
      </c>
      <c r="G137" s="40">
        <v>172245241</v>
      </c>
      <c r="H137" s="40">
        <v>162164330</v>
      </c>
      <c r="I137" s="40">
        <f>94765763+12532375+27469281+2060732</f>
        <v>136828151</v>
      </c>
      <c r="J137" s="40">
        <v>124644221</v>
      </c>
      <c r="K137" s="40">
        <v>322475035</v>
      </c>
      <c r="L137" s="40">
        <v>3375385</v>
      </c>
      <c r="M137" s="40"/>
      <c r="N137" s="41">
        <f>IF(OR([Preferenciais]&lt;&gt;0,[Ordinárias]&lt;&gt;0),[Dividendos]*[Reais]/((1+[Bônus Preferenciais])*[Preferenciais]+[Ordinárias]),0)</f>
        <v>0</v>
      </c>
      <c r="O137" s="42">
        <f>IF([RBV]&gt;0,[LL]/[RBV],0)</f>
        <v>1.0467120346230834E-2</v>
      </c>
      <c r="P137" s="43">
        <f>IF([PL]&lt;&gt;0,[LL]/[PL],0)</f>
        <v>2.7080156407732692E-2</v>
      </c>
      <c r="Q137" s="44">
        <f>IF([PC]&lt;&gt;0,[AC]/[PC],0)</f>
        <v>0.97132751080339308</v>
      </c>
      <c r="R137" s="42">
        <f>IF([PL]&lt;&gt;0,[AI]/[PL],0)</f>
        <v>1.381895122117214</v>
      </c>
      <c r="S137" s="42">
        <f>IF([AT]&lt;&gt;0,[PO]/[AT],0)</f>
        <v>0.40806948310846275</v>
      </c>
      <c r="T137" s="43">
        <f>IF([LL]&lt;&gt;0,[Dividendos]/[LL],0)</f>
        <v>0</v>
      </c>
      <c r="U137" s="41">
        <f>([Div/Ação]/20%*[Unit])</f>
        <v>0</v>
      </c>
      <c r="V137" s="41">
        <f>([Div/Ação]/Setup!$A$2*[Unit])</f>
        <v>0</v>
      </c>
      <c r="W137" s="63"/>
      <c r="X137" s="63"/>
      <c r="Y137" s="43"/>
      <c r="Z137" s="64"/>
      <c r="AA137" s="65">
        <f>[Ordinárias]+[Preferenciais]</f>
        <v>0</v>
      </c>
    </row>
    <row r="138" spans="1:27">
      <c r="A138" s="21" t="s">
        <v>67</v>
      </c>
      <c r="B138" s="38" t="s">
        <v>62</v>
      </c>
      <c r="C138" s="38">
        <v>2012</v>
      </c>
      <c r="D138" s="39">
        <v>1</v>
      </c>
      <c r="E138" s="40">
        <v>320106318</v>
      </c>
      <c r="F138" s="40">
        <v>142497337</v>
      </c>
      <c r="G138" s="40">
        <v>171148994</v>
      </c>
      <c r="H138" s="40">
        <v>75370315</v>
      </c>
      <c r="I138" s="40">
        <f>14922047+6806899+97061794+3084241</f>
        <v>121874981</v>
      </c>
      <c r="J138" s="40">
        <v>123363825</v>
      </c>
      <c r="K138" s="40">
        <v>299026601</v>
      </c>
      <c r="L138" s="40">
        <v>-4330407</v>
      </c>
      <c r="M138" s="40"/>
      <c r="N138" s="41">
        <f>IF(OR([Preferenciais]&lt;&gt;0,[Ordinárias]&lt;&gt;0),[Dividendos]*[Reais]/((1+[Bônus Preferenciais])*[Preferenciais]+[Ordinárias]),0)</f>
        <v>0</v>
      </c>
      <c r="O138" s="42">
        <f>IF([RBV]&gt;0,[LL]/[RBV],0)</f>
        <v>-1.4481678170163865E-2</v>
      </c>
      <c r="P138" s="43">
        <f>IF([PL]&lt;&gt;0,[LL]/[PL],0)</f>
        <v>-3.5102729669739083E-2</v>
      </c>
      <c r="Q138" s="44">
        <f>IF([PC]&lt;&gt;0,[AC]/[PC],0)</f>
        <v>1.8906294474157366</v>
      </c>
      <c r="R138" s="42">
        <f>IF([PL]&lt;&gt;0,[AI]/[PL],0)</f>
        <v>1.387351551396854</v>
      </c>
      <c r="S138" s="42">
        <f>IF([AT]&lt;&gt;0,[PO]/[AT],0)</f>
        <v>0.38073281952529286</v>
      </c>
      <c r="T138" s="43">
        <f>IF([LL]&lt;&gt;0,[Dividendos]/[LL],0)</f>
        <v>0</v>
      </c>
      <c r="U138" s="41">
        <f>([Div/Ação]/20%*[Unit])</f>
        <v>0</v>
      </c>
      <c r="V138" s="41">
        <f>([Div/Ação]/Setup!$A$2*[Unit])</f>
        <v>0</v>
      </c>
      <c r="W138" s="63"/>
      <c r="X138" s="63"/>
      <c r="Y138" s="43"/>
      <c r="Z138" s="64"/>
      <c r="AA138" s="65">
        <f>[Ordinárias]+[Preferenciais]</f>
        <v>0</v>
      </c>
    </row>
    <row r="139" spans="1:27">
      <c r="A139" s="21" t="s">
        <v>67</v>
      </c>
      <c r="B139" s="38" t="s">
        <v>62</v>
      </c>
      <c r="C139" s="38">
        <v>2011</v>
      </c>
      <c r="D139" s="39">
        <v>1</v>
      </c>
      <c r="E139" s="40">
        <v>313043237</v>
      </c>
      <c r="F139" s="40">
        <v>143412916</v>
      </c>
      <c r="G139" s="40">
        <v>163872024</v>
      </c>
      <c r="H139" s="40">
        <v>77854815</v>
      </c>
      <c r="I139" s="40">
        <f>23330961+6252244+78243150+11151059</f>
        <v>118977414</v>
      </c>
      <c r="J139" s="40">
        <v>123678783</v>
      </c>
      <c r="K139" s="40">
        <v>304734035</v>
      </c>
      <c r="L139" s="40">
        <v>-10742571</v>
      </c>
      <c r="M139" s="40"/>
      <c r="N139" s="41">
        <f>IF(OR([Preferenciais]&lt;&gt;0,[Ordinárias]&lt;&gt;0),[Dividendos]*[Reais]/((1+[Bônus Preferenciais])*[Preferenciais]+[Ordinárias]),0)</f>
        <v>0</v>
      </c>
      <c r="O139" s="42">
        <f>IF([RBV]&gt;0,[LL]/[RBV],0)</f>
        <v>-3.5252284832575399E-2</v>
      </c>
      <c r="P139" s="43">
        <f>IF([PL]&lt;&gt;0,[LL]/[PL],0)</f>
        <v>-8.6858640903670598E-2</v>
      </c>
      <c r="Q139" s="44">
        <f>IF([PC]&lt;&gt;0,[AC]/[PC],0)</f>
        <v>1.8420558317427125</v>
      </c>
      <c r="R139" s="42">
        <f>IF([PL]&lt;&gt;0,[AI]/[PL],0)</f>
        <v>1.3249808902146134</v>
      </c>
      <c r="S139" s="42">
        <f>IF([AT]&lt;&gt;0,[PO]/[AT],0)</f>
        <v>0.38006703208221682</v>
      </c>
      <c r="T139" s="43">
        <f>IF([LL]&lt;&gt;0,[Dividendos]/[LL],0)</f>
        <v>0</v>
      </c>
      <c r="U139" s="41">
        <f>([Div/Ação]/20%*[Unit])</f>
        <v>0</v>
      </c>
      <c r="V139" s="41">
        <f>([Div/Ação]/Setup!$A$2*[Unit])</f>
        <v>0</v>
      </c>
      <c r="W139" s="63"/>
      <c r="X139" s="63"/>
      <c r="Y139" s="43"/>
      <c r="Z139" s="64"/>
      <c r="AA139" s="65">
        <f>[Ordinárias]+[Preferenciais]</f>
        <v>0</v>
      </c>
    </row>
    <row r="140" spans="1:27">
      <c r="A140" s="14" t="s">
        <v>69</v>
      </c>
      <c r="B140" s="38" t="s">
        <v>63</v>
      </c>
      <c r="C140" s="53">
        <v>2015</v>
      </c>
      <c r="D140" s="54">
        <v>1000</v>
      </c>
      <c r="E140" s="55">
        <v>28947657</v>
      </c>
      <c r="F140" s="55">
        <v>6933397</v>
      </c>
      <c r="G140" s="55">
        <v>8692682</v>
      </c>
      <c r="H140" s="55">
        <v>4789118</v>
      </c>
      <c r="I140" s="55">
        <f>1232563+1032164+6528425+1550486</f>
        <v>10343638</v>
      </c>
      <c r="J140" s="55">
        <v>14584478</v>
      </c>
      <c r="K140" s="55">
        <v>14728131</v>
      </c>
      <c r="L140" s="55">
        <v>1265551</v>
      </c>
      <c r="M140" s="55"/>
      <c r="N140" s="56">
        <f>IF(OR([Preferenciais]&lt;&gt;0,[Ordinárias]&lt;&gt;0),[Dividendos]*[Reais]/((1+[Bônus Preferenciais])*[Preferenciais]+[Ordinárias]),0)</f>
        <v>0</v>
      </c>
      <c r="O140" s="57">
        <f>IF([RBV]&gt;0,[LL]/[RBV],0)</f>
        <v>8.5927467646777445E-2</v>
      </c>
      <c r="P140" s="58">
        <f>IF([PL]&lt;&gt;0,[LL]/[PL],0)</f>
        <v>8.6773828998199312E-2</v>
      </c>
      <c r="Q140" s="59">
        <f>IF([PC]&lt;&gt;0,[AC]/[PC],0)</f>
        <v>1.4477398552301279</v>
      </c>
      <c r="R140" s="57">
        <f>IF([PL]&lt;&gt;0,[AI]/[PL],0)</f>
        <v>0.59602284017295648</v>
      </c>
      <c r="S140" s="57">
        <f>IF([AT]&lt;&gt;0,[PO]/[AT],0)</f>
        <v>0.35732211418699622</v>
      </c>
      <c r="T140" s="58">
        <f>IF([LL]&lt;&gt;0,[Dividendos]/[LL],0)</f>
        <v>0</v>
      </c>
      <c r="U140" s="56">
        <f>([Div/Ação]/20%*[Unit])</f>
        <v>0</v>
      </c>
      <c r="V140" s="56">
        <f>([Div/Ação]/Setup!$A$2*[Unit])</f>
        <v>0</v>
      </c>
      <c r="W140" s="60"/>
      <c r="X140" s="60"/>
      <c r="Y140" s="58"/>
      <c r="Z140" s="61"/>
      <c r="AA140" s="62">
        <f>[Ordinárias]+[Preferenciais]</f>
        <v>0</v>
      </c>
    </row>
    <row r="141" spans="1:27">
      <c r="A141" s="14" t="s">
        <v>69</v>
      </c>
      <c r="B141" s="38" t="s">
        <v>63</v>
      </c>
      <c r="C141" s="53">
        <v>2014</v>
      </c>
      <c r="D141" s="54">
        <v>1000</v>
      </c>
      <c r="E141" s="55">
        <v>25618142</v>
      </c>
      <c r="F141" s="55">
        <v>5218176</v>
      </c>
      <c r="G141" s="55">
        <v>8304188</v>
      </c>
      <c r="H141" s="55">
        <v>4055393</v>
      </c>
      <c r="I141" s="55">
        <f>1299117+469243+4755281+1562838</f>
        <v>8086479</v>
      </c>
      <c r="J141" s="55">
        <v>13682780</v>
      </c>
      <c r="K141" s="55">
        <v>13918517</v>
      </c>
      <c r="L141" s="55">
        <v>1335615</v>
      </c>
      <c r="M141" s="55"/>
      <c r="N141" s="56">
        <f>IF(OR([Preferenciais]&lt;&gt;0,[Ordinárias]&lt;&gt;0),[Dividendos]*[Reais]/((1+[Bônus Preferenciais])*[Preferenciais]+[Ordinárias]),0)</f>
        <v>0</v>
      </c>
      <c r="O141" s="57">
        <f>IF([RBV]&gt;0,[LL]/[RBV],0)</f>
        <v>9.5959576727894208E-2</v>
      </c>
      <c r="P141" s="58">
        <f>IF([PL]&lt;&gt;0,[LL]/[PL],0)</f>
        <v>9.7612838911390817E-2</v>
      </c>
      <c r="Q141" s="59">
        <f>IF([PC]&lt;&gt;0,[AC]/[PC],0)</f>
        <v>1.2867251090091638</v>
      </c>
      <c r="R141" s="57">
        <f>IF([PL]&lt;&gt;0,[AI]/[PL],0)</f>
        <v>0.60690795291600097</v>
      </c>
      <c r="S141" s="57">
        <f>IF([AT]&lt;&gt;0,[PO]/[AT],0)</f>
        <v>0.31565439054869787</v>
      </c>
      <c r="T141" s="58">
        <f>IF([LL]&lt;&gt;0,[Dividendos]/[LL],0)</f>
        <v>0</v>
      </c>
      <c r="U141" s="56">
        <f>([Div/Ação]/20%*[Unit])</f>
        <v>0</v>
      </c>
      <c r="V141" s="56">
        <f>([Div/Ação]/Setup!$A$2*[Unit])</f>
        <v>0</v>
      </c>
      <c r="W141" s="60"/>
      <c r="X141" s="60"/>
      <c r="Y141" s="58"/>
      <c r="Z141" s="61"/>
      <c r="AA141" s="62">
        <f>[Ordinárias]+[Preferenciais]</f>
        <v>0</v>
      </c>
    </row>
    <row r="142" spans="1:27">
      <c r="A142" s="14" t="s">
        <v>69</v>
      </c>
      <c r="B142" s="38" t="s">
        <v>63</v>
      </c>
      <c r="C142" s="53">
        <v>2013</v>
      </c>
      <c r="D142" s="54">
        <v>1000</v>
      </c>
      <c r="E142" s="55">
        <v>23111445</v>
      </c>
      <c r="F142" s="55">
        <v>4680284</v>
      </c>
      <c r="G142" s="55">
        <v>7983632</v>
      </c>
      <c r="H142" s="55">
        <v>3347885</v>
      </c>
      <c r="I142" s="55">
        <f>1014568+403042+3517161+1631019</f>
        <v>6565790</v>
      </c>
      <c r="J142" s="55">
        <v>12928752</v>
      </c>
      <c r="K142" s="55">
        <v>9180214</v>
      </c>
      <c r="L142" s="55">
        <v>1101435</v>
      </c>
      <c r="M142" s="55"/>
      <c r="N142" s="56">
        <f>IF(OR([Preferenciais]&lt;&gt;0,[Ordinárias]&lt;&gt;0),[Dividendos]*[Reais]/((1+[Bônus Preferenciais])*[Preferenciais]+[Ordinárias]),0)</f>
        <v>0</v>
      </c>
      <c r="O142" s="57">
        <f>IF([RBV]&gt;0,[LL]/[RBV],0)</f>
        <v>0.11997922924236842</v>
      </c>
      <c r="P142" s="58">
        <f>IF([PL]&lt;&gt;0,[LL]/[PL],0)</f>
        <v>8.5192677529896163E-2</v>
      </c>
      <c r="Q142" s="59">
        <f>IF([PC]&lt;&gt;0,[AC]/[PC],0)</f>
        <v>1.3979823082334071</v>
      </c>
      <c r="R142" s="57">
        <f>IF([PL]&lt;&gt;0,[AI]/[PL],0)</f>
        <v>0.61750987256929357</v>
      </c>
      <c r="S142" s="57">
        <f>IF([AT]&lt;&gt;0,[PO]/[AT],0)</f>
        <v>0.284092578374048</v>
      </c>
      <c r="T142" s="58">
        <f>IF([LL]&lt;&gt;0,[Dividendos]/[LL],0)</f>
        <v>0</v>
      </c>
      <c r="U142" s="56">
        <f>([Div/Ação]/20%*[Unit])</f>
        <v>0</v>
      </c>
      <c r="V142" s="56">
        <f>([Div/Ação]/Setup!$A$2*[Unit])</f>
        <v>0</v>
      </c>
      <c r="W142" s="60"/>
      <c r="X142" s="60"/>
      <c r="Y142" s="58"/>
      <c r="Z142" s="61"/>
      <c r="AA142" s="62">
        <f>[Ordinárias]+[Preferenciais]</f>
        <v>0</v>
      </c>
    </row>
    <row r="143" spans="1:27">
      <c r="A143" s="14" t="s">
        <v>69</v>
      </c>
      <c r="B143" s="38" t="s">
        <v>63</v>
      </c>
      <c r="C143" s="53">
        <v>2012</v>
      </c>
      <c r="D143" s="54">
        <v>1000</v>
      </c>
      <c r="E143" s="55">
        <v>21208903</v>
      </c>
      <c r="F143" s="55">
        <v>4681692</v>
      </c>
      <c r="G143" s="55">
        <v>7871753</v>
      </c>
      <c r="H143" s="55">
        <v>2833444</v>
      </c>
      <c r="I143" s="55">
        <f>274009+584976+2987546+1279779</f>
        <v>5126310</v>
      </c>
      <c r="J143" s="55">
        <v>12361890</v>
      </c>
      <c r="K143" s="55">
        <v>8493252</v>
      </c>
      <c r="L143" s="55">
        <v>726520</v>
      </c>
      <c r="M143" s="55"/>
      <c r="N143" s="56">
        <f>IF(OR([Preferenciais]&lt;&gt;0,[Ordinárias]&lt;&gt;0),[Dividendos]*[Reais]/((1+[Bônus Preferenciais])*[Preferenciais]+[Ordinárias]),0)</f>
        <v>0</v>
      </c>
      <c r="O143" s="57">
        <f>IF([RBV]&gt;0,[LL]/[RBV],0)</f>
        <v>8.5540850548176367E-2</v>
      </c>
      <c r="P143" s="58">
        <f>IF([PL]&lt;&gt;0,[LL]/[PL],0)</f>
        <v>5.8770948455292842E-2</v>
      </c>
      <c r="Q143" s="59">
        <f>IF([PC]&lt;&gt;0,[AC]/[PC],0)</f>
        <v>1.6522973455625027</v>
      </c>
      <c r="R143" s="57">
        <f>IF([PL]&lt;&gt;0,[AI]/[PL],0)</f>
        <v>0.63677584900043604</v>
      </c>
      <c r="S143" s="57">
        <f>IF([AT]&lt;&gt;0,[PO]/[AT],0)</f>
        <v>0.24170557053328029</v>
      </c>
      <c r="T143" s="58">
        <f>IF([LL]&lt;&gt;0,[Dividendos]/[LL],0)</f>
        <v>0</v>
      </c>
      <c r="U143" s="56">
        <f>([Div/Ação]/20%*[Unit])</f>
        <v>0</v>
      </c>
      <c r="V143" s="56">
        <f>([Div/Ação]/Setup!$A$2*[Unit])</f>
        <v>0</v>
      </c>
      <c r="W143" s="60"/>
      <c r="X143" s="60"/>
      <c r="Y143" s="58"/>
      <c r="Z143" s="61"/>
      <c r="AA143" s="62">
        <f>[Ordinárias]+[Preferenciais]</f>
        <v>0</v>
      </c>
    </row>
    <row r="144" spans="1:27">
      <c r="A144" s="14" t="s">
        <v>69</v>
      </c>
      <c r="B144" s="38" t="s">
        <v>63</v>
      </c>
      <c r="C144" s="53">
        <v>2011</v>
      </c>
      <c r="D144" s="54">
        <v>1000</v>
      </c>
      <c r="E144" s="55">
        <v>19121663</v>
      </c>
      <c r="F144" s="55">
        <v>3702013</v>
      </c>
      <c r="G144" s="55">
        <v>7209123</v>
      </c>
      <c r="H144" s="55">
        <v>2058821</v>
      </c>
      <c r="I144" s="55">
        <f>116487+530539+2057985+1006596</f>
        <v>3711607</v>
      </c>
      <c r="J144" s="55">
        <v>12069528</v>
      </c>
      <c r="K144" s="55">
        <v>7776165</v>
      </c>
      <c r="L144" s="55">
        <v>1176854</v>
      </c>
      <c r="M144" s="55"/>
      <c r="N144" s="56">
        <f>IF(OR([Preferenciais]&lt;&gt;0,[Ordinárias]&lt;&gt;0),[Dividendos]*[Reais]/((1+[Bônus Preferenciais])*[Preferenciais]+[Ordinárias]),0)</f>
        <v>0</v>
      </c>
      <c r="O144" s="57">
        <f>IF([RBV]&gt;0,[LL]/[RBV],0)</f>
        <v>0.15134118167502875</v>
      </c>
      <c r="P144" s="58">
        <f>IF([PL]&lt;&gt;0,[LL]/[PL],0)</f>
        <v>9.750621565317219E-2</v>
      </c>
      <c r="Q144" s="59">
        <f>IF([PC]&lt;&gt;0,[AC]/[PC],0)</f>
        <v>1.7981228091223083</v>
      </c>
      <c r="R144" s="57">
        <f>IF([PL]&lt;&gt;0,[AI]/[PL],0)</f>
        <v>0.59729949671602733</v>
      </c>
      <c r="S144" s="57">
        <f>IF([AT]&lt;&gt;0,[PO]/[AT],0)</f>
        <v>0.19410482236822185</v>
      </c>
      <c r="T144" s="58">
        <f>IF([LL]&lt;&gt;0,[Dividendos]/[LL],0)</f>
        <v>0</v>
      </c>
      <c r="U144" s="56">
        <f>([Div/Ação]/20%*[Unit])</f>
        <v>0</v>
      </c>
      <c r="V144" s="56">
        <f>([Div/Ação]/Setup!$A$2*[Unit])</f>
        <v>0</v>
      </c>
      <c r="W144" s="60"/>
      <c r="X144" s="60"/>
      <c r="Y144" s="58"/>
      <c r="Z144" s="61"/>
      <c r="AA144" s="62">
        <f>[Ordinárias]+[Preferenciais]</f>
        <v>0</v>
      </c>
    </row>
    <row r="145" spans="1:27">
      <c r="A145" s="14" t="s">
        <v>69</v>
      </c>
      <c r="B145" s="38" t="s">
        <v>63</v>
      </c>
      <c r="C145" s="38">
        <v>2010</v>
      </c>
      <c r="D145" s="54">
        <v>1000</v>
      </c>
      <c r="E145" s="40">
        <v>17859432</v>
      </c>
      <c r="F145" s="40">
        <v>4157790</v>
      </c>
      <c r="G145" s="40">
        <v>6663945</v>
      </c>
      <c r="H145" s="40">
        <v>2536801</v>
      </c>
      <c r="I145" s="40">
        <f>704252+512277+1280982+992227</f>
        <v>3489738</v>
      </c>
      <c r="J145" s="40">
        <v>11295826</v>
      </c>
      <c r="K145" s="40">
        <v>6901113</v>
      </c>
      <c r="L145" s="40">
        <v>1010281</v>
      </c>
      <c r="M145" s="40"/>
      <c r="N145" s="41">
        <f>IF(OR([Preferenciais]&lt;&gt;0,[Ordinárias]&lt;&gt;0),[Dividendos]*[Reais]/((1+[Bônus Preferenciais])*[Preferenciais]+[Ordinárias]),0)</f>
        <v>0</v>
      </c>
      <c r="O145" s="42">
        <f>IF([RBV]&gt;0,[LL]/[RBV],0)</f>
        <v>0.14639392225572889</v>
      </c>
      <c r="P145" s="43">
        <f>IF([PL]&lt;&gt;0,[LL]/[PL],0)</f>
        <v>8.9438435046715489E-2</v>
      </c>
      <c r="Q145" s="44">
        <f>IF([PC]&lt;&gt;0,[AC]/[PC],0)</f>
        <v>1.6389894201397746</v>
      </c>
      <c r="R145" s="42">
        <f>IF([PL]&lt;&gt;0,[AI]/[PL],0)</f>
        <v>0.58994756116108726</v>
      </c>
      <c r="S145" s="42">
        <f>IF([AT]&lt;&gt;0,[PO]/[AT],0)</f>
        <v>0.19540027924740272</v>
      </c>
      <c r="T145" s="43">
        <f>IF([LL]&lt;&gt;0,[Dividendos]/[LL],0)</f>
        <v>0</v>
      </c>
      <c r="U145" s="41">
        <f>([Div/Ação]/20%*[Unit])</f>
        <v>0</v>
      </c>
      <c r="V145" s="41">
        <f>([Div/Ação]/Setup!$A$2*[Unit])</f>
        <v>0</v>
      </c>
      <c r="W145" s="63"/>
      <c r="X145" s="63"/>
      <c r="Y145" s="43"/>
      <c r="Z145" s="64"/>
      <c r="AA145" s="65">
        <f>[Ordinárias]+[Preferenciais]</f>
        <v>0</v>
      </c>
    </row>
    <row r="146" spans="1:27">
      <c r="A146" s="21" t="s">
        <v>68</v>
      </c>
      <c r="B146" s="21" t="s">
        <v>64</v>
      </c>
      <c r="C146" s="53">
        <v>2015</v>
      </c>
      <c r="D146" s="46">
        <v>1000</v>
      </c>
      <c r="E146" s="23">
        <v>8780467</v>
      </c>
      <c r="F146" s="23">
        <v>8780467</v>
      </c>
      <c r="G146" s="23">
        <v>11484</v>
      </c>
      <c r="H146" s="23">
        <v>8780467</v>
      </c>
      <c r="I146" s="23"/>
      <c r="J146" s="23">
        <v>1189753</v>
      </c>
      <c r="K146" s="23">
        <v>968330</v>
      </c>
      <c r="L146" s="23">
        <v>40757</v>
      </c>
      <c r="M146" s="23"/>
      <c r="N146" s="27">
        <f>IF(OR([Preferenciais]&lt;&gt;0,[Ordinárias]&lt;&gt;0),[Dividendos]*[Reais]/((1+[Bônus Preferenciais])*[Preferenciais]+[Ordinárias]),0)</f>
        <v>0</v>
      </c>
      <c r="O146" s="47">
        <f>IF([RBV]&gt;0,[LL]/[RBV],0)</f>
        <v>4.208998998275381E-2</v>
      </c>
      <c r="P146" s="25">
        <f>IF([PL]&lt;&gt;0,[LL]/[PL],0)</f>
        <v>3.4256690254195615E-2</v>
      </c>
      <c r="Q146" s="48">
        <f>IF([PC]&lt;&gt;0,[AC]/[PC],0)</f>
        <v>1</v>
      </c>
      <c r="R146" s="47">
        <f>IF([PL]&lt;&gt;0,[AI]/[PL],0)</f>
        <v>9.6524236543215278E-3</v>
      </c>
      <c r="S146" s="47">
        <f>IF([AT]&lt;&gt;0,[PO]/[AT],0)</f>
        <v>0</v>
      </c>
      <c r="T146" s="25">
        <f>IF([LL]&lt;&gt;0,[Dividendos]/[LL],0)</f>
        <v>0</v>
      </c>
      <c r="U146" s="27">
        <f>([Div/Ação]/20%*[Unit])</f>
        <v>0</v>
      </c>
      <c r="V146" s="27">
        <f>([Div/Ação]/Setup!$A$2*[Unit])</f>
        <v>0</v>
      </c>
      <c r="W146" s="28"/>
      <c r="X146" s="28"/>
      <c r="Y146" s="25"/>
      <c r="Z146" s="67"/>
      <c r="AA146" s="29">
        <f>[Ordinárias]+[Preferenciais]</f>
        <v>0</v>
      </c>
    </row>
    <row r="147" spans="1:27">
      <c r="A147" s="21" t="s">
        <v>68</v>
      </c>
      <c r="B147" s="21" t="s">
        <v>64</v>
      </c>
      <c r="C147" s="53">
        <v>2014</v>
      </c>
      <c r="D147" s="46">
        <v>1000</v>
      </c>
      <c r="E147" s="23">
        <v>10279356</v>
      </c>
      <c r="F147" s="23">
        <v>10279356</v>
      </c>
      <c r="G147" s="23">
        <v>18746</v>
      </c>
      <c r="H147" s="23">
        <v>10279356</v>
      </c>
      <c r="I147" s="23"/>
      <c r="J147" s="23">
        <v>1262420</v>
      </c>
      <c r="K147" s="23">
        <v>943145</v>
      </c>
      <c r="L147" s="23">
        <v>95761</v>
      </c>
      <c r="M147" s="23"/>
      <c r="N147" s="27">
        <f>IF(OR([Preferenciais]&lt;&gt;0,[Ordinárias]&lt;&gt;0),[Dividendos]*[Reais]/((1+[Bônus Preferenciais])*[Preferenciais]+[Ordinárias]),0)</f>
        <v>0</v>
      </c>
      <c r="O147" s="47">
        <f>IF([RBV]&gt;0,[LL]/[RBV],0)</f>
        <v>0.10153369842389028</v>
      </c>
      <c r="P147" s="25">
        <f>IF([PL]&lt;&gt;0,[LL]/[PL],0)</f>
        <v>7.5855103689738759E-2</v>
      </c>
      <c r="Q147" s="48">
        <f>IF([PC]&lt;&gt;0,[AC]/[PC],0)</f>
        <v>1</v>
      </c>
      <c r="R147" s="47">
        <f>IF([PL]&lt;&gt;0,[AI]/[PL],0)</f>
        <v>1.4849257774750083E-2</v>
      </c>
      <c r="S147" s="47">
        <f>IF([AT]&lt;&gt;0,[PO]/[AT],0)</f>
        <v>0</v>
      </c>
      <c r="T147" s="25">
        <f>IF([LL]&lt;&gt;0,[Dividendos]/[LL],0)</f>
        <v>0</v>
      </c>
      <c r="U147" s="27">
        <f>([Div/Ação]/20%*[Unit])</f>
        <v>0</v>
      </c>
      <c r="V147" s="27">
        <f>([Div/Ação]/Setup!$A$2*[Unit])</f>
        <v>0</v>
      </c>
      <c r="W147" s="28"/>
      <c r="X147" s="28"/>
      <c r="Y147" s="25"/>
      <c r="Z147" s="67"/>
      <c r="AA147" s="29">
        <f>[Ordinárias]+[Preferenciais]</f>
        <v>0</v>
      </c>
    </row>
    <row r="148" spans="1:27">
      <c r="A148" s="21" t="s">
        <v>68</v>
      </c>
      <c r="B148" s="21" t="s">
        <v>64</v>
      </c>
      <c r="C148" s="53">
        <v>2013</v>
      </c>
      <c r="D148" s="46">
        <v>1000</v>
      </c>
      <c r="E148" s="16">
        <v>10383349</v>
      </c>
      <c r="F148" s="16">
        <v>10383349</v>
      </c>
      <c r="G148" s="16">
        <v>25619</v>
      </c>
      <c r="H148" s="16">
        <v>10383349</v>
      </c>
      <c r="I148" s="16"/>
      <c r="J148" s="16">
        <v>1277973</v>
      </c>
      <c r="K148" s="16">
        <v>754602</v>
      </c>
      <c r="L148" s="16">
        <v>147304</v>
      </c>
      <c r="M148" s="16"/>
      <c r="N148" s="20">
        <f>IF(OR([Preferenciais]&lt;&gt;0,[Ordinárias]&lt;&gt;0),[Dividendos]*[Reais]/((1+[Bônus Preferenciais])*[Preferenciais]+[Ordinárias]),0)</f>
        <v>0</v>
      </c>
      <c r="O148" s="35">
        <f>IF([RBV]&gt;0,[LL]/[RBV],0)</f>
        <v>0.19520753986869899</v>
      </c>
      <c r="P148" s="18">
        <f>IF([PL]&lt;&gt;0,[LL]/[PL],0)</f>
        <v>0.11526378100319803</v>
      </c>
      <c r="Q148" s="36">
        <f>IF([PC]&lt;&gt;0,[AC]/[PC],0)</f>
        <v>1</v>
      </c>
      <c r="R148" s="35">
        <f>IF([PL]&lt;&gt;0,[AI]/[PL],0)</f>
        <v>2.0046589403688496E-2</v>
      </c>
      <c r="S148" s="35">
        <f>IF([AT]&lt;&gt;0,[PO]/[AT],0)</f>
        <v>0</v>
      </c>
      <c r="T148" s="18">
        <f>IF([LL]&lt;&gt;0,[Dividendos]/[LL],0)</f>
        <v>0</v>
      </c>
      <c r="U148" s="20">
        <f>([Div/Ação]/20%*[Unit])</f>
        <v>0</v>
      </c>
      <c r="V148" s="20">
        <f>([Div/Ação]/Setup!$A$2*[Unit])</f>
        <v>0</v>
      </c>
      <c r="W148" s="22"/>
      <c r="X148" s="22"/>
      <c r="Y148" s="18"/>
      <c r="Z148" s="66"/>
      <c r="AA148" s="15">
        <f>[Ordinárias]+[Preferenciais]</f>
        <v>0</v>
      </c>
    </row>
    <row r="149" spans="1:27">
      <c r="A149" s="21" t="s">
        <v>68</v>
      </c>
      <c r="B149" s="21" t="s">
        <v>64</v>
      </c>
      <c r="C149" s="53">
        <v>2012</v>
      </c>
      <c r="D149" s="46">
        <v>1000</v>
      </c>
      <c r="E149" s="23">
        <v>10309979</v>
      </c>
      <c r="F149" s="23">
        <v>10309979</v>
      </c>
      <c r="G149" s="23">
        <v>28968</v>
      </c>
      <c r="H149" s="23">
        <v>10309979</v>
      </c>
      <c r="I149" s="23"/>
      <c r="J149" s="23">
        <v>1249362</v>
      </c>
      <c r="K149" s="23">
        <v>740487</v>
      </c>
      <c r="L149" s="23">
        <v>194546</v>
      </c>
      <c r="M149" s="23"/>
      <c r="N149" s="27">
        <f>IF(OR([Preferenciais]&lt;&gt;0,[Ordinárias]&lt;&gt;0),[Dividendos]*[Reais]/((1+[Bônus Preferenciais])*[Preferenciais]+[Ordinárias]),0)</f>
        <v>0</v>
      </c>
      <c r="O149" s="47">
        <f>IF([RBV]&gt;0,[LL]/[RBV],0)</f>
        <v>0.2627270971671346</v>
      </c>
      <c r="P149" s="25">
        <f>IF([PL]&lt;&gt;0,[LL]/[PL],0)</f>
        <v>0.15571627758808096</v>
      </c>
      <c r="Q149" s="48">
        <f>IF([PC]&lt;&gt;0,[AC]/[PC],0)</f>
        <v>1</v>
      </c>
      <c r="R149" s="47">
        <f>IF([PL]&lt;&gt;0,[AI]/[PL],0)</f>
        <v>2.3186234253963222E-2</v>
      </c>
      <c r="S149" s="47">
        <f>IF([AT]&lt;&gt;0,[PO]/[AT],0)</f>
        <v>0</v>
      </c>
      <c r="T149" s="25">
        <f>IF([LL]&lt;&gt;0,[Dividendos]/[LL],0)</f>
        <v>0</v>
      </c>
      <c r="U149" s="27">
        <f>([Div/Ação]/20%*[Unit])</f>
        <v>0</v>
      </c>
      <c r="V149" s="27">
        <f>([Div/Ação]/Setup!$A$2*[Unit])</f>
        <v>0</v>
      </c>
      <c r="W149" s="28"/>
      <c r="X149" s="28"/>
      <c r="Y149" s="25"/>
      <c r="Z149" s="67"/>
      <c r="AA149" s="29">
        <f>[Ordinárias]+[Preferenciais]</f>
        <v>0</v>
      </c>
    </row>
    <row r="150" spans="1:27">
      <c r="A150" s="21" t="s">
        <v>68</v>
      </c>
      <c r="B150" s="21" t="s">
        <v>64</v>
      </c>
      <c r="C150" s="53">
        <v>2011</v>
      </c>
      <c r="D150" s="46">
        <v>1000</v>
      </c>
      <c r="E150" s="16">
        <v>11153181</v>
      </c>
      <c r="F150" s="16">
        <v>11153181</v>
      </c>
      <c r="G150" s="16">
        <v>7471</v>
      </c>
      <c r="H150" s="16">
        <v>11153181</v>
      </c>
      <c r="I150" s="16"/>
      <c r="J150" s="16">
        <v>1025914</v>
      </c>
      <c r="K150" s="16">
        <v>754557</v>
      </c>
      <c r="L150" s="16">
        <v>184191</v>
      </c>
      <c r="M150" s="16"/>
      <c r="N150" s="20">
        <f>IF(OR([Preferenciais]&lt;&gt;0,[Ordinárias]&lt;&gt;0),[Dividendos]*[Reais]/((1+[Bônus Preferenciais])*[Preferenciais]+[Ordinárias]),0)</f>
        <v>0</v>
      </c>
      <c r="O150" s="35">
        <f>IF([RBV]&gt;0,[LL]/[RBV],0)</f>
        <v>0.24410481911903276</v>
      </c>
      <c r="P150" s="18">
        <f>IF([PL]&lt;&gt;0,[LL]/[PL],0)</f>
        <v>0.17953844084396939</v>
      </c>
      <c r="Q150" s="36">
        <f>IF([PC]&lt;&gt;0,[AC]/[PC],0)</f>
        <v>1</v>
      </c>
      <c r="R150" s="35">
        <f>IF([PL]&lt;&gt;0,[AI]/[PL],0)</f>
        <v>7.2822868193630269E-3</v>
      </c>
      <c r="S150" s="35">
        <f>IF([AT]&lt;&gt;0,[PO]/[AT],0)</f>
        <v>0</v>
      </c>
      <c r="T150" s="18">
        <f>IF([LL]&lt;&gt;0,[Dividendos]/[LL],0)</f>
        <v>0</v>
      </c>
      <c r="U150" s="20">
        <f>([Div/Ação]/20%*[Unit])</f>
        <v>0</v>
      </c>
      <c r="V150" s="20">
        <f>([Div/Ação]/Setup!$A$2*[Unit])</f>
        <v>0</v>
      </c>
      <c r="W150" s="22"/>
      <c r="X150" s="22"/>
      <c r="Y150" s="18"/>
      <c r="Z150" s="66"/>
      <c r="AA150" s="15">
        <f>[Ordinárias]+[Preferenciais]</f>
        <v>0</v>
      </c>
    </row>
    <row r="151" spans="1:27">
      <c r="A151" s="21" t="s">
        <v>68</v>
      </c>
      <c r="B151" s="21" t="s">
        <v>64</v>
      </c>
      <c r="C151" s="38">
        <v>2010</v>
      </c>
      <c r="D151" s="46">
        <v>1000</v>
      </c>
      <c r="E151" s="23">
        <v>9104767</v>
      </c>
      <c r="F151" s="23">
        <v>9104767</v>
      </c>
      <c r="G151" s="23">
        <v>9229</v>
      </c>
      <c r="H151" s="23">
        <v>9104767</v>
      </c>
      <c r="I151" s="23"/>
      <c r="J151" s="23">
        <v>855290</v>
      </c>
      <c r="K151" s="23">
        <v>661476</v>
      </c>
      <c r="L151" s="23">
        <v>162073</v>
      </c>
      <c r="M151" s="23"/>
      <c r="N151" s="27">
        <f>IF(OR([Preferenciais]&lt;&gt;0,[Ordinárias]&lt;&gt;0),[Dividendos]*[Reais]/((1+[Bônus Preferenciais])*[Preferenciais]+[Ordinárias]),0)</f>
        <v>0</v>
      </c>
      <c r="O151" s="47">
        <f>IF([RBV]&gt;0,[LL]/[RBV],0)</f>
        <v>0.24501720394995435</v>
      </c>
      <c r="P151" s="25">
        <f>IF([PL]&lt;&gt;0,[LL]/[PL],0)</f>
        <v>0.189494791240398</v>
      </c>
      <c r="Q151" s="48">
        <f>IF([PC]&lt;&gt;0,[AC]/[PC],0)</f>
        <v>1</v>
      </c>
      <c r="R151" s="47">
        <f>IF([PL]&lt;&gt;0,[AI]/[PL],0)</f>
        <v>1.0790492113785967E-2</v>
      </c>
      <c r="S151" s="47">
        <f>IF([AT]&lt;&gt;0,[PO]/[AT],0)</f>
        <v>0</v>
      </c>
      <c r="T151" s="25">
        <f>IF([LL]&lt;&gt;0,[Dividendos]/[LL],0)</f>
        <v>0</v>
      </c>
      <c r="U151" s="27">
        <f>([Div/Ação]/20%*[Unit])</f>
        <v>0</v>
      </c>
      <c r="V151" s="27">
        <f>([Div/Ação]/Setup!$A$2*[Unit])</f>
        <v>0</v>
      </c>
      <c r="W151" s="28"/>
      <c r="X151" s="28"/>
      <c r="Y151" s="25"/>
      <c r="Z151" s="67"/>
      <c r="AA151" s="29">
        <f>[Ordinárias]+[Preferenciais]</f>
        <v>0</v>
      </c>
    </row>
    <row r="152" spans="1:27">
      <c r="A152" s="21" t="s">
        <v>66</v>
      </c>
      <c r="B152" s="21" t="s">
        <v>65</v>
      </c>
      <c r="C152" s="53">
        <v>2015</v>
      </c>
      <c r="D152" s="46">
        <v>1000</v>
      </c>
      <c r="E152" s="23">
        <v>7860983</v>
      </c>
      <c r="F152" s="23">
        <v>1118135</v>
      </c>
      <c r="G152" s="23">
        <v>870470</v>
      </c>
      <c r="H152" s="23">
        <v>1727597</v>
      </c>
      <c r="I152" s="23">
        <f>1316925+82847+3963286+63658</f>
        <v>5426716</v>
      </c>
      <c r="J152" s="23">
        <v>1638454</v>
      </c>
      <c r="K152" s="23">
        <v>2900707</v>
      </c>
      <c r="L152" s="23">
        <v>115772</v>
      </c>
      <c r="M152" s="23"/>
      <c r="N152" s="27">
        <f>IF(OR([Preferenciais]&lt;&gt;0,[Ordinárias]&lt;&gt;0),[Dividendos]*[Reais]/((1+[Bônus Preferenciais])*[Preferenciais]+[Ordinárias]),0)</f>
        <v>0</v>
      </c>
      <c r="O152" s="47">
        <f>IF([RBV]&gt;0,[LL]/[RBV],0)</f>
        <v>3.9911649125540773E-2</v>
      </c>
      <c r="P152" s="25">
        <f>IF([PL]&lt;&gt;0,[LL]/[PL],0)</f>
        <v>7.0659292235241269E-2</v>
      </c>
      <c r="Q152" s="48">
        <f>IF([PC]&lt;&gt;0,[AC]/[PC],0)</f>
        <v>0.64721980878642416</v>
      </c>
      <c r="R152" s="47">
        <f>IF([PL]&lt;&gt;0,[AI]/[PL],0)</f>
        <v>0.53127521431788749</v>
      </c>
      <c r="S152" s="47">
        <f>IF([AT]&lt;&gt;0,[PO]/[AT],0)</f>
        <v>0.69033554709379219</v>
      </c>
      <c r="T152" s="25">
        <f>IF([LL]&lt;&gt;0,[Dividendos]/[LL],0)</f>
        <v>0</v>
      </c>
      <c r="U152" s="27">
        <f>([Div/Ação]/20%*[Unit])</f>
        <v>0</v>
      </c>
      <c r="V152" s="27">
        <f>([Div/Ação]/Setup!$A$2*[Unit])</f>
        <v>0</v>
      </c>
      <c r="W152" s="28"/>
      <c r="X152" s="28"/>
      <c r="Y152" s="25"/>
      <c r="Z152" s="67"/>
      <c r="AA152" s="29">
        <f>[Ordinárias]+[Preferenciais]</f>
        <v>0</v>
      </c>
    </row>
    <row r="153" spans="1:27">
      <c r="A153" s="21" t="s">
        <v>66</v>
      </c>
      <c r="B153" s="21" t="s">
        <v>65</v>
      </c>
      <c r="C153" s="53">
        <v>2014</v>
      </c>
      <c r="D153" s="46">
        <v>1000</v>
      </c>
      <c r="E153" s="23">
        <v>6701870</v>
      </c>
      <c r="F153" s="23">
        <v>922700</v>
      </c>
      <c r="G153" s="23">
        <v>502303</v>
      </c>
      <c r="H153" s="23">
        <v>1274886</v>
      </c>
      <c r="I153" s="23">
        <f>947560+31467+3238347+63372</f>
        <v>4280746</v>
      </c>
      <c r="J153" s="23">
        <v>1784186</v>
      </c>
      <c r="K153" s="23">
        <v>2937001</v>
      </c>
      <c r="L153" s="23">
        <v>474250</v>
      </c>
      <c r="M153" s="23"/>
      <c r="N153" s="27">
        <f>IF(OR([Preferenciais]&lt;&gt;0,[Ordinárias]&lt;&gt;0),[Dividendos]*[Reais]/((1+[Bônus Preferenciais])*[Preferenciais]+[Ordinárias]),0)</f>
        <v>0</v>
      </c>
      <c r="O153" s="47">
        <f>IF([RBV]&gt;0,[LL]/[RBV],0)</f>
        <v>0.16147423851745368</v>
      </c>
      <c r="P153" s="25">
        <f>IF([PL]&lt;&gt;0,[LL]/[PL],0)</f>
        <v>0.26580748868111287</v>
      </c>
      <c r="Q153" s="48">
        <f>IF([PC]&lt;&gt;0,[AC]/[PC],0)</f>
        <v>0.72375098636270219</v>
      </c>
      <c r="R153" s="47">
        <f>IF([PL]&lt;&gt;0,[AI]/[PL],0)</f>
        <v>0.28153062517024569</v>
      </c>
      <c r="S153" s="47">
        <f>IF([AT]&lt;&gt;0,[PO]/[AT],0)</f>
        <v>0.63873903850716296</v>
      </c>
      <c r="T153" s="25">
        <f>IF([LL]&lt;&gt;0,[Dividendos]/[LL],0)</f>
        <v>0</v>
      </c>
      <c r="U153" s="27">
        <f>([Div/Ação]/20%*[Unit])</f>
        <v>0</v>
      </c>
      <c r="V153" s="27">
        <f>([Div/Ação]/Setup!$A$2*[Unit])</f>
        <v>0</v>
      </c>
      <c r="W153" s="28"/>
      <c r="X153" s="28"/>
      <c r="Y153" s="25"/>
      <c r="Z153" s="67"/>
      <c r="AA153" s="29">
        <f>[Ordinárias]+[Preferenciais]</f>
        <v>0</v>
      </c>
    </row>
    <row r="154" spans="1:27">
      <c r="A154" s="21" t="s">
        <v>66</v>
      </c>
      <c r="B154" s="21" t="s">
        <v>65</v>
      </c>
      <c r="C154" s="53">
        <v>2013</v>
      </c>
      <c r="D154" s="46">
        <v>1000</v>
      </c>
      <c r="E154" s="23">
        <v>6500768</v>
      </c>
      <c r="F154" s="23">
        <v>1366878</v>
      </c>
      <c r="G154" s="23">
        <v>426586</v>
      </c>
      <c r="H154" s="23">
        <v>1165859</v>
      </c>
      <c r="I154" s="23">
        <f>835609+91182+2865014+69445</f>
        <v>3861250</v>
      </c>
      <c r="J154" s="23">
        <v>2098029</v>
      </c>
      <c r="K154" s="23">
        <v>2639059</v>
      </c>
      <c r="L154" s="23">
        <v>399512</v>
      </c>
      <c r="M154" s="23"/>
      <c r="N154" s="27">
        <f>IF(OR([Preferenciais]&lt;&gt;0,[Ordinárias]&lt;&gt;0),[Dividendos]*[Reais]/((1+[Bônus Preferenciais])*[Preferenciais]+[Ordinárias]),0)</f>
        <v>0</v>
      </c>
      <c r="O154" s="47">
        <f>IF([RBV]&gt;0,[LL]/[RBV],0)</f>
        <v>0.15138426234502525</v>
      </c>
      <c r="P154" s="25">
        <f>IF([PL]&lt;&gt;0,[LL]/[PL],0)</f>
        <v>0.19042253467421089</v>
      </c>
      <c r="Q154" s="48">
        <f>IF([PC]&lt;&gt;0,[AC]/[PC],0)</f>
        <v>1.1724213648477217</v>
      </c>
      <c r="R154" s="47">
        <f>IF([PL]&lt;&gt;0,[AI]/[PL],0)</f>
        <v>0.20332702741477834</v>
      </c>
      <c r="S154" s="47">
        <f>IF([AT]&lt;&gt;0,[PO]/[AT],0)</f>
        <v>0.59396828190146145</v>
      </c>
      <c r="T154" s="25">
        <f>IF([LL]&lt;&gt;0,[Dividendos]/[LL],0)</f>
        <v>0</v>
      </c>
      <c r="U154" s="27">
        <f>([Div/Ação]/20%*[Unit])</f>
        <v>0</v>
      </c>
      <c r="V154" s="27">
        <f>([Div/Ação]/Setup!$A$2*[Unit])</f>
        <v>0</v>
      </c>
      <c r="W154" s="28"/>
      <c r="X154" s="28"/>
      <c r="Y154" s="25"/>
      <c r="Z154" s="67"/>
      <c r="AA154" s="29">
        <f>[Ordinárias]+[Preferenciais]</f>
        <v>0</v>
      </c>
    </row>
    <row r="155" spans="1:27">
      <c r="A155" s="21" t="s">
        <v>66</v>
      </c>
      <c r="B155" s="21" t="s">
        <v>65</v>
      </c>
      <c r="C155" s="53">
        <v>2012</v>
      </c>
      <c r="D155" s="46">
        <v>1000</v>
      </c>
      <c r="E155" s="23">
        <v>6195956</v>
      </c>
      <c r="F155" s="23">
        <v>1309781</v>
      </c>
      <c r="G155" s="23">
        <v>590719</v>
      </c>
      <c r="H155" s="23">
        <v>1434436</v>
      </c>
      <c r="I155" s="23">
        <f>1012465+89812+2272047+108931</f>
        <v>3483255</v>
      </c>
      <c r="J155" s="23">
        <v>2125487</v>
      </c>
      <c r="K155" s="23">
        <v>2409107</v>
      </c>
      <c r="L155" s="23">
        <v>427045</v>
      </c>
      <c r="M155" s="23"/>
      <c r="N155" s="27">
        <f>IF(OR([Preferenciais]&lt;&gt;0,[Ordinárias]&lt;&gt;0),[Dividendos]*[Reais]/((1+[Bônus Preferenciais])*[Preferenciais]+[Ordinárias]),0)</f>
        <v>0</v>
      </c>
      <c r="O155" s="47">
        <f>IF([RBV]&gt;0,[LL]/[RBV],0)</f>
        <v>0.17726277828257525</v>
      </c>
      <c r="P155" s="25">
        <f>IF([PL]&lt;&gt;0,[LL]/[PL],0)</f>
        <v>0.20091630765090543</v>
      </c>
      <c r="Q155" s="48">
        <f>IF([PC]&lt;&gt;0,[AC]/[PC],0)</f>
        <v>0.91309824906792636</v>
      </c>
      <c r="R155" s="47">
        <f>IF([PL]&lt;&gt;0,[AI]/[PL],0)</f>
        <v>0.27792171864612675</v>
      </c>
      <c r="S155" s="47">
        <f>IF([AT]&lt;&gt;0,[PO]/[AT],0)</f>
        <v>0.56218201033060922</v>
      </c>
      <c r="T155" s="25">
        <f>IF([LL]&lt;&gt;0,[Dividendos]/[LL],0)</f>
        <v>0</v>
      </c>
      <c r="U155" s="27">
        <f>([Div/Ação]/20%*[Unit])</f>
        <v>0</v>
      </c>
      <c r="V155" s="27">
        <f>([Div/Ação]/Setup!$A$2*[Unit])</f>
        <v>0</v>
      </c>
      <c r="W155" s="28"/>
      <c r="X155" s="28"/>
      <c r="Y155" s="25"/>
      <c r="Z155" s="67"/>
      <c r="AA155" s="29">
        <f>[Ordinárias]+[Preferenciais]</f>
        <v>0</v>
      </c>
    </row>
    <row r="156" spans="1:27">
      <c r="A156" s="21" t="s">
        <v>66</v>
      </c>
      <c r="B156" s="21" t="s">
        <v>65</v>
      </c>
      <c r="C156" s="53">
        <v>2011</v>
      </c>
      <c r="D156" s="46">
        <v>1000</v>
      </c>
      <c r="E156" s="23">
        <v>4156437</v>
      </c>
      <c r="F156" s="23">
        <v>877632</v>
      </c>
      <c r="G156" s="23">
        <v>287933</v>
      </c>
      <c r="H156" s="23">
        <v>861930</v>
      </c>
      <c r="I156" s="23">
        <f>541770+65165+1134393+62761</f>
        <v>1804089</v>
      </c>
      <c r="J156" s="23">
        <v>1885101</v>
      </c>
      <c r="K156" s="23">
        <v>1827371</v>
      </c>
      <c r="L156" s="23">
        <v>387566</v>
      </c>
      <c r="M156" s="23"/>
      <c r="N156" s="27">
        <f>IF(OR([Preferenciais]&lt;&gt;0,[Ordinárias]&lt;&gt;0),[Dividendos]*[Reais]/((1+[Bônus Preferenciais])*[Preferenciais]+[Ordinárias]),0)</f>
        <v>0</v>
      </c>
      <c r="O156" s="47">
        <f>IF([RBV]&gt;0,[LL]/[RBV],0)</f>
        <v>0.21208938962038906</v>
      </c>
      <c r="P156" s="25">
        <f>IF([PL]&lt;&gt;0,[LL]/[PL],0)</f>
        <v>0.20559428911236055</v>
      </c>
      <c r="Q156" s="48">
        <f>IF([PC]&lt;&gt;0,[AC]/[PC],0)</f>
        <v>1.0182172566217673</v>
      </c>
      <c r="R156" s="47">
        <f>IF([PL]&lt;&gt;0,[AI]/[PL],0)</f>
        <v>0.15274141809908329</v>
      </c>
      <c r="S156" s="47">
        <f>IF([AT]&lt;&gt;0,[PO]/[AT],0)</f>
        <v>0.43404699746441483</v>
      </c>
      <c r="T156" s="25">
        <f>IF([LL]&lt;&gt;0,[Dividendos]/[LL],0)</f>
        <v>0</v>
      </c>
      <c r="U156" s="27">
        <f>([Div/Ação]/20%*[Unit])</f>
        <v>0</v>
      </c>
      <c r="V156" s="27">
        <f>([Div/Ação]/Setup!$A$2*[Unit])</f>
        <v>0</v>
      </c>
      <c r="W156" s="28"/>
      <c r="X156" s="28"/>
      <c r="Y156" s="25"/>
      <c r="Z156" s="67"/>
      <c r="AA156" s="29">
        <f>[Ordinárias]+[Preferenciais]</f>
        <v>0</v>
      </c>
    </row>
    <row r="157" spans="1:27">
      <c r="A157" s="21" t="s">
        <v>66</v>
      </c>
      <c r="B157" s="21" t="s">
        <v>65</v>
      </c>
      <c r="C157" s="38">
        <v>2010</v>
      </c>
      <c r="D157" s="46">
        <v>1000</v>
      </c>
      <c r="E157" s="23">
        <v>4165776</v>
      </c>
      <c r="F157" s="23">
        <v>1068482</v>
      </c>
      <c r="G157" s="23">
        <v>218694</v>
      </c>
      <c r="H157" s="23">
        <v>1112971</v>
      </c>
      <c r="I157" s="23">
        <f>768580+146742+1002740+69487</f>
        <v>1987549</v>
      </c>
      <c r="J157" s="23">
        <v>1787867</v>
      </c>
      <c r="K157" s="23">
        <v>1427608</v>
      </c>
      <c r="L157" s="23">
        <v>594039</v>
      </c>
      <c r="M157" s="23"/>
      <c r="N157" s="27">
        <f>IF(OR([Preferenciais]&lt;&gt;0,[Ordinárias]&lt;&gt;0),[Dividendos]*[Reais]/((1+[Bônus Preferenciais])*[Preferenciais]+[Ordinárias]),0)</f>
        <v>0</v>
      </c>
      <c r="O157" s="47">
        <f>IF([RBV]&gt;0,[LL]/[RBV],0)</f>
        <v>0.4161079231833949</v>
      </c>
      <c r="P157" s="25">
        <f>IF([PL]&lt;&gt;0,[LL]/[PL],0)</f>
        <v>0.33226129236682594</v>
      </c>
      <c r="Q157" s="48">
        <f>IF([PC]&lt;&gt;0,[AC]/[PC],0)</f>
        <v>0.96002681112086474</v>
      </c>
      <c r="R157" s="47">
        <f>IF([PL]&lt;&gt;0,[AI]/[PL],0)</f>
        <v>0.12232117937184366</v>
      </c>
      <c r="S157" s="47">
        <f>IF([AT]&lt;&gt;0,[PO]/[AT],0)</f>
        <v>0.47711374783473715</v>
      </c>
      <c r="T157" s="25">
        <f>IF([LL]&lt;&gt;0,[Dividendos]/[LL],0)</f>
        <v>0</v>
      </c>
      <c r="U157" s="27">
        <f>([Div/Ação]/20%*[Unit])</f>
        <v>0</v>
      </c>
      <c r="V157" s="27">
        <f>([Div/Ação]/Setup!$A$2*[Unit])</f>
        <v>0</v>
      </c>
      <c r="W157" s="28"/>
      <c r="X157" s="28"/>
      <c r="Y157" s="25"/>
      <c r="Z157" s="67"/>
      <c r="AA157" s="29">
        <f>[Ordinárias]+[Preferenciais]</f>
        <v>0</v>
      </c>
    </row>
    <row r="158" spans="1:27">
      <c r="A158" s="21" t="s">
        <v>70</v>
      </c>
      <c r="B158" s="21" t="s">
        <v>71</v>
      </c>
      <c r="C158" s="53">
        <v>2015</v>
      </c>
      <c r="D158" s="46">
        <v>1000</v>
      </c>
      <c r="E158" s="23">
        <v>9694451</v>
      </c>
      <c r="F158" s="23">
        <v>377977</v>
      </c>
      <c r="G158" s="23">
        <v>21</v>
      </c>
      <c r="H158" s="23">
        <v>34290</v>
      </c>
      <c r="I158" s="23">
        <f>0+30572+1347692+358876</f>
        <v>1737140</v>
      </c>
      <c r="J158" s="23">
        <v>7917193</v>
      </c>
      <c r="K158" s="23"/>
      <c r="L158" s="23">
        <v>-2590301</v>
      </c>
      <c r="M158" s="23"/>
      <c r="N158" s="27">
        <f>IF(OR([Preferenciais]&lt;&gt;0,[Ordinárias]&lt;&gt;0),[Dividendos]*[Reais]/((1+[Bônus Preferenciais])*[Preferenciais]+[Ordinárias]),0)</f>
        <v>0</v>
      </c>
      <c r="O158" s="47">
        <f>IF([RBV]&gt;0,[LL]/[RBV],0)</f>
        <v>0</v>
      </c>
      <c r="P158" s="25">
        <f>IF([PL]&lt;&gt;0,[LL]/[PL],0)</f>
        <v>-0.32717416387348397</v>
      </c>
      <c r="Q158" s="48">
        <f>IF([PC]&lt;&gt;0,[AC]/[PC],0)</f>
        <v>11.022951297754448</v>
      </c>
      <c r="R158" s="47">
        <f>IF([PL]&lt;&gt;0,[AI]/[PL],0)</f>
        <v>2.6524552325552757E-6</v>
      </c>
      <c r="S158" s="47">
        <f>IF([AT]&lt;&gt;0,[PO]/[AT],0)</f>
        <v>0.17918910519017528</v>
      </c>
      <c r="T158" s="25">
        <f>IF([LL]&lt;&gt;0,[Dividendos]/[LL],0)</f>
        <v>0</v>
      </c>
      <c r="U158" s="27">
        <f>([Div/Ação]/20%*[Unit])</f>
        <v>0</v>
      </c>
      <c r="V158" s="27">
        <f>([Div/Ação]/Setup!$A$2*[Unit])</f>
        <v>0</v>
      </c>
      <c r="W158" s="28"/>
      <c r="X158" s="28"/>
      <c r="Y158" s="25"/>
      <c r="Z158" s="67"/>
      <c r="AA158" s="29">
        <f>[Ordinárias]+[Preferenciais]</f>
        <v>0</v>
      </c>
    </row>
    <row r="159" spans="1:27">
      <c r="A159" s="21" t="s">
        <v>70</v>
      </c>
      <c r="B159" s="21" t="s">
        <v>71</v>
      </c>
      <c r="C159" s="53">
        <v>2014</v>
      </c>
      <c r="D159" s="46">
        <v>1000</v>
      </c>
      <c r="E159" s="23">
        <v>10598919</v>
      </c>
      <c r="F159" s="23">
        <v>948974</v>
      </c>
      <c r="G159" s="23">
        <v>24</v>
      </c>
      <c r="H159" s="23">
        <v>1214912</v>
      </c>
      <c r="I159" s="23">
        <f>1165109+31894+0+407422</f>
        <v>1604425</v>
      </c>
      <c r="J159" s="23">
        <v>8937995</v>
      </c>
      <c r="K159" s="23"/>
      <c r="L159" s="23">
        <v>101483</v>
      </c>
      <c r="M159" s="23"/>
      <c r="N159" s="27">
        <f>IF(OR([Preferenciais]&lt;&gt;0,[Ordinárias]&lt;&gt;0),[Dividendos]*[Reais]/((1+[Bônus Preferenciais])*[Preferenciais]+[Ordinárias]),0)</f>
        <v>0</v>
      </c>
      <c r="O159" s="47">
        <f>IF([RBV]&gt;0,[LL]/[RBV],0)</f>
        <v>0</v>
      </c>
      <c r="P159" s="25">
        <f>IF([PL]&lt;&gt;0,[LL]/[PL],0)</f>
        <v>1.1354112415592088E-2</v>
      </c>
      <c r="Q159" s="48">
        <f>IF([PC]&lt;&gt;0,[AC]/[PC],0)</f>
        <v>0.78110513354053623</v>
      </c>
      <c r="R159" s="47">
        <f>IF([PL]&lt;&gt;0,[AI]/[PL],0)</f>
        <v>2.68516596843028E-6</v>
      </c>
      <c r="S159" s="47">
        <f>IF([AT]&lt;&gt;0,[PO]/[AT],0)</f>
        <v>0.15137628658167876</v>
      </c>
      <c r="T159" s="25">
        <f>IF([LL]&lt;&gt;0,[Dividendos]/[LL],0)</f>
        <v>0</v>
      </c>
      <c r="U159" s="27">
        <f>([Div/Ação]/20%*[Unit])</f>
        <v>0</v>
      </c>
      <c r="V159" s="27">
        <f>([Div/Ação]/Setup!$A$2*[Unit])</f>
        <v>0</v>
      </c>
      <c r="W159" s="28"/>
      <c r="X159" s="28"/>
      <c r="Y159" s="25"/>
      <c r="Z159" s="67"/>
      <c r="AA159" s="29">
        <f>[Ordinárias]+[Preferenciais]</f>
        <v>0</v>
      </c>
    </row>
    <row r="160" spans="1:27">
      <c r="A160" s="21" t="s">
        <v>70</v>
      </c>
      <c r="B160" s="21" t="s">
        <v>71</v>
      </c>
      <c r="C160" s="53">
        <v>2013</v>
      </c>
      <c r="D160" s="46">
        <v>1000</v>
      </c>
      <c r="E160" s="23">
        <v>10858768</v>
      </c>
      <c r="F160" s="23">
        <v>1117283</v>
      </c>
      <c r="G160" s="23">
        <v>27</v>
      </c>
      <c r="H160" s="23">
        <v>33460</v>
      </c>
      <c r="I160" s="23">
        <f>0+32335+1045686+417733</f>
        <v>1495754</v>
      </c>
      <c r="J160" s="23">
        <v>9034225</v>
      </c>
      <c r="K160" s="23"/>
      <c r="L160" s="23">
        <v>-47709</v>
      </c>
      <c r="M160" s="23"/>
      <c r="N160" s="27">
        <f>IF(OR([Preferenciais]&lt;&gt;0,[Ordinárias]&lt;&gt;0),[Dividendos]*[Reais]/((1+[Bônus Preferenciais])*[Preferenciais]+[Ordinárias]),0)</f>
        <v>0</v>
      </c>
      <c r="O160" s="47">
        <f>IF([RBV]&gt;0,[LL]/[RBV],0)</f>
        <v>0</v>
      </c>
      <c r="P160" s="25">
        <f>IF([PL]&lt;&gt;0,[LL]/[PL],0)</f>
        <v>-5.2809178429804437E-3</v>
      </c>
      <c r="Q160" s="48">
        <f>IF([PC]&lt;&gt;0,[AC]/[PC],0)</f>
        <v>33.391601912731623</v>
      </c>
      <c r="R160" s="47">
        <f>IF([PL]&lt;&gt;0,[AI]/[PL],0)</f>
        <v>2.9886348856708792E-6</v>
      </c>
      <c r="S160" s="47">
        <f>IF([AT]&lt;&gt;0,[PO]/[AT],0)</f>
        <v>0.13774619735866905</v>
      </c>
      <c r="T160" s="25">
        <f>IF([LL]&lt;&gt;0,[Dividendos]/[LL],0)</f>
        <v>0</v>
      </c>
      <c r="U160" s="27">
        <f>([Div/Ação]/20%*[Unit])</f>
        <v>0</v>
      </c>
      <c r="V160" s="27">
        <f>([Div/Ação]/Setup!$A$2*[Unit])</f>
        <v>0</v>
      </c>
      <c r="W160" s="28"/>
      <c r="X160" s="28"/>
      <c r="Y160" s="25"/>
      <c r="Z160" s="67"/>
      <c r="AA160" s="29">
        <f>[Ordinárias]+[Preferenciais]</f>
        <v>0</v>
      </c>
    </row>
    <row r="161" spans="1:27">
      <c r="A161" s="21" t="s">
        <v>70</v>
      </c>
      <c r="B161" s="21" t="s">
        <v>71</v>
      </c>
      <c r="C161" s="53">
        <v>2012</v>
      </c>
      <c r="D161" s="46">
        <v>1000</v>
      </c>
      <c r="E161" s="23">
        <v>11060825</v>
      </c>
      <c r="F161" s="23">
        <v>883604</v>
      </c>
      <c r="G161" s="23">
        <v>32</v>
      </c>
      <c r="H161" s="23">
        <v>1012084</v>
      </c>
      <c r="I161" s="23">
        <f>951257+31493+457428</f>
        <v>1440178</v>
      </c>
      <c r="J161" s="23">
        <v>9316345</v>
      </c>
      <c r="K161" s="23"/>
      <c r="L161" s="23">
        <v>476737</v>
      </c>
      <c r="M161" s="23"/>
      <c r="N161" s="27">
        <f>IF(OR([Preferenciais]&lt;&gt;0,[Ordinárias]&lt;&gt;0),[Dividendos]*[Reais]/((1+[Bônus Preferenciais])*[Preferenciais]+[Ordinárias]),0)</f>
        <v>0</v>
      </c>
      <c r="O161" s="47">
        <f>IF([RBV]&gt;0,[LL]/[RBV],0)</f>
        <v>0</v>
      </c>
      <c r="P161" s="25">
        <f>IF([PL]&lt;&gt;0,[LL]/[PL],0)</f>
        <v>5.1172106657707501E-2</v>
      </c>
      <c r="Q161" s="48">
        <f>IF([PC]&lt;&gt;0,[AC]/[PC],0)</f>
        <v>0.87305401527936422</v>
      </c>
      <c r="R161" s="47">
        <f>IF([PL]&lt;&gt;0,[AI]/[PL],0)</f>
        <v>3.4348234205581697E-6</v>
      </c>
      <c r="S161" s="47">
        <f>IF([AT]&lt;&gt;0,[PO]/[AT],0)</f>
        <v>0.13020529662118333</v>
      </c>
      <c r="T161" s="25">
        <f>IF([LL]&lt;&gt;0,[Dividendos]/[LL],0)</f>
        <v>0</v>
      </c>
      <c r="U161" s="27">
        <f>([Div/Ação]/20%*[Unit])</f>
        <v>0</v>
      </c>
      <c r="V161" s="27">
        <f>([Div/Ação]/Setup!$A$2*[Unit])</f>
        <v>0</v>
      </c>
      <c r="W161" s="28"/>
      <c r="X161" s="28"/>
      <c r="Y161" s="25"/>
      <c r="Z161" s="67"/>
      <c r="AA161" s="29">
        <f>[Ordinárias]+[Preferenciais]</f>
        <v>0</v>
      </c>
    </row>
    <row r="162" spans="1:27">
      <c r="A162" s="21" t="s">
        <v>70</v>
      </c>
      <c r="B162" s="21" t="s">
        <v>71</v>
      </c>
      <c r="C162" s="53">
        <v>2011</v>
      </c>
      <c r="D162" s="46">
        <v>1000</v>
      </c>
      <c r="E162" s="23">
        <v>10739426</v>
      </c>
      <c r="F162" s="23">
        <v>730296</v>
      </c>
      <c r="G162" s="23">
        <v>37</v>
      </c>
      <c r="H162" s="23">
        <v>773286</v>
      </c>
      <c r="I162" s="23">
        <f>306882+440684+540036+536818</f>
        <v>1824420</v>
      </c>
      <c r="J162" s="23">
        <v>8674653</v>
      </c>
      <c r="K162" s="23"/>
      <c r="L162" s="23">
        <v>2023552</v>
      </c>
      <c r="M162" s="23"/>
      <c r="N162" s="27">
        <f>IF(OR([Preferenciais]&lt;&gt;0,[Ordinárias]&lt;&gt;0),[Dividendos]*[Reais]/((1+[Bônus Preferenciais])*[Preferenciais]+[Ordinárias]),0)</f>
        <v>0</v>
      </c>
      <c r="O162" s="47">
        <f>IF([RBV]&gt;0,[LL]/[RBV],0)</f>
        <v>0</v>
      </c>
      <c r="P162" s="25">
        <f>IF([PL]&lt;&gt;0,[LL]/[PL],0)</f>
        <v>0.23327180925853749</v>
      </c>
      <c r="Q162" s="48">
        <f>IF([PC]&lt;&gt;0,[AC]/[PC],0)</f>
        <v>0.94440608002731197</v>
      </c>
      <c r="R162" s="47">
        <f>IF([PL]&lt;&gt;0,[AI]/[PL],0)</f>
        <v>4.2653002950089188E-6</v>
      </c>
      <c r="S162" s="47">
        <f>IF([AT]&lt;&gt;0,[PO]/[AT],0)</f>
        <v>0.16988058765896799</v>
      </c>
      <c r="T162" s="25">
        <f>IF([LL]&lt;&gt;0,[Dividendos]/[LL],0)</f>
        <v>0</v>
      </c>
      <c r="U162" s="27">
        <f>([Div/Ação]/20%*[Unit])</f>
        <v>0</v>
      </c>
      <c r="V162" s="27">
        <f>([Div/Ação]/Setup!$A$2*[Unit])</f>
        <v>0</v>
      </c>
      <c r="W162" s="28"/>
      <c r="X162" s="28"/>
      <c r="Y162" s="25"/>
      <c r="Z162" s="67"/>
      <c r="AA162" s="29">
        <f>[Ordinárias]+[Preferenciais]</f>
        <v>0</v>
      </c>
    </row>
    <row r="163" spans="1:27">
      <c r="A163" s="21" t="s">
        <v>70</v>
      </c>
      <c r="B163" s="21" t="s">
        <v>71</v>
      </c>
      <c r="C163" s="38">
        <v>2010</v>
      </c>
      <c r="D163" s="46">
        <v>1000</v>
      </c>
      <c r="E163" s="23">
        <v>8518734</v>
      </c>
      <c r="F163" s="23">
        <v>489059</v>
      </c>
      <c r="G163" s="23">
        <v>33</v>
      </c>
      <c r="H163" s="23">
        <v>1138439</v>
      </c>
      <c r="I163" s="23">
        <f>760530+352627+443680</f>
        <v>1556837</v>
      </c>
      <c r="J163" s="23">
        <v>6778074</v>
      </c>
      <c r="K163" s="23"/>
      <c r="L163" s="23">
        <v>1759806</v>
      </c>
      <c r="M163" s="23"/>
      <c r="N163" s="27">
        <f>IF(OR([Preferenciais]&lt;&gt;0,[Ordinárias]&lt;&gt;0),[Dividendos]*[Reais]/((1+[Bônus Preferenciais])*[Preferenciais]+[Ordinárias]),0)</f>
        <v>0</v>
      </c>
      <c r="O163" s="47">
        <f>IF([RBV]&gt;0,[LL]/[RBV],0)</f>
        <v>0</v>
      </c>
      <c r="P163" s="25">
        <f>IF([PL]&lt;&gt;0,[LL]/[PL],0)</f>
        <v>0.25963216099440639</v>
      </c>
      <c r="Q163" s="48">
        <f>IF([PC]&lt;&gt;0,[AC]/[PC],0)</f>
        <v>0.42958735601995363</v>
      </c>
      <c r="R163" s="47">
        <f>IF([PL]&lt;&gt;0,[AI]/[PL],0)</f>
        <v>4.8686396755184438E-6</v>
      </c>
      <c r="S163" s="47">
        <f>IF([AT]&lt;&gt;0,[PO]/[AT],0)</f>
        <v>0.18275450319261055</v>
      </c>
      <c r="T163" s="25">
        <f>IF([LL]&lt;&gt;0,[Dividendos]/[LL],0)</f>
        <v>0</v>
      </c>
      <c r="U163" s="27">
        <f>([Div/Ação]/20%*[Unit])</f>
        <v>0</v>
      </c>
      <c r="V163" s="27">
        <f>([Div/Ação]/Setup!$A$2*[Unit])</f>
        <v>0</v>
      </c>
      <c r="W163" s="28"/>
      <c r="X163" s="28"/>
      <c r="Y163" s="25"/>
      <c r="Z163" s="67"/>
      <c r="AA163" s="29">
        <f>[Ordinárias]+[Preferenciais]</f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7:G41"/>
  <sheetViews>
    <sheetView tabSelected="1" topLeftCell="A16" workbookViewId="0">
      <selection activeCell="J19" sqref="J19"/>
    </sheetView>
  </sheetViews>
  <sheetFormatPr defaultRowHeight="15"/>
  <cols>
    <col min="1" max="1" width="20.42578125" bestFit="1" customWidth="1"/>
    <col min="2" max="2" width="9.85546875" customWidth="1"/>
    <col min="3" max="3" width="7.140625" customWidth="1"/>
    <col min="4" max="4" width="4.5703125" customWidth="1"/>
    <col min="5" max="6" width="8.140625" customWidth="1"/>
    <col min="7" max="10" width="5.42578125" customWidth="1"/>
    <col min="11" max="11" width="5.42578125" bestFit="1" customWidth="1"/>
  </cols>
  <sheetData>
    <row r="7" spans="1:7">
      <c r="B7" s="3" t="s">
        <v>21</v>
      </c>
    </row>
    <row r="8" spans="1:7">
      <c r="A8" s="3" t="s">
        <v>46</v>
      </c>
      <c r="B8" t="s">
        <v>22</v>
      </c>
      <c r="C8" t="s">
        <v>23</v>
      </c>
      <c r="D8" t="s">
        <v>24</v>
      </c>
      <c r="E8" t="s">
        <v>25</v>
      </c>
      <c r="F8" t="s">
        <v>26</v>
      </c>
      <c r="G8" t="s">
        <v>38</v>
      </c>
    </row>
    <row r="9" spans="1:7">
      <c r="A9" s="4" t="s">
        <v>66</v>
      </c>
      <c r="B9" s="2">
        <v>4.3786847802373567E-2</v>
      </c>
      <c r="C9" s="2">
        <v>0.10704475488746394</v>
      </c>
      <c r="D9" s="7">
        <v>1.2800654133051816</v>
      </c>
      <c r="E9" s="2">
        <v>0.76974632316955804</v>
      </c>
      <c r="F9" s="2">
        <v>0.72500883202512445</v>
      </c>
      <c r="G9" s="6">
        <v>54</v>
      </c>
    </row>
    <row r="10" spans="1:7">
      <c r="A10" s="5" t="s">
        <v>1</v>
      </c>
      <c r="B10" s="2">
        <v>0.10029632077232727</v>
      </c>
      <c r="C10" s="2">
        <v>0.18854427090624257</v>
      </c>
      <c r="D10" s="7">
        <v>2.0013877464601744</v>
      </c>
      <c r="E10" s="2">
        <v>0.57902585563132924</v>
      </c>
      <c r="F10" s="2">
        <v>0.16297419756737613</v>
      </c>
      <c r="G10" s="6">
        <v>6</v>
      </c>
    </row>
    <row r="11" spans="1:7">
      <c r="A11" s="68" t="s">
        <v>27</v>
      </c>
      <c r="B11" s="2">
        <v>7.5729972608878385E-2</v>
      </c>
      <c r="C11" s="2">
        <v>0.4064514538973798</v>
      </c>
      <c r="D11" s="7">
        <v>1.1022990858968658</v>
      </c>
      <c r="E11" s="8">
        <v>1.9220519229959612</v>
      </c>
      <c r="F11" s="2">
        <v>0.53715115748660824</v>
      </c>
      <c r="G11" s="6">
        <v>6</v>
      </c>
    </row>
    <row r="12" spans="1:7">
      <c r="A12" s="5" t="s">
        <v>44</v>
      </c>
      <c r="B12" s="2">
        <v>8.8734702531512756E-3</v>
      </c>
      <c r="C12" s="8">
        <v>-7.373588991288553E-2</v>
      </c>
      <c r="D12" s="7">
        <v>0.94851647683438411</v>
      </c>
      <c r="E12" s="8">
        <v>1.2606080444221448</v>
      </c>
      <c r="F12" s="2">
        <v>0.51352531269895429</v>
      </c>
      <c r="G12" s="6">
        <v>6</v>
      </c>
    </row>
    <row r="13" spans="1:7">
      <c r="A13" s="5" t="s">
        <v>52</v>
      </c>
      <c r="B13" s="2">
        <v>0.10245374196883207</v>
      </c>
      <c r="C13" s="2">
        <v>9.7999464511585213E-2</v>
      </c>
      <c r="D13" s="7">
        <v>1.7589079041814024</v>
      </c>
      <c r="E13" s="8">
        <v>1.0959287735749483</v>
      </c>
      <c r="F13" s="2">
        <v>0.36239319342233128</v>
      </c>
      <c r="G13" s="6">
        <v>6</v>
      </c>
    </row>
    <row r="14" spans="1:7">
      <c r="A14" s="5" t="s">
        <v>53</v>
      </c>
      <c r="B14" s="2">
        <v>0.1562659123622536</v>
      </c>
      <c r="C14" s="8">
        <v>-5.3485850506384151E-2</v>
      </c>
      <c r="D14" s="7">
        <v>1.1905213441488378</v>
      </c>
      <c r="E14" s="8">
        <v>-0.11293070793396308</v>
      </c>
      <c r="F14" s="2">
        <v>3.3600828125498823</v>
      </c>
      <c r="G14" s="6">
        <v>6</v>
      </c>
    </row>
    <row r="15" spans="1:7">
      <c r="A15" s="5" t="s">
        <v>55</v>
      </c>
      <c r="B15" s="2">
        <v>3.0843765350081837E-2</v>
      </c>
      <c r="C15" s="2">
        <v>0.27841686455359677</v>
      </c>
      <c r="D15" s="7">
        <v>1.8826949301410811</v>
      </c>
      <c r="E15" s="8">
        <v>1.0855271539451217</v>
      </c>
      <c r="F15" s="2">
        <v>0.5216734508227896</v>
      </c>
      <c r="G15" s="6">
        <v>6</v>
      </c>
    </row>
    <row r="16" spans="1:7">
      <c r="A16" s="5" t="s">
        <v>56</v>
      </c>
      <c r="B16" s="2">
        <v>-0.28645560088359218</v>
      </c>
      <c r="C16" s="8">
        <v>-5.7404449951894865E-2</v>
      </c>
      <c r="D16" s="7">
        <v>1.3174472486130604</v>
      </c>
      <c r="E16" s="2">
        <v>8.6378780018337431E-2</v>
      </c>
      <c r="F16" s="2">
        <v>4.0627666432989609E-2</v>
      </c>
      <c r="G16" s="6">
        <v>6</v>
      </c>
    </row>
    <row r="17" spans="1:7">
      <c r="A17" s="5" t="s">
        <v>61</v>
      </c>
      <c r="B17" s="2">
        <v>1.303567427703336E-2</v>
      </c>
      <c r="C17" s="8">
        <v>-3.4326603630573743E-2</v>
      </c>
      <c r="D17" s="7">
        <v>0.41302490400292574</v>
      </c>
      <c r="E17" s="2">
        <v>0.74960755536881607</v>
      </c>
      <c r="F17" s="2">
        <v>0.4605874267231615</v>
      </c>
      <c r="G17" s="6">
        <v>6</v>
      </c>
    </row>
    <row r="18" spans="1:7">
      <c r="A18" s="5" t="s">
        <v>65</v>
      </c>
      <c r="B18" s="2">
        <v>0.19303837351239647</v>
      </c>
      <c r="C18" s="2">
        <v>0.21094353412010947</v>
      </c>
      <c r="D18" s="9">
        <v>0.9057890794679011</v>
      </c>
      <c r="E18" s="2">
        <v>0.26151953050332755</v>
      </c>
      <c r="F18" s="2">
        <v>0.56606427052202968</v>
      </c>
      <c r="G18" s="6">
        <v>6</v>
      </c>
    </row>
    <row r="19" spans="1:7">
      <c r="A19" s="4" t="s">
        <v>67</v>
      </c>
      <c r="B19" s="2">
        <v>1.6747941552175141E-2</v>
      </c>
      <c r="C19" s="2">
        <v>8.9276355092960141E-2</v>
      </c>
      <c r="D19" s="7">
        <v>2.1998492142254777</v>
      </c>
      <c r="E19" s="2">
        <v>0.32114768181239151</v>
      </c>
      <c r="F19" s="2">
        <v>0.45892708743236993</v>
      </c>
      <c r="G19" s="6">
        <v>60</v>
      </c>
    </row>
    <row r="20" spans="1:7">
      <c r="A20" s="68" t="s">
        <v>16</v>
      </c>
      <c r="B20" s="2">
        <v>0.1513988703590127</v>
      </c>
      <c r="C20" s="2">
        <v>0.17647228815337201</v>
      </c>
      <c r="D20" s="7">
        <v>2.5730778357416182</v>
      </c>
      <c r="E20" s="2">
        <v>2.0868593249238242E-2</v>
      </c>
      <c r="F20" s="8">
        <v>0.60241772197552068</v>
      </c>
      <c r="G20" s="6">
        <v>6</v>
      </c>
    </row>
    <row r="21" spans="1:7">
      <c r="A21" s="68" t="s">
        <v>32</v>
      </c>
      <c r="B21" s="50">
        <v>2.9248678309190271E-2</v>
      </c>
      <c r="C21" s="50">
        <v>0.10805905955334845</v>
      </c>
      <c r="D21" s="7">
        <v>1.7147720725376179</v>
      </c>
      <c r="E21" s="2">
        <v>0.24711394880602336</v>
      </c>
      <c r="F21" s="2">
        <v>0.37075711041669229</v>
      </c>
      <c r="G21" s="6">
        <v>6</v>
      </c>
    </row>
    <row r="22" spans="1:7">
      <c r="A22" s="68" t="s">
        <v>37</v>
      </c>
      <c r="B22" s="50">
        <v>2.5349383263048596E-2</v>
      </c>
      <c r="C22" s="2">
        <v>0.25937756960096242</v>
      </c>
      <c r="D22" s="7">
        <v>1.5156019713152302</v>
      </c>
      <c r="E22" s="8">
        <v>0.99833458631705929</v>
      </c>
      <c r="F22" s="8">
        <v>0.53898730499024405</v>
      </c>
      <c r="G22" s="6">
        <v>6</v>
      </c>
    </row>
    <row r="23" spans="1:7">
      <c r="A23" s="68" t="s">
        <v>39</v>
      </c>
      <c r="B23" s="2">
        <v>8.5701393381916027E-2</v>
      </c>
      <c r="C23" s="8">
        <v>3.8847539729122998E-2</v>
      </c>
      <c r="D23" s="7">
        <v>2.4056296307533138</v>
      </c>
      <c r="E23" s="2">
        <v>0.17770503349829944</v>
      </c>
      <c r="F23" s="2">
        <v>0.40710142938173971</v>
      </c>
      <c r="G23" s="6">
        <v>6</v>
      </c>
    </row>
    <row r="24" spans="1:7">
      <c r="A24" s="68" t="s">
        <v>40</v>
      </c>
      <c r="B24" s="8">
        <v>-2.3570624660100372E-2</v>
      </c>
      <c r="C24" s="8">
        <v>-8.4291274632147403E-2</v>
      </c>
      <c r="D24" s="7">
        <v>1.6821427888359282</v>
      </c>
      <c r="E24" s="2">
        <v>0.29830327637068305</v>
      </c>
      <c r="F24" s="8">
        <v>0.51910101228844552</v>
      </c>
      <c r="G24" s="6">
        <v>6</v>
      </c>
    </row>
    <row r="25" spans="1:7">
      <c r="A25" s="5" t="s">
        <v>41</v>
      </c>
      <c r="B25" s="2">
        <v>0.10385951268574324</v>
      </c>
      <c r="C25" s="2">
        <v>0.10216193579578826</v>
      </c>
      <c r="D25" s="7">
        <v>2.0111276896385593</v>
      </c>
      <c r="E25" s="2">
        <v>3.2017245477540937E-2</v>
      </c>
      <c r="F25" s="2">
        <v>0.55786964854925725</v>
      </c>
      <c r="G25" s="6">
        <v>6</v>
      </c>
    </row>
    <row r="26" spans="1:7">
      <c r="A26" s="5" t="s">
        <v>45</v>
      </c>
      <c r="B26" s="8">
        <v>-0.50964468201324653</v>
      </c>
      <c r="C26" s="2">
        <v>-2.9893959527334757E-2</v>
      </c>
      <c r="D26" s="7">
        <v>3.1305809525673332</v>
      </c>
      <c r="E26" s="2">
        <v>1.6149889639469932E-2</v>
      </c>
      <c r="F26" s="2">
        <v>0.26957980795984948</v>
      </c>
      <c r="G26" s="6">
        <v>6</v>
      </c>
    </row>
    <row r="27" spans="1:7">
      <c r="A27" s="5" t="s">
        <v>49</v>
      </c>
      <c r="B27" s="2">
        <v>0.13601554116767606</v>
      </c>
      <c r="C27" s="2">
        <v>0.12911746274977237</v>
      </c>
      <c r="D27" s="7">
        <v>2.2507333867149586</v>
      </c>
      <c r="E27" s="2">
        <v>3.0245896003511758E-2</v>
      </c>
      <c r="F27" s="2">
        <v>0.46689374954853036</v>
      </c>
      <c r="G27" s="6">
        <v>6</v>
      </c>
    </row>
    <row r="28" spans="1:7">
      <c r="A28" s="5" t="s">
        <v>50</v>
      </c>
      <c r="B28" s="2">
        <v>0.15500187573463414</v>
      </c>
      <c r="C28" s="2">
        <v>0.14942833299274816</v>
      </c>
      <c r="D28" s="7">
        <v>3.2557586035564818</v>
      </c>
      <c r="E28" s="2">
        <v>4.9189915281227063E-2</v>
      </c>
      <c r="F28" s="2">
        <v>0.46356904234972807</v>
      </c>
      <c r="G28" s="6">
        <v>6</v>
      </c>
    </row>
    <row r="29" spans="1:7">
      <c r="A29" s="5" t="s">
        <v>62</v>
      </c>
      <c r="B29" s="8">
        <v>1.4119467293877206E-2</v>
      </c>
      <c r="C29" s="2">
        <v>4.3484596513969152E-2</v>
      </c>
      <c r="D29" s="7">
        <v>1.4590672105937401</v>
      </c>
      <c r="E29" s="8">
        <v>1.3415484334808621</v>
      </c>
      <c r="F29" s="2">
        <v>0.39299404686369166</v>
      </c>
      <c r="G29" s="6">
        <v>6</v>
      </c>
    </row>
    <row r="30" spans="1:7">
      <c r="A30" s="4" t="s">
        <v>68</v>
      </c>
      <c r="B30" s="2">
        <v>0.14502276928823046</v>
      </c>
      <c r="C30" s="2">
        <v>0.15087175877996659</v>
      </c>
      <c r="D30" s="7">
        <v>1</v>
      </c>
      <c r="E30" s="2">
        <v>5.3855569343893205E-2</v>
      </c>
      <c r="F30" s="2">
        <v>0</v>
      </c>
      <c r="G30" s="6">
        <v>12</v>
      </c>
    </row>
    <row r="31" spans="1:7">
      <c r="A31" s="5" t="s">
        <v>42</v>
      </c>
      <c r="B31" s="2">
        <v>0.10826548049121677</v>
      </c>
      <c r="C31" s="2">
        <v>0.1767226701233364</v>
      </c>
      <c r="D31" s="7">
        <v>1</v>
      </c>
      <c r="E31" s="2">
        <v>9.340992468447433E-2</v>
      </c>
      <c r="F31" s="2">
        <v>0</v>
      </c>
      <c r="G31" s="6">
        <v>6</v>
      </c>
    </row>
    <row r="32" spans="1:7">
      <c r="A32" s="5" t="s">
        <v>64</v>
      </c>
      <c r="B32" s="2">
        <v>0.18178005808524411</v>
      </c>
      <c r="C32" s="2">
        <v>0.1250208474365968</v>
      </c>
      <c r="D32" s="7">
        <v>1</v>
      </c>
      <c r="E32" s="2">
        <v>1.4301214003312052E-2</v>
      </c>
      <c r="F32" s="2">
        <v>0</v>
      </c>
      <c r="G32" s="6">
        <v>6</v>
      </c>
    </row>
    <row r="33" spans="1:7">
      <c r="A33" s="4" t="s">
        <v>70</v>
      </c>
      <c r="B33" s="2">
        <v>0</v>
      </c>
      <c r="C33" s="2">
        <v>3.7162517934963175E-2</v>
      </c>
      <c r="D33" s="7">
        <v>7.9071176325588732</v>
      </c>
      <c r="E33" s="2">
        <v>3.482503246290328E-6</v>
      </c>
      <c r="F33" s="2">
        <v>0.15852532943388084</v>
      </c>
      <c r="G33" s="6">
        <v>6</v>
      </c>
    </row>
    <row r="34" spans="1:7">
      <c r="A34" s="5" t="s">
        <v>71</v>
      </c>
      <c r="B34" s="2">
        <v>0</v>
      </c>
      <c r="C34" s="2">
        <v>3.7162517934963175E-2</v>
      </c>
      <c r="D34" s="7">
        <v>7.9071176325588732</v>
      </c>
      <c r="E34" s="2">
        <v>3.482503246290328E-6</v>
      </c>
      <c r="F34" s="2">
        <v>0.15852532943388084</v>
      </c>
      <c r="G34" s="6">
        <v>6</v>
      </c>
    </row>
    <row r="35" spans="1:7">
      <c r="A35" s="4" t="s">
        <v>69</v>
      </c>
      <c r="B35" s="2">
        <v>0.220362542112576</v>
      </c>
      <c r="C35" s="2">
        <v>0.15005354342263463</v>
      </c>
      <c r="D35" s="7">
        <v>1.4465319112060548</v>
      </c>
      <c r="E35" s="2">
        <v>0.62705822193511362</v>
      </c>
      <c r="F35" s="2">
        <v>0.41574004802005293</v>
      </c>
      <c r="G35" s="6">
        <v>30</v>
      </c>
    </row>
    <row r="36" spans="1:7">
      <c r="A36" s="68" t="s">
        <v>31</v>
      </c>
      <c r="B36" s="2">
        <v>0.17275568725854429</v>
      </c>
      <c r="C36" s="2">
        <v>0.24512499613431238</v>
      </c>
      <c r="D36" s="9">
        <v>0.88210781173522246</v>
      </c>
      <c r="E36" s="2">
        <v>0.57349289600619824</v>
      </c>
      <c r="F36" s="2">
        <v>0.5652915159566736</v>
      </c>
      <c r="G36" s="6">
        <v>6</v>
      </c>
    </row>
    <row r="37" spans="1:7">
      <c r="A37" s="68" t="s">
        <v>33</v>
      </c>
      <c r="B37" s="2">
        <v>0.56125604507491778</v>
      </c>
      <c r="C37" s="2">
        <v>0.19399420989897634</v>
      </c>
      <c r="D37" s="7">
        <v>2.7289513178337939</v>
      </c>
      <c r="E37" s="2">
        <v>5.2952284432084161E-3</v>
      </c>
      <c r="F37" s="2">
        <v>0.47671389164281219</v>
      </c>
      <c r="G37" s="6">
        <v>6</v>
      </c>
    </row>
    <row r="38" spans="1:7">
      <c r="A38" s="68" t="s">
        <v>35</v>
      </c>
      <c r="B38" s="2">
        <v>2.6871404735511445E-2</v>
      </c>
      <c r="C38" s="2">
        <v>1.1691061268292788E-2</v>
      </c>
      <c r="D38" s="9">
        <v>0.88128410055169226</v>
      </c>
      <c r="E38" s="8">
        <v>1.3069177170755548</v>
      </c>
      <c r="F38" s="2">
        <v>0.39149971707104858</v>
      </c>
      <c r="G38" s="6">
        <v>6</v>
      </c>
    </row>
    <row r="39" spans="1:7">
      <c r="A39" s="5" t="s">
        <v>36</v>
      </c>
      <c r="B39" s="2">
        <v>0.22673920214457743</v>
      </c>
      <c r="C39" s="2">
        <v>0.21357495904581383</v>
      </c>
      <c r="D39" s="7">
        <v>1.2033401846933505</v>
      </c>
      <c r="E39" s="2">
        <v>0.64217467272797346</v>
      </c>
      <c r="F39" s="2">
        <v>0.38048182288662208</v>
      </c>
      <c r="G39" s="6">
        <v>6</v>
      </c>
    </row>
    <row r="40" spans="1:7">
      <c r="A40" s="5" t="s">
        <v>63</v>
      </c>
      <c r="B40" s="2">
        <v>0.11419037134932902</v>
      </c>
      <c r="C40" s="2">
        <v>8.5882490765777808E-2</v>
      </c>
      <c r="D40" s="7">
        <v>1.5369761412162142</v>
      </c>
      <c r="E40" s="2">
        <v>0.60741059542263365</v>
      </c>
      <c r="F40" s="2">
        <v>0.26471329254310783</v>
      </c>
      <c r="G40" s="6">
        <v>6</v>
      </c>
    </row>
    <row r="41" spans="1:7">
      <c r="A41" s="4" t="s">
        <v>47</v>
      </c>
      <c r="B41" s="2">
        <v>7.2348862773424241E-2</v>
      </c>
      <c r="C41" s="2">
        <v>0.10908667027869808</v>
      </c>
      <c r="D41" s="7">
        <v>1.8762540018737257</v>
      </c>
      <c r="E41" s="2">
        <v>0.49563701694505674</v>
      </c>
      <c r="F41" s="2">
        <v>0.49450281229940612</v>
      </c>
      <c r="G41" s="6">
        <v>162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C25" sqref="C25"/>
    </sheetView>
  </sheetViews>
  <sheetFormatPr defaultRowHeight="15"/>
  <sheetData>
    <row r="1" spans="1:1">
      <c r="A1" s="1" t="s">
        <v>20</v>
      </c>
    </row>
    <row r="2" spans="1:1">
      <c r="A2" s="2">
        <v>0.13880000000000001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3:B5"/>
  <sheetViews>
    <sheetView workbookViewId="0">
      <selection activeCell="A9" sqref="A9"/>
    </sheetView>
  </sheetViews>
  <sheetFormatPr defaultRowHeight="15"/>
  <cols>
    <col min="1" max="1" width="17.85546875" customWidth="1"/>
    <col min="2" max="2" width="19.42578125" bestFit="1" customWidth="1"/>
    <col min="3" max="3" width="9.85546875" customWidth="1"/>
    <col min="4" max="4" width="7.85546875" bestFit="1" customWidth="1"/>
    <col min="5" max="5" width="12.42578125" bestFit="1" customWidth="1"/>
    <col min="6" max="6" width="9.28515625" bestFit="1" customWidth="1"/>
    <col min="7" max="9" width="10.28515625" bestFit="1" customWidth="1"/>
    <col min="10" max="10" width="11.7109375" bestFit="1" customWidth="1"/>
    <col min="11" max="11" width="8.140625" bestFit="1" customWidth="1"/>
    <col min="12" max="12" width="9.85546875" bestFit="1" customWidth="1"/>
    <col min="13" max="13" width="7.85546875" bestFit="1" customWidth="1"/>
    <col min="14" max="14" width="14.5703125" bestFit="1" customWidth="1"/>
    <col min="15" max="15" width="13.85546875" bestFit="1" customWidth="1"/>
    <col min="16" max="16" width="7.85546875" bestFit="1" customWidth="1"/>
    <col min="17" max="17" width="12.42578125" bestFit="1" customWidth="1"/>
    <col min="18" max="18" width="13.28515625" bestFit="1" customWidth="1"/>
    <col min="19" max="19" width="7.140625" bestFit="1" customWidth="1"/>
    <col min="20" max="20" width="8.42578125" bestFit="1" customWidth="1"/>
    <col min="21" max="21" width="10.28515625" bestFit="1" customWidth="1"/>
  </cols>
  <sheetData>
    <row r="3" spans="1:2">
      <c r="A3" s="3" t="s">
        <v>51</v>
      </c>
      <c r="B3" s="3" t="s">
        <v>48</v>
      </c>
    </row>
    <row r="4" spans="1:2">
      <c r="A4" s="3" t="s">
        <v>46</v>
      </c>
      <c r="B4" t="s">
        <v>47</v>
      </c>
    </row>
    <row r="5" spans="1:2">
      <c r="A5" s="4" t="s">
        <v>47</v>
      </c>
      <c r="B5" s="2"/>
    </row>
  </sheetData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3:B5"/>
  <sheetViews>
    <sheetView workbookViewId="0">
      <selection activeCell="E11" sqref="E11"/>
    </sheetView>
  </sheetViews>
  <sheetFormatPr defaultRowHeight="15"/>
  <cols>
    <col min="1" max="1" width="17.85546875" customWidth="1"/>
    <col min="2" max="2" width="19.42578125" bestFit="1" customWidth="1"/>
    <col min="3" max="3" width="10" customWidth="1"/>
    <col min="4" max="4" width="6.85546875" customWidth="1"/>
    <col min="5" max="5" width="7.140625" customWidth="1"/>
    <col min="6" max="6" width="10.28515625" bestFit="1" customWidth="1"/>
    <col min="7" max="7" width="13.7109375" bestFit="1" customWidth="1"/>
    <col min="8" max="8" width="8.7109375" bestFit="1" customWidth="1"/>
    <col min="9" max="9" width="10.28515625" bestFit="1" customWidth="1"/>
    <col min="10" max="10" width="13.85546875" bestFit="1" customWidth="1"/>
    <col min="11" max="11" width="12.42578125" bestFit="1" customWidth="1"/>
    <col min="12" max="12" width="13.28515625" customWidth="1"/>
    <col min="13" max="13" width="7.140625" customWidth="1"/>
    <col min="14" max="14" width="8.42578125" customWidth="1"/>
    <col min="15" max="15" width="7.85546875" customWidth="1"/>
    <col min="16" max="16" width="13.42578125" customWidth="1"/>
    <col min="17" max="17" width="11.7109375" customWidth="1"/>
    <col min="18" max="18" width="7.85546875" customWidth="1"/>
    <col min="19" max="19" width="9.85546875" bestFit="1" customWidth="1"/>
    <col min="20" max="20" width="9.28515625" customWidth="1"/>
    <col min="21" max="22" width="10.28515625" bestFit="1" customWidth="1"/>
  </cols>
  <sheetData>
    <row r="3" spans="1:2">
      <c r="A3" s="3" t="s">
        <v>43</v>
      </c>
      <c r="B3" s="3" t="s">
        <v>48</v>
      </c>
    </row>
    <row r="4" spans="1:2">
      <c r="A4" s="3" t="s">
        <v>46</v>
      </c>
      <c r="B4" t="s">
        <v>47</v>
      </c>
    </row>
    <row r="5" spans="1:2">
      <c r="A5" s="4" t="s">
        <v>47</v>
      </c>
      <c r="B5" s="2"/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Analise</vt:lpstr>
      <vt:lpstr>Resultado</vt:lpstr>
      <vt:lpstr>Setup</vt:lpstr>
      <vt:lpstr>MLL</vt:lpstr>
      <vt:lpstr>ROE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2017-01-31T16:05:12Z</dcterms:modified>
</cp:coreProperties>
</file>