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/>
  </bookViews>
  <sheets>
    <sheet name="NOTAS" sheetId="1" r:id="rId1"/>
    <sheet name="IR" sheetId="8" r:id="rId2"/>
    <sheet name="VOLAT-TENDENCIA" sheetId="3" r:id="rId3"/>
    <sheet name="TRAVA BAIXA" sheetId="4" r:id="rId4"/>
    <sheet name="BORBOLETA" sheetId="5" r:id="rId5"/>
    <sheet name="TRAVA BAIXA NEW" sheetId="6" r:id="rId6"/>
    <sheet name="Plan1" sheetId="7" r:id="rId7"/>
    <sheet name="SETUP" sheetId="2" r:id="rId8"/>
  </sheets>
  <calcPr calcId="124519"/>
</workbook>
</file>

<file path=xl/calcChain.xml><?xml version="1.0" encoding="utf-8"?>
<calcChain xmlns="http://schemas.openxmlformats.org/spreadsheetml/2006/main">
  <c r="K86" i="1"/>
  <c r="L86"/>
  <c r="N86"/>
  <c r="S86"/>
  <c r="AB86"/>
  <c r="AC86"/>
  <c r="AE86"/>
  <c r="AH86"/>
  <c r="AI86"/>
  <c r="AJ86"/>
  <c r="K85"/>
  <c r="L85"/>
  <c r="N85"/>
  <c r="S85"/>
  <c r="AB85"/>
  <c r="AC85"/>
  <c r="AH85"/>
  <c r="AI85"/>
  <c r="AJ85"/>
  <c r="K84"/>
  <c r="L84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/>
  <c r="N83"/>
  <c r="S83"/>
  <c r="AB83"/>
  <c r="AC83"/>
  <c r="AH83"/>
  <c r="AI83"/>
  <c r="AJ83"/>
  <c r="K81"/>
  <c r="L81"/>
  <c r="N81"/>
  <c r="S81"/>
  <c r="AB81"/>
  <c r="AC81"/>
  <c r="K80"/>
  <c r="L80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/>
  <c r="N79"/>
  <c r="S79"/>
  <c r="AB79"/>
  <c r="AC79"/>
  <c r="K75" l="1"/>
  <c r="L75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/>
  <c r="N77"/>
  <c r="S77"/>
  <c r="AB77"/>
  <c r="AC77"/>
  <c r="K74"/>
  <c r="L74"/>
  <c r="N74"/>
  <c r="S74"/>
  <c r="AB74"/>
  <c r="AC74"/>
  <c r="AE74"/>
  <c r="K72"/>
  <c r="L72"/>
  <c r="N72"/>
  <c r="S72"/>
  <c r="AB72"/>
  <c r="AC72"/>
  <c r="AE72"/>
  <c r="AH72"/>
  <c r="AI72"/>
  <c r="AJ72"/>
  <c r="K73"/>
  <c r="L73"/>
  <c r="N73"/>
  <c r="S73"/>
  <c r="AB73"/>
  <c r="AC73"/>
  <c r="I4" i="4" l="1"/>
  <c r="J4"/>
  <c r="K4"/>
  <c r="L4"/>
  <c r="H4" s="1"/>
  <c r="M4"/>
  <c r="N4"/>
  <c r="O4"/>
  <c r="P4"/>
  <c r="K71" i="1"/>
  <c r="L71"/>
  <c r="N71"/>
  <c r="S71"/>
  <c r="AB71"/>
  <c r="AC71"/>
  <c r="K70"/>
  <c r="L70"/>
  <c r="N70"/>
  <c r="S70"/>
  <c r="AB70"/>
  <c r="AC70"/>
  <c r="K67" l="1"/>
  <c r="L67"/>
  <c r="N67"/>
  <c r="S67"/>
  <c r="AB67"/>
  <c r="AC67"/>
  <c r="K66"/>
  <c r="L66"/>
  <c r="N66"/>
  <c r="S66"/>
  <c r="AB66"/>
  <c r="AC66"/>
  <c r="K65"/>
  <c r="L65"/>
  <c r="N65"/>
  <c r="S65"/>
  <c r="AB65"/>
  <c r="AC65"/>
  <c r="K69"/>
  <c r="L69"/>
  <c r="N69"/>
  <c r="S69"/>
  <c r="AB69"/>
  <c r="AC69"/>
  <c r="K68" l="1"/>
  <c r="L68"/>
  <c r="N68"/>
  <c r="S68"/>
  <c r="AB68"/>
  <c r="AC68"/>
  <c r="K64"/>
  <c r="L64"/>
  <c r="N64"/>
  <c r="S64"/>
  <c r="AB64"/>
  <c r="AC64"/>
  <c r="K2" i="3"/>
  <c r="K3"/>
  <c r="K4"/>
  <c r="F4" l="1"/>
  <c r="G4"/>
  <c r="H4"/>
  <c r="I4"/>
  <c r="J4"/>
  <c r="F3"/>
  <c r="G3"/>
  <c r="H3"/>
  <c r="I3"/>
  <c r="J3"/>
  <c r="L2" i="8" l="1"/>
  <c r="L3"/>
  <c r="L4"/>
  <c r="L5"/>
  <c r="K63" i="1" l="1"/>
  <c r="L63"/>
  <c r="N63"/>
  <c r="S63"/>
  <c r="AB63"/>
  <c r="AC63"/>
  <c r="K62"/>
  <c r="L62"/>
  <c r="N62"/>
  <c r="S62"/>
  <c r="AB62"/>
  <c r="AC62"/>
  <c r="AH62"/>
  <c r="AI62"/>
  <c r="AJ62"/>
  <c r="K61"/>
  <c r="L6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O86" l="1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86" i="1" l="1"/>
  <c r="V86"/>
  <c r="W86"/>
  <c r="U85"/>
  <c r="V85"/>
  <c r="W85"/>
  <c r="U84"/>
  <c r="V84"/>
  <c r="W84"/>
  <c r="U82"/>
  <c r="V82"/>
  <c r="W82"/>
  <c r="U83"/>
  <c r="V83"/>
  <c r="W83"/>
  <c r="U81"/>
  <c r="V81"/>
  <c r="W81"/>
  <c r="U80"/>
  <c r="V80"/>
  <c r="W80"/>
  <c r="U78"/>
  <c r="V78"/>
  <c r="W78"/>
  <c r="U79"/>
  <c r="V79"/>
  <c r="W79"/>
  <c r="U75"/>
  <c r="V75"/>
  <c r="W75"/>
  <c r="U76"/>
  <c r="V76"/>
  <c r="W76"/>
  <c r="U77"/>
  <c r="V77"/>
  <c r="W77"/>
  <c r="U74"/>
  <c r="V74"/>
  <c r="W74"/>
  <c r="U72"/>
  <c r="V72"/>
  <c r="W72"/>
  <c r="U73"/>
  <c r="V73"/>
  <c r="W73"/>
  <c r="U71"/>
  <c r="V71"/>
  <c r="W71"/>
  <c r="U70"/>
  <c r="V70"/>
  <c r="W70"/>
  <c r="U67"/>
  <c r="V67"/>
  <c r="W67"/>
  <c r="X67" s="1"/>
  <c r="U66"/>
  <c r="V66"/>
  <c r="W66"/>
  <c r="X66" s="1"/>
  <c r="U65"/>
  <c r="V65"/>
  <c r="W65"/>
  <c r="X65" s="1"/>
  <c r="U69"/>
  <c r="V69"/>
  <c r="W69"/>
  <c r="X69" s="1"/>
  <c r="U68"/>
  <c r="V68"/>
  <c r="W68"/>
  <c r="X68" s="1"/>
  <c r="U64"/>
  <c r="V64"/>
  <c r="W64"/>
  <c r="X64" s="1"/>
  <c r="U63"/>
  <c r="V63"/>
  <c r="W63"/>
  <c r="X63" s="1"/>
  <c r="U62"/>
  <c r="V62"/>
  <c r="W62"/>
  <c r="X62" s="1"/>
  <c r="U61"/>
  <c r="V61"/>
  <c r="W61"/>
  <c r="X61" s="1"/>
  <c r="U60"/>
  <c r="V60"/>
  <c r="W60"/>
  <c r="X60" s="1"/>
  <c r="M5" i="8"/>
  <c r="N5" s="1"/>
  <c r="M4"/>
  <c r="N4" s="1"/>
  <c r="M3"/>
  <c r="N3" s="1"/>
  <c r="M2"/>
  <c r="N2" s="1"/>
  <c r="X86" i="1" l="1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U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V2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87"/>
  <c r="G87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86" s="1"/>
  <c r="M84" l="1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W22" s="1"/>
  <c r="X22" s="1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86" s="1"/>
  <c r="Y83" l="1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87"/>
  <c r="Y2" l="1"/>
  <c r="Z85" l="1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86" l="1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F67" s="1"/>
  <c r="AD66"/>
  <c r="AF66" s="1"/>
  <c r="AE69"/>
  <c r="AE65"/>
  <c r="AD65"/>
  <c r="AF65" s="1"/>
  <c r="AG65" s="1"/>
  <c r="AD69"/>
  <c r="AF69" s="1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F40"/>
  <c r="AG40" s="1"/>
  <c r="AI26"/>
  <c r="AH26"/>
  <c r="AH25"/>
  <c r="AI17"/>
  <c r="AI16"/>
  <c r="AI15"/>
  <c r="AG85" l="1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87"/>
  <c r="J87" s="1"/>
  <c r="AI30"/>
  <c r="AH30"/>
  <c r="AH20"/>
  <c r="AI20"/>
  <c r="AH81" l="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<sst xmlns="http://schemas.openxmlformats.org/spreadsheetml/2006/main" count="431" uniqueCount="146">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</sst>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71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J87" totalsRowCount="1" headerRowDxfId="271" dataDxfId="270" totalsRowDxfId="269">
  <autoFilter ref="A1:AJ86">
    <filterColumn colId="7"/>
    <filterColumn colId="8"/>
    <filterColumn colId="18"/>
    <filterColumn colId="35"/>
  </autoFilter>
  <sortState ref="A2:AJ77">
    <sortCondition ref="E1:E77"/>
  </sortState>
  <tableColumns count="36">
    <tableColumn id="19" name="ID" totalsRowFunction="max" dataDxfId="268" totalsRowDxfId="35"/>
    <tableColumn id="36" name="U" dataDxfId="267" totalsRowDxfId="34"/>
    <tableColumn id="2" name="ATIVO" dataDxfId="266" totalsRowDxfId="33"/>
    <tableColumn id="3" name="T" dataDxfId="265" totalsRowDxfId="32"/>
    <tableColumn id="4" name="DATA" dataDxfId="264" totalsRowDxfId="31"/>
    <tableColumn id="5" name="QTDE" dataDxfId="263" totalsRowDxfId="30"/>
    <tableColumn id="6" name="PREÇO" totalsRowFunction="custom" dataDxfId="262" totalsRowDxfId="29">
      <totalsRowFormula>NC[[#Totals],[ID]]*14.9</totalsRowFormula>
    </tableColumn>
    <tableColumn id="37" name="PARCIAL" dataDxfId="261" totalsRowDxfId="28"/>
    <tableColumn id="40" name="AJUSTE" dataDxfId="260" totalsRowDxfId="27" dataCellStyle="Moeda"/>
    <tableColumn id="7" name="[D/N]" totalsRowFunction="custom" dataDxfId="259" totalsRowDxfId="26">
      <totalsRowFormula>NC[[#Totals],[LUCRO P/ OP]]+NC[[#Totals],[PREÇO]]</totalsRowFormula>
    </tableColumn>
    <tableColumn id="34" name="DATA DE LIQUIDAÇÃO" dataDxfId="258" totalsRowDxfId="25">
      <calculatedColumnFormula>WORKDAY(NC[[#This Row],[DATA]],1,0)</calculatedColumnFormula>
    </tableColumn>
    <tableColumn id="31" name="DATA BASE" dataDxfId="257" totalsRowDxfId="24">
      <calculatedColumnFormula>EOMONTH(NC[[#This Row],[DATA DE LIQUIDAÇÃO]],0)</calculatedColumnFormula>
    </tableColumn>
    <tableColumn id="21" name="PAR" dataDxfId="256" totalsRowDxfId="23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55" totalsRowDxfId="22">
      <calculatedColumnFormula>[QTDE]*[PREÇO]</calculatedColumnFormula>
    </tableColumn>
    <tableColumn id="9" name="VALOR LÍQUIDO DAS OPERAÇÕES" dataDxfId="254" totalsRowDxfId="21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53" totalsRowDxfId="20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52" totalsRowDxfId="1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51" totalsRowDxfId="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250" totalsRowDxfId="17">
      <calculatedColumnFormula>SETUP!$E$3 * IF([PARCIAL] &gt; 0, [QTDE] / [PARCIAL], 1)</calculatedColumnFormula>
    </tableColumn>
    <tableColumn id="12" name="CORRETAGEM" dataDxfId="249" totalsRowDxfId="16">
      <calculatedColumnFormula>SUMPRODUCT(N([DATA]=NC[[#This Row],[DATA]]),N([ID]&lt;=NC[[#This Row],[ID]]), [CORR])</calculatedColumnFormula>
    </tableColumn>
    <tableColumn id="13" name="ISS" dataDxfId="248" totalsRowDxfId="15">
      <calculatedColumnFormula>TRUNC([CORRETAGEM]*SETUP!$F$3,2)</calculatedColumnFormula>
    </tableColumn>
    <tableColumn id="15" name="OUTRAS BOVESPA" dataDxfId="247" totalsRowDxfId="14">
      <calculatedColumnFormula>ROUND([CORRETAGEM]*SETUP!$G$3,2)</calculatedColumnFormula>
    </tableColumn>
    <tableColumn id="16" name="LÍQUIDO BASE" dataDxfId="246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5" totalsRowDxfId="12">
      <calculatedColumnFormula>IF(AND(['[D/N']]="D",    [T]="CV",    [LÍQUIDO BASE] &gt; 0),    TRUNC([LÍQUIDO BASE]*0.01, 2),    0)</calculatedColumnFormula>
    </tableColumn>
    <tableColumn id="35" name="LÍQUIDO" dataDxfId="244" totalsRowDxfId="11">
      <calculatedColumnFormula>IF([PREÇO] &gt; 0,    [LÍQUIDO BASE]-SUMPRODUCT(N([DATA]=NC[[#This Row],[DATA]]),    [IRRF FONTE]),    0)</calculatedColumnFormula>
    </tableColumn>
    <tableColumn id="17" name="VALOR OP" dataDxfId="243" totalsRowDxfId="10" dataCellStyle="Moeda">
      <calculatedColumnFormula>[LÍQUIDO]-SUMPRODUCT(N([DATA]=NC[[#This Row],[DATA]]),N([ID]=(NC[[#This Row],[ID]]-1)),[LÍQUIDO])</calculatedColumnFormula>
    </tableColumn>
    <tableColumn id="18" name="MEDIO P/ OP" dataDxfId="242" totalsRowDxfId="9">
      <calculatedColumnFormula>IF([T] = "VC", ABS([VALOR OP]) / [QTDE], [VALOR OP]/[QTDE])</calculatedColumnFormula>
    </tableColumn>
    <tableColumn id="20" name="IRRF" totalsRowFunction="sum" dataDxfId="241" totalsRowDxfId="8">
      <calculatedColumnFormula>TRUNC(IF(OR([T]="CV",[T]="VV"),     N2*SETUP!$H$3,     0),2)</calculatedColumnFormula>
    </tableColumn>
    <tableColumn id="24" name="SALDO" dataDxfId="240" totalsRowDxfId="7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39" totalsRowDxfId="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38" totalsRowDxfId="5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37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6" totalsRowDxfId="3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35" totalsRowDxfId="2">
      <calculatedColumnFormula>IF([U] = "U", SUMPRODUCT(N([ID]&lt;=NC[[#This Row],[ID]]),N([DATA BASE]=NC[[#This Row],[DATA BASE]]), N(['[D/N']] = "N"),    [LUCRO P/ OP]), 0)</calculatedColumnFormula>
    </tableColumn>
    <tableColumn id="39" name="LUCRO [D]" dataDxfId="234" totalsRowDxfId="1">
      <calculatedColumnFormula>IF([U] = "U", SUMPRODUCT(N([DATA BASE]=NC[[#This Row],[DATA BASE]]), N(['[D/N']] = "D"),    [LUCRO P/ OP]), 0)</calculatedColumnFormula>
    </tableColumn>
    <tableColumn id="30" name="IRRF DT" dataDxfId="233" totalsRowDxfId="0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1:N6" totalsRowCount="1" headerRowDxfId="232" dataDxfId="231">
  <autoFilter ref="A1:N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DATA" totalsRowLabel="Total" dataDxfId="230" totalsRowDxfId="229"/>
    <tableColumn id="2" name="LUCRO [N]" dataDxfId="228" totalsRowDxfId="227" dataCellStyle="Moeda"/>
    <tableColumn id="3" name="DEDUÇÃO [N]" dataDxfId="226" totalsRowDxfId="225" dataCellStyle="Moeda"/>
    <tableColumn id="8" name="IRRF [N]" dataDxfId="224" totalsRowDxfId="223" dataCellStyle="Moeda"/>
    <tableColumn id="4" name="LUCRO [D]" dataDxfId="222" totalsRowDxfId="221" dataCellStyle="Moeda"/>
    <tableColumn id="5" name="DEDUÇÃO [D]" dataDxfId="220" totalsRowDxfId="219" dataCellStyle="Moeda"/>
    <tableColumn id="9" name="IRRF [D]" dataDxfId="218" totalsRowDxfId="217" dataCellStyle="Moeda"/>
    <tableColumn id="6" name="ACC [N]" dataDxfId="216" totalsRowDxfId="215" dataCellStyle="Moeda">
      <calculatedColumnFormula>IF([LUCRO '[N']] + [DEDUÇÃO '[N']] &gt; 0, 0, [LUCRO '[N']] + [DEDUÇÃO '[N']])</calculatedColumnFormula>
    </tableColumn>
    <tableColumn id="12" name="ACC [D]" dataDxfId="214" totalsRowDxfId="213" dataCellStyle="Moeda">
      <calculatedColumnFormula>IF([LUCRO '[D']] + [DEDUÇÃO '[D']] &gt; 0, 0, [LUCRO '[D']] + [DEDUÇÃO '[D']])</calculatedColumnFormula>
    </tableColumn>
    <tableColumn id="7" name="IR DEVIDO [N]" dataDxfId="212" totalsRowDxfId="211" dataCellStyle="Moeda">
      <calculatedColumnFormula>IF([ACC '[N']] = 0, ROUND(([LUCRO '[N']] + [DEDUÇÃO '[N']]) * 15%, 2) - [IRRF '[N']], 0)</calculatedColumnFormula>
    </tableColumn>
    <tableColumn id="10" name="IR DEVIDO [D]" dataDxfId="210" totalsRowDxfId="209" dataCellStyle="Moeda">
      <calculatedColumnFormula>IF([ACC '[D']] = 0, ROUND(([LUCRO '[D']] + [DEDUÇÃO '[D']]) * 20%, 2) - [IRRF '[D']], 0)</calculatedColumnFormula>
    </tableColumn>
    <tableColumn id="14" name="IRRF" dataDxfId="208" totalsRowDxfId="207" dataCellStyle="Moeda">
      <calculatedColumnFormula>[IRRF '[N']] + [IRRF '[D']]</calculatedColumnFormula>
    </tableColumn>
    <tableColumn id="11" name="IR DEVIDO" dataDxfId="206" totalsRowDxfId="205" dataCellStyle="Moeda">
      <calculatedColumnFormula>[IR DEVIDO '[N']] + [IR DEVIDO '[D']]</calculatedColumnFormula>
    </tableColumn>
    <tableColumn id="13" name="LUCRO TOTAL" totalsRowFunction="sum" dataDxfId="204" totalsRowDxfId="203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K5" totalsRowCount="1" headerRowDxfId="202" dataDxfId="201">
  <autoFilter ref="A1:K4">
    <filterColumn colId="10"/>
  </autoFilter>
  <tableColumns count="11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/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  <tableColumn id="7" name="GORDURA" dataDxfId="180" totalsRowDxfId="179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P5" totalsRowCount="1" headerRowDxfId="178" dataDxfId="177">
  <autoFilter ref="A1:P4"/>
  <tableColumns count="16">
    <tableColumn id="1" name="PAPEL" totalsRowLabel="Total" dataDxfId="176" totalsRowDxfId="175"/>
    <tableColumn id="10" name="RISCO" dataDxfId="174" totalsRowDxfId="173" dataCellStyle="Moeda"/>
    <tableColumn id="20" name="PREÇO AÇÃO" dataDxfId="172" totalsRowDxfId="171" dataCellStyle="Moeda"/>
    <tableColumn id="7" name="EXERC. VENDA" dataDxfId="170" totalsRowDxfId="169" dataCellStyle="Moeda"/>
    <tableColumn id="8" name="PREÇO VENDA" dataDxfId="168" totalsRowDxfId="167" dataCellStyle="Moeda"/>
    <tableColumn id="2" name="EXERC. COMPRA" dataDxfId="166" totalsRowDxfId="165" dataCellStyle="Moeda"/>
    <tableColumn id="3" name="PREÇO COMPRA" dataDxfId="164" totalsRowDxfId="163" dataCellStyle="Moeda"/>
    <tableColumn id="4" name="VOLUME" dataDxfId="162" totalsRowDxfId="161" dataCellStyle="Moeda">
      <calculatedColumnFormula>([QTDE] * [PREÇO COMPRA]) + ([QTDE] * [PREÇO VENDA])</calculatedColumnFormula>
    </tableColumn>
    <tableColumn id="18" name="LUCRO P/ OPÇÃO" dataDxfId="160" totalsRowDxfId="159" dataCellStyle="Moeda">
      <calculatedColumnFormula>[PREÇO VENDA]-[PREÇO COMPRA]</calculatedColumnFormula>
    </tableColumn>
    <tableColumn id="19" name="PERDA P/ OPÇÃO" dataDxfId="158" totalsRowDxfId="157" dataCellStyle="Moeda">
      <calculatedColumnFormula>(0.01 - [PREÇO COMPRA]) + ([PREÇO VENDA] - ([EXERC. COMPRA]-[EXERC. VENDA]+0.01))</calculatedColumnFormula>
    </tableColumn>
    <tableColumn id="11" name="QTDE TMP" dataDxfId="156" totalsRowDxfId="155" dataCellStyle="Moeda">
      <calculatedColumnFormula>ROUNDDOWN([RISCO]/ABS([PERDA P/ OPÇÃO]), 0)</calculatedColumnFormula>
    </tableColumn>
    <tableColumn id="14" name="QTDE" dataDxfId="154" totalsRowDxfId="153" dataCellStyle="Moeda">
      <calculatedColumnFormula>[QTDE TMP] - MOD([QTDE TMP], 100)</calculatedColumnFormula>
    </tableColumn>
    <tableColumn id="5" name="LUCRO*" dataDxfId="152" totalsRowDxfId="151" dataCellStyle="Moeda">
      <calculatedColumnFormula>([QTDE]*[LUCRO P/ OPÇÃO]) - 60</calculatedColumnFormula>
    </tableColumn>
    <tableColumn id="6" name="PERDA*" dataDxfId="150" totalsRowDxfId="149" dataCellStyle="Moeda">
      <calculatedColumnFormula>[QTDE]*[PERDA P/ OPÇÃO] - 60</calculatedColumnFormula>
    </tableColumn>
    <tableColumn id="21" name="% QUEDA" dataDxfId="148" totalsRowDxfId="147" dataCellStyle="Porcentagem">
      <calculatedColumnFormula>[EXERC. VENDA]/[PREÇO AÇÃO]-1</calculatedColumnFormula>
    </tableColumn>
    <tableColumn id="22" name="RISCO : 1" dataDxfId="146" totalsRowDxfId="14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V3" totalsRowCount="1" headerRowDxfId="144" dataDxfId="143">
  <autoFilter ref="A1:V2"/>
  <tableColumns count="22">
    <tableColumn id="1" name="PAPEL" totalsRowLabel="Total" dataDxfId="142" totalsRowDxfId="141"/>
    <tableColumn id="10" name="BASE" dataDxfId="140" totalsRowDxfId="139" dataCellStyle="Moeda"/>
    <tableColumn id="20" name="PR. AÇÃO" dataDxfId="138" totalsRowDxfId="137" dataCellStyle="Moeda"/>
    <tableColumn id="2" name="EX. CP 1" dataDxfId="136" totalsRowDxfId="135" dataCellStyle="Moeda"/>
    <tableColumn id="3" name="PR CP 1" dataDxfId="134" totalsRowDxfId="133" dataCellStyle="Moeda"/>
    <tableColumn id="12" name="EX. VD" dataDxfId="132" totalsRowDxfId="131" dataCellStyle="Moeda"/>
    <tableColumn id="13" name="PR VD" dataDxfId="130" totalsRowDxfId="129" dataCellStyle="Moeda"/>
    <tableColumn id="8" name="EX. CP 2" dataDxfId="128" totalsRowDxfId="127" dataCellStyle="Moeda"/>
    <tableColumn id="7" name="PR CP 2" dataDxfId="126" totalsRowDxfId="125" dataCellStyle="Moeda"/>
    <tableColumn id="18" name="LUCRO UNI." dataDxfId="124" totalsRowDxfId="123" dataCellStyle="Moeda">
      <calculatedColumnFormula>(([PR VD] - 0.01) * 2) + (([EX. VD] - [EX. CP 1] + 0.01) - [PR CP 1]) + (0.01 - [PR CP 2])</calculatedColumnFormula>
    </tableColumn>
    <tableColumn id="19" name="PERDA 1" dataDxfId="122" totalsRowDxfId="121" dataCellStyle="Moeda">
      <calculatedColumnFormula>(0.01 - [PR CP 1]) + (([PR VD] - 0.01) * 2) + (0.01 - [PR CP 2])</calculatedColumnFormula>
    </tableColumn>
    <tableColumn id="15" name="PERDA 2" dataDxfId="120" totalsRowDxfId="119" dataCellStyle="Moeda">
      <calculatedColumnFormula>(([EX. CP 2] - [EX. CP 1] + 0.01) - [PR CP 1]) + (([PR VD] - ([EX. CP 2] - [EX. VD] + 0.01)) * 2) + (0.01 - [PR CP 2])</calculatedColumnFormula>
    </tableColumn>
    <tableColumn id="16" name="PERDA" dataDxfId="118" totalsRowDxfId="117" dataCellStyle="Moeda">
      <calculatedColumnFormula>IF([PERDA 1] &gt; [PERDA 2], [PERDA 2], [PERDA 1])</calculatedColumnFormula>
    </tableColumn>
    <tableColumn id="11" name="QTDE TMP" dataDxfId="116" totalsRowDxfId="115" dataCellStyle="Moeda">
      <calculatedColumnFormula>ROUNDDOWN([BASE]/ABS([PERDA]), 0)</calculatedColumnFormula>
    </tableColumn>
    <tableColumn id="14" name="QTDE" dataDxfId="114" totalsRowDxfId="113" dataCellStyle="Moeda">
      <calculatedColumnFormula>[QTDE TMP] - MOD([QTDE TMP], 100)</calculatedColumnFormula>
    </tableColumn>
    <tableColumn id="4" name="QTDE VD" dataDxfId="112" totalsRowDxfId="111" dataCellStyle="Moeda">
      <calculatedColumnFormula>Tabela245[[#This Row],[QTDE]]*2</calculatedColumnFormula>
    </tableColumn>
    <tableColumn id="17" name="TOT.  CP" dataDxfId="110" totalsRowDxfId="109" dataCellStyle="Moeda">
      <calculatedColumnFormula>([QTDE]*[PR CP 1] + [QTDE]*[PR CP 2])</calculatedColumnFormula>
    </tableColumn>
    <tableColumn id="9" name="T. VD" dataDxfId="108" totalsRowDxfId="107" dataCellStyle="Moeda">
      <calculatedColumnFormula>[QTDE]*[PR VD] * 2</calculatedColumnFormula>
    </tableColumn>
    <tableColumn id="5" name="LUCRO*" dataDxfId="106" totalsRowDxfId="105" dataCellStyle="Moeda">
      <calculatedColumnFormula>([QTDE]*[LUCRO UNI.] - 90)</calculatedColumnFormula>
    </tableColumn>
    <tableColumn id="6" name="PERDA*" dataDxfId="104" totalsRowDxfId="103" dataCellStyle="Moeda">
      <calculatedColumnFormula>[QTDE]*[PERDA] - 90</calculatedColumnFormula>
    </tableColumn>
    <tableColumn id="21" name="% VAR" dataDxfId="102" totalsRowDxfId="101" dataCellStyle="Porcentagem">
      <calculatedColumnFormula>[EX. VD] / [PR. AÇÃO] - 1</calculatedColumnFormula>
    </tableColumn>
    <tableColumn id="22" name="RISCO : 1" dataDxfId="100" totalsRowDxfId="9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6" totalsRowCount="1" headerRowDxfId="98" dataDxfId="97">
  <autoFilter ref="A1:O5"/>
  <tableColumns count="15">
    <tableColumn id="1" name="PAPEL" totalsRowLabel="Total" dataDxfId="96" totalsRowDxfId="95"/>
    <tableColumn id="10" name="RISCO" dataDxfId="94" totalsRowDxfId="93" dataCellStyle="Moeda"/>
    <tableColumn id="20" name="PREÇO AÇÃO" dataDxfId="92" totalsRowDxfId="91" dataCellStyle="Moeda"/>
    <tableColumn id="7" name="EX. VENDA" dataDxfId="90" totalsRowDxfId="89" dataCellStyle="Moeda"/>
    <tableColumn id="2" name="EX. COMPRA" dataDxfId="88" totalsRowDxfId="87" dataCellStyle="Moeda"/>
    <tableColumn id="3" name="PR COMPRA" dataDxfId="86" totalsRowDxfId="85" dataCellStyle="Moeda"/>
    <tableColumn id="16" name="QTDE" dataDxfId="84" totalsRowDxfId="83" dataCellStyle="Moeda"/>
    <tableColumn id="13" name="PERDA P/ OPÇÃO" dataDxfId="82" totalsRowDxfId="81" dataCellStyle="Moeda">
      <calculatedColumnFormula>-[RISCO]/[QTDE]</calculatedColumnFormula>
    </tableColumn>
    <tableColumn id="14" name="CUSTO CP" dataDxfId="80" totalsRowDxfId="79" dataCellStyle="Moeda">
      <calculatedColumnFormula>[PR COMPRA] * [QTDE]</calculatedColumnFormula>
    </tableColumn>
    <tableColumn id="15" name="LUCRO UNI" dataDxfId="78" totalsRowDxfId="77">
      <calculatedColumnFormula>[PR VENDA]-[PR COMPRA]</calculatedColumnFormula>
    </tableColumn>
    <tableColumn id="8" name="PR VENDA" dataDxfId="76" totalsRowDxfId="75" dataCellStyle="Moeda">
      <calculatedColumnFormula>[PERDA P/ OPÇÃO] + ([EX. COMPRA] - [EX. VENDA] + 0.01) - 0.01 + [PR COMPRA]</calculatedColumnFormula>
    </tableColumn>
    <tableColumn id="5" name="LUCRO*" dataDxfId="74" totalsRowDxfId="73" dataCellStyle="Moeda">
      <calculatedColumnFormula>([QTDE]*[LUCRO UNI])</calculatedColumnFormula>
    </tableColumn>
    <tableColumn id="6" name="PERDA*" dataDxfId="72" totalsRowDxfId="71" dataCellStyle="Moeda">
      <calculatedColumnFormula>[PERDA P/ OPÇÃO]*[QTDE]</calculatedColumnFormula>
    </tableColumn>
    <tableColumn id="21" name="% QUEDA" dataDxfId="70" totalsRowDxfId="69" dataCellStyle="Porcentagem">
      <calculatedColumnFormula>[EX. VENDA]/[PREÇO AÇÃO]-1</calculatedColumnFormula>
    </tableColumn>
    <tableColumn id="22" name="RISCO : 1" dataDxfId="68" totalsRowDxfId="6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467" displayName="Tabela2467" ref="A1:O6" totalsRowCount="1" headerRowDxfId="66" dataDxfId="65">
  <autoFilter ref="A1:O5"/>
  <tableColumns count="15">
    <tableColumn id="1" name="PAPEL" totalsRowLabel="Total" dataDxfId="64" totalsRowDxfId="63"/>
    <tableColumn id="10" name="RISCO" dataDxfId="62" totalsRowDxfId="61" dataCellStyle="Moeda"/>
    <tableColumn id="20" name="PREÇO AÇÃO" dataDxfId="60" totalsRowDxfId="59" dataCellStyle="Moeda"/>
    <tableColumn id="7" name="EX. VENDA" dataDxfId="58" totalsRowDxfId="57" dataCellStyle="Moeda"/>
    <tableColumn id="2" name="EX. COMPRA" dataDxfId="56" totalsRowDxfId="55" dataCellStyle="Moeda"/>
    <tableColumn id="9" name="PR VENDA" totalsRowDxfId="54"/>
    <tableColumn id="3" name="PR COMPRA" dataDxfId="53" totalsRowDxfId="52" dataCellStyle="Moeda"/>
    <tableColumn id="16" name="QTDE" dataDxfId="51" totalsRowDxfId="50" dataCellStyle="Moeda"/>
    <tableColumn id="13" name="PERDA P/ OPÇÃO" dataDxfId="49" totalsRowDxfId="48" dataCellStyle="Moeda">
      <calculatedColumnFormula>([PR VENDA] - ([EX. COMPRA] - [EX. VENDA] + 0.01)) + (0.01 - ([PR COMPRA]))</calculatedColumnFormula>
    </tableColumn>
    <tableColumn id="14" name="VOLUME" dataDxfId="47" totalsRowDxfId="46" dataCellStyle="Moeda">
      <calculatedColumnFormula>[PR COMPRA] * [QTDE]</calculatedColumnFormula>
    </tableColumn>
    <tableColumn id="15" name="LUCRO UNI" dataDxfId="45" totalsRowDxfId="44">
      <calculatedColumnFormula>[PR VENDA]-[PR COMPRA]</calculatedColumnFormula>
    </tableColumn>
    <tableColumn id="5" name="LUCRO*" dataDxfId="43" totalsRowDxfId="42" dataCellStyle="Moeda">
      <calculatedColumnFormula>([QTDE]*[LUCRO UNI])</calculatedColumnFormula>
    </tableColumn>
    <tableColumn id="6" name="PERDA*" dataDxfId="41" totalsRowDxfId="40" dataCellStyle="Moeda">
      <calculatedColumnFormula>[PERDA P/ OPÇÃO]*[QTDE]</calculatedColumnFormula>
    </tableColumn>
    <tableColumn id="21" name="% QUEDA" dataDxfId="39" totalsRowDxfId="38" dataCellStyle="Porcentagem">
      <calculatedColumnFormula>[EX. VENDA]/[PREÇO AÇÃO]-1</calculatedColumnFormula>
    </tableColumn>
    <tableColumn id="22" name="RISCO : 1" dataDxfId="37" totalsRowDxfId="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88"/>
  <sheetViews>
    <sheetView tabSelected="1" workbookViewId="0">
      <pane xSplit="10" ySplit="1" topLeftCell="P56" activePane="bottomRight" state="frozen"/>
      <selection pane="topRight" activeCell="K1" sqref="K1"/>
      <selection pane="bottomLeft" activeCell="A2" sqref="A2"/>
      <selection pane="bottomRight" activeCell="X72" sqref="X72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130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103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120</v>
      </c>
      <c r="AJ1" s="10" t="s">
        <v>129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104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105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113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114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116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105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113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116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117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118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117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117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117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118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114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104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117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118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117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118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133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137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137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134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133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134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134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134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138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138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139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140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140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139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141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141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142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142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143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143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144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144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145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98">
        <f>SUBTOTAL(104,[ID])</f>
        <v>85</v>
      </c>
      <c r="B87" s="98"/>
      <c r="C87" s="98"/>
      <c r="D87" s="98"/>
      <c r="E87" s="98"/>
      <c r="F87" s="98"/>
      <c r="G87" s="98">
        <f>NC[[#Totals],[ID]]*14.9</f>
        <v>1266.5</v>
      </c>
      <c r="H87" s="96"/>
      <c r="I87" s="87"/>
      <c r="J87" s="98">
        <f>NC[[#Totals],[LUCRO P/ OP]]+NC[[#Totals],[PREÇO]]</f>
        <v>778.58000000000175</v>
      </c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87"/>
      <c r="X87" s="98"/>
      <c r="Y87" s="87"/>
      <c r="Z87" s="87"/>
      <c r="AA87" s="98"/>
      <c r="AB87" s="87">
        <f>SUBTOTAL(109,[IRRF])</f>
        <v>1.1700000000000004</v>
      </c>
      <c r="AC87" s="87"/>
      <c r="AD87" s="98"/>
      <c r="AE87" s="98"/>
      <c r="AF87" s="87"/>
      <c r="AG87" s="87">
        <f>SUBTOTAL(109,[LUCRO P/ OP])</f>
        <v>-487.9199999999982</v>
      </c>
      <c r="AH87" s="87"/>
      <c r="AI87" s="99"/>
      <c r="AJ87" s="100"/>
    </row>
    <row r="88" spans="1:36">
      <c r="AE88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119</v>
      </c>
      <c r="D1" s="7" t="s">
        <v>123</v>
      </c>
      <c r="E1" s="7" t="s">
        <v>120</v>
      </c>
      <c r="F1" s="7" t="s">
        <v>121</v>
      </c>
      <c r="G1" s="7" t="s">
        <v>124</v>
      </c>
      <c r="H1" s="7" t="s">
        <v>122</v>
      </c>
      <c r="I1" s="7" t="s">
        <v>127</v>
      </c>
      <c r="J1" s="7" t="s">
        <v>125</v>
      </c>
      <c r="K1" s="7" t="s">
        <v>126</v>
      </c>
      <c r="L1" s="7" t="s">
        <v>18</v>
      </c>
      <c r="M1" s="7" t="s">
        <v>48</v>
      </c>
      <c r="N1" s="7" t="s">
        <v>128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136</v>
      </c>
    </row>
    <row r="2" spans="1:11">
      <c r="A2" s="7" t="s">
        <v>134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133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135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20" sqref="E20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106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115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([QTDE] * [PREÇO COMPRA]) + ([QTDE] * [PREÇO VENDA])</f>
        <v>1022</v>
      </c>
      <c r="I3" s="25">
        <f>[PREÇO VENDA]-[PREÇO COMPRA]</f>
        <v>0.53</v>
      </c>
      <c r="J3" s="25">
        <f>(0.01 - [PREÇO COMPRA]) + ([PREÇO VENDA] - ([EXERC. COMPRA]-[EXERC. VENDA]+0.01))</f>
        <v>-0.35000000000000259</v>
      </c>
      <c r="K3" s="28">
        <f>ROUNDDOWN([RISCO]/ABS([PERDA P/ OPÇÃO]), 0)</f>
        <v>1428</v>
      </c>
      <c r="L3" s="28">
        <f>[QTDE TMP] - MOD([QTDE TMP], 100)</f>
        <v>1400</v>
      </c>
      <c r="M3" s="25">
        <f>([QTDE]*[LUCRO P/ OPÇÃO]) - 60</f>
        <v>682</v>
      </c>
      <c r="N3" s="25">
        <f>[QTDE]*[PERDA P/ OPÇÃO] - 60</f>
        <v>-550.00000000000364</v>
      </c>
      <c r="O3" s="27">
        <f>[EXERC. VENDA]/[PREÇO AÇÃO]-1</f>
        <v>-3.0880082346886328E-2</v>
      </c>
      <c r="P3" s="38">
        <f>[LUCRO*]/ABS([PERDA*])</f>
        <v>1.2399999999999918</v>
      </c>
    </row>
    <row r="4" spans="1:16">
      <c r="A4" s="105" t="s">
        <v>69</v>
      </c>
      <c r="B4" s="25">
        <v>100</v>
      </c>
      <c r="C4" s="25">
        <v>19.22</v>
      </c>
      <c r="D4" s="25">
        <v>18</v>
      </c>
      <c r="E4" s="25">
        <v>1.72</v>
      </c>
      <c r="F4" s="25">
        <v>18.829999999999998</v>
      </c>
      <c r="G4" s="25">
        <v>1.08</v>
      </c>
      <c r="H4" s="81">
        <f>([QTDE] * [PREÇO COMPRA]) + ([QTDE] * [PREÇO VENDA])</f>
        <v>1400</v>
      </c>
      <c r="I4" s="81">
        <f>[PREÇO VENDA]-[PREÇO COMPRA]</f>
        <v>0.6399999999999999</v>
      </c>
      <c r="J4" s="81">
        <f>(0.01 - [PREÇO COMPRA]) + ([PREÇO VENDA] - ([EXERC. COMPRA]-[EXERC. VENDA]+0.01))</f>
        <v>-0.18999999999999839</v>
      </c>
      <c r="K4" s="106">
        <f>ROUNDDOWN([RISCO]/ABS([PERDA P/ OPÇÃO]), 0)</f>
        <v>526</v>
      </c>
      <c r="L4" s="106">
        <f>[QTDE TMP] - MOD([QTDE TMP], 100)</f>
        <v>500</v>
      </c>
      <c r="M4" s="81">
        <f>([QTDE]*[LUCRO P/ OPÇÃO]) - 60</f>
        <v>259.99999999999994</v>
      </c>
      <c r="N4" s="81">
        <f>[QTDE]*[PERDA P/ OPÇÃO] - 60</f>
        <v>-154.9999999999992</v>
      </c>
      <c r="O4" s="82">
        <f>[EXERC. VENDA]/[PREÇO AÇÃO]-1</f>
        <v>-6.3475546305931219E-2</v>
      </c>
      <c r="P4" s="83">
        <f>[LUCRO*]/ABS([PERDA*])</f>
        <v>1.677419354838718</v>
      </c>
    </row>
    <row r="5" spans="1:16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3" sqref="C3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18.47</v>
      </c>
      <c r="D2" s="25">
        <v>17</v>
      </c>
      <c r="E2" s="25">
        <v>1.5</v>
      </c>
      <c r="F2" s="25">
        <v>17.829999999999998</v>
      </c>
      <c r="G2" s="25">
        <v>0.74</v>
      </c>
      <c r="H2" s="25">
        <v>18.829999999999998</v>
      </c>
      <c r="I2" s="25">
        <v>0.15</v>
      </c>
      <c r="J2" s="25">
        <f>(([PR VD] - 0.01) * 2) + (([EX. VD] - [EX. CP 1] + 0.01) - [PR CP 1]) + (0.01 - [PR CP 2])</f>
        <v>0.65999999999999825</v>
      </c>
      <c r="K2" s="25">
        <f>(0.01 - [PR CP 1]) + (([PR VD] - 0.01) * 2) + (0.01 - [PR CP 2])</f>
        <v>-0.17</v>
      </c>
      <c r="L2" s="25">
        <f>(([EX. CP 2] - [EX. CP 1] + 0.01) - [PR CP 1]) + (([PR VD] - ([EX. CP 2] - [EX. VD] + 0.01)) * 2) + (0.01 - [PR CP 2])</f>
        <v>-0.34000000000000175</v>
      </c>
      <c r="M2" s="25">
        <f>IF([PERDA 1] &gt; [PERDA 2], [PERDA 2], [PERDA 1])</f>
        <v>-0.34000000000000175</v>
      </c>
      <c r="N2" s="28">
        <f>ROUNDDOWN([BASE]/ABS([PERDA]), 0)</f>
        <v>294</v>
      </c>
      <c r="O2" s="28">
        <f>[QTDE TMP] - MOD([QTDE TMP], 100)</f>
        <v>200</v>
      </c>
      <c r="P2" s="28">
        <f>Tabela245[[#This Row],[QTDE]]*2</f>
        <v>400</v>
      </c>
      <c r="Q2" s="25">
        <f>([QTDE]*[PR CP 1] + [QTDE]*[PR CP 2])</f>
        <v>330</v>
      </c>
      <c r="R2" s="25">
        <f>[QTDE]*[PR VD] * 2</f>
        <v>296</v>
      </c>
      <c r="S2" s="39">
        <f>([QTDE]*[LUCRO UNI.] - 90)</f>
        <v>41.999999999999659</v>
      </c>
      <c r="T2" s="25">
        <f>[QTDE]*[PERDA] - 90</f>
        <v>-158.00000000000034</v>
      </c>
      <c r="U2" s="27">
        <f>[EX. VD] / [PR. AÇÃO] - 1</f>
        <v>-3.4650785056848932E-2</v>
      </c>
      <c r="V2" s="38">
        <f>[LUCRO*]/ABS([PERDA*])</f>
        <v>0.26582278481012384</v>
      </c>
    </row>
    <row r="3" spans="1:2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0"/>
      <c r="V3" s="40"/>
    </row>
    <row r="4" spans="1:22">
      <c r="E4" s="23"/>
    </row>
    <row r="5" spans="1:2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107</v>
      </c>
      <c r="G1" s="57" t="s">
        <v>1</v>
      </c>
      <c r="H1" s="26" t="s">
        <v>75</v>
      </c>
      <c r="I1" s="26" t="s">
        <v>111</v>
      </c>
      <c r="J1" s="26" t="s">
        <v>112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110</v>
      </c>
      <c r="G1" s="26" t="s">
        <v>107</v>
      </c>
      <c r="H1" s="57" t="s">
        <v>1</v>
      </c>
      <c r="I1" s="26" t="s">
        <v>75</v>
      </c>
      <c r="J1" s="26" t="s">
        <v>115</v>
      </c>
      <c r="K1" s="26" t="s">
        <v>112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E16" sqref="E16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109" t="s">
        <v>7</v>
      </c>
      <c r="B1" s="109"/>
      <c r="C1" s="109" t="s">
        <v>8</v>
      </c>
      <c r="D1" s="109"/>
      <c r="E1" s="108" t="s">
        <v>9</v>
      </c>
      <c r="F1" s="108" t="s">
        <v>4</v>
      </c>
      <c r="G1" s="108" t="s">
        <v>10</v>
      </c>
      <c r="H1" s="108" t="s">
        <v>11</v>
      </c>
      <c r="I1" s="108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108"/>
      <c r="F2" s="108"/>
      <c r="G2" s="108"/>
      <c r="H2" s="108"/>
      <c r="I2" s="108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107" t="s">
        <v>26</v>
      </c>
      <c r="B4" s="107"/>
      <c r="C4" s="107"/>
      <c r="D4" s="107"/>
      <c r="E4" s="107"/>
      <c r="F4" s="107"/>
    </row>
    <row r="5" spans="1:9">
      <c r="A5" s="107" t="s">
        <v>7</v>
      </c>
      <c r="B5" s="107"/>
      <c r="C5" s="107"/>
      <c r="D5" s="107" t="s">
        <v>8</v>
      </c>
      <c r="E5" s="107"/>
      <c r="F5" s="107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2012-08-09T12:14:14Z</dcterms:modified>
</cp:coreProperties>
</file>