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1910" windowHeight="5625"/>
  </bookViews>
  <sheets>
    <sheet name="MANEJO" sheetId="5" r:id="rId1"/>
    <sheet name="WTSa" sheetId="1" r:id="rId2"/>
    <sheet name="WTS" sheetId="3" r:id="rId3"/>
    <sheet name="SETUP" sheetId="2" r:id="rId4"/>
    <sheet name="SOMBRA" sheetId="4" r:id="rId5"/>
  </sheets>
  <calcPr calcId="124519"/>
</workbook>
</file>

<file path=xl/calcChain.xml><?xml version="1.0" encoding="utf-8"?>
<calcChain xmlns="http://schemas.openxmlformats.org/spreadsheetml/2006/main">
  <c r="W2" i="5"/>
  <c r="X2" s="1"/>
  <c r="W3"/>
  <c r="X3" s="1"/>
  <c r="W4"/>
  <c r="X4" s="1"/>
  <c r="W5"/>
  <c r="X5" s="1"/>
  <c r="W6"/>
  <c r="X6" s="1"/>
  <c r="W7"/>
  <c r="X7" s="1"/>
  <c r="I2" l="1"/>
  <c r="J2" s="1"/>
  <c r="K2" s="1"/>
  <c r="L2" s="1"/>
  <c r="M2"/>
  <c r="N2" s="1"/>
  <c r="Q2"/>
  <c r="U2"/>
  <c r="Y2"/>
  <c r="I4"/>
  <c r="J4" s="1"/>
  <c r="K4" s="1"/>
  <c r="L4" s="1"/>
  <c r="I3"/>
  <c r="J3" s="1"/>
  <c r="K3" s="1"/>
  <c r="L3" s="1"/>
  <c r="M4"/>
  <c r="N4" s="1"/>
  <c r="M3"/>
  <c r="N3" s="1"/>
  <c r="Q4"/>
  <c r="Q3"/>
  <c r="U4"/>
  <c r="U3"/>
  <c r="Y4"/>
  <c r="Y3"/>
  <c r="Y5"/>
  <c r="Y6"/>
  <c r="Y7"/>
  <c r="L2" i="1"/>
  <c r="L3"/>
  <c r="L4"/>
  <c r="J2"/>
  <c r="J3"/>
  <c r="J4"/>
  <c r="O2" i="5" l="1"/>
  <c r="V2" s="1"/>
  <c r="O4"/>
  <c r="V4" s="1"/>
  <c r="O3"/>
  <c r="V3" s="1"/>
  <c r="P2"/>
  <c r="R2"/>
  <c r="P4"/>
  <c r="R4"/>
  <c r="I6"/>
  <c r="J6" s="1"/>
  <c r="K6" s="1"/>
  <c r="L6" s="1"/>
  <c r="M6"/>
  <c r="N6" s="1"/>
  <c r="Q6"/>
  <c r="U6"/>
  <c r="I7"/>
  <c r="J7" s="1"/>
  <c r="K7" s="1"/>
  <c r="L7" s="1"/>
  <c r="M7"/>
  <c r="N7" s="1"/>
  <c r="Q7"/>
  <c r="U7"/>
  <c r="R3" l="1"/>
  <c r="S3" s="1"/>
  <c r="P3"/>
  <c r="S2"/>
  <c r="T2"/>
  <c r="T4"/>
  <c r="S4"/>
  <c r="O7"/>
  <c r="V7" s="1"/>
  <c r="O6"/>
  <c r="V6" s="1"/>
  <c r="T3" l="1"/>
  <c r="R7"/>
  <c r="T7" s="1"/>
  <c r="P7"/>
  <c r="R6"/>
  <c r="P6"/>
  <c r="S7" l="1"/>
  <c r="S6"/>
  <c r="T6"/>
  <c r="U5"/>
  <c r="Q5" l="1"/>
  <c r="I5"/>
  <c r="J5" s="1"/>
  <c r="K5" s="1"/>
  <c r="M5"/>
  <c r="N5" s="1"/>
  <c r="K3" i="1"/>
  <c r="K4"/>
  <c r="M3"/>
  <c r="N3" s="1"/>
  <c r="O3" s="1"/>
  <c r="M4"/>
  <c r="N4" s="1"/>
  <c r="O4" s="1"/>
  <c r="P3"/>
  <c r="P4"/>
  <c r="Z4" l="1"/>
  <c r="S4"/>
  <c r="T4" s="1"/>
  <c r="Z3"/>
  <c r="S3"/>
  <c r="T3" s="1"/>
  <c r="Q4"/>
  <c r="R4" s="1"/>
  <c r="Q3"/>
  <c r="R3" s="1"/>
  <c r="U3" s="1"/>
  <c r="X3" s="1"/>
  <c r="AA3" s="1"/>
  <c r="L5" i="5"/>
  <c r="O5" s="1"/>
  <c r="V5" s="1"/>
  <c r="K3" i="3"/>
  <c r="L3"/>
  <c r="S3" s="1"/>
  <c r="T3" s="1"/>
  <c r="M3"/>
  <c r="N3"/>
  <c r="O3"/>
  <c r="Q3" s="1"/>
  <c r="P3"/>
  <c r="R3"/>
  <c r="K2"/>
  <c r="L2" s="1"/>
  <c r="S2" s="1"/>
  <c r="T2" s="1"/>
  <c r="M2"/>
  <c r="N2"/>
  <c r="O2"/>
  <c r="P2"/>
  <c r="Q2"/>
  <c r="R2"/>
  <c r="AC2" s="1"/>
  <c r="U4" i="1" l="1"/>
  <c r="X4" s="1"/>
  <c r="AA4" s="1"/>
  <c r="W3"/>
  <c r="V3"/>
  <c r="U3" i="3"/>
  <c r="W3"/>
  <c r="X3" s="1"/>
  <c r="Z3" s="1"/>
  <c r="W2"/>
  <c r="X2" s="1"/>
  <c r="Y2" s="1"/>
  <c r="U2"/>
  <c r="V2"/>
  <c r="V3"/>
  <c r="R5" i="5"/>
  <c r="AC3" i="3"/>
  <c r="P5" i="5"/>
  <c r="E6" i="4"/>
  <c r="H6" s="1"/>
  <c r="K6" s="1"/>
  <c r="F6"/>
  <c r="I6" s="1"/>
  <c r="L6"/>
  <c r="V4" i="1" l="1"/>
  <c r="G6" i="4"/>
  <c r="J6" s="1"/>
  <c r="W4" i="1"/>
  <c r="Y4" s="1"/>
  <c r="Y3" i="3"/>
  <c r="AA3" s="1"/>
  <c r="AB3" s="1"/>
  <c r="Y3" i="1"/>
  <c r="Z2" i="3"/>
  <c r="AA2" s="1"/>
  <c r="AB2" s="1"/>
  <c r="S5" i="5"/>
  <c r="T5"/>
  <c r="M6" i="4" a="1"/>
  <c r="M6" s="1"/>
  <c r="N6" s="1"/>
  <c r="E5"/>
  <c r="F5" s="1"/>
  <c r="I5" s="1"/>
  <c r="L5"/>
  <c r="E4"/>
  <c r="F4" s="1"/>
  <c r="I4" s="1"/>
  <c r="L4"/>
  <c r="E3"/>
  <c r="H3" s="1"/>
  <c r="K3" s="1"/>
  <c r="L3"/>
  <c r="L2"/>
  <c r="E2"/>
  <c r="F2" s="1"/>
  <c r="I2" s="1"/>
  <c r="K2" i="1"/>
  <c r="M2" s="1"/>
  <c r="N2" s="1"/>
  <c r="G3" i="4" l="1"/>
  <c r="J3" s="1"/>
  <c r="F3"/>
  <c r="I3" s="1"/>
  <c r="M3" s="1" a="1"/>
  <c r="M3" s="1"/>
  <c r="H5"/>
  <c r="K5" s="1"/>
  <c r="G5"/>
  <c r="J5" s="1"/>
  <c r="H4"/>
  <c r="K4" s="1"/>
  <c r="G4"/>
  <c r="J4" s="1"/>
  <c r="H2"/>
  <c r="K2" s="1"/>
  <c r="G2"/>
  <c r="J2" s="1"/>
  <c r="C3" i="2"/>
  <c r="C4"/>
  <c r="C5"/>
  <c r="C6"/>
  <c r="C7"/>
  <c r="C2"/>
  <c r="M5" i="4" l="1" a="1"/>
  <c r="M5" s="1"/>
  <c r="N5" s="1"/>
  <c r="S2" i="1"/>
  <c r="T2" s="1"/>
  <c r="O2"/>
  <c r="M4" i="4" a="1"/>
  <c r="M4" s="1"/>
  <c r="N4" s="1"/>
  <c r="N3"/>
  <c r="M2" a="1"/>
  <c r="M2" s="1"/>
  <c r="N2" s="1"/>
  <c r="P2" i="1" l="1"/>
  <c r="Q2"/>
  <c r="R2" s="1"/>
  <c r="U2" s="1"/>
  <c r="W2" s="1"/>
  <c r="Z2" l="1"/>
  <c r="X2"/>
  <c r="AA2" s="1"/>
  <c r="V2"/>
  <c r="Y2" l="1"/>
</calcChain>
</file>

<file path=xl/comments1.xml><?xml version="1.0" encoding="utf-8"?>
<comments xmlns="http://schemas.openxmlformats.org/spreadsheetml/2006/main">
  <authors>
    <author>Engelbert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<sst xmlns="http://schemas.openxmlformats.org/spreadsheetml/2006/main" count="114" uniqueCount="82">
  <si>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</si>
  <si>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</si>
  <si>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</si>
  <si>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</si>
  <si>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</si>
  <si>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</si>
  <si>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</si>
  <si>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</si>
  <si>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</si>
  <si>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</si>
  <si>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</si>
  <si>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</si>
  <si>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</si>
  <si>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</si>
  <si>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</si>
  <si>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</si>
  <si>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</si>
  <si>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</si>
  <si>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</si>
  <si>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</si>
  <si>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</si>
  <si>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</si>
  <si>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</si>
  <si>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</si>
  <si>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</si>
  <si>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</si>
  <si>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</si>
  <si>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</si>
  <si>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BISA3</t>
  </si>
  <si>
    <t>RETORNO</t>
  </si>
  <si>
    <t>RSID3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</si>
  <si>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</si>
  <si>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</si>
  <si>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</si>
  <si>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</si>
  <si>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</si>
  <si>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</si>
  <si>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</si>
  <si>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</si>
  <si>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</si>
  <si>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</si>
  <si>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</si>
  <si>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</si>
  <si>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</si>
  <si>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</si>
  <si>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</si>
  <si>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</si>
  <si>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</si>
  <si>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</si>
  <si>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</si>
  <si>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</si>
  <si>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TGT +</t>
  </si>
  <si>
    <t>BVMF3</t>
  </si>
  <si>
    <t>PETR4</t>
  </si>
  <si>
    <t>PATRIMONIO</t>
  </si>
  <si>
    <t>RISCO/TRADE</t>
  </si>
  <si>
    <t>QTDE TMP 1</t>
  </si>
  <si>
    <t>QTDE 1</t>
  </si>
  <si>
    <t>QTDE TMP 2</t>
  </si>
  <si>
    <t>QTDE 2</t>
  </si>
  <si>
    <t>RISCO MAX</t>
  </si>
  <si>
    <t>COTAÇÃO</t>
  </si>
  <si>
    <t>PROTEÇÃO</t>
  </si>
  <si>
    <t>TARGET</t>
  </si>
  <si>
    <t>LUCRO</t>
  </si>
  <si>
    <t>PESO</t>
  </si>
  <si>
    <t>TGT SALARIO</t>
  </si>
  <si>
    <t>VOLAT.</t>
  </si>
  <si>
    <t>SALÁRIO</t>
  </si>
  <si>
    <t>RENTAB.</t>
  </si>
  <si>
    <t>SALÁRIO MAX</t>
  </si>
  <si>
    <t>EXERCÍCIO</t>
  </si>
  <si>
    <t>% VAR</t>
  </si>
  <si>
    <t>PETRI22</t>
  </si>
  <si>
    <t>PETRI23</t>
  </si>
  <si>
    <t>% LUCRO</t>
  </si>
  <si>
    <t>PETRI21</t>
  </si>
  <si>
    <t>PETRI20</t>
  </si>
  <si>
    <t>PETRI19</t>
  </si>
  <si>
    <t>PETRI18</t>
  </si>
  <si>
    <t>EXT</t>
  </si>
  <si>
    <t>COT. SALAR.</t>
  </si>
</sst>
</file>

<file path=xl/styles.xml><?xml version="1.0" encoding="utf-8"?>
<styleSheet xmlns="http://schemas.openxmlformats.org/spreadsheetml/2006/main">
  <numFmts count="2">
    <numFmt numFmtId="44" formatCode="_(&quot;R$ &quot;* #,##0.00_);_(&quot;R$ &quot;* \(#,##0.00\);_(&quot;R$ &quot;* &quot;-&quot;??_);_(@_)"/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0" fontId="7" fillId="0" borderId="0" xfId="0" applyFont="1"/>
    <xf numFmtId="0" fontId="7" fillId="0" borderId="0" xfId="0" applyFont="1" applyBorder="1"/>
    <xf numFmtId="4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44" fontId="7" fillId="0" borderId="0" xfId="1" applyNumberFormat="1" applyFont="1" applyBorder="1"/>
    <xf numFmtId="4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  <xf numFmtId="44" fontId="9" fillId="0" borderId="0" xfId="1" applyFont="1"/>
    <xf numFmtId="10" fontId="9" fillId="0" borderId="0" xfId="2" applyNumberFormat="1" applyFont="1"/>
    <xf numFmtId="44" fontId="9" fillId="0" borderId="0" xfId="1" applyNumberFormat="1" applyFont="1"/>
    <xf numFmtId="4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  <xf numFmtId="44" fontId="9" fillId="0" borderId="0" xfId="1" applyFont="1" applyBorder="1"/>
    <xf numFmtId="10" fontId="9" fillId="0" borderId="0" xfId="2" applyNumberFormat="1" applyFont="1" applyBorder="1"/>
    <xf numFmtId="44" fontId="9" fillId="0" borderId="0" xfId="1" applyNumberFormat="1" applyFont="1" applyBorder="1"/>
    <xf numFmtId="44" fontId="9" fillId="0" borderId="0" xfId="0" applyNumberFormat="1" applyFont="1" applyBorder="1"/>
    <xf numFmtId="1" fontId="9" fillId="0" borderId="0" xfId="0" applyNumberFormat="1" applyFont="1" applyBorder="1"/>
    <xf numFmtId="2" fontId="9" fillId="0" borderId="0" xfId="1" applyNumberFormat="1" applyFont="1" applyBorder="1"/>
    <xf numFmtId="164" fontId="2" fillId="0" borderId="0" xfId="1" applyNumberFormat="1" applyFont="1"/>
    <xf numFmtId="0" fontId="2" fillId="0" borderId="0" xfId="0" applyNumberFormat="1" applyFont="1"/>
    <xf numFmtId="0" fontId="2" fillId="0" borderId="0" xfId="1" applyNumberFormat="1" applyFont="1"/>
    <xf numFmtId="0" fontId="3" fillId="0" borderId="0" xfId="0" applyFont="1"/>
    <xf numFmtId="10" fontId="1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Y7" totalsRowShown="0" headerRowDxfId="102" dataDxfId="101">
  <autoFilter ref="A1:Y7">
    <filterColumn colId="22"/>
  </autoFilter>
  <sortState ref="A2:Y7">
    <sortCondition ref="C1:C7"/>
  </sortState>
  <tableColumns count="25">
    <tableColumn id="13" name="ATIVO" dataDxfId="100"/>
    <tableColumn id="14" name="COTAÇÃO" dataDxfId="99" dataCellStyle="Moeda"/>
    <tableColumn id="4" name="EXERCÍCIO" dataDxfId="98" dataCellStyle="Moeda"/>
    <tableColumn id="1" name="PATRIMONIO" dataDxfId="97" dataCellStyle="Moeda"/>
    <tableColumn id="2" name="START" dataDxfId="96" dataCellStyle="Moeda"/>
    <tableColumn id="3" name="STOP" dataDxfId="95" dataCellStyle="Moeda"/>
    <tableColumn id="17" name="TARGET" dataDxfId="94" dataCellStyle="Moeda"/>
    <tableColumn id="12" name="VOLAT." dataDxfId="93" dataCellStyle="Porcentagem"/>
    <tableColumn id="22" name="RISCO/TRADE" dataDxfId="92" dataCellStyle="Porcentagem">
      <calculatedColumnFormula>IF([PATRIMONIO] &lt;= SETUP!$A$2, SETUP!$B$2, IF([PATRIMONIO] &lt;= SETUP!$A$3, SETUP!$B$3, IF([PATRIMONIO] &lt;= SETUP!$A$4, SETUP!$B$4, IF([PATRIMONIO] &lt;= SETUP!$A$5, SETUP!$B$5, IF([PATRIMONIO] &lt;= SETUP!$A$6, SETUP!$B$6, SETUP!$B$7)))))</calculatedColumnFormula>
    </tableColumn>
    <tableColumn id="5" name="RISCO" dataDxfId="91" dataCellStyle="Moeda">
      <calculatedColumnFormula>[PATRIMONIO]*[RISCO/TRADE]</calculatedColumnFormula>
    </tableColumn>
    <tableColumn id="6" name="QTDE TMP 1" dataDxfId="90" dataCellStyle="Moeda">
      <calculatedColumnFormula>ROUNDDOWN([RISCO]/ABS([START]-[STOP]),0)</calculatedColumnFormula>
    </tableColumn>
    <tableColumn id="7" name="QTDE 1" dataDxfId="89" dataCellStyle="Moeda">
      <calculatedColumnFormula>[QTDE TMP 1]-MOD([QTDE TMP 1],100)</calculatedColumnFormula>
    </tableColumn>
    <tableColumn id="8" name="QTDE TMP 2" dataDxfId="88">
      <calculatedColumnFormula>ROUNDDOWN([PATRIMONIO]/3/[START],0)</calculatedColumnFormula>
    </tableColumn>
    <tableColumn id="9" name="QTDE 2" dataDxfId="87">
      <calculatedColumnFormula>[QTDE TMP 2]-MOD([QTDE TMP 2],100)</calculatedColumnFormula>
    </tableColumn>
    <tableColumn id="10" name="QTDE" dataDxfId="86">
      <calculatedColumnFormula>SMALL(Tabela4[[#This Row],[QTDE 1]]:Tabela4[[#This Row],[QTDE 2]],1)</calculatedColumnFormula>
    </tableColumn>
    <tableColumn id="11" name="RISCO MAX" dataDxfId="85" dataCellStyle="Moeda">
      <calculatedColumnFormula>[QTDE]*[START]</calculatedColumnFormula>
    </tableColumn>
    <tableColumn id="15" name="PROTEÇÃO" dataDxfId="84" dataCellStyle="Moeda">
      <calculatedColumnFormula>IF([TARGET] &gt; [START], (1+([VOLAT.]/10*1.5/3)) * [COTAÇÃO], (1-([VOLAT.]/10*1.5/3)) * [COTAÇÃO])</calculatedColumnFormula>
    </tableColumn>
    <tableColumn id="19" name="LUCRO" dataDxfId="83" dataCellStyle="Moeda">
      <calculatedColumnFormula>[QTDE]*ABS([TARGET]-[START])</calculatedColumnFormula>
    </tableColumn>
    <tableColumn id="20" name="RENTAB." dataDxfId="82" dataCellStyle="Porcentagem">
      <calculatedColumnFormula>[LUCRO]/[PATRIMONIO]</calculatedColumnFormula>
    </tableColumn>
    <tableColumn id="21" name="PESO" dataDxfId="81" dataCellStyle="Moeda">
      <calculatedColumnFormula>[LUCRO]/[RISCO]</calculatedColumnFormula>
    </tableColumn>
    <tableColumn id="26" name="SALÁRIO" dataDxfId="80" dataCellStyle="Moeda">
      <calculatedColumnFormula>IF(([PATRIMONIO]*3%) &gt; SETUP!$D$2, SETUP!$D$2, [PATRIMONIO]*3%)</calculatedColumnFormula>
    </tableColumn>
    <tableColumn id="23" name="TGT SALARIO" dataDxfId="79" dataCellStyle="Moeda">
      <calculatedColumnFormula>([SALÁRIO]/ (80% * [QTDE]))+[START]</calculatedColumnFormula>
    </tableColumn>
    <tableColumn id="25" name="COT. SALAR." dataDxfId="1" dataCellStyle="Moeda">
      <calculatedColumnFormula>[EXERCÍCIO]+[TARGET]</calculatedColumnFormula>
    </tableColumn>
    <tableColumn id="16" name="% VAR" dataDxfId="0" dataCellStyle="Porcentagem">
      <calculatedColumnFormula>IF([EXERCÍCIO] &gt; 0, [COT. SALAR.],[TARGET])/[COTAÇÃO]-1</calculatedColumnFormula>
    </tableColumn>
    <tableColumn id="18" name="EXT" dataDxfId="78" dataCellStyle="Moeda">
      <calculatedColumnFormula>IF([EXERCÍCIO]&gt;0,IF([COTAÇÃO]&gt;[EXERCÍCIO],[START] - ([COTAÇÃO]-[EXERCÍCIO]),[START]))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A4" totalsRowShown="0" headerRowDxfId="77" dataDxfId="76">
  <autoFilter ref="A1:AA4"/>
  <tableColumns count="27">
    <tableColumn id="31" name="ATIVO" dataDxfId="75"/>
    <tableColumn id="5" name="PATRIM." dataDxfId="74" dataCellStyle="Moeda"/>
    <tableColumn id="1" name="INICIO" dataDxfId="73" dataCellStyle="Moeda"/>
    <tableColumn id="2" name="FIM" dataDxfId="72" dataCellStyle="Moeda"/>
    <tableColumn id="35" name="TGT +" dataDxfId="71" dataCellStyle="Moeda"/>
    <tableColumn id="9" name="% START" dataDxfId="70" dataCellStyle="Porcentagem"/>
    <tableColumn id="11" name="% STOP" dataDxfId="69" dataCellStyle="Porcentagem"/>
    <tableColumn id="10" name="% TGT" dataDxfId="68" dataCellStyle="Porcentagem"/>
    <tableColumn id="13" name="% IN" dataDxfId="67" dataCellStyle="Porcentagem"/>
    <tableColumn id="8" name="RISCO" dataDxfId="66" dataCellStyle="Moeda">
      <calculatedColumnFormula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calculatedColumnFormula>
    </tableColumn>
    <tableColumn id="3" name="PERNA" dataDxfId="65" dataCellStyle="Moeda">
      <calculatedColumnFormula>IF([INICIO] &lt; [FIM], [FIM] - [INICIO], [INICIO] - [FIM])</calculatedColumnFormula>
    </tableColumn>
    <tableColumn id="4" name="% PERNA" dataDxfId="64" dataCellStyle="Porcentagem">
      <calculatedColumnFormula>([FIM] / [INICIO] - 1)</calculatedColumnFormula>
    </tableColumn>
    <tableColumn id="15" name="RETORNO" dataDxfId="63" dataCellStyle="Moeda">
      <calculatedColumnFormula>ABS([PERNA] * [% IN] + IF([INICIO] &lt; [FIM], - [FIM], + [FIM]))</calculatedColumnFormula>
    </tableColumn>
    <tableColumn id="16" name="START" dataDxfId="62" dataCellStyle="Moeda">
      <calculatedColumnFormula>TRUNC([RETORNO] * IF([INICIO] &lt; [FIM], (1 - ABS([% PERNA]) * [% START] * 10), (1 + ABS([% PERNA]) * [% START] * 10)), 2)</calculatedColumnFormula>
    </tableColumn>
    <tableColumn id="17" name="STOP" dataDxfId="61">
      <calculatedColumnFormula>TRUNC([START] * IF([INICIO] &lt; [FIM], (1 - ABS([% PERNA]) * [% STOP] * 10), (1 + ABS([% PERNA]) * [% STOP] * 10)), 2)</calculatedColumnFormula>
    </tableColumn>
    <tableColumn id="20" name="TGT" dataDxfId="60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59">
      <calculatedColumnFormula>ROUNDDOWN([RISCO] / (ABS([START] - [STOP])), 0)</calculatedColumnFormula>
    </tableColumn>
    <tableColumn id="22" name="QTDE A" dataDxfId="58">
      <calculatedColumnFormula>[QTDE TMP] - MOD([QTDE TMP], 100)</calculatedColumnFormula>
    </tableColumn>
    <tableColumn id="34" name="QTDE MAX TMP" dataDxfId="57">
      <calculatedColumnFormula>([PATRIM.] / 3) / [START]</calculatedColumnFormula>
    </tableColumn>
    <tableColumn id="33" name="QTDE MAX" dataDxfId="56">
      <calculatedColumnFormula>[QTDE MAX TMP] - MOD([QTDE MAX TMP], 100)</calculatedColumnFormula>
    </tableColumn>
    <tableColumn id="32" name="QTDE" dataDxfId="55">
      <calculatedColumnFormula>MIN(Tabela1[[#This Row],[QTDE A]], Tabela1[[#This Row],[QTDE MAX]])</calculatedColumnFormula>
    </tableColumn>
    <tableColumn id="23" name="VOLUME" dataDxfId="54">
      <calculatedColumnFormula>[QTDE] * [START]</calculatedColumnFormula>
    </tableColumn>
    <tableColumn id="24" name="PERDA" dataDxfId="53">
      <calculatedColumnFormula>ABS([START] - [STOP]) * [QTDE] + 30</calculatedColumnFormula>
    </tableColumn>
    <tableColumn id="26" name="LUCRO" dataDxfId="52">
      <calculatedColumnFormula>ABS([TGT] - [START]) * [QTDE]</calculatedColumnFormula>
    </tableColumn>
    <tableColumn id="30" name="RISCO:1" dataDxfId="51" dataCellStyle="Moeda">
      <calculatedColumnFormula>[LUCRO] / [PERDA]</calculatedColumnFormula>
    </tableColumn>
    <tableColumn id="14" name="% 85" dataDxfId="50" dataCellStyle="Moeda">
      <calculatedColumnFormula>IF([INICIO] &lt; [FIM], [START] + ABS([TGT] - [START]) * 85%, [START] - ABS([TGT] - [START]) * 85%)</calculatedColumnFormula>
    </tableColumn>
    <tableColumn id="6" name="% LUCRO" dataDxfId="49" dataCellStyle="Porcentagem">
      <calculatedColumnFormula>[LUCRO]/[PATRIM.]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13" displayName="Tabela13" ref="A1:AC3" totalsRowShown="0" headerRowDxfId="48" dataDxfId="47">
  <autoFilter ref="A1:AC3"/>
  <tableColumns count="29">
    <tableColumn id="31" name="ATIVO" dataDxfId="46"/>
    <tableColumn id="5" name="PATRIM." dataDxfId="45" dataCellStyle="Moeda"/>
    <tableColumn id="6" name="AGE" dataDxfId="44" dataCellStyle="Moeda"/>
    <tableColumn id="1" name="INICIO" dataDxfId="43" dataCellStyle="Moeda"/>
    <tableColumn id="2" name="MEIO" dataDxfId="42" dataCellStyle="Moeda"/>
    <tableColumn id="32" name="FIM" dataDxfId="41" dataCellStyle="Moeda"/>
    <tableColumn id="34" name="CDL H" dataDxfId="40" dataCellStyle="Moeda"/>
    <tableColumn id="33" name="CDL L" dataDxfId="39" dataCellStyle="Moeda"/>
    <tableColumn id="12" name="% VOL" dataDxfId="38" dataCellStyle="Porcentagem"/>
    <tableColumn id="19" name="PER" dataDxfId="37" dataCellStyle="Porcentagem"/>
    <tableColumn id="7" name="BASE RV" dataDxfId="36" dataCellStyle="Moeda">
      <calculatedColumnFormula>[PATRIM.] * (1 - [AGE] / 100)</calculatedColumnFormula>
    </tableColumn>
    <tableColumn id="8" name="RISCO" dataDxfId="35" dataCellStyle="Moeda">
      <calculatedColumnFormula>IF([BASE RV] &lt; SETUP!$A$2, [BASE RV] * SETUP!$B$2, IF([BASE RV] &lt; SETUP!$A$3, [BASE RV] * SETUP!$B$3, 0))</calculatedColumnFormula>
    </tableColumn>
    <tableColumn id="3" name="PERNA" dataDxfId="34" dataCellStyle="Moeda">
      <calculatedColumnFormula>IF([INICIO] &lt; [MEIO], [MEIO] - [INICIO], [INICIO] - [MEIO])</calculatedColumnFormula>
    </tableColumn>
    <tableColumn id="4" name="% PERNA" dataDxfId="33" dataCellStyle="Porcentagem">
      <calculatedColumnFormula>[MEIO] / [INICIO] - 1</calculatedColumnFormula>
    </tableColumn>
    <tableColumn id="16" name="START" dataDxfId="32" dataCellStyle="Moeda">
      <calculatedColumnFormula>IF([INICIO] &lt; [MEIO], [CDL H] + 0.02, [CDL L] - 0.02)</calculatedColumnFormula>
    </tableColumn>
    <tableColumn id="17" name="STOP" dataDxfId="31">
      <calculatedColumnFormula>IF([INICIO] &lt; [MEIO], [CDL L] - 0.02, [CDL H] + 0.02)</calculatedColumnFormula>
    </tableColumn>
    <tableColumn id="18" name="PARCIAL" dataDxfId="30">
      <calculatedColumnFormula>[START] * IF([INICIO] &lt; [MEIO], (1 + [% VOL] / 10 * 1.5 * [PER]), (1 - [% VOL] / 10 * 1.5 * [PER]))</calculatedColumnFormula>
    </tableColumn>
    <tableColumn id="20" name="TGT" dataDxfId="29">
      <calculatedColumnFormula>IF([INICIO] &lt; [MEIO],  [FIM] + ([MEIO] - [INICIO]), [FIM] - ([INICIO] - [MEIO]))</calculatedColumnFormula>
    </tableColumn>
    <tableColumn id="21" name="QTDE TMP" dataDxfId="28">
      <calculatedColumnFormula>ROUNDDOWN([RISCO] / (ABS([CDL H] - [CDL L])), 0)</calculatedColumnFormula>
    </tableColumn>
    <tableColumn id="22" name="QTDE" dataDxfId="27">
      <calculatedColumnFormula>[QTDE TMP] - MOD([QTDE TMP], 100)</calculatedColumnFormula>
    </tableColumn>
    <tableColumn id="23" name="VOLUME" dataDxfId="26">
      <calculatedColumnFormula>[QTDE] * [START]</calculatedColumnFormula>
    </tableColumn>
    <tableColumn id="24" name="PERDA" dataDxfId="25">
      <calculatedColumnFormula>ABS([START] - [STOP]) * [QTDE]</calculatedColumnFormula>
    </tableColumn>
    <tableColumn id="27" name="QTDE PAR TMP" dataDxfId="24" dataCellStyle="Moeda">
      <calculatedColumnFormula>[QTDE] / 2</calculatedColumnFormula>
    </tableColumn>
    <tableColumn id="28" name="QTDE PAR" dataDxfId="23" dataCellStyle="Moeda">
      <calculatedColumnFormula>[QTDE PAR TMP] + MOD([QTDE PAR TMP], 100)</calculatedColumnFormula>
    </tableColumn>
    <tableColumn id="25" name="LUCRO PAR" dataDxfId="22">
      <calculatedColumnFormula>ABS([PARCIAL] - [START]) * [QTDE PAR]</calculatedColumnFormula>
    </tableColumn>
    <tableColumn id="29" name="QTDE ALVO" dataDxfId="21" dataCellStyle="Moeda">
      <calculatedColumnFormula>[QTDE] - [QTDE PAR]</calculatedColumnFormula>
    </tableColumn>
    <tableColumn id="26" name="LUCRO ALVO" dataDxfId="20">
      <calculatedColumnFormula>ABS([TGT] - [START]) * [QTDE ALVO] + [LUCRO PAR]</calculatedColumnFormula>
    </tableColumn>
    <tableColumn id="30" name="RISCO:1" dataDxfId="19" dataCellStyle="Moeda">
      <calculatedColumnFormula>[LUCRO ALVO] / [PERDA]</calculatedColumnFormula>
    </tableColumn>
    <tableColumn id="14" name="% 85" dataDxfId="18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N6" totalsRowShown="0" headerRowDxfId="17" dataDxfId="16">
  <autoFilter ref="A1:N6"/>
  <tableColumns count="14">
    <tableColumn id="1" name="ATIVO" dataDxfId="15"/>
    <tableColumn id="2" name="INICIO" dataDxfId="14" dataCellStyle="Moeda"/>
    <tableColumn id="3" name="FIM" dataDxfId="13" dataCellStyle="Moeda"/>
    <tableColumn id="4" name="INFLEXAO MAX" dataDxfId="12" dataCellStyle="Moeda"/>
    <tableColumn id="9" name="PERNA" dataDxfId="11" dataCellStyle="Moeda">
      <calculatedColumnFormula>[INICIO]-[FIM]</calculatedColumnFormula>
    </tableColumn>
    <tableColumn id="8" name="33%" dataDxfId="10" dataCellStyle="Moeda">
      <calculatedColumnFormula>ROUND([PERNA] * 33%, 2) + [FIM]</calculatedColumnFormula>
    </tableColumn>
    <tableColumn id="7" name="50%" dataDxfId="9" dataCellStyle="Moeda">
      <calculatedColumnFormula>ROUND([PERNA] * 50%, 2) + [FIM]</calculatedColumnFormula>
    </tableColumn>
    <tableColumn id="6" name="60%" dataDxfId="8" dataCellStyle="Moeda">
      <calculatedColumnFormula>ROUND([PERNA] * 60%, 2) + [FIM]</calculatedColumnFormula>
    </tableColumn>
    <tableColumn id="12" name="DIF 33%" dataDxfId="7" dataCellStyle="Porcentagem">
      <calculatedColumnFormula>[INFLEXAO MAX]/[33%] - 1</calculatedColumnFormula>
    </tableColumn>
    <tableColumn id="11" name="DIF 50%" dataDxfId="6" dataCellStyle="Porcentagem">
      <calculatedColumnFormula>[INFLEXAO MAX]/[50%] - 1</calculatedColumnFormula>
    </tableColumn>
    <tableColumn id="10" name="DIF 60%" dataDxfId="5" dataCellStyle="Porcentagem">
      <calculatedColumnFormula>[INFLEXAO MAX]/[60%] - 1</calculatedColumnFormula>
    </tableColumn>
    <tableColumn id="13" name="% PERNA" dataDxfId="4" dataCellStyle="Porcentagem">
      <calculatedColumnFormula>1 - [FIM]/[INICIO]</calculatedColumnFormula>
    </tableColumn>
    <tableColumn id="5" name="% INFLEXÃO" dataDxfId="3" dataCellStyle="Porcentagem">
      <calculatedColumnFormula array="1">MIN(IF(Tabela3[[#This Row],[DIF 33%]:[DIF 60%]] &gt; 0, Tabela3[[#This Row],[DIF 33%]:[DIF 60%]]))</calculatedColumnFormula>
    </tableColumn>
    <tableColumn id="14" name="PERNA 10%" dataDxfId="2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8" sqref="G8"/>
    </sheetView>
  </sheetViews>
  <sheetFormatPr defaultRowHeight="11.25"/>
  <cols>
    <col min="1" max="1" width="7.7109375" style="1" bestFit="1" customWidth="1"/>
    <col min="2" max="2" width="9.5703125" style="1" bestFit="1" customWidth="1"/>
    <col min="3" max="3" width="9.85546875" style="1" bestFit="1" customWidth="1"/>
    <col min="4" max="4" width="12.85546875" style="1" bestFit="1" customWidth="1"/>
    <col min="5" max="5" width="7.140625" style="1" bestFit="1" customWidth="1"/>
    <col min="6" max="6" width="6.85546875" style="1" bestFit="1" customWidth="1"/>
    <col min="7" max="7" width="8.140625" style="1" bestFit="1" customWidth="1"/>
    <col min="8" max="8" width="8" style="1" bestFit="1" customWidth="1"/>
    <col min="9" max="9" width="8.5703125" style="1" hidden="1" customWidth="1"/>
    <col min="10" max="10" width="8.5703125" style="1" bestFit="1" customWidth="1"/>
    <col min="11" max="14" width="6.7109375" style="1" hidden="1" customWidth="1"/>
    <col min="15" max="15" width="6.7109375" style="1" bestFit="1" customWidth="1"/>
    <col min="16" max="16" width="10.5703125" style="1" bestFit="1" customWidth="1"/>
    <col min="17" max="17" width="10.140625" style="1" bestFit="1" customWidth="1"/>
    <col min="18" max="18" width="8.5703125" style="1" bestFit="1" customWidth="1"/>
    <col min="19" max="19" width="8.7109375" style="1" bestFit="1" customWidth="1"/>
    <col min="20" max="20" width="6.42578125" style="2" bestFit="1" customWidth="1"/>
    <col min="21" max="21" width="8.85546875" style="1" bestFit="1" customWidth="1"/>
    <col min="22" max="22" width="11.5703125" style="2" bestFit="1" customWidth="1"/>
    <col min="23" max="23" width="11.140625" style="1" bestFit="1" customWidth="1"/>
    <col min="24" max="24" width="6.85546875" style="1" bestFit="1" customWidth="1"/>
    <col min="25" max="16384" width="9.140625" style="1"/>
  </cols>
  <sheetData>
    <row r="1" spans="1:25">
      <c r="A1" s="1" t="s">
        <v>27</v>
      </c>
      <c r="B1" s="1" t="s">
        <v>61</v>
      </c>
      <c r="C1" s="1" t="s">
        <v>71</v>
      </c>
      <c r="D1" s="1" t="s">
        <v>54</v>
      </c>
      <c r="E1" s="1" t="s">
        <v>9</v>
      </c>
      <c r="F1" s="1" t="s">
        <v>10</v>
      </c>
      <c r="G1" s="1" t="s">
        <v>63</v>
      </c>
      <c r="H1" s="1" t="s">
        <v>67</v>
      </c>
      <c r="I1" s="1" t="s">
        <v>55</v>
      </c>
      <c r="J1" s="1" t="s">
        <v>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14</v>
      </c>
      <c r="P1" s="1" t="s">
        <v>60</v>
      </c>
      <c r="Q1" s="1" t="s">
        <v>62</v>
      </c>
      <c r="R1" s="1" t="s">
        <v>64</v>
      </c>
      <c r="S1" s="1" t="s">
        <v>69</v>
      </c>
      <c r="T1" s="1" t="s">
        <v>65</v>
      </c>
      <c r="U1" s="58" t="s">
        <v>68</v>
      </c>
      <c r="V1" s="1" t="s">
        <v>66</v>
      </c>
      <c r="W1" s="1" t="s">
        <v>81</v>
      </c>
      <c r="X1" s="1" t="s">
        <v>72</v>
      </c>
      <c r="Y1" s="1" t="s">
        <v>80</v>
      </c>
    </row>
    <row r="2" spans="1:25">
      <c r="A2" s="1" t="s">
        <v>79</v>
      </c>
      <c r="B2" s="2">
        <v>21.24</v>
      </c>
      <c r="C2" s="2">
        <v>17.829999999999998</v>
      </c>
      <c r="D2" s="2">
        <v>5000</v>
      </c>
      <c r="E2" s="2">
        <v>3.48</v>
      </c>
      <c r="F2" s="2">
        <v>3.32</v>
      </c>
      <c r="G2" s="2">
        <v>4.1100000000000003</v>
      </c>
      <c r="H2" s="4">
        <v>0.27379999999999999</v>
      </c>
      <c r="I2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2" s="12">
        <f>[PATRIMONIO]*[RISCO/TRADE]</f>
        <v>50</v>
      </c>
      <c r="K2" s="6">
        <f>ROUNDDOWN([RISCO]/ABS([START]-[STOP]),0)</f>
        <v>312</v>
      </c>
      <c r="L2" s="6">
        <f>[QTDE TMP 1]-MOD([QTDE TMP 1],100)</f>
        <v>300</v>
      </c>
      <c r="M2" s="1">
        <f>ROUNDDOWN([PATRIMONIO]/3/[START],0)</f>
        <v>478</v>
      </c>
      <c r="N2" s="1">
        <f>[QTDE TMP 2]-MOD([QTDE TMP 2],100)</f>
        <v>400</v>
      </c>
      <c r="O2" s="57">
        <f>SMALL(Tabela4[[#This Row],[QTDE 1]]:Tabela4[[#This Row],[QTDE 2]],1)</f>
        <v>300</v>
      </c>
      <c r="P2" s="2">
        <f>[QTDE]*[START]</f>
        <v>1044</v>
      </c>
      <c r="Q2" s="12">
        <f>IF([TARGET] &gt; [START], (1+([VOLAT.]/10*1.5/3)) * [COTAÇÃO], (1-([VOLAT.]/10*1.5/3)) * [COTAÇÃO])</f>
        <v>21.530775599999998</v>
      </c>
      <c r="R2" s="12">
        <f>[QTDE]*ABS([TARGET]-[START])</f>
        <v>189.00000000000011</v>
      </c>
      <c r="S2" s="4">
        <f>[LUCRO]/[PATRIMONIO]</f>
        <v>3.7800000000000021E-2</v>
      </c>
      <c r="T2" s="56">
        <f>[LUCRO]/[RISCO]</f>
        <v>3.7800000000000025</v>
      </c>
      <c r="U2" s="12">
        <f>IF(([PATRIMONIO]*3%) &gt; SETUP!$D$2, SETUP!$D$2, [PATRIMONIO]*3%)</f>
        <v>150</v>
      </c>
      <c r="V2" s="12">
        <f>([SALÁRIO]/ (80% * [QTDE]))+[START]</f>
        <v>4.1050000000000004</v>
      </c>
      <c r="W2" s="12">
        <f>[EXERCÍCIO]+[TARGET]</f>
        <v>21.939999999999998</v>
      </c>
      <c r="X2" s="4">
        <f>IF([EXERCÍCIO] &gt; 0, [COT. SALAR.],[TARGET])/[COTAÇÃO]-1</f>
        <v>3.2956685499058391E-2</v>
      </c>
      <c r="Y2" s="12">
        <f>IF([EXERCÍCIO]&gt;0,IF([COTAÇÃO]&gt;[EXERCÍCIO],[START] - ([COTAÇÃO]-[EXERCÍCIO]),[START]))</f>
        <v>6.999999999999984E-2</v>
      </c>
    </row>
    <row r="3" spans="1:25">
      <c r="A3" s="1" t="s">
        <v>78</v>
      </c>
      <c r="B3" s="2">
        <v>21.24</v>
      </c>
      <c r="C3" s="2">
        <v>19</v>
      </c>
      <c r="D3" s="2">
        <v>5000</v>
      </c>
      <c r="E3" s="2">
        <v>2.37</v>
      </c>
      <c r="F3" s="2">
        <v>2.1800000000000002</v>
      </c>
      <c r="G3" s="2">
        <v>3.31</v>
      </c>
      <c r="H3" s="4">
        <v>0.27379999999999999</v>
      </c>
      <c r="I3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3" s="12">
        <f>[PATRIMONIO]*[RISCO/TRADE]</f>
        <v>50</v>
      </c>
      <c r="K3" s="6">
        <f>ROUNDDOWN([RISCO]/ABS([START]-[STOP]),0)</f>
        <v>263</v>
      </c>
      <c r="L3" s="6">
        <f>[QTDE TMP 1]-MOD([QTDE TMP 1],100)</f>
        <v>200</v>
      </c>
      <c r="M3" s="1">
        <f>ROUNDDOWN([PATRIMONIO]/3/[START],0)</f>
        <v>703</v>
      </c>
      <c r="N3" s="1">
        <f>[QTDE TMP 2]-MOD([QTDE TMP 2],100)</f>
        <v>700</v>
      </c>
      <c r="O3" s="57">
        <f>SMALL(Tabela4[[#This Row],[QTDE 1]]:Tabela4[[#This Row],[QTDE 2]],1)</f>
        <v>200</v>
      </c>
      <c r="P3" s="2">
        <f>[QTDE]*[START]</f>
        <v>474</v>
      </c>
      <c r="Q3" s="12">
        <f>IF([TARGET] &gt; [START], (1+([VOLAT.]/10*1.5/3)) * [COTAÇÃO], (1-([VOLAT.]/10*1.5/3)) * [COTAÇÃO])</f>
        <v>21.530775599999998</v>
      </c>
      <c r="R3" s="12">
        <f>[QTDE]*ABS([TARGET]-[START])</f>
        <v>188</v>
      </c>
      <c r="S3" s="4">
        <f>[LUCRO]/[PATRIMONIO]</f>
        <v>3.7600000000000001E-2</v>
      </c>
      <c r="T3" s="56">
        <f>[LUCRO]/[RISCO]</f>
        <v>3.76</v>
      </c>
      <c r="U3" s="12">
        <f>IF(([PATRIMONIO]*3%) &gt; SETUP!$D$2, SETUP!$D$2, [PATRIMONIO]*3%)</f>
        <v>150</v>
      </c>
      <c r="V3" s="12">
        <f>([SALÁRIO]/ (80% * [QTDE]))+[START]</f>
        <v>3.3075000000000001</v>
      </c>
      <c r="W3" s="12">
        <f>[EXERCÍCIO]+[TARGET]</f>
        <v>22.31</v>
      </c>
      <c r="X3" s="4">
        <f>IF([EXERCÍCIO] &gt; 0, [COT. SALAR.],[TARGET])/[COTAÇÃO]-1</f>
        <v>5.0376647834274868E-2</v>
      </c>
      <c r="Y3" s="12">
        <f>IF([EXERCÍCIO]&gt;0,IF([COTAÇÃO]&gt;[EXERCÍCIO],[START] - ([COTAÇÃO]-[EXERCÍCIO]),[START]))</f>
        <v>0.13000000000000167</v>
      </c>
    </row>
    <row r="4" spans="1:25">
      <c r="A4" s="1" t="s">
        <v>77</v>
      </c>
      <c r="B4" s="2">
        <v>21.24</v>
      </c>
      <c r="C4" s="2">
        <v>19.829999999999998</v>
      </c>
      <c r="D4" s="2">
        <v>5000</v>
      </c>
      <c r="E4" s="2">
        <v>1.66</v>
      </c>
      <c r="F4" s="2">
        <v>1.43</v>
      </c>
      <c r="G4" s="2">
        <v>2.6</v>
      </c>
      <c r="H4" s="4">
        <v>0.27379999999999999</v>
      </c>
      <c r="I4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4" s="12">
        <f>[PATRIMONIO]*[RISCO/TRADE]</f>
        <v>50</v>
      </c>
      <c r="K4" s="6">
        <f>ROUNDDOWN([RISCO]/ABS([START]-[STOP]),0)</f>
        <v>217</v>
      </c>
      <c r="L4" s="6">
        <f>[QTDE TMP 1]-MOD([QTDE TMP 1],100)</f>
        <v>200</v>
      </c>
      <c r="M4" s="1">
        <f>ROUNDDOWN([PATRIMONIO]/3/[START],0)</f>
        <v>1004</v>
      </c>
      <c r="N4" s="1">
        <f>[QTDE TMP 2]-MOD([QTDE TMP 2],100)</f>
        <v>1000</v>
      </c>
      <c r="O4" s="57">
        <f>SMALL(Tabela4[[#This Row],[QTDE 1]]:Tabela4[[#This Row],[QTDE 2]],1)</f>
        <v>200</v>
      </c>
      <c r="P4" s="2">
        <f>[QTDE]*[START]</f>
        <v>332</v>
      </c>
      <c r="Q4" s="12">
        <f>IF([TARGET] &gt; [START], (1+([VOLAT.]/10*1.5/3)) * [COTAÇÃO], (1-([VOLAT.]/10*1.5/3)) * [COTAÇÃO])</f>
        <v>21.530775599999998</v>
      </c>
      <c r="R4" s="12">
        <f>[QTDE]*ABS([TARGET]-[START])</f>
        <v>188.00000000000003</v>
      </c>
      <c r="S4" s="4">
        <f>[LUCRO]/[PATRIMONIO]</f>
        <v>3.7600000000000008E-2</v>
      </c>
      <c r="T4" s="56">
        <f>[LUCRO]/[RISCO]</f>
        <v>3.7600000000000007</v>
      </c>
      <c r="U4" s="12">
        <f>IF(([PATRIMONIO]*3%) &gt; SETUP!$D$2, SETUP!$D$2, [PATRIMONIO]*3%)</f>
        <v>150</v>
      </c>
      <c r="V4" s="12">
        <f>([SALÁRIO]/ (80% * [QTDE]))+[START]</f>
        <v>2.5975000000000001</v>
      </c>
      <c r="W4" s="12">
        <f>[EXERCÍCIO]+[TARGET]</f>
        <v>22.43</v>
      </c>
      <c r="X4" s="4">
        <f>IF([EXERCÍCIO] &gt; 0, [COT. SALAR.],[TARGET])/[COTAÇÃO]-1</f>
        <v>5.6026365348399221E-2</v>
      </c>
      <c r="Y4" s="12">
        <f>IF([EXERCÍCIO]&gt;0,IF([COTAÇÃO]&gt;[EXERCÍCIO],[START] - ([COTAÇÃO]-[EXERCÍCIO]),[START]))</f>
        <v>0.24999999999999978</v>
      </c>
    </row>
    <row r="5" spans="1:25">
      <c r="A5" s="58" t="s">
        <v>76</v>
      </c>
      <c r="B5" s="2">
        <v>21.24</v>
      </c>
      <c r="C5" s="2">
        <v>21</v>
      </c>
      <c r="D5" s="2">
        <v>5000</v>
      </c>
      <c r="E5" s="2">
        <v>0.7</v>
      </c>
      <c r="F5" s="2">
        <v>0.56999999999999995</v>
      </c>
      <c r="G5" s="2">
        <v>1.33</v>
      </c>
      <c r="H5" s="4">
        <v>0.27379999999999999</v>
      </c>
      <c r="I5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5" s="2">
        <f>[PATRIMONIO]*[RISCO/TRADE]</f>
        <v>50</v>
      </c>
      <c r="K5" s="6">
        <f>ROUNDDOWN([RISCO]/ABS([START]-[STOP]),0)</f>
        <v>384</v>
      </c>
      <c r="L5" s="6">
        <f>[QTDE TMP 1]-MOD([QTDE TMP 1],100)</f>
        <v>300</v>
      </c>
      <c r="M5" s="6">
        <f>ROUNDDOWN([PATRIMONIO]/3/[START],0)</f>
        <v>2380</v>
      </c>
      <c r="N5" s="6">
        <f>[QTDE TMP 2]-MOD([QTDE TMP 2],100)</f>
        <v>2300</v>
      </c>
      <c r="O5" s="57">
        <f>SMALL(Tabela4[[#This Row],[QTDE 1]]:Tabela4[[#This Row],[QTDE 2]],1)</f>
        <v>300</v>
      </c>
      <c r="P5" s="2">
        <f>[QTDE]*[START]</f>
        <v>210</v>
      </c>
      <c r="Q5" s="2">
        <f>IF([TARGET] &gt; [START], (1+([VOLAT.]/10*1.5/3)) * [COTAÇÃO], (1-([VOLAT.]/10*1.5/3)) * [COTAÇÃO])</f>
        <v>21.530775599999998</v>
      </c>
      <c r="R5" s="2">
        <f>[QTDE]*ABS([TARGET]-[START])</f>
        <v>189.00000000000003</v>
      </c>
      <c r="S5" s="4">
        <f>[LUCRO]/[PATRIMONIO]</f>
        <v>3.7800000000000007E-2</v>
      </c>
      <c r="T5" s="56">
        <f>[LUCRO]/[RISCO]</f>
        <v>3.7800000000000007</v>
      </c>
      <c r="U5" s="2">
        <f>IF(([PATRIMONIO]*3%) &gt; SETUP!$D$2, SETUP!$D$2, [PATRIMONIO]*3%)</f>
        <v>150</v>
      </c>
      <c r="V5" s="2">
        <f>([SALÁRIO]/ (80% * [QTDE]))+[START]</f>
        <v>1.325</v>
      </c>
      <c r="W5" s="2">
        <f>[EXERCÍCIO]+[TARGET]</f>
        <v>22.33</v>
      </c>
      <c r="X5" s="4">
        <f>IF([EXERCÍCIO] &gt; 0, [COT. SALAR.],[TARGET])/[COTAÇÃO]-1</f>
        <v>5.1318267419962371E-2</v>
      </c>
      <c r="Y5" s="12">
        <f>IF([EXERCÍCIO]&gt;0,IF([COTAÇÃO]&gt;[EXERCÍCIO],[START] - ([COTAÇÃO]-[EXERCÍCIO]),[START]))</f>
        <v>0.46000000000000152</v>
      </c>
    </row>
    <row r="6" spans="1:25">
      <c r="A6" s="1" t="s">
        <v>73</v>
      </c>
      <c r="B6" s="2">
        <v>21.24</v>
      </c>
      <c r="C6" s="2">
        <v>21.83</v>
      </c>
      <c r="D6" s="2">
        <v>5000</v>
      </c>
      <c r="E6" s="2">
        <v>0.31</v>
      </c>
      <c r="F6" s="2">
        <v>0.21</v>
      </c>
      <c r="G6" s="2">
        <v>0.69</v>
      </c>
      <c r="H6" s="4">
        <v>0.27379999999999999</v>
      </c>
      <c r="I6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6" s="12">
        <f>[PATRIMONIO]*[RISCO/TRADE]</f>
        <v>50</v>
      </c>
      <c r="K6" s="6">
        <f>ROUNDDOWN([RISCO]/ABS([START]-[STOP]),0)</f>
        <v>500</v>
      </c>
      <c r="L6" s="6">
        <f>[QTDE TMP 1]-MOD([QTDE TMP 1],100)</f>
        <v>500</v>
      </c>
      <c r="M6" s="1">
        <f>ROUNDDOWN([PATRIMONIO]/3/[START],0)</f>
        <v>5376</v>
      </c>
      <c r="N6" s="1">
        <f>[QTDE TMP 2]-MOD([QTDE TMP 2],100)</f>
        <v>5300</v>
      </c>
      <c r="O6" s="57">
        <f>SMALL(Tabela4[[#This Row],[QTDE 1]]:Tabela4[[#This Row],[QTDE 2]],1)</f>
        <v>500</v>
      </c>
      <c r="P6" s="2">
        <f>[QTDE]*[START]</f>
        <v>155</v>
      </c>
      <c r="Q6" s="12">
        <f>IF([TARGET] &gt; [START], (1+([VOLAT.]/10*1.5/3)) * [COTAÇÃO], (1-([VOLAT.]/10*1.5/3)) * [COTAÇÃO])</f>
        <v>21.530775599999998</v>
      </c>
      <c r="R6" s="12">
        <f>[QTDE]*ABS([TARGET]-[START])</f>
        <v>189.99999999999997</v>
      </c>
      <c r="S6" s="4">
        <f>[LUCRO]/[PATRIMONIO]</f>
        <v>3.7999999999999992E-2</v>
      </c>
      <c r="T6" s="56">
        <f>[LUCRO]/[RISCO]</f>
        <v>3.7999999999999994</v>
      </c>
      <c r="U6" s="12">
        <f>IF(([PATRIMONIO]*3%) &gt; SETUP!$D$2, SETUP!$D$2, [PATRIMONIO]*3%)</f>
        <v>150</v>
      </c>
      <c r="V6" s="12">
        <f>([SALÁRIO]/ (80% * [QTDE]))+[START]</f>
        <v>0.68500000000000005</v>
      </c>
      <c r="W6" s="12">
        <f>[EXERCÍCIO]+[TARGET]</f>
        <v>22.52</v>
      </c>
      <c r="X6" s="4">
        <f>IF([EXERCÍCIO] &gt; 0, [COT. SALAR.],[TARGET])/[COTAÇÃO]-1</f>
        <v>6.026365348399243E-2</v>
      </c>
      <c r="Y6" s="12">
        <f>IF([EXERCÍCIO]&gt;0,IF([COTAÇÃO]&gt;[EXERCÍCIO],[START] - ([COTAÇÃO]-[EXERCÍCIO]),[START]))</f>
        <v>0.31</v>
      </c>
    </row>
    <row r="7" spans="1:25">
      <c r="A7" s="1" t="s">
        <v>74</v>
      </c>
      <c r="B7" s="2">
        <v>21.24</v>
      </c>
      <c r="C7" s="2">
        <v>22.83</v>
      </c>
      <c r="D7" s="2">
        <v>5000</v>
      </c>
      <c r="E7" s="2">
        <v>0.12</v>
      </c>
      <c r="F7" s="2">
        <v>0.04</v>
      </c>
      <c r="G7" s="2">
        <v>0.43</v>
      </c>
      <c r="H7" s="4">
        <v>0.27379999999999999</v>
      </c>
      <c r="I7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7" s="12">
        <f>[PATRIMONIO]*[RISCO/TRADE]</f>
        <v>50</v>
      </c>
      <c r="K7" s="6">
        <f>ROUNDDOWN([RISCO]/ABS([START]-[STOP]),0)</f>
        <v>625</v>
      </c>
      <c r="L7" s="6">
        <f>[QTDE TMP 1]-MOD([QTDE TMP 1],100)</f>
        <v>600</v>
      </c>
      <c r="M7" s="1">
        <f>ROUNDDOWN([PATRIMONIO]/3/[START],0)</f>
        <v>13888</v>
      </c>
      <c r="N7" s="1">
        <f>[QTDE TMP 2]-MOD([QTDE TMP 2],100)</f>
        <v>13800</v>
      </c>
      <c r="O7" s="57">
        <f>SMALL(Tabela4[[#This Row],[QTDE 1]]:Tabela4[[#This Row],[QTDE 2]],1)</f>
        <v>600</v>
      </c>
      <c r="P7" s="2">
        <f>[QTDE]*[START]</f>
        <v>72</v>
      </c>
      <c r="Q7" s="12">
        <f>IF([TARGET] &gt; [START], (1+([VOLAT.]/10*1.5/3)) * [COTAÇÃO], (1-([VOLAT.]/10*1.5/3)) * [COTAÇÃO])</f>
        <v>21.530775599999998</v>
      </c>
      <c r="R7" s="12">
        <f>[QTDE]*ABS([TARGET]-[START])</f>
        <v>186</v>
      </c>
      <c r="S7" s="4">
        <f>[LUCRO]/[PATRIMONIO]</f>
        <v>3.7199999999999997E-2</v>
      </c>
      <c r="T7" s="56">
        <f>[LUCRO]/[RISCO]</f>
        <v>3.72</v>
      </c>
      <c r="U7" s="12">
        <f>IF(([PATRIMONIO]*3%) &gt; SETUP!$D$2, SETUP!$D$2, [PATRIMONIO]*3%)</f>
        <v>150</v>
      </c>
      <c r="V7" s="12">
        <f>([SALÁRIO]/ (80% * [QTDE]))+[START]</f>
        <v>0.4325</v>
      </c>
      <c r="W7" s="12">
        <f>[EXERCÍCIO]+[TARGET]</f>
        <v>23.259999999999998</v>
      </c>
      <c r="X7" s="4">
        <f>IF([EXERCÍCIO] &gt; 0, [COT. SALAR.],[TARGET])/[COTAÇÃO]-1</f>
        <v>9.5103578154425605E-2</v>
      </c>
      <c r="Y7" s="12">
        <f>IF([EXERCÍCIO]&gt;0,IF([COTAÇÃO]&gt;[EXERCÍCIO],[START] - ([COTAÇÃO]-[EXERCÍCIO]),[START]))</f>
        <v>0.12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pane xSplit="11" ySplit="1" topLeftCell="L2" activePane="bottomRight" state="frozen"/>
      <selection pane="topRight" activeCell="P1" sqref="P1"/>
      <selection pane="bottomLeft" activeCell="A2" sqref="A2"/>
      <selection pane="bottomRight" activeCell="G13" sqref="G13"/>
    </sheetView>
  </sheetViews>
  <sheetFormatPr defaultRowHeight="11.25"/>
  <cols>
    <col min="1" max="1" width="7.28515625" style="1" bestFit="1" customWidth="1"/>
    <col min="2" max="2" width="11.5703125" style="1" bestFit="1" customWidth="1"/>
    <col min="3" max="3" width="7.7109375" style="1" bestFit="1" customWidth="1"/>
    <col min="4" max="4" width="7.7109375" style="4" bestFit="1" customWidth="1"/>
    <col min="5" max="5" width="7.7109375" style="2" bestFit="1" customWidth="1"/>
    <col min="6" max="6" width="8.5703125" style="4" bestFit="1" customWidth="1"/>
    <col min="7" max="7" width="7.85546875" style="4" bestFit="1" customWidth="1"/>
    <col min="8" max="8" width="7" style="3" bestFit="1" customWidth="1"/>
    <col min="9" max="9" width="6" style="1" bestFit="1" customWidth="1"/>
    <col min="10" max="10" width="8.5703125" style="1" hidden="1" customWidth="1"/>
    <col min="11" max="11" width="7.5703125" style="2" hidden="1" customWidth="1"/>
    <col min="12" max="12" width="9" style="1" hidden="1" customWidth="1"/>
    <col min="13" max="13" width="9.28515625" style="1" customWidth="1"/>
    <col min="14" max="14" width="8" style="1" bestFit="1" customWidth="1"/>
    <col min="15" max="15" width="7.7109375" style="1" bestFit="1" customWidth="1"/>
    <col min="16" max="16" width="7.7109375" style="11" bestFit="1" customWidth="1"/>
    <col min="17" max="17" width="10" style="1" hidden="1" customWidth="1"/>
    <col min="18" max="18" width="8" style="1" hidden="1" customWidth="1"/>
    <col min="19" max="19" width="13.5703125" style="1" hidden="1" customWidth="1"/>
    <col min="20" max="20" width="10.42578125" style="1" hidden="1" customWidth="1"/>
    <col min="21" max="21" width="6.7109375" style="1" bestFit="1" customWidth="1"/>
    <col min="22" max="22" width="11.5703125" style="11" bestFit="1" customWidth="1"/>
    <col min="23" max="23" width="8.5703125" style="1" bestFit="1" customWidth="1"/>
    <col min="24" max="24" width="10.7109375" style="2" bestFit="1" customWidth="1"/>
    <col min="25" max="25" width="8.28515625" style="1" bestFit="1" customWidth="1"/>
    <col min="26" max="26" width="7.7109375" style="1" bestFit="1" customWidth="1"/>
    <col min="27" max="27" width="9.140625" style="4"/>
    <col min="28" max="16384" width="9.140625" style="1"/>
  </cols>
  <sheetData>
    <row r="1" spans="1:27">
      <c r="A1" s="17" t="s">
        <v>27</v>
      </c>
      <c r="B1" s="1" t="s">
        <v>31</v>
      </c>
      <c r="C1" s="1" t="s">
        <v>0</v>
      </c>
      <c r="D1" s="1" t="s">
        <v>1</v>
      </c>
      <c r="E1" s="2" t="s">
        <v>51</v>
      </c>
      <c r="F1" s="4" t="s">
        <v>7</v>
      </c>
      <c r="G1" s="4" t="s">
        <v>8</v>
      </c>
      <c r="H1" s="4" t="s">
        <v>26</v>
      </c>
      <c r="I1" s="3" t="s">
        <v>24</v>
      </c>
      <c r="J1" s="1" t="s">
        <v>5</v>
      </c>
      <c r="K1" s="1" t="s">
        <v>2</v>
      </c>
      <c r="L1" s="1" t="s">
        <v>3</v>
      </c>
      <c r="M1" s="1" t="s">
        <v>29</v>
      </c>
      <c r="N1" s="2" t="s">
        <v>9</v>
      </c>
      <c r="O1" s="2" t="s">
        <v>10</v>
      </c>
      <c r="P1" s="2" t="s">
        <v>12</v>
      </c>
      <c r="Q1" s="6" t="s">
        <v>13</v>
      </c>
      <c r="R1" s="6" t="s">
        <v>48</v>
      </c>
      <c r="S1" s="6" t="s">
        <v>49</v>
      </c>
      <c r="T1" s="6" t="s">
        <v>50</v>
      </c>
      <c r="U1" s="6" t="s">
        <v>14</v>
      </c>
      <c r="V1" s="6" t="s">
        <v>15</v>
      </c>
      <c r="W1" s="6" t="s">
        <v>16</v>
      </c>
      <c r="X1" s="6" t="s">
        <v>64</v>
      </c>
      <c r="Y1" s="5" t="s">
        <v>22</v>
      </c>
      <c r="Z1" s="13" t="s">
        <v>25</v>
      </c>
      <c r="AA1" s="60" t="s">
        <v>75</v>
      </c>
    </row>
    <row r="2" spans="1:27">
      <c r="A2" s="19" t="s">
        <v>53</v>
      </c>
      <c r="B2" s="14">
        <v>50000</v>
      </c>
      <c r="C2" s="14">
        <v>33.5</v>
      </c>
      <c r="D2" s="14">
        <v>31.95</v>
      </c>
      <c r="E2" s="14">
        <v>27.98</v>
      </c>
      <c r="F2" s="15">
        <v>2.5000000000000001E-3</v>
      </c>
      <c r="G2" s="15">
        <v>2E-3</v>
      </c>
      <c r="H2" s="15">
        <v>1.5E-3</v>
      </c>
      <c r="I2" s="16">
        <v>0.33</v>
      </c>
      <c r="J2" s="2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2" s="2">
        <f>IF([INICIO] &lt; [FIM], [FIM] - [INICIO], [INICIO] - [FIM])</f>
        <v>1.5500000000000007</v>
      </c>
      <c r="L2" s="4">
        <f>([FIM] / [INICIO] - 1)</f>
        <v>-4.6268656716417889E-2</v>
      </c>
      <c r="M2" s="12">
        <f>ABS([PERNA] * [% IN] + IF([INICIO] &lt; [FIM], - [FIM], + [FIM]))</f>
        <v>32.461500000000001</v>
      </c>
      <c r="N2" s="12">
        <f>TRUNC([RETORNO] * IF([INICIO] &lt; [FIM], (1 - ABS([% PERNA]) * [% START] * 10), (1 + ABS([% PERNA]) * [% START] * 10)), 2)</f>
        <v>32.49</v>
      </c>
      <c r="O2" s="18">
        <f>TRUNC([START] * IF([INICIO] &lt; [FIM], (1 - ABS([% PERNA]) * [% STOP] * 10), (1 + ABS([% PERNA]) * [% STOP] * 10)), 2)</f>
        <v>32.520000000000003</v>
      </c>
      <c r="P2" s="18">
        <f>IF([TGT +] = 0, TRUNC(([STOP] + IF([INICIO] &lt; [FIM], [PERNA], - [PERNA])) * IF([INICIO] &lt; [FIM], (1 - ABS([% PERNA]) * [% TGT] * 10), (1 + ABS([% PERNA]) * [% TGT] * 10)), 2),    [TGT +])</f>
        <v>27.98</v>
      </c>
      <c r="Q2" s="11">
        <f>ROUNDDOWN([RISCO] / (ABS([START] - [STOP])), 0)</f>
        <v>7999</v>
      </c>
      <c r="R2" s="11">
        <f>[QTDE TMP] - MOD([QTDE TMP], 100)</f>
        <v>7900</v>
      </c>
      <c r="S2" s="11">
        <f>([PATRIM.] / 3) / [START]</f>
        <v>512.97835231353235</v>
      </c>
      <c r="T2" s="11">
        <f>[QTDE MAX TMP] - MOD([QTDE MAX TMP], 100)</f>
        <v>500</v>
      </c>
      <c r="U2" s="11">
        <f>MIN(Tabela1[[#This Row],[QTDE A]], Tabela1[[#This Row],[QTDE MAX]])</f>
        <v>500</v>
      </c>
      <c r="V2" s="18">
        <f>[QTDE] * [START]</f>
        <v>16245.000000000002</v>
      </c>
      <c r="W2" s="18">
        <f>ABS([START] - [STOP]) * [QTDE] + 30</f>
        <v>45.000000000000568</v>
      </c>
      <c r="X2" s="18">
        <f>ABS([TGT] - [START]) * [QTDE]</f>
        <v>2255.0000000000009</v>
      </c>
      <c r="Y2" s="5">
        <f>[LUCRO] / [PERDA]</f>
        <v>50.111111111110496</v>
      </c>
      <c r="Z2" s="12">
        <f>IF([INICIO] &lt; [FIM], [START] + ABS([TGT] - [START]) * 85%, [START] - ABS([TGT] - [START]) * 85%)</f>
        <v>28.656500000000001</v>
      </c>
      <c r="AA2" s="60">
        <f>[LUCRO]/[PATRIM.]</f>
        <v>4.5100000000000015E-2</v>
      </c>
    </row>
    <row r="3" spans="1:27">
      <c r="A3" s="19" t="s">
        <v>53</v>
      </c>
      <c r="B3" s="14">
        <v>50000</v>
      </c>
      <c r="C3" s="14">
        <v>33.5</v>
      </c>
      <c r="D3" s="14">
        <v>31.95</v>
      </c>
      <c r="E3" s="14">
        <v>27.98</v>
      </c>
      <c r="F3" s="15">
        <v>2.5000000000000001E-3</v>
      </c>
      <c r="G3" s="15">
        <v>2E-3</v>
      </c>
      <c r="H3" s="15">
        <v>1.5E-3</v>
      </c>
      <c r="I3" s="16">
        <v>0.5</v>
      </c>
      <c r="J3" s="46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3" s="44">
        <f>IF([INICIO] &lt; [FIM], [FIM] - [INICIO], [INICIO] - [FIM])</f>
        <v>1.5500000000000007</v>
      </c>
      <c r="L3" s="45">
        <f>([FIM] / [INICIO] - 1)</f>
        <v>-4.6268656716417889E-2</v>
      </c>
      <c r="M3" s="46">
        <f>ABS([PERNA] * [% IN] + IF([INICIO] &lt; [FIM], - [FIM], + [FIM]))</f>
        <v>32.725000000000001</v>
      </c>
      <c r="N3" s="46">
        <f>TRUNC([RETORNO] * IF([INICIO] &lt; [FIM], (1 - ABS([% PERNA]) * [% START] * 10), (1 + ABS([% PERNA]) * [% START] * 10)), 2)</f>
        <v>32.76</v>
      </c>
      <c r="O3" s="47">
        <f>TRUNC([START] * IF([INICIO] &lt; [FIM], (1 - ABS([% PERNA]) * [% STOP] * 10), (1 + ABS([% PERNA]) * [% STOP] * 10)), 2)</f>
        <v>32.79</v>
      </c>
      <c r="P3" s="47">
        <f>IF([TGT +] = 0, TRUNC(([STOP] + IF([INICIO] &lt; [FIM], [PERNA], - [PERNA])) * IF([INICIO] &lt; [FIM], (1 - ABS([% PERNA]) * [% TGT] * 10), (1 + ABS([% PERNA]) * [% TGT] * 10)), 2),    [TGT +])</f>
        <v>27.98</v>
      </c>
      <c r="Q3" s="48">
        <f>ROUNDDOWN([RISCO] / (ABS([START] - [STOP])), 0)</f>
        <v>7999</v>
      </c>
      <c r="R3" s="48">
        <f>[QTDE TMP] - MOD([QTDE TMP], 100)</f>
        <v>7900</v>
      </c>
      <c r="S3" s="48">
        <f>([PATRIM.] / 3) / [START]</f>
        <v>508.7505087505088</v>
      </c>
      <c r="T3" s="48">
        <f>[QTDE MAX TMP] - MOD([QTDE MAX TMP], 100)</f>
        <v>500</v>
      </c>
      <c r="U3" s="48">
        <f>MIN(Tabela1[[#This Row],[QTDE A]], Tabela1[[#This Row],[QTDE MAX]])</f>
        <v>500</v>
      </c>
      <c r="V3" s="47">
        <f>[QTDE] * [START]</f>
        <v>16379.999999999998</v>
      </c>
      <c r="W3" s="47">
        <f>ABS([START] - [STOP]) * [QTDE] + 30</f>
        <v>45.000000000000568</v>
      </c>
      <c r="X3" s="46">
        <f>ABS([TGT] - [START]) * [QTDE]</f>
        <v>2389.9999999999986</v>
      </c>
      <c r="Y3" s="49">
        <f>[LUCRO] / [PERDA]</f>
        <v>53.111111111110411</v>
      </c>
      <c r="Z3" s="46">
        <f>IF([INICIO] &lt; [FIM], [START] + ABS([TGT] - [START]) * 85%, [START] - ABS([TGT] - [START]) * 85%)</f>
        <v>28.696999999999999</v>
      </c>
      <c r="AA3" s="60">
        <f>[LUCRO]/[PATRIM.]</f>
        <v>4.7799999999999974E-2</v>
      </c>
    </row>
    <row r="4" spans="1:27">
      <c r="A4" s="19" t="s">
        <v>53</v>
      </c>
      <c r="B4" s="14">
        <v>50000</v>
      </c>
      <c r="C4" s="14">
        <v>33.5</v>
      </c>
      <c r="D4" s="14">
        <v>31.95</v>
      </c>
      <c r="E4" s="14">
        <v>27.98</v>
      </c>
      <c r="F4" s="15">
        <v>2.5000000000000001E-3</v>
      </c>
      <c r="G4" s="15">
        <v>2E-3</v>
      </c>
      <c r="H4" s="15">
        <v>1.5E-3</v>
      </c>
      <c r="I4" s="16">
        <v>0.6</v>
      </c>
      <c r="J4" s="52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4" s="50">
        <f>IF([INICIO] &lt; [FIM], [FIM] - [INICIO], [INICIO] - [FIM])</f>
        <v>1.5500000000000007</v>
      </c>
      <c r="L4" s="51">
        <f>([FIM] / [INICIO] - 1)</f>
        <v>-4.6268656716417889E-2</v>
      </c>
      <c r="M4" s="52">
        <f>ABS([PERNA] * [% IN] + IF([INICIO] &lt; [FIM], - [FIM], + [FIM]))</f>
        <v>32.880000000000003</v>
      </c>
      <c r="N4" s="52">
        <f>TRUNC([RETORNO] * IF([INICIO] &lt; [FIM], (1 - ABS([% PERNA]) * [% START] * 10), (1 + ABS([% PERNA]) * [% START] * 10)), 2)</f>
        <v>32.909999999999997</v>
      </c>
      <c r="O4" s="53">
        <f>TRUNC([START] * IF([INICIO] &lt; [FIM], (1 - ABS([% PERNA]) * [% STOP] * 10), (1 + ABS([% PERNA]) * [% STOP] * 10)), 2)</f>
        <v>32.94</v>
      </c>
      <c r="P4" s="53">
        <f>IF([TGT +] = 0, TRUNC(([STOP] + IF([INICIO] &lt; [FIM], [PERNA], - [PERNA])) * IF([INICIO] &lt; [FIM], (1 - ABS([% PERNA]) * [% TGT] * 10), (1 + ABS([% PERNA]) * [% TGT] * 10)), 2),    [TGT +])</f>
        <v>27.98</v>
      </c>
      <c r="Q4" s="54">
        <f>ROUNDDOWN([RISCO] / (ABS([START] - [STOP])), 0)</f>
        <v>7999</v>
      </c>
      <c r="R4" s="54">
        <f>[QTDE TMP] - MOD([QTDE TMP], 100)</f>
        <v>7900</v>
      </c>
      <c r="S4" s="54">
        <f>([PATRIM.] / 3) / [START]</f>
        <v>506.4316823660489</v>
      </c>
      <c r="T4" s="54">
        <f>[QTDE MAX TMP] - MOD([QTDE MAX TMP], 100)</f>
        <v>500</v>
      </c>
      <c r="U4" s="54">
        <f>MIN(Tabela1[[#This Row],[QTDE A]], Tabela1[[#This Row],[QTDE MAX]])</f>
        <v>500</v>
      </c>
      <c r="V4" s="53">
        <f>[QTDE] * [START]</f>
        <v>16455</v>
      </c>
      <c r="W4" s="53">
        <f>ABS([START] - [STOP]) * [QTDE] + 30</f>
        <v>45.000000000000568</v>
      </c>
      <c r="X4" s="52">
        <f>ABS([TGT] - [START]) * [QTDE]</f>
        <v>2464.9999999999982</v>
      </c>
      <c r="Y4" s="55">
        <f>[LUCRO] / [PERDA]</f>
        <v>54.777777777777047</v>
      </c>
      <c r="Z4" s="52">
        <f>IF([INICIO] &lt; [FIM], [START] + ABS([TGT] - [START]) * 85%, [START] - ABS([TGT] - [START]) * 85%)</f>
        <v>28.7195</v>
      </c>
      <c r="AA4" s="60">
        <f>[LUCRO]/[PATRIM.]</f>
        <v>4.9299999999999962E-2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7" t="s">
        <v>27</v>
      </c>
      <c r="B1" s="1" t="s">
        <v>31</v>
      </c>
      <c r="C1" s="1" t="s">
        <v>32</v>
      </c>
      <c r="D1" s="1" t="s">
        <v>0</v>
      </c>
      <c r="E1" s="1" t="s">
        <v>34</v>
      </c>
      <c r="F1" s="1" t="s">
        <v>1</v>
      </c>
      <c r="G1" s="1" t="s">
        <v>36</v>
      </c>
      <c r="H1" s="1" t="s">
        <v>35</v>
      </c>
      <c r="I1" s="4" t="s">
        <v>33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24" customFormat="1">
      <c r="A2" s="25" t="s">
        <v>52</v>
      </c>
      <c r="B2" s="26">
        <v>5300</v>
      </c>
      <c r="C2" s="27">
        <v>26</v>
      </c>
      <c r="D2" s="26">
        <v>12.36</v>
      </c>
      <c r="E2" s="26">
        <v>8.84</v>
      </c>
      <c r="F2" s="26">
        <v>11.17</v>
      </c>
      <c r="G2" s="26">
        <v>11.07</v>
      </c>
      <c r="H2" s="26">
        <v>10.82</v>
      </c>
      <c r="I2" s="28">
        <v>0.39460000000000001</v>
      </c>
      <c r="J2" s="29">
        <v>1</v>
      </c>
      <c r="K2" s="26">
        <f>[PATRIM.] * (1 - [AGE] / 100)</f>
        <v>3922</v>
      </c>
      <c r="L2" s="26">
        <f>IF([BASE RV] &lt; SETUP!$A$2, [BASE RV] * SETUP!$B$2, IF([BASE RV] &lt; SETUP!$A$3, [BASE RV] * SETUP!$B$3, 0))</f>
        <v>39.22</v>
      </c>
      <c r="M2" s="26">
        <f>IF([INICIO] &lt; [MEIO], [MEIO] - [INICIO], [INICIO] - [MEIO])</f>
        <v>3.5199999999999996</v>
      </c>
      <c r="N2" s="28">
        <f>[MEIO] / [INICIO] - 1</f>
        <v>-0.28478964401294493</v>
      </c>
      <c r="O2" s="30">
        <f>IF([INICIO] &lt; [MEIO], [CDL H] + 0.02, [CDL L] - 0.02)</f>
        <v>10.8</v>
      </c>
      <c r="P2" s="31">
        <f>IF([INICIO] &lt; [MEIO], [CDL L] - 0.02, [CDL H] + 0.02)</f>
        <v>11.09</v>
      </c>
      <c r="Q2" s="31">
        <f>[START] * IF([INICIO] &lt; [MEIO], (1 + [% VOL] / 10 * 1.5 * [PER]), (1 - [% VOL] / 10 * 1.5 * [PER]))</f>
        <v>10.160748000000002</v>
      </c>
      <c r="R2" s="31">
        <f>IF([INICIO] &lt; [MEIO],  [FIM] + ([MEIO] - [INICIO]), [FIM] - ([INICIO] - [MEIO]))</f>
        <v>7.65</v>
      </c>
      <c r="S2" s="32">
        <f>ROUNDDOWN([RISCO] / (ABS([CDL H] - [CDL L])), 0)</f>
        <v>156</v>
      </c>
      <c r="T2" s="32">
        <f>[QTDE TMP] - MOD([QTDE TMP], 100)</f>
        <v>100</v>
      </c>
      <c r="U2" s="31">
        <f>[QTDE] * [START]</f>
        <v>1080</v>
      </c>
      <c r="V2" s="31">
        <f>ABS([START] - [STOP]) * [QTDE]</f>
        <v>28.999999999999915</v>
      </c>
      <c r="W2" s="27">
        <f>[QTDE] / 2</f>
        <v>50</v>
      </c>
      <c r="X2" s="27">
        <f>[QTDE PAR TMP] + MOD([QTDE PAR TMP], 100)</f>
        <v>100</v>
      </c>
      <c r="Y2" s="30">
        <f>ABS([PARCIAL] - [START]) * [QTDE PAR]</f>
        <v>63.925199999999904</v>
      </c>
      <c r="Z2" s="27">
        <f>[QTDE] - [QTDE PAR]</f>
        <v>0</v>
      </c>
      <c r="AA2" s="31">
        <f>ABS([TGT] - [START]) * [QTDE ALVO] + [LUCRO PAR]</f>
        <v>63.925199999999904</v>
      </c>
      <c r="AB2" s="33">
        <f>[LUCRO ALVO] / [PERDA]</f>
        <v>2.2043172413793135</v>
      </c>
      <c r="AC2" s="30">
        <f>IF([INICIO] &lt; [MEIO], [START] + ABS([TGT] - [START]) * 85%, [START] - ABS([TGT] - [START]) * 85%)</f>
        <v>8.1225000000000005</v>
      </c>
    </row>
    <row r="3" spans="1:29" s="43" customFormat="1">
      <c r="A3" s="34" t="s">
        <v>28</v>
      </c>
      <c r="B3" s="35">
        <v>6100</v>
      </c>
      <c r="C3" s="36">
        <v>26</v>
      </c>
      <c r="D3" s="35">
        <v>4.34</v>
      </c>
      <c r="E3" s="35">
        <v>3.18</v>
      </c>
      <c r="F3" s="35">
        <v>3.78</v>
      </c>
      <c r="G3" s="35">
        <v>3.78</v>
      </c>
      <c r="H3" s="35">
        <v>3.6</v>
      </c>
      <c r="I3" s="37">
        <v>0.7</v>
      </c>
      <c r="J3" s="38">
        <v>1</v>
      </c>
      <c r="K3" s="35">
        <f>[PATRIM.] * (1 - [AGE] / 100)</f>
        <v>4514</v>
      </c>
      <c r="L3" s="35">
        <f>IF([BASE RV] &lt; SETUP!$A$2, [BASE RV] * SETUP!$B$2, IF([BASE RV] &lt; SETUP!$A$3, [BASE RV] * SETUP!$B$3, 0))</f>
        <v>45.14</v>
      </c>
      <c r="M3" s="35">
        <f>IF([INICIO] &lt; [MEIO], [MEIO] - [INICIO], [INICIO] - [MEIO])</f>
        <v>1.1599999999999997</v>
      </c>
      <c r="N3" s="37">
        <f>[MEIO] / [INICIO] - 1</f>
        <v>-0.26728110599078336</v>
      </c>
      <c r="O3" s="39">
        <f>IF([INICIO] &lt; [MEIO], [CDL H] + 0.02, [CDL L] - 0.02)</f>
        <v>3.58</v>
      </c>
      <c r="P3" s="40">
        <f>IF([INICIO] &lt; [MEIO], [CDL L] - 0.02, [CDL H] + 0.02)</f>
        <v>3.8</v>
      </c>
      <c r="Q3" s="40">
        <f>[START] * IF([INICIO] &lt; [MEIO], (1 + [% VOL] / 10 * 1.5 * [PER]), (1 - [% VOL] / 10 * 1.5 * [PER]))</f>
        <v>3.2040999999999999</v>
      </c>
      <c r="R3" s="40">
        <f>IF([INICIO] &lt; [MEIO],  [FIM] + ([MEIO] - [INICIO]), [FIM] - ([INICIO] - [MEIO]))</f>
        <v>2.62</v>
      </c>
      <c r="S3" s="41">
        <f>ROUNDDOWN([RISCO] / (ABS([CDL H] - [CDL L])), 0)</f>
        <v>250</v>
      </c>
      <c r="T3" s="41">
        <f>[QTDE TMP] - MOD([QTDE TMP], 100)</f>
        <v>200</v>
      </c>
      <c r="U3" s="40">
        <f>[QTDE] * [START]</f>
        <v>716</v>
      </c>
      <c r="V3" s="40">
        <f>ABS([START] - [STOP]) * [QTDE]</f>
        <v>43.99999999999995</v>
      </c>
      <c r="W3" s="36">
        <f>[QTDE] / 2</f>
        <v>100</v>
      </c>
      <c r="X3" s="36">
        <f>[QTDE PAR TMP] + MOD([QTDE PAR TMP], 100)</f>
        <v>100</v>
      </c>
      <c r="Y3" s="39">
        <f>ABS([PARCIAL] - [START]) * [QTDE PAR]</f>
        <v>37.590000000000011</v>
      </c>
      <c r="Z3" s="36">
        <f>[QTDE] - [QTDE PAR]</f>
        <v>100</v>
      </c>
      <c r="AA3" s="40">
        <f>ABS([TGT] - [START]) * [QTDE ALVO] + [LUCRO PAR]</f>
        <v>133.59</v>
      </c>
      <c r="AB3" s="42">
        <f>[LUCRO ALVO] / [PERDA]</f>
        <v>3.0361363636363672</v>
      </c>
      <c r="AC3" s="39">
        <f>IF([INICIO] &lt; [MEIO], [START] + ABS([TGT] - [START]) * 85%, [START] - ABS([TGT] - 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7" sqref="D17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4" width="10.28515625" style="1" bestFit="1" customWidth="1"/>
    <col min="5" max="16384" width="9.140625" style="1"/>
  </cols>
  <sheetData>
    <row r="1" spans="1:7">
      <c r="A1" s="7" t="s">
        <v>5</v>
      </c>
      <c r="B1" s="8" t="s">
        <v>6</v>
      </c>
      <c r="D1" s="59" t="s">
        <v>70</v>
      </c>
    </row>
    <row r="2" spans="1:7">
      <c r="A2" s="2">
        <v>10000</v>
      </c>
      <c r="B2" s="4">
        <v>0.01</v>
      </c>
      <c r="C2" s="2">
        <f>A2*B2</f>
        <v>100</v>
      </c>
      <c r="D2" s="2">
        <v>3650</v>
      </c>
      <c r="F2" s="4">
        <v>0.02</v>
      </c>
      <c r="G2" s="4">
        <v>0.01</v>
      </c>
    </row>
    <row r="3" spans="1:7">
      <c r="A3" s="2">
        <v>20000</v>
      </c>
      <c r="B3" s="4">
        <v>8.0000000000000002E-3</v>
      </c>
      <c r="C3" s="2">
        <f t="shared" ref="C3:C7" si="0">A3*B3</f>
        <v>160</v>
      </c>
      <c r="F3" s="4">
        <v>1.4999999999999999E-2</v>
      </c>
      <c r="G3" s="4">
        <v>8.0000000000000002E-3</v>
      </c>
    </row>
    <row r="4" spans="1:7">
      <c r="A4" s="2">
        <v>50000</v>
      </c>
      <c r="B4" s="4">
        <v>6.4000000000000003E-3</v>
      </c>
      <c r="C4" s="2">
        <f t="shared" si="0"/>
        <v>320</v>
      </c>
      <c r="F4" s="4">
        <v>0.01</v>
      </c>
      <c r="G4" s="4">
        <v>6.4000000000000003E-3</v>
      </c>
    </row>
    <row r="5" spans="1:7">
      <c r="A5" s="2">
        <v>100000</v>
      </c>
      <c r="B5" s="4">
        <v>4.7999999999999996E-3</v>
      </c>
      <c r="C5" s="2">
        <f t="shared" si="0"/>
        <v>479.99999999999994</v>
      </c>
      <c r="F5" s="4">
        <v>7.4999999999999997E-3</v>
      </c>
      <c r="G5" s="4">
        <v>4.7999999999999996E-3</v>
      </c>
    </row>
    <row r="6" spans="1:7">
      <c r="A6" s="2">
        <v>500000</v>
      </c>
      <c r="B6" s="4">
        <v>3.8E-3</v>
      </c>
      <c r="C6" s="2">
        <f t="shared" si="0"/>
        <v>1900</v>
      </c>
      <c r="F6" s="4">
        <v>5.0000000000000001E-3</v>
      </c>
      <c r="G6" s="4">
        <v>3.8E-3</v>
      </c>
    </row>
    <row r="7" spans="1:7">
      <c r="A7" s="2">
        <v>1000000</v>
      </c>
      <c r="B7" s="4">
        <v>3.0000000000000001E-3</v>
      </c>
      <c r="C7" s="2">
        <f t="shared" si="0"/>
        <v>3000</v>
      </c>
      <c r="F7" s="4">
        <v>2.5000000000000001E-3</v>
      </c>
      <c r="G7" s="4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38</v>
      </c>
      <c r="E1" s="1" t="s">
        <v>2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45</v>
      </c>
      <c r="K1" s="20" t="s">
        <v>44</v>
      </c>
      <c r="L1" s="20" t="s">
        <v>3</v>
      </c>
      <c r="M1" s="1" t="s">
        <v>39</v>
      </c>
      <c r="N1" s="1" t="s">
        <v>46</v>
      </c>
    </row>
    <row r="2" spans="1:14">
      <c r="A2" s="1" t="s">
        <v>37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37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28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30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1" t="s">
        <v>47</v>
      </c>
      <c r="B6" s="22">
        <v>8.52</v>
      </c>
      <c r="C6" s="22">
        <v>6.31</v>
      </c>
      <c r="D6" s="22">
        <v>7.49</v>
      </c>
      <c r="E6" s="22">
        <f>[INICIO]-[FIM]</f>
        <v>2.21</v>
      </c>
      <c r="F6" s="22">
        <f>ROUND([PERNA] * 33%, 2) + [FIM]</f>
        <v>7.0399999999999991</v>
      </c>
      <c r="G6" s="22">
        <f>ROUND([PERNA] * 50%, 2) + [FIM]</f>
        <v>7.42</v>
      </c>
      <c r="H6" s="22">
        <f>ROUND([PERNA] * 60%, 2) + [FIM]</f>
        <v>7.64</v>
      </c>
      <c r="I6" s="23">
        <f>[INFLEXAO MAX]/[33%] - 1</f>
        <v>6.3920454545454808E-2</v>
      </c>
      <c r="J6" s="23">
        <f>[INFLEXAO MAX]/[50%] - 1</f>
        <v>9.4339622641510523E-3</v>
      </c>
      <c r="K6" s="23">
        <f>[INFLEXAO MAX]/[60%] - 1</f>
        <v>-1.963350785340312E-2</v>
      </c>
      <c r="L6" s="23">
        <f>1 - [FIM]/[INICIO]</f>
        <v>0.25938967136150237</v>
      </c>
      <c r="M6" s="23">
        <f t="array" ref="M6">MIN(IF(Tabela3[[#This Row],[DIF 33%]:[DIF 60%]] &gt; 0, Tabela3[[#This Row],[DIF 33%]:[DIF 60%]]))</f>
        <v>9.4339622641510523E-3</v>
      </c>
      <c r="N6" s="23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MANEJO</vt:lpstr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2012-08-30T14:19:58Z</dcterms:modified>
</cp:coreProperties>
</file>