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5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2" i="4"/>
  <c r="N3"/>
  <c r="M2"/>
  <c r="M3"/>
  <c r="K4" i="9"/>
  <c r="K5"/>
  <c r="L4"/>
  <c r="L5"/>
  <c r="N4"/>
  <c r="N5"/>
  <c r="S4"/>
  <c r="S5"/>
  <c r="T4"/>
  <c r="T5"/>
  <c r="AC4"/>
  <c r="AC5"/>
  <c r="AD4"/>
  <c r="AD5"/>
  <c r="AF4"/>
  <c r="AI5"/>
  <c r="AJ5"/>
  <c r="AK5"/>
  <c r="A6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S2" l="1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"/>
  <c r="U4" l="1"/>
  <c r="U5"/>
  <c r="U2"/>
  <c r="W2" s="1"/>
  <c r="U3"/>
  <c r="V3" s="1"/>
  <c r="V2"/>
  <c r="W3"/>
  <c r="V5" l="1"/>
  <c r="W5"/>
  <c r="V4"/>
  <c r="W4"/>
  <c r="X3"/>
  <c r="Y3" s="1"/>
  <c r="X2"/>
  <c r="Y2" s="1"/>
  <c r="X4" l="1"/>
  <c r="Y4" s="1"/>
  <c r="X5"/>
  <c r="Y5" s="1"/>
  <c r="Z4"/>
  <c r="Z5"/>
  <c r="Z2"/>
  <c r="Z3"/>
  <c r="AK4" l="1"/>
  <c r="AA4"/>
  <c r="AB4" s="1"/>
  <c r="AA5"/>
  <c r="AB5" s="1"/>
  <c r="AF5" s="1"/>
  <c r="AA3"/>
  <c r="AB3" s="1"/>
  <c r="AF3" s="1"/>
  <c r="AA2"/>
  <c r="AE4" l="1"/>
  <c r="AG4" s="1"/>
  <c r="AH4" s="1"/>
  <c r="AE5"/>
  <c r="AG5" s="1"/>
  <c r="AB2"/>
  <c r="AE2"/>
  <c r="AG2" s="1"/>
  <c r="AH2" s="1"/>
  <c r="AE3"/>
  <c r="AG3" s="1"/>
  <c r="AH5" l="1"/>
  <c r="AH3"/>
  <c r="AH6" s="1"/>
  <c r="AJ4" l="1"/>
  <c r="AI4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K75" l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I4" i="4" l="1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H3" l="1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<sst xmlns="http://schemas.openxmlformats.org/spreadsheetml/2006/main" count="500" uniqueCount="153">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</sst>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" totalsRowCount="1" headerRowDxfId="271" dataDxfId="270" totalsRowDxfId="269">
  <autoFilter ref="A1:AK5"/>
  <sortState ref="A2:AJ89">
    <sortCondition ref="E1:E89"/>
  </sortState>
  <tableColumns count="37">
    <tableColumn id="19" name="ID" totalsRowFunction="max" dataDxfId="268" totalsRowDxfId="76"/>
    <tableColumn id="36" name="U" dataDxfId="267" totalsRowDxfId="75"/>
    <tableColumn id="2" name="ATIVO" dataDxfId="266" totalsRowDxfId="74"/>
    <tableColumn id="3" name="T" dataDxfId="265" totalsRowDxfId="73"/>
    <tableColumn id="4" name="DATA" dataDxfId="264" totalsRowDxfId="72"/>
    <tableColumn id="5" name="QTDE" dataDxfId="263" totalsRowDxfId="71"/>
    <tableColumn id="6" name="PREÇO" dataDxfId="262" totalsRowDxfId="70"/>
    <tableColumn id="37" name="PARCIAL" dataDxfId="261" totalsRowDxfId="69"/>
    <tableColumn id="40" name="AJUSTE" dataDxfId="260" totalsRowDxfId="68" dataCellStyle="Moeda"/>
    <tableColumn id="7" name="[D/N]" dataDxfId="259" totalsRowDxfId="67"/>
    <tableColumn id="34" name="DATA DE LIQUIDAÇÃO" dataDxfId="258" totalsRowDxfId="66">
      <calculatedColumnFormula>WORKDAY(NOTAS_80[[#This Row],[DATA]],1,0)</calculatedColumnFormula>
    </tableColumn>
    <tableColumn id="31" name="DATA BASE" dataDxfId="257" totalsRowDxfId="65">
      <calculatedColumnFormula>EOMONTH(NOTAS_80[[#This Row],[DATA DE LIQUIDAÇÃO]],0)</calculatedColumnFormula>
    </tableColumn>
    <tableColumn id="21" name="PAR" dataDxfId="256" totalsRowDxfId="6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5" totalsRowDxfId="63">
      <calculatedColumnFormula>[QTDE]*[PREÇO]</calculatedColumnFormula>
    </tableColumn>
    <tableColumn id="9" name="VALOR LÍQUIDO DAS OPERAÇÕES" dataDxfId="254" totalsRowDxfId="6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6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2" totalsRowDxfId="6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51" totalsRowDxfId="5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0" totalsRowDxfId="5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9" totalsRowDxfId="57">
      <calculatedColumnFormula>TRUNC([CORR BOV] * 20% * IF([PARCIAL] &gt; 0, [QTDE] / [PARCIAL], 1),2)</calculatedColumnFormula>
    </tableColumn>
    <tableColumn id="12" name="CORRETAGEM" dataDxfId="248" totalsRowDxfId="56">
      <calculatedColumnFormula>SUMPRODUCT(N([DATA]=NOTAS_80[[#This Row],[DATA]]),N([ID]&lt;=NOTAS_80[[#This Row],[ID]]), [CORR])</calculatedColumnFormula>
    </tableColumn>
    <tableColumn id="13" name="ISS" dataDxfId="247" totalsRowDxfId="55">
      <calculatedColumnFormula>TRUNC([CORRETAGEM]*SETUP!$F$3,2)</calculatedColumnFormula>
    </tableColumn>
    <tableColumn id="15" name="OUTRAS BOVESPA" dataDxfId="246" totalsRowDxfId="54">
      <calculatedColumnFormula>ROUND([CORRETAGEM]*SETUP!$G$3,2)</calculatedColumnFormula>
    </tableColumn>
    <tableColumn id="16" name="LÍQUIDO BASE" dataDxfId="245" totalsRowDxfId="5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4" totalsRowDxfId="52">
      <calculatedColumnFormula>IF(AND(['[D/N']]="D",    [T]="CV",    [LÍQUIDO BASE] &gt; 0),    TRUNC([LÍQUIDO BASE]*0.01, 2),    0)</calculatedColumnFormula>
    </tableColumn>
    <tableColumn id="35" name="LÍQUIDO" dataDxfId="243" totalsRowDxfId="51">
      <calculatedColumnFormula>IF([PREÇO] &gt; 0,    [LÍQUIDO BASE]-SUMPRODUCT(N([DATA]=NOTAS_80[[#This Row],[DATA]]),    [IRRF FONTE]),    0)</calculatedColumnFormula>
    </tableColumn>
    <tableColumn id="17" name="VALOR OP" dataDxfId="242" totalsRowDxfId="50" dataCellStyle="Moeda">
      <calculatedColumnFormula>[LÍQUIDO]-SUMPRODUCT(N([DATA]=NOTAS_80[[#This Row],[DATA]]),N([ID]=(NOTAS_80[[#This Row],[ID]]-1)),[LÍQUIDO])</calculatedColumnFormula>
    </tableColumn>
    <tableColumn id="18" name="MEDIO P/ OP" dataDxfId="241" totalsRowDxfId="49">
      <calculatedColumnFormula>IF([T] = "VC", ABS([VALOR OP]) / [QTDE], [VALOR OP]/[QTDE])</calculatedColumnFormula>
    </tableColumn>
    <tableColumn id="20" name="IRRF" totalsRowFunction="sum" dataDxfId="240" totalsRowDxfId="48">
      <calculatedColumnFormula>TRUNC(IF(OR([T]="CV",[T]="VV"),     N2*SETUP!$H$3,     0),2)</calculatedColumnFormula>
    </tableColumn>
    <tableColumn id="24" name="SALDO" dataDxfId="239" totalsRowDxfId="4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8" totalsRowDxfId="4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7" totalsRowDxfId="4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6" totalsRowDxfId="4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5" totalsRowDxfId="4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4" totalsRowDxfId="4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3" totalsRowDxfId="41">
      <calculatedColumnFormula>IF([U] = "U", SUMPRODUCT(N([DATA BASE]=NOTAS_80[[#This Row],[DATA BASE]]), N(['[D/N']] = "D"),    [LUCRO P/ OP]), 0)</calculatedColumnFormula>
    </tableColumn>
    <tableColumn id="30" name="IRRF DT" dataDxfId="232" totalsRowDxfId="4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78" dataDxfId="77">
  <autoFilter ref="A1:N5"/>
  <tableColumns count="14">
    <tableColumn id="1" name="DATA" totalsRowLabel="Total" dataDxfId="105" totalsRowDxfId="106"/>
    <tableColumn id="2" name="LUCRO [N]" dataDxfId="103" totalsRowDxfId="104" dataCellStyle="Moeda"/>
    <tableColumn id="3" name="DEDUÇÃO [N]" dataDxfId="101" totalsRowDxfId="102" dataCellStyle="Moeda"/>
    <tableColumn id="8" name="IRRF [N]" dataDxfId="99" totalsRowDxfId="100" dataCellStyle="Moeda"/>
    <tableColumn id="4" name="LUCRO [D]" dataDxfId="97" totalsRowDxfId="98" dataCellStyle="Moeda"/>
    <tableColumn id="5" name="DEDUÇÃO [D]" dataDxfId="95" totalsRowDxfId="96" dataCellStyle="Moeda"/>
    <tableColumn id="9" name="IRRF [D]" dataDxfId="93" totalsRowDxfId="94" dataCellStyle="Moeda"/>
    <tableColumn id="6" name="ACC [N]" dataDxfId="91" totalsRowDxfId="92" dataCellStyle="Moeda">
      <calculatedColumnFormula>IF([LUCRO '[N']] + [DEDUÇÃO '[N']] &gt; 0, 0, [LUCRO '[N']] + [DEDUÇÃO '[N']])</calculatedColumnFormula>
    </tableColumn>
    <tableColumn id="12" name="ACC [D]" dataDxfId="89" totalsRowDxfId="90" dataCellStyle="Moeda">
      <calculatedColumnFormula>IF([LUCRO '[D']] + [DEDUÇÃO '[D']] &gt; 0, 0, [LUCRO '[D']] + [DEDUÇÃO '[D']])</calculatedColumnFormula>
    </tableColumn>
    <tableColumn id="7" name="IR DEVIDO [N]" dataDxfId="87" totalsRowDxfId="88" dataCellStyle="Moeda">
      <calculatedColumnFormula>IF([ACC '[N']] = 0, ROUND(([LUCRO '[N']] + [DEDUÇÃO '[N']]) * 15%, 2) - [IRRF '[N']], 0)</calculatedColumnFormula>
    </tableColumn>
    <tableColumn id="10" name="IR DEVIDO [D]" dataDxfId="85" totalsRowDxfId="86" dataCellStyle="Moeda">
      <calculatedColumnFormula>IF([ACC '[D']] = 0, ROUND(([LUCRO '[D']] + [DEDUÇÃO '[D']]) * 20%, 2) - [IRRF '[D']], 0)</calculatedColumnFormula>
    </tableColumn>
    <tableColumn id="14" name="IRRF" dataDxfId="83" totalsRowDxfId="84" dataCellStyle="Moeda">
      <calculatedColumnFormula>[IRRF '[N']] + [IRRF '[D']]</calculatedColumnFormula>
    </tableColumn>
    <tableColumn id="11" name="IR DEVIDO" dataDxfId="81" totalsRowDxfId="82" dataCellStyle="Moeda">
      <calculatedColumnFormula>[IR DEVIDO '[N']] + [IR DEVIDO '[D']]</calculatedColumnFormula>
    </tableColumn>
    <tableColumn id="13" name="LUCRO TOTAL" totalsRowFunction="sum" dataDxfId="79" totalsRowDxfId="80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31" dataDxfId="230">
  <autoFilter ref="A1:K4"/>
  <tableColumns count="11">
    <tableColumn id="1" name="PAPEL" totalsRowLabel="Total" dataDxfId="229" totalsRowDxfId="228"/>
    <tableColumn id="10" name="APLICAÇÃO" dataDxfId="227" totalsRowDxfId="226" dataCellStyle="Moeda"/>
    <tableColumn id="2" name="EXERCÍCIO" dataDxfId="225" totalsRowDxfId="224" dataCellStyle="Moeda"/>
    <tableColumn id="3" name="PREÇO OPÇÃO" dataDxfId="223" totalsRowDxfId="222" dataCellStyle="Moeda"/>
    <tableColumn id="4" name="PREÇO AÇÃO" dataDxfId="221" totalsRowDxfId="220" dataCellStyle="Moeda"/>
    <tableColumn id="11" name="QTDE TMP" dataDxfId="219" totalsRowDxfId="218" dataCellStyle="Moeda">
      <calculatedColumnFormula>ROUNDDOWN([APLICAÇÃO]/[PREÇO OPÇÃO], 0)</calculatedColumnFormula>
    </tableColumn>
    <tableColumn id="14" name="QTDE" dataDxfId="217" totalsRowDxfId="216" dataCellStyle="Moeda">
      <calculatedColumnFormula>[QTDE TMP] - MOD([QTDE TMP], 100)</calculatedColumnFormula>
    </tableColumn>
    <tableColumn id="5" name="TARGET 100%" dataDxfId="215" totalsRowDxfId="214" dataCellStyle="Moeda">
      <calculatedColumnFormula>[EXERCÍCIO] + ([PREÇO OPÇÃO] * 2)</calculatedColumnFormula>
    </tableColumn>
    <tableColumn id="6" name="ALTA 100%" dataDxfId="213" totalsRowDxfId="212" dataCellStyle="Porcentagem">
      <calculatedColumnFormula>[TARGET 100%] / [PREÇO AÇÃO] - 1</calculatedColumnFormula>
    </tableColumn>
    <tableColumn id="12" name="LUCRO* 100%" dataDxfId="211" totalsRowDxfId="210" dataCellStyle="Moeda">
      <calculatedColumnFormula>[PREÇO OPÇÃO] * [QTDE] - 30</calculatedColumnFormula>
    </tableColumn>
    <tableColumn id="7" name="GORDURA" dataDxfId="209" totalsRowDxfId="20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07" dataDxfId="206">
  <autoFilter ref="A1:P4"/>
  <tableColumns count="16">
    <tableColumn id="1" name="PAPEL" totalsRowLabel="Total" dataDxfId="205" totalsRowDxfId="37"/>
    <tableColumn id="10" name="RISCO" dataDxfId="204" totalsRowDxfId="36" dataCellStyle="Moeda"/>
    <tableColumn id="20" name="PREÇO AÇÃO" dataDxfId="203" totalsRowDxfId="35" dataCellStyle="Moeda"/>
    <tableColumn id="7" name="EXERC. VENDA" dataDxfId="202" totalsRowDxfId="34" dataCellStyle="Moeda"/>
    <tableColumn id="8" name="PREÇO VENDA" dataDxfId="201" totalsRowDxfId="33" dataCellStyle="Moeda"/>
    <tableColumn id="2" name="EXERC. COMPRA" dataDxfId="200" totalsRowDxfId="32" dataCellStyle="Moeda"/>
    <tableColumn id="3" name="PREÇO COMPRA" dataDxfId="199" totalsRowDxfId="31" dataCellStyle="Moeda"/>
    <tableColumn id="4" name="VOLUME" dataDxfId="198" totalsRowDxfId="30" dataCellStyle="Moeda">
      <calculatedColumnFormula>([QTDE] * [PREÇO COMPRA]) + ([QTDE] * [PREÇO VENDA])</calculatedColumnFormula>
    </tableColumn>
    <tableColumn id="18" name="LUCRO P/ OPÇÃO" dataDxfId="197" totalsRowDxfId="29" dataCellStyle="Moeda">
      <calculatedColumnFormula>[PREÇO VENDA]-[PREÇO COMPRA]</calculatedColumnFormula>
    </tableColumn>
    <tableColumn id="19" name="PERDA P/ OPÇÃO" dataDxfId="196" totalsRowDxfId="28" dataCellStyle="Moeda">
      <calculatedColumnFormula>(0.01 - [PREÇO COMPRA]) + ([PREÇO VENDA] - ([EXERC. COMPRA]-[EXERC. VENDA]+0.01))</calculatedColumnFormula>
    </tableColumn>
    <tableColumn id="11" name="QTDE TMP" dataDxfId="195" totalsRowDxfId="27" dataCellStyle="Moeda">
      <calculatedColumnFormula>ROUNDDOWN([RISCO]/ABS([PERDA P/ OPÇÃO]), 0)</calculatedColumnFormula>
    </tableColumn>
    <tableColumn id="14" name="QTDE" dataDxfId="194" totalsRowDxfId="26" dataCellStyle="Moeda">
      <calculatedColumnFormula>[QTDE TMP] - MOD([QTDE TMP], 100)</calculatedColumnFormula>
    </tableColumn>
    <tableColumn id="5" name="LUCRO*" dataDxfId="39" totalsRowDxfId="25" dataCellStyle="Moeda">
      <calculatedColumnFormula>([QTDE]*[LUCRO P/ OPÇÃO])</calculatedColumnFormula>
    </tableColumn>
    <tableColumn id="6" name="PERDA*" dataDxfId="38" totalsRowDxfId="24" dataCellStyle="Moeda">
      <calculatedColumnFormula>[QTDE]*[PERDA P/ OPÇÃO]</calculatedColumnFormula>
    </tableColumn>
    <tableColumn id="21" name="% QUEDA" dataDxfId="193" totalsRowDxfId="23" dataCellStyle="Porcentagem">
      <calculatedColumnFormula>[EXERC. VENDA]/[PREÇO AÇÃO]-1</calculatedColumnFormula>
    </tableColumn>
    <tableColumn id="22" name="RISCO : 1" dataDxfId="192" totalsRowDxfId="22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" dataDxfId="191">
  <autoFilter ref="A1:U2"/>
  <tableColumns count="21">
    <tableColumn id="1" name="PAPEL" totalsRowLabel="Total" dataDxfId="190" totalsRowDxfId="20"/>
    <tableColumn id="10" name="BASE" dataDxfId="189" totalsRowDxfId="19" dataCellStyle="Moeda"/>
    <tableColumn id="20" name="PR. AÇÃO" dataDxfId="188" totalsRowDxfId="18" dataCellStyle="Moeda"/>
    <tableColumn id="2" name="EX. CP 1" dataDxfId="187" totalsRowDxfId="17" dataCellStyle="Moeda"/>
    <tableColumn id="3" name="PR CP 1" dataDxfId="186" totalsRowDxfId="16" dataCellStyle="Moeda"/>
    <tableColumn id="12" name="EX. VD" dataDxfId="185" totalsRowDxfId="15" dataCellStyle="Moeda"/>
    <tableColumn id="13" name="PR VD" dataDxfId="184" totalsRowDxfId="14" dataCellStyle="Moeda"/>
    <tableColumn id="8" name="EX. CP 2" dataDxfId="183" totalsRowDxfId="13" dataCellStyle="Moeda"/>
    <tableColumn id="7" name="PR CP 2" dataDxfId="182" totalsRowDxfId="12" dataCellStyle="Moeda"/>
    <tableColumn id="18" name="LUCRO UNI." dataDxfId="181" totalsRowDxfId="11" dataCellStyle="Moeda">
      <calculatedColumnFormula>(([PR VD] - 0.01) * 2) + (([EX. VD] - [EX. CP 1] + 0.01) - [PR CP 1]) + (0.01 - [PR CP 2])</calculatedColumnFormula>
    </tableColumn>
    <tableColumn id="19" name="PERDA 1" dataDxfId="180" totalsRowDxfId="10" dataCellStyle="Moeda">
      <calculatedColumnFormula>(0.01 - [PR CP 1]) + (([PR VD] - 0.01) * 2) + (0.01 - [PR CP 2])</calculatedColumnFormula>
    </tableColumn>
    <tableColumn id="15" name="PERDA 2" dataDxfId="179" totalsRowDxfId="9" dataCellStyle="Moeda">
      <calculatedColumnFormula>(([EX. CP 2] - [EX. CP 1] + 0.01) - [PR CP 1]) + (([PR VD] - ([EX. CP 2] - [EX. VD] + 0.01)) * 2) + (0.01 - [PR CP 2])</calculatedColumnFormula>
    </tableColumn>
    <tableColumn id="16" name="PERDA" dataDxfId="178" totalsRowDxfId="8" dataCellStyle="Moeda">
      <calculatedColumnFormula>IF([PERDA 1] &gt; [PERDA 2], [PERDA 2], [PERDA 1])</calculatedColumnFormula>
    </tableColumn>
    <tableColumn id="11" name="QTDE TMP" dataDxfId="177" totalsRowDxfId="7" dataCellStyle="Moeda">
      <calculatedColumnFormula>ROUNDDOWN([BASE]/ABS([PERDA]), 0)</calculatedColumnFormula>
    </tableColumn>
    <tableColumn id="14" name="QTDE" dataDxfId="176" totalsRowDxfId="6" dataCellStyle="Moeda">
      <calculatedColumnFormula>[QTDE TMP] - MOD([QTDE TMP], 100)</calculatedColumnFormula>
    </tableColumn>
    <tableColumn id="4" name="QTDE VD" dataDxfId="175" totalsRowDxfId="5" dataCellStyle="Moeda">
      <calculatedColumnFormula>Tabela245[[#This Row],[QTDE]]*2</calculatedColumnFormula>
    </tableColumn>
    <tableColumn id="17" name="VOLUME" dataDxfId="174" totalsRowDxfId="4" dataCellStyle="Moeda">
      <calculatedColumnFormula>([QTDE]*[PR CP 1] + [QTDE]*[PR CP 2])+[QTDE]*[PR VD] * 2</calculatedColumnFormula>
    </tableColumn>
    <tableColumn id="5" name="LUCRO" dataDxfId="173" totalsRowDxfId="3" dataCellStyle="Moeda">
      <calculatedColumnFormula>([QTDE]*[LUCRO UNI.])</calculatedColumnFormula>
    </tableColumn>
    <tableColumn id="6" name="PERDA2" dataDxfId="172" totalsRowDxfId="2" dataCellStyle="Moeda">
      <calculatedColumnFormula>[QTDE]*[PERDA]</calculatedColumnFormula>
    </tableColumn>
    <tableColumn id="21" name="% VAR" dataDxfId="171" totalsRowDxfId="1" dataCellStyle="Porcentagem">
      <calculatedColumnFormula>[EX. VD] / [PR. AÇÃO] - 1</calculatedColumnFormula>
    </tableColumn>
    <tableColumn id="22" name="RISCO : 1" dataDxfId="170" totalsRowDxfId="0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9" dataDxfId="168">
  <autoFilter ref="A1:O5"/>
  <tableColumns count="15">
    <tableColumn id="1" name="PAPEL" totalsRowLabel="Total" dataDxfId="167" totalsRowDxfId="166"/>
    <tableColumn id="10" name="RISCO" dataDxfId="165" totalsRowDxfId="164" dataCellStyle="Moeda"/>
    <tableColumn id="20" name="PREÇO AÇÃO" dataDxfId="163" totalsRowDxfId="162" dataCellStyle="Moeda"/>
    <tableColumn id="7" name="EX. VENDA" dataDxfId="161" totalsRowDxfId="160" dataCellStyle="Moeda"/>
    <tableColumn id="2" name="EX. COMPRA" dataDxfId="159" totalsRowDxfId="158" dataCellStyle="Moeda"/>
    <tableColumn id="3" name="PR COMPRA" dataDxfId="157" totalsRowDxfId="156" dataCellStyle="Moeda"/>
    <tableColumn id="16" name="QTDE" dataDxfId="155" totalsRowDxfId="154" dataCellStyle="Moeda"/>
    <tableColumn id="13" name="PERDA P/ OPÇÃO" dataDxfId="153" totalsRowDxfId="152" dataCellStyle="Moeda">
      <calculatedColumnFormula>-[RISCO]/[QTDE]</calculatedColumnFormula>
    </tableColumn>
    <tableColumn id="14" name="CUSTO CP" dataDxfId="151" totalsRowDxfId="150" dataCellStyle="Moeda">
      <calculatedColumnFormula>[PR COMPRA] * [QTDE]</calculatedColumnFormula>
    </tableColumn>
    <tableColumn id="15" name="LUCRO UNI" dataDxfId="149" totalsRowDxfId="148">
      <calculatedColumnFormula>[PR VENDA]-[PR COMPRA]</calculatedColumnFormula>
    </tableColumn>
    <tableColumn id="8" name="PR VENDA" dataDxfId="147" totalsRowDxfId="146" dataCellStyle="Moeda">
      <calculatedColumnFormula>[PERDA P/ OPÇÃO] + ([EX. COMPRA] - [EX. VENDA] + 0.01) - 0.01 + [PR COMPRA]</calculatedColumnFormula>
    </tableColumn>
    <tableColumn id="5" name="LUCRO*" dataDxfId="145" totalsRowDxfId="144" dataCellStyle="Moeda">
      <calculatedColumnFormula>([QTDE]*[LUCRO UNI])</calculatedColumnFormula>
    </tableColumn>
    <tableColumn id="6" name="PERDA*" dataDxfId="143" totalsRowDxfId="142" dataCellStyle="Moeda">
      <calculatedColumnFormula>[PERDA P/ OPÇÃO]*[QTDE]</calculatedColumnFormula>
    </tableColumn>
    <tableColumn id="21" name="% QUEDA" dataDxfId="141" totalsRowDxfId="140" dataCellStyle="Porcentagem">
      <calculatedColumnFormula>[EX. VENDA]/[PREÇO AÇÃO]-1</calculatedColumnFormula>
    </tableColumn>
    <tableColumn id="22" name="RISCO : 1" dataDxfId="139" totalsRowDxfId="1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7" dataDxfId="136">
  <autoFilter ref="A1:O5"/>
  <tableColumns count="15">
    <tableColumn id="1" name="PAPEL" totalsRowLabel="Total" dataDxfId="135" totalsRowDxfId="134"/>
    <tableColumn id="10" name="RISCO" dataDxfId="133" totalsRowDxfId="132" dataCellStyle="Moeda"/>
    <tableColumn id="20" name="PREÇO AÇÃO" dataDxfId="131" totalsRowDxfId="130" dataCellStyle="Moeda"/>
    <tableColumn id="7" name="EX. VENDA" dataDxfId="129" totalsRowDxfId="128" dataCellStyle="Moeda"/>
    <tableColumn id="2" name="EX. COMPRA" dataDxfId="127" totalsRowDxfId="126" dataCellStyle="Moeda"/>
    <tableColumn id="9" name="PR VENDA" totalsRowDxfId="125"/>
    <tableColumn id="3" name="PR COMPRA" dataDxfId="124" totalsRowDxfId="123" dataCellStyle="Moeda"/>
    <tableColumn id="16" name="QTDE" dataDxfId="122" totalsRowDxfId="121" dataCellStyle="Moeda"/>
    <tableColumn id="13" name="PERDA P/ OPÇÃO" dataDxfId="120" totalsRowDxfId="119" dataCellStyle="Moeda">
      <calculatedColumnFormula>([PR VENDA] - ([EX. COMPRA] - [EX. VENDA] + 0.01)) + (0.01 - ([PR COMPRA]))</calculatedColumnFormula>
    </tableColumn>
    <tableColumn id="14" name="VOLUME" dataDxfId="118" totalsRowDxfId="117" dataCellStyle="Moeda">
      <calculatedColumnFormula>[PR COMPRA] * [QTDE]</calculatedColumnFormula>
    </tableColumn>
    <tableColumn id="15" name="LUCRO UNI" dataDxfId="116" totalsRowDxfId="115">
      <calculatedColumnFormula>[PR VENDA]-[PR COMPRA]</calculatedColumnFormula>
    </tableColumn>
    <tableColumn id="5" name="LUCRO*" dataDxfId="114" totalsRowDxfId="113" dataCellStyle="Moeda">
      <calculatedColumnFormula>([QTDE]*[LUCRO UNI])</calculatedColumnFormula>
    </tableColumn>
    <tableColumn id="6" name="PERDA*" dataDxfId="112" totalsRowDxfId="111" dataCellStyle="Moeda">
      <calculatedColumnFormula>[PERDA P/ OPÇÃO]*[QTDE]</calculatedColumnFormula>
    </tableColumn>
    <tableColumn id="21" name="% QUEDA" dataDxfId="110" totalsRowDxfId="109" dataCellStyle="Porcentagem">
      <calculatedColumnFormula>[EX. VENDA]/[PREÇO AÇÃO]-1</calculatedColumnFormula>
    </tableColumn>
    <tableColumn id="22" name="RISCO : 1" dataDxfId="108" totalsRowDxfId="10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G6" sqref="G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5</v>
      </c>
      <c r="B4" s="116" t="s">
        <v>49</v>
      </c>
      <c r="C4" s="116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7">
        <f>WORKDAY(NOTAS_80[[#This Row],[DATA]],1,0)</f>
        <v>41150</v>
      </c>
      <c r="L4" s="118">
        <f>EOMONTH(NOTAS_80[[#This Row],[DATA DE LIQUIDAÇÃO]],0)</f>
        <v>41152</v>
      </c>
      <c r="M4" s="116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4" s="113">
        <f>[QTDE]*[PREÇO]</f>
        <v>120</v>
      </c>
      <c r="O4" s="113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3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3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3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3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3">
        <f>TRUNC([CORR BOV] * 20% * IF([PARCIAL] &gt; 0, [QTDE] / [PARCIAL], 1),2)</f>
        <v>0.54</v>
      </c>
      <c r="U4" s="113">
        <f>SUMPRODUCT(N([DATA]=NOTAS_80[[#This Row],[DATA]]),N([ID]&lt;=NOTAS_80[[#This Row],[ID]]), [CORR])</f>
        <v>0.54</v>
      </c>
      <c r="V4" s="113">
        <f>TRUNC([CORRETAGEM]*SETUP!$F$3,2)</f>
        <v>0.01</v>
      </c>
      <c r="W4" s="113">
        <f>ROUND([CORRETAGEM]*SETUP!$G$3,2)</f>
        <v>0.02</v>
      </c>
      <c r="X4" s="113">
        <f>[VALOR LÍQUIDO DAS OPERAÇÕES]-[TAXA DE LIQUIDAÇÃO]-[EMOLUMENTOS]-[TAXA DE REGISTRO]-[CORRETAGEM]-[ISS]-IF(['[D/N']]="D",    0,    [OUTRAS BOVESPA]) - [AJUSTE]</f>
        <v>-120.72000000000001</v>
      </c>
      <c r="Y4" s="113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9">
        <f>[LÍQUIDO]-SUMPRODUCT(N([DATA]=NOTAS_80[[#This Row],[DATA]]),N([ID]=(NOTAS_80[[#This Row],[ID]]-1)),[LÍQUIDO])</f>
        <v>-120.72000000000001</v>
      </c>
      <c r="AB4" s="113">
        <f>IF([T] = "VC", ABS([VALOR OP]) / [QTDE], [VALOR OP]/[QTDE])</f>
        <v>-0.40240000000000004</v>
      </c>
      <c r="AC4" s="113">
        <f>TRUNC(IF(OR([T]="CV",[T]="VV"),     N4*SETUP!$H$3,     0),2)</f>
        <v>0</v>
      </c>
      <c r="AD4" s="120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21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21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2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3">
        <f>IF([LUCRO TMP] &lt;&gt; 0, [LUCRO TMP] - SUMPRODUCT(N([ATIVO]=NOTAS_80[[#This Row],[ATIVO]]),N(['[D/N']]="N"),N([ID]&lt;NOTAS_80[[#This Row],[ID]]),N([PAR]=NOTAS_80[[#This Row],[PAR]]), [LUCRO TMP]), 0)</f>
        <v>0</v>
      </c>
      <c r="AI4" s="113">
        <f>IF([U] = "U", SUMPRODUCT(N([ID]&lt;=NOTAS_80[[#This Row],[ID]]),N([DATA BASE]=NOTAS_80[[#This Row],[DATA BASE]]), N(['[D/N']] = "N"),    [LUCRO P/ OP]), 0)</f>
        <v>-61.850000000000009</v>
      </c>
      <c r="AJ4" s="113">
        <f>IF([U] = "U", SUMPRODUCT(N([DATA BASE]=NOTAS_80[[#This Row],[DATA BASE]]), N(['[D/N']] = "D"),    [LUCRO P/ OP]), 0)</f>
        <v>0</v>
      </c>
      <c r="AK4" s="113">
        <f>IF([U] = "U", SUMPRODUCT(N([DATA BASE]=NOTAS_80[[#This Row],[DATA BASE]]), N(['[D/N']] = "D"),    [IRRF FONTE]), 0)</f>
        <v>0</v>
      </c>
    </row>
    <row r="5" spans="1:37">
      <c r="A5" s="13">
        <v>6</v>
      </c>
      <c r="B5" s="123"/>
      <c r="C5" s="116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4">
        <f>WORKDAY(NOTAS_80[[#This Row],[DATA]],1,0)</f>
        <v>41151</v>
      </c>
      <c r="L5" s="126">
        <f>EOMONTH(NOTAS_80[[#This Row],[DATA DE LIQUIDAÇÃO]],0)</f>
        <v>41152</v>
      </c>
      <c r="M5" s="12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5" s="125">
        <f>[QTDE]*[PREÇO]</f>
        <v>122.99999999999999</v>
      </c>
      <c r="O5" s="12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5">
        <f>TRUNC([CORR BOV] * 20% * IF([PARCIAL] &gt; 0, [QTDE] / [PARCIAL], 1),2)</f>
        <v>0.54</v>
      </c>
      <c r="U5" s="125">
        <f>SUMPRODUCT(N([DATA]=NOTAS_80[[#This Row],[DATA]]),N([ID]&lt;=NOTAS_80[[#This Row],[ID]]), [CORR])</f>
        <v>0.54</v>
      </c>
      <c r="V5" s="125">
        <f>TRUNC([CORRETAGEM]*SETUP!$F$3,2)</f>
        <v>0.01</v>
      </c>
      <c r="W5" s="125">
        <f>ROUND([CORRETAGEM]*SETUP!$G$3,2)</f>
        <v>0.02</v>
      </c>
      <c r="X5" s="125">
        <f>[VALOR LÍQUIDO DAS OPERAÇÕES]-[TAXA DE LIQUIDAÇÃO]-[EMOLUMENTOS]-[TAXA DE REGISTRO]-[CORRETAGEM]-[ISS]-IF(['[D/N']]="D",    0,    [OUTRAS BOVESPA]) - [AJUSTE]</f>
        <v>122.27999999999997</v>
      </c>
      <c r="Y5" s="125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7">
        <f>[LÍQUIDO]-SUMPRODUCT(N([DATA]=NOTAS_80[[#This Row],[DATA]]),N([ID]=(NOTAS_80[[#This Row],[ID]]-1)),[LÍQUIDO])</f>
        <v>122.27999999999997</v>
      </c>
      <c r="AB5" s="125">
        <f>IF([T] = "VC", ABS([VALOR OP]) / [QTDE], [VALOR OP]/[QTDE])</f>
        <v>0.40759999999999991</v>
      </c>
      <c r="AC5" s="125">
        <f>TRUNC(IF(OR([T]="CV",[T]="VV"),     N5*SETUP!$H$3,     0),2)</f>
        <v>0</v>
      </c>
      <c r="AD5" s="128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9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9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30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5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5">
        <f>IF([U] = "U", SUMPRODUCT(N([ID]&lt;=NOTAS_80[[#This Row],[ID]]),N([DATA BASE]=NOTAS_80[[#This Row],[DATA BASE]]), N(['[D/N']] = "N"),    [LUCRO P/ OP]), 0)</f>
        <v>0</v>
      </c>
      <c r="AJ5" s="125">
        <f>IF([U] = "U", SUMPRODUCT(N([DATA BASE]=NOTAS_80[[#This Row],[DATA BASE]]), N(['[D/N']] = "D"),    [LUCRO P/ OP]), 0)</f>
        <v>0</v>
      </c>
      <c r="AK5" s="125">
        <f>IF([U] = "U", SUMPRODUCT(N([DATA BASE]=NOTAS_80[[#This Row],[DATA BASE]]), N(['[D/N']] = "D"),    [IRRF FONTE]), 0)</f>
        <v>0</v>
      </c>
    </row>
    <row r="6" spans="1:37">
      <c r="A6" s="111">
        <f>SUBTOTAL(104,[ID])</f>
        <v>6</v>
      </c>
      <c r="B6" s="111"/>
      <c r="C6" s="111"/>
      <c r="D6" s="111"/>
      <c r="E6" s="111"/>
      <c r="F6" s="111"/>
      <c r="G6" s="111"/>
      <c r="H6" s="112"/>
      <c r="I6" s="113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3"/>
      <c r="Y6" s="111"/>
      <c r="Z6" s="113"/>
      <c r="AA6" s="113"/>
      <c r="AB6" s="111"/>
      <c r="AC6" s="113">
        <f>SUBTOTAL(109,[IRRF])</f>
        <v>0</v>
      </c>
      <c r="AD6" s="113"/>
      <c r="AE6" s="111"/>
      <c r="AF6" s="111"/>
      <c r="AG6" s="113"/>
      <c r="AH6" s="113">
        <f>SUBTOTAL(109,[LUCRO P/ OP])</f>
        <v>-60.290000000000049</v>
      </c>
      <c r="AI6" s="113"/>
      <c r="AJ6" s="114"/>
      <c r="AK6" s="115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131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133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</f>
        <v>742</v>
      </c>
      <c r="N3" s="25">
        <f>[QTDE]*[PERDA P/ OPÇÃO]</f>
        <v>-490.00000000000364</v>
      </c>
      <c r="O3" s="27">
        <f>[EXERC. VENDA]/[PREÇO AÇÃO]-1</f>
        <v>-3.0880082346886328E-2</v>
      </c>
      <c r="P3" s="38">
        <f>[LUCRO*]/ABS([PERDA*])</f>
        <v>1.5142857142857031</v>
      </c>
    </row>
    <row r="4" spans="1:16">
      <c r="A4" s="105" t="s">
        <v>69</v>
      </c>
      <c r="B4" s="25">
        <v>60</v>
      </c>
      <c r="C4" s="25">
        <v>32</v>
      </c>
      <c r="D4" s="25">
        <v>30</v>
      </c>
      <c r="E4" s="25">
        <v>2.52</v>
      </c>
      <c r="F4" s="25">
        <v>32</v>
      </c>
      <c r="G4" s="25">
        <v>1.1100000000000001</v>
      </c>
      <c r="H4" s="81">
        <f>([QTDE] * [PREÇO COMPRA]) + ([QTDE] * [PREÇO VENDA])</f>
        <v>363</v>
      </c>
      <c r="I4" s="81">
        <f>[PREÇO VENDA]-[PREÇO COMPRA]</f>
        <v>1.41</v>
      </c>
      <c r="J4" s="81">
        <f>(0.01 - [PREÇO COMPRA]) + ([PREÇO VENDA] - ([EXERC. COMPRA]-[EXERC. VENDA]+0.01))</f>
        <v>-0.58999999999999986</v>
      </c>
      <c r="K4" s="106">
        <f>ROUNDDOWN([RISCO]/ABS([PERDA P/ OPÇÃO]), 0)</f>
        <v>101</v>
      </c>
      <c r="L4" s="106">
        <f>[QTDE TMP] - MOD([QTDE TMP], 100)</f>
        <v>100</v>
      </c>
      <c r="M4" s="81">
        <f>([QTDE]*[LUCRO P/ OPÇÃO])</f>
        <v>141</v>
      </c>
      <c r="N4" s="81">
        <f>[QTDE]*[PERDA P/ OPÇÃO]</f>
        <v>-58.999999999999986</v>
      </c>
      <c r="O4" s="82">
        <f>[EXERC. VENDA]/[PREÇO AÇÃO]-1</f>
        <v>-6.25E-2</v>
      </c>
      <c r="P4" s="83">
        <f>[LUCRO*]/ABS([PERDA*])</f>
        <v>2.389830508474577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3" customFormat="1">
      <c r="A1" s="131" t="s">
        <v>55</v>
      </c>
      <c r="B1" s="131" t="s">
        <v>91</v>
      </c>
      <c r="C1" s="131" t="s">
        <v>92</v>
      </c>
      <c r="D1" s="132" t="s">
        <v>93</v>
      </c>
      <c r="E1" s="132" t="s">
        <v>94</v>
      </c>
      <c r="F1" s="132" t="s">
        <v>95</v>
      </c>
      <c r="G1" s="132" t="s">
        <v>96</v>
      </c>
      <c r="H1" s="132" t="s">
        <v>97</v>
      </c>
      <c r="I1" s="132" t="s">
        <v>98</v>
      </c>
      <c r="J1" s="132" t="s">
        <v>87</v>
      </c>
      <c r="K1" s="132" t="s">
        <v>88</v>
      </c>
      <c r="L1" s="132" t="s">
        <v>89</v>
      </c>
      <c r="M1" s="132" t="s">
        <v>100</v>
      </c>
      <c r="N1" s="132" t="s">
        <v>63</v>
      </c>
      <c r="O1" s="132" t="s">
        <v>1</v>
      </c>
      <c r="P1" s="132" t="s">
        <v>99</v>
      </c>
      <c r="Q1" s="132" t="s">
        <v>113</v>
      </c>
      <c r="R1" s="132" t="s">
        <v>151</v>
      </c>
      <c r="S1" s="132" t="s">
        <v>152</v>
      </c>
      <c r="T1" s="132" t="s">
        <v>86</v>
      </c>
      <c r="U1" s="132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10" t="s">
        <v>7</v>
      </c>
      <c r="B1" s="110"/>
      <c r="C1" s="110" t="s">
        <v>8</v>
      </c>
      <c r="D1" s="110"/>
      <c r="E1" s="109" t="s">
        <v>9</v>
      </c>
      <c r="F1" s="109" t="s">
        <v>4</v>
      </c>
      <c r="G1" s="109" t="s">
        <v>10</v>
      </c>
      <c r="H1" s="109" t="s">
        <v>11</v>
      </c>
      <c r="I1" s="109" t="s">
        <v>23</v>
      </c>
      <c r="K1" s="108" t="s">
        <v>149</v>
      </c>
      <c r="L1" s="108"/>
      <c r="M1" s="108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09"/>
      <c r="F2" s="109"/>
      <c r="G2" s="109"/>
      <c r="H2" s="109"/>
      <c r="I2" s="109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08" t="s">
        <v>26</v>
      </c>
      <c r="B4" s="108"/>
      <c r="C4" s="108"/>
      <c r="D4" s="108"/>
      <c r="E4" s="108"/>
      <c r="F4" s="108"/>
      <c r="K4" s="17">
        <v>498.62</v>
      </c>
      <c r="L4" s="17">
        <v>0</v>
      </c>
      <c r="M4" s="107">
        <v>0.02</v>
      </c>
    </row>
    <row r="5" spans="1:13">
      <c r="A5" s="108" t="s">
        <v>7</v>
      </c>
      <c r="B5" s="108"/>
      <c r="C5" s="108"/>
      <c r="D5" s="108" t="s">
        <v>8</v>
      </c>
      <c r="E5" s="108"/>
      <c r="F5" s="108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2012-08-29T18:22:10Z</dcterms:modified>
</cp:coreProperties>
</file>