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0" windowWidth="2310" windowHeight="930" tabRatio="802" firstSheet="1" activeTab="11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MINI" sheetId="15" r:id="rId6"/>
    <sheet name="TRAVA BAIXA NEW" sheetId="6" r:id="rId7"/>
    <sheet name="BORBOLETA" sheetId="5" r:id="rId8"/>
    <sheet name="Plan1" sheetId="7" r:id="rId9"/>
    <sheet name="SETUP" sheetId="2" r:id="rId10"/>
    <sheet name="Plan2" sheetId="10" r:id="rId11"/>
    <sheet name="Plan4" sheetId="12" r:id="rId12"/>
    <sheet name="Plan6" sheetId="14" r:id="rId13"/>
  </sheets>
  <calcPr calcId="124519"/>
  <pivotCaches>
    <pivotCache cacheId="6" r:id="rId14"/>
  </pivotCaches>
</workbook>
</file>

<file path=xl/calcChain.xml><?xml version="1.0" encoding="utf-8"?>
<calcChain xmlns="http://schemas.openxmlformats.org/spreadsheetml/2006/main">
  <c r="K4" i="14"/>
  <c r="L4"/>
  <c r="N4"/>
  <c r="O4"/>
  <c r="R4"/>
  <c r="K5"/>
  <c r="L5"/>
  <c r="N5"/>
  <c r="O5"/>
  <c r="R5"/>
  <c r="K6"/>
  <c r="L6"/>
  <c r="N6"/>
  <c r="O6"/>
  <c r="R6"/>
  <c r="O7"/>
  <c r="J8"/>
  <c r="K8"/>
  <c r="N7" s="1"/>
  <c r="N8" s="1"/>
  <c r="J9"/>
  <c r="S6" s="1"/>
  <c r="R7" s="1"/>
  <c r="B2" i="3"/>
  <c r="B3"/>
  <c r="B4"/>
  <c r="B5"/>
  <c r="C16" i="10"/>
  <c r="C15"/>
  <c r="G98" i="1"/>
  <c r="X105"/>
  <c r="H98" l="1"/>
  <c r="I98" s="1"/>
  <c r="I99"/>
  <c r="D2" i="15"/>
  <c r="G2" s="1"/>
  <c r="F2"/>
  <c r="E2"/>
  <c r="O21" i="12" l="1"/>
  <c r="O20"/>
  <c r="O19" l="1"/>
  <c r="O18"/>
  <c r="O17"/>
  <c r="O16"/>
  <c r="T6" i="14"/>
  <c r="O15" i="12"/>
  <c r="O14"/>
  <c r="O13"/>
  <c r="O12"/>
  <c r="O11"/>
  <c r="O10"/>
  <c r="B2" i="4"/>
  <c r="B3"/>
  <c r="B4"/>
  <c r="O9" i="12"/>
  <c r="O8"/>
  <c r="O7" l="1"/>
  <c r="O6"/>
  <c r="O5"/>
  <c r="O4"/>
  <c r="O3"/>
  <c r="O2"/>
  <c r="W62" i="10" l="1"/>
  <c r="U62"/>
  <c r="T63" s="1"/>
  <c r="V64" s="1"/>
  <c r="W64" s="1"/>
  <c r="T3" i="14" l="1"/>
  <c r="V3" l="1"/>
  <c r="U4" s="1"/>
  <c r="S7"/>
  <c r="R8" s="1"/>
  <c r="S8"/>
  <c r="R9" s="1"/>
  <c r="S9"/>
  <c r="R10" s="1"/>
  <c r="S10"/>
  <c r="R11" s="1"/>
  <c r="S11"/>
  <c r="R12" s="1"/>
  <c r="S12"/>
  <c r="R9" i="4"/>
  <c r="R7"/>
  <c r="R6"/>
  <c r="R5"/>
  <c r="H2"/>
  <c r="L2" s="1"/>
  <c r="H3"/>
  <c r="L3" s="1"/>
  <c r="H4"/>
  <c r="L4" s="1"/>
  <c r="T4" i="14" l="1"/>
  <c r="V4" s="1"/>
  <c r="U5" s="1"/>
  <c r="T5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J30" i="1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B25"/>
  <c r="B26"/>
  <c r="B27"/>
  <c r="B28"/>
  <c r="B29"/>
  <c r="J29" s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J14" s="1"/>
  <c r="B23"/>
  <c r="B24"/>
  <c r="J24" s="1"/>
  <c r="B3"/>
  <c r="B1" s="1"/>
  <c r="T55"/>
  <c r="V5" i="14" l="1"/>
  <c r="U6" s="1"/>
  <c r="V6" s="1"/>
  <c r="U7" s="1"/>
  <c r="V7" s="1"/>
  <c r="U8" s="1"/>
  <c r="V8" s="1"/>
  <c r="U9" s="1"/>
  <c r="V9" s="1"/>
  <c r="U10" s="1"/>
  <c r="V10" s="1"/>
  <c r="U11" s="1"/>
  <c r="V11" s="1"/>
  <c r="U12" s="1"/>
  <c r="V12" s="1"/>
  <c r="U13" s="1"/>
  <c r="V13" s="1"/>
  <c r="U14" s="1"/>
  <c r="V14" s="1"/>
  <c r="U15" s="1"/>
  <c r="V15" s="1"/>
  <c r="U16" s="1"/>
  <c r="V16" s="1"/>
  <c r="U17" s="1"/>
  <c r="V17" s="1"/>
  <c r="U18" s="1"/>
  <c r="V18" s="1"/>
  <c r="U19" s="1"/>
  <c r="V19" s="1"/>
  <c r="U20" s="1"/>
  <c r="V20" s="1"/>
  <c r="U21" s="1"/>
  <c r="V21" s="1"/>
  <c r="U22" s="1"/>
  <c r="V22" s="1"/>
  <c r="U23" s="1"/>
  <c r="V23" s="1"/>
  <c r="U24" s="1"/>
  <c r="V24" s="1"/>
  <c r="U25" s="1"/>
  <c r="V25" s="1"/>
  <c r="U26" s="1"/>
  <c r="V26" s="1"/>
  <c r="U27" s="1"/>
  <c r="V27" s="1"/>
  <c r="U28" s="1"/>
  <c r="V28" s="1"/>
  <c r="U29" s="1"/>
  <c r="V29" s="1"/>
  <c r="U30" s="1"/>
  <c r="V30" s="1"/>
  <c r="U31" s="1"/>
  <c r="V31" s="1"/>
  <c r="U32" s="1"/>
  <c r="V32" s="1"/>
  <c r="U33" s="1"/>
  <c r="V33" s="1"/>
  <c r="U34" s="1"/>
  <c r="V34" s="1"/>
  <c r="U35" s="1"/>
  <c r="V35" s="1"/>
  <c r="U36" s="1"/>
  <c r="V36" s="1"/>
  <c r="U37" s="1"/>
  <c r="V37" s="1"/>
  <c r="U38" s="1"/>
  <c r="V38" s="1"/>
  <c r="U39" s="1"/>
  <c r="V39" s="1"/>
  <c r="U40" s="1"/>
  <c r="V40" s="1"/>
  <c r="U41" s="1"/>
  <c r="V41" s="1"/>
  <c r="U42" s="1"/>
  <c r="V42" s="1"/>
  <c r="U43" s="1"/>
  <c r="V43" s="1"/>
  <c r="U44" s="1"/>
  <c r="V44" s="1"/>
  <c r="U45" s="1"/>
  <c r="V45" s="1"/>
  <c r="U46" s="1"/>
  <c r="V46" s="1"/>
  <c r="U47" s="1"/>
  <c r="V47" s="1"/>
  <c r="U48" s="1"/>
  <c r="V48" s="1"/>
  <c r="U49" s="1"/>
  <c r="V49" s="1"/>
  <c r="U50" s="1"/>
  <c r="V50" s="1"/>
  <c r="U51" s="1"/>
  <c r="V51" s="1"/>
  <c r="U52" s="1"/>
  <c r="V52" s="1"/>
  <c r="U53" s="1"/>
  <c r="V53" s="1"/>
  <c r="U54" s="1"/>
  <c r="V54" s="1"/>
  <c r="U55" s="1"/>
  <c r="V55" s="1"/>
  <c r="U56" s="1"/>
  <c r="V56" s="1"/>
  <c r="U57" s="1"/>
  <c r="V57" s="1"/>
  <c r="U58" s="1"/>
  <c r="V58" s="1"/>
  <c r="U59" s="1"/>
  <c r="V59" s="1"/>
  <c r="U60" s="1"/>
  <c r="V60" s="1"/>
  <c r="U61" s="1"/>
  <c r="V61" s="1"/>
  <c r="U62" s="1"/>
  <c r="V62" s="1"/>
  <c r="J13" i="10"/>
  <c r="J12"/>
  <c r="J11"/>
  <c r="J10"/>
  <c r="J9"/>
  <c r="J8"/>
  <c r="J7"/>
  <c r="J6"/>
  <c r="J5"/>
  <c r="J4"/>
  <c r="J28"/>
  <c r="J3"/>
  <c r="J27"/>
  <c r="J26"/>
  <c r="J25"/>
  <c r="J23"/>
  <c r="J22"/>
  <c r="J21"/>
  <c r="J20"/>
  <c r="J19"/>
  <c r="J18"/>
  <c r="J17"/>
  <c r="J16"/>
  <c r="J15"/>
  <c r="T57"/>
  <c r="U56" s="1"/>
  <c r="U59" s="1"/>
  <c r="C103" i="1"/>
  <c r="C104" s="1"/>
  <c r="E102"/>
  <c r="U2" i="10"/>
  <c r="V2"/>
  <c r="T3"/>
  <c r="U3" s="1"/>
  <c r="U55" l="1"/>
  <c r="E103" i="1"/>
  <c r="E104" s="1"/>
  <c r="F104" s="1"/>
  <c r="G104" s="1"/>
  <c r="V3" i="10"/>
  <c r="T4"/>
  <c r="U4" s="1"/>
  <c r="W2"/>
  <c r="X2" s="1"/>
  <c r="C12"/>
  <c r="W3" l="1"/>
  <c r="X3" s="1"/>
  <c r="V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C3"/>
  <c r="C4"/>
  <c r="C5"/>
  <c r="C6"/>
  <c r="C7"/>
  <c r="C8"/>
  <c r="C9"/>
  <c r="C10"/>
  <c r="C11"/>
  <c r="C13"/>
  <c r="C14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2"/>
  <c r="G2"/>
  <c r="D3"/>
  <c r="D4"/>
  <c r="D5"/>
  <c r="D6"/>
  <c r="D7"/>
  <c r="D8"/>
  <c r="D9"/>
  <c r="D10"/>
  <c r="D11"/>
  <c r="D12"/>
  <c r="D13"/>
  <c r="D14"/>
  <c r="D15"/>
  <c r="D16"/>
  <c r="E16" s="1"/>
  <c r="D17"/>
  <c r="E17" s="1"/>
  <c r="F17" s="1"/>
  <c r="D18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38"/>
  <c r="E38" s="1"/>
  <c r="F38" s="1"/>
  <c r="D39"/>
  <c r="E39" s="1"/>
  <c r="F39" s="1"/>
  <c r="D40"/>
  <c r="E40" s="1"/>
  <c r="F40" s="1"/>
  <c r="D41"/>
  <c r="E41" s="1"/>
  <c r="F41" s="1"/>
  <c r="D42"/>
  <c r="E42" s="1"/>
  <c r="F42" s="1"/>
  <c r="D43"/>
  <c r="E43" s="1"/>
  <c r="F43" s="1"/>
  <c r="D44"/>
  <c r="E44" s="1"/>
  <c r="F44" s="1"/>
  <c r="D45"/>
  <c r="E45" s="1"/>
  <c r="F45" s="1"/>
  <c r="D46"/>
  <c r="E46" s="1"/>
  <c r="F46" s="1"/>
  <c r="D47"/>
  <c r="E47" s="1"/>
  <c r="F47" s="1"/>
  <c r="D48"/>
  <c r="E48" s="1"/>
  <c r="F48" s="1"/>
  <c r="D49"/>
  <c r="E49" s="1"/>
  <c r="F49" s="1"/>
  <c r="D50"/>
  <c r="E50" s="1"/>
  <c r="F50" s="1"/>
  <c r="D51"/>
  <c r="E51" s="1"/>
  <c r="F51" s="1"/>
  <c r="D52"/>
  <c r="E52" s="1"/>
  <c r="F52" s="1"/>
  <c r="D53"/>
  <c r="E53" s="1"/>
  <c r="F53" s="1"/>
  <c r="D54"/>
  <c r="E54" s="1"/>
  <c r="F54" s="1"/>
  <c r="D55"/>
  <c r="E55" s="1"/>
  <c r="F55" s="1"/>
  <c r="D56"/>
  <c r="E56" s="1"/>
  <c r="F56" s="1"/>
  <c r="D57"/>
  <c r="E57" s="1"/>
  <c r="F57" s="1"/>
  <c r="D58"/>
  <c r="E58" s="1"/>
  <c r="F58" s="1"/>
  <c r="D59"/>
  <c r="E59" s="1"/>
  <c r="F59" s="1"/>
  <c r="D60"/>
  <c r="E60" s="1"/>
  <c r="F60" s="1"/>
  <c r="D61"/>
  <c r="E61" s="1"/>
  <c r="F61" s="1"/>
  <c r="D62"/>
  <c r="E62" s="1"/>
  <c r="F62" s="1"/>
  <c r="D63"/>
  <c r="E63" s="1"/>
  <c r="F63" s="1"/>
  <c r="D64"/>
  <c r="E64" s="1"/>
  <c r="F64" s="1"/>
  <c r="D65"/>
  <c r="E65" s="1"/>
  <c r="F65" s="1"/>
  <c r="D66"/>
  <c r="E66" s="1"/>
  <c r="F66" s="1"/>
  <c r="D67"/>
  <c r="E67" s="1"/>
  <c r="F67" s="1"/>
  <c r="D68"/>
  <c r="E68" s="1"/>
  <c r="F68" s="1"/>
  <c r="D69"/>
  <c r="E69" s="1"/>
  <c r="F69" s="1"/>
  <c r="D70"/>
  <c r="E70" s="1"/>
  <c r="F70" s="1"/>
  <c r="D71"/>
  <c r="E71" s="1"/>
  <c r="F71" s="1"/>
  <c r="D72"/>
  <c r="E72" s="1"/>
  <c r="F72" s="1"/>
  <c r="D73"/>
  <c r="E73" s="1"/>
  <c r="F73" s="1"/>
  <c r="D74"/>
  <c r="E74" s="1"/>
  <c r="F74" s="1"/>
  <c r="D75"/>
  <c r="E75" s="1"/>
  <c r="F75" s="1"/>
  <c r="D76"/>
  <c r="E76" s="1"/>
  <c r="F76" s="1"/>
  <c r="D77"/>
  <c r="E77" s="1"/>
  <c r="F77" s="1"/>
  <c r="D78"/>
  <c r="E78" s="1"/>
  <c r="F78" s="1"/>
  <c r="D79"/>
  <c r="E79" s="1"/>
  <c r="F79" s="1"/>
  <c r="D80"/>
  <c r="E80" s="1"/>
  <c r="F80" s="1"/>
  <c r="D2"/>
  <c r="E2" s="1"/>
  <c r="H80"/>
  <c r="H79"/>
  <c r="H77"/>
  <c r="H78"/>
  <c r="I78" s="1"/>
  <c r="H76"/>
  <c r="H75"/>
  <c r="H74"/>
  <c r="H73"/>
  <c r="H68"/>
  <c r="H69"/>
  <c r="I69" s="1"/>
  <c r="H70"/>
  <c r="I70" s="1"/>
  <c r="H71"/>
  <c r="I71" s="1"/>
  <c r="H72"/>
  <c r="I72" s="1"/>
  <c r="H62"/>
  <c r="H63"/>
  <c r="I63" s="1"/>
  <c r="H64"/>
  <c r="I64" s="1"/>
  <c r="H65"/>
  <c r="I65" s="1"/>
  <c r="H66"/>
  <c r="I66" s="1"/>
  <c r="H67"/>
  <c r="I67" s="1"/>
  <c r="H50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34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33"/>
  <c r="H30"/>
  <c r="H31"/>
  <c r="I31" s="1"/>
  <c r="H32"/>
  <c r="I32" s="1"/>
  <c r="H27"/>
  <c r="H28"/>
  <c r="I28" s="1"/>
  <c r="H29"/>
  <c r="I29" s="1"/>
  <c r="H26"/>
  <c r="H24"/>
  <c r="H25"/>
  <c r="I25" s="1"/>
  <c r="H22"/>
  <c r="H23"/>
  <c r="I23" s="1"/>
  <c r="H19"/>
  <c r="H20"/>
  <c r="I20" s="1"/>
  <c r="H21"/>
  <c r="I21" s="1"/>
  <c r="H17"/>
  <c r="H18"/>
  <c r="I18" s="1"/>
  <c r="H16"/>
  <c r="K95" i="1"/>
  <c r="L95"/>
  <c r="N95"/>
  <c r="S95"/>
  <c r="AB95"/>
  <c r="AC95"/>
  <c r="AH95"/>
  <c r="AI95"/>
  <c r="AJ95"/>
  <c r="K94"/>
  <c r="L94"/>
  <c r="N94"/>
  <c r="S94"/>
  <c r="AB94"/>
  <c r="AC94"/>
  <c r="AH94"/>
  <c r="AI94"/>
  <c r="AJ94"/>
  <c r="I17" i="10" l="1"/>
  <c r="I19"/>
  <c r="I22"/>
  <c r="I24"/>
  <c r="I26"/>
  <c r="I27"/>
  <c r="I30"/>
  <c r="I33"/>
  <c r="I34"/>
  <c r="I50"/>
  <c r="I62"/>
  <c r="I68"/>
  <c r="I73"/>
  <c r="I74"/>
  <c r="I75"/>
  <c r="I76"/>
  <c r="I77"/>
  <c r="I79"/>
  <c r="I80"/>
  <c r="W4"/>
  <c r="X4" s="1"/>
  <c r="T5"/>
  <c r="U5" s="1"/>
  <c r="F26"/>
  <c r="H2"/>
  <c r="E4"/>
  <c r="E3"/>
  <c r="F4" s="1"/>
  <c r="E15"/>
  <c r="E14"/>
  <c r="E13"/>
  <c r="E12"/>
  <c r="E11"/>
  <c r="E10"/>
  <c r="E9"/>
  <c r="E8"/>
  <c r="E7"/>
  <c r="E6"/>
  <c r="E5"/>
  <c r="F5" s="1"/>
  <c r="H15"/>
  <c r="H14"/>
  <c r="H13"/>
  <c r="H12"/>
  <c r="H11"/>
  <c r="H10"/>
  <c r="H9"/>
  <c r="H8"/>
  <c r="H7"/>
  <c r="H6"/>
  <c r="H5"/>
  <c r="H4"/>
  <c r="H3"/>
  <c r="I3" s="1"/>
  <c r="I9" l="1"/>
  <c r="I5"/>
  <c r="I6"/>
  <c r="I7"/>
  <c r="I8"/>
  <c r="I10"/>
  <c r="I11"/>
  <c r="I12"/>
  <c r="I13"/>
  <c r="I14"/>
  <c r="I15"/>
  <c r="I16"/>
  <c r="V5"/>
  <c r="T6"/>
  <c r="U6" s="1"/>
  <c r="I4"/>
  <c r="F6"/>
  <c r="F7"/>
  <c r="F8"/>
  <c r="F9"/>
  <c r="F10"/>
  <c r="F11"/>
  <c r="F12"/>
  <c r="F13"/>
  <c r="F14"/>
  <c r="F15"/>
  <c r="F16"/>
  <c r="F3"/>
  <c r="V6" l="1"/>
  <c r="T7"/>
  <c r="U7" s="1"/>
  <c r="W5"/>
  <c r="X5" s="1"/>
  <c r="N5" i="3"/>
  <c r="O5" s="1"/>
  <c r="N4"/>
  <c r="O4" s="1"/>
  <c r="W6" i="10" l="1"/>
  <c r="X6" s="1"/>
  <c r="V7"/>
  <c r="W7" s="1"/>
  <c r="X7" s="1"/>
  <c r="T8"/>
  <c r="U8" s="1"/>
  <c r="N1" i="3"/>
  <c r="F5"/>
  <c r="G5"/>
  <c r="H5"/>
  <c r="I5"/>
  <c r="J5"/>
  <c r="K5"/>
  <c r="D7" s="1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V8" i="10" l="1"/>
  <c r="W8" s="1"/>
  <c r="X8" s="1"/>
  <c r="T9"/>
  <c r="U9" s="1"/>
  <c r="J3" i="6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R13" i="14" l="1"/>
  <c r="S13" s="1"/>
  <c r="V9" i="10"/>
  <c r="W9" s="1"/>
  <c r="X9" s="1"/>
  <c r="T10"/>
  <c r="U10" s="1"/>
  <c r="AC58" i="9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R14" i="14" l="1"/>
  <c r="S14" s="1"/>
  <c r="R15" s="1"/>
  <c r="S15" s="1"/>
  <c r="R16" s="1"/>
  <c r="S16" s="1"/>
  <c r="R17" s="1"/>
  <c r="S17" s="1"/>
  <c r="R18" s="1"/>
  <c r="S18" s="1"/>
  <c r="R19" s="1"/>
  <c r="S19" s="1"/>
  <c r="R20" s="1"/>
  <c r="S20" s="1"/>
  <c r="R21" s="1"/>
  <c r="S21" s="1"/>
  <c r="R22" s="1"/>
  <c r="S22" s="1"/>
  <c r="R23" s="1"/>
  <c r="S23" s="1"/>
  <c r="R24" s="1"/>
  <c r="S24" s="1"/>
  <c r="R25" s="1"/>
  <c r="S25" s="1"/>
  <c r="R26" s="1"/>
  <c r="S26" s="1"/>
  <c r="R27" s="1"/>
  <c r="S27" s="1"/>
  <c r="R28" s="1"/>
  <c r="S28" s="1"/>
  <c r="R29" s="1"/>
  <c r="S29" s="1"/>
  <c r="R30" s="1"/>
  <c r="S30" s="1"/>
  <c r="R31" s="1"/>
  <c r="S31" s="1"/>
  <c r="R32" s="1"/>
  <c r="S32" s="1"/>
  <c r="R33" s="1"/>
  <c r="S33" s="1"/>
  <c r="R34" s="1"/>
  <c r="S34" s="1"/>
  <c r="R35" s="1"/>
  <c r="S35" s="1"/>
  <c r="R36" s="1"/>
  <c r="S36" s="1"/>
  <c r="R37" s="1"/>
  <c r="S37" s="1"/>
  <c r="R38" s="1"/>
  <c r="S38" s="1"/>
  <c r="R39" s="1"/>
  <c r="S39" s="1"/>
  <c r="R40" s="1"/>
  <c r="S40" s="1"/>
  <c r="R41" s="1"/>
  <c r="S41" s="1"/>
  <c r="R42" s="1"/>
  <c r="S42" s="1"/>
  <c r="R43" s="1"/>
  <c r="S43" s="1"/>
  <c r="R44" s="1"/>
  <c r="S44" s="1"/>
  <c r="R45" s="1"/>
  <c r="S45" s="1"/>
  <c r="R46" s="1"/>
  <c r="S46" s="1"/>
  <c r="R47" s="1"/>
  <c r="S47" s="1"/>
  <c r="R48" s="1"/>
  <c r="S48" s="1"/>
  <c r="R49" s="1"/>
  <c r="S49" s="1"/>
  <c r="R50" s="1"/>
  <c r="S50" s="1"/>
  <c r="R51" s="1"/>
  <c r="S51" s="1"/>
  <c r="R52" s="1"/>
  <c r="S52" s="1"/>
  <c r="R53" s="1"/>
  <c r="S53" s="1"/>
  <c r="R54" s="1"/>
  <c r="S54" s="1"/>
  <c r="R55" s="1"/>
  <c r="S55" s="1"/>
  <c r="R56" s="1"/>
  <c r="S56" s="1"/>
  <c r="R57" s="1"/>
  <c r="S57" s="1"/>
  <c r="R58" s="1"/>
  <c r="S58" s="1"/>
  <c r="R59" s="1"/>
  <c r="S59" s="1"/>
  <c r="R60" s="1"/>
  <c r="S60" s="1"/>
  <c r="R61" s="1"/>
  <c r="S61" s="1"/>
  <c r="R62" s="1"/>
  <c r="S62" s="1"/>
  <c r="R63" s="1"/>
  <c r="S63" s="1"/>
  <c r="R64" s="1"/>
  <c r="S64" s="1"/>
  <c r="R65" s="1"/>
  <c r="S65" s="1"/>
  <c r="R66" s="1"/>
  <c r="S66" s="1"/>
  <c r="R67" s="1"/>
  <c r="S67" s="1"/>
  <c r="R68" s="1"/>
  <c r="S68" s="1"/>
  <c r="R69" s="1"/>
  <c r="S69" s="1"/>
  <c r="R70" s="1"/>
  <c r="S70" s="1"/>
  <c r="R71" s="1"/>
  <c r="S71" s="1"/>
  <c r="R72" s="1"/>
  <c r="S72" s="1"/>
  <c r="R73" s="1"/>
  <c r="S73" s="1"/>
  <c r="R74" s="1"/>
  <c r="S74" s="1"/>
  <c r="R75" s="1"/>
  <c r="S75" s="1"/>
  <c r="R76" s="1"/>
  <c r="S76" s="1"/>
  <c r="R77" s="1"/>
  <c r="S77" s="1"/>
  <c r="R78" s="1"/>
  <c r="S78" s="1"/>
  <c r="R79" s="1"/>
  <c r="S79" s="1"/>
  <c r="R80" s="1"/>
  <c r="S80" s="1"/>
  <c r="R81" s="1"/>
  <c r="S81" s="1"/>
  <c r="R82" s="1"/>
  <c r="S82" s="1"/>
  <c r="R83" s="1"/>
  <c r="S83" s="1"/>
  <c r="R84" s="1"/>
  <c r="S84" s="1"/>
  <c r="R85" s="1"/>
  <c r="S85" s="1"/>
  <c r="R86" s="1"/>
  <c r="S86" s="1"/>
  <c r="R87" s="1"/>
  <c r="S87" s="1"/>
  <c r="R88" s="1"/>
  <c r="S88" s="1"/>
  <c r="R89" s="1"/>
  <c r="S89" s="1"/>
  <c r="R90" s="1"/>
  <c r="S90" s="1"/>
  <c r="R91" s="1"/>
  <c r="S91" s="1"/>
  <c r="R92" s="1"/>
  <c r="S92" s="1"/>
  <c r="R93" s="1"/>
  <c r="S93" s="1"/>
  <c r="R94" s="1"/>
  <c r="S94" s="1"/>
  <c r="V10" i="10"/>
  <c r="W10" s="1"/>
  <c r="X10" s="1"/>
  <c r="S54" i="9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T11" i="10" l="1"/>
  <c r="U11" s="1"/>
  <c r="S17" i="9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V11" i="10" l="1"/>
  <c r="W11" s="1"/>
  <c r="X11" s="1"/>
  <c r="T12"/>
  <c r="U12" s="1"/>
  <c r="AC5" i="9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V12" i="10" l="1"/>
  <c r="W12" s="1"/>
  <c r="X12" s="1"/>
  <c r="T13"/>
  <c r="U13" s="1"/>
  <c r="Q57" i="9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V13" i="10" l="1"/>
  <c r="W13" s="1"/>
  <c r="X13" s="1"/>
  <c r="T14"/>
  <c r="U14" s="1"/>
  <c r="U58" i="9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V14" i="10" l="1"/>
  <c r="W14" s="1"/>
  <c r="X14" s="1"/>
  <c r="T15"/>
  <c r="U15" s="1"/>
  <c r="W57" i="9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V15" i="10" l="1"/>
  <c r="W15" s="1"/>
  <c r="X15" s="1"/>
  <c r="X58" i="9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T16" i="10" l="1"/>
  <c r="U16" s="1"/>
  <c r="Y51" i="9"/>
  <c r="Y61"/>
  <c r="Y34"/>
  <c r="Y17"/>
  <c r="Y13"/>
  <c r="Y10"/>
  <c r="Y11"/>
  <c r="AK4"/>
  <c r="V16" i="10" l="1"/>
  <c r="W16" s="1"/>
  <c r="X16" s="1"/>
  <c r="T17"/>
  <c r="U17" s="1"/>
  <c r="AK57" i="9"/>
  <c r="Z56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V17" i="10" l="1"/>
  <c r="W17" s="1"/>
  <c r="X17" s="1"/>
  <c r="T18"/>
  <c r="U18" s="1"/>
  <c r="AA57" i="9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V18" i="10" l="1"/>
  <c r="W18" s="1"/>
  <c r="X18" s="1"/>
  <c r="T19"/>
  <c r="U19" s="1"/>
  <c r="AE58" i="9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V19" i="10" l="1"/>
  <c r="W19" s="1"/>
  <c r="X19" s="1"/>
  <c r="T20"/>
  <c r="U20" s="1"/>
  <c r="AG59" i="9"/>
  <c r="AH56"/>
  <c r="AG52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V20" i="10" l="1"/>
  <c r="W20" s="1"/>
  <c r="X20" s="1"/>
  <c r="T21"/>
  <c r="U21" s="1"/>
  <c r="AH58" i="9"/>
  <c r="AH59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M4" s="1"/>
  <c r="J4"/>
  <c r="O4"/>
  <c r="K71" i="1"/>
  <c r="L71" s="1"/>
  <c r="N71"/>
  <c r="AB71" s="1"/>
  <c r="S71"/>
  <c r="AC71"/>
  <c r="K70"/>
  <c r="L70"/>
  <c r="N70"/>
  <c r="S70"/>
  <c r="AB70"/>
  <c r="AC70"/>
  <c r="K4" i="4" l="1"/>
  <c r="N4"/>
  <c r="V21" i="10"/>
  <c r="W21" s="1"/>
  <c r="X21" s="1"/>
  <c r="AJ57" i="9"/>
  <c r="AI57"/>
  <c r="AI5"/>
  <c r="AJ47"/>
  <c r="AI47"/>
  <c r="AJ49"/>
  <c r="AH62"/>
  <c r="AI49"/>
  <c r="AJ5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T22" i="10" l="1"/>
  <c r="P4" i="4"/>
  <c r="K68" i="1"/>
  <c r="L68"/>
  <c r="N68"/>
  <c r="AB68" s="1"/>
  <c r="S68"/>
  <c r="AC68"/>
  <c r="K64"/>
  <c r="L64" s="1"/>
  <c r="N64"/>
  <c r="S64"/>
  <c r="AB64"/>
  <c r="AC64"/>
  <c r="K3" i="3"/>
  <c r="K2"/>
  <c r="U22" i="10" l="1"/>
  <c r="T23"/>
  <c r="V22"/>
  <c r="W22" s="1"/>
  <c r="X22" s="1"/>
  <c r="Y22" s="1"/>
  <c r="F2" i="3"/>
  <c r="G2" s="1"/>
  <c r="J2" s="1"/>
  <c r="H2"/>
  <c r="I2" s="1"/>
  <c r="U23" i="10" l="1"/>
  <c r="T24" s="1"/>
  <c r="V23"/>
  <c r="W23" s="1"/>
  <c r="X23" s="1"/>
  <c r="L2" i="8"/>
  <c r="L3"/>
  <c r="L4"/>
  <c r="L5"/>
  <c r="U24" i="10" l="1"/>
  <c r="V24"/>
  <c r="W24" s="1"/>
  <c r="X24" s="1"/>
  <c r="T25"/>
  <c r="K63" i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U25" i="10" l="1"/>
  <c r="V25"/>
  <c r="W25" s="1"/>
  <c r="X25" s="1"/>
  <c r="T26"/>
  <c r="S54" i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U26" i="10" l="1"/>
  <c r="V26"/>
  <c r="W26" s="1"/>
  <c r="X26" s="1"/>
  <c r="T27"/>
  <c r="O95" i="1"/>
  <c r="P95"/>
  <c r="Q95"/>
  <c r="R95"/>
  <c r="T95"/>
  <c r="O94"/>
  <c r="P94"/>
  <c r="Q94"/>
  <c r="R94"/>
  <c r="T94"/>
  <c r="O93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27" i="10" l="1"/>
  <c r="V27"/>
  <c r="W27" s="1"/>
  <c r="X27" s="1"/>
  <c r="T28"/>
  <c r="U95" i="1"/>
  <c r="V95"/>
  <c r="W95"/>
  <c r="U94"/>
  <c r="V94"/>
  <c r="W94"/>
  <c r="U93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U28" i="10" l="1"/>
  <c r="V28"/>
  <c r="W28" s="1"/>
  <c r="X28" s="1"/>
  <c r="T29"/>
  <c r="X94" i="1"/>
  <c r="X95"/>
  <c r="X93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U29" i="10" l="1"/>
  <c r="T30" s="1"/>
  <c r="V29"/>
  <c r="W29" s="1"/>
  <c r="X29" s="1"/>
  <c r="K56" i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U30" i="10" l="1"/>
  <c r="V30"/>
  <c r="W30" s="1"/>
  <c r="X30" s="1"/>
  <c r="T31"/>
  <c r="K51" i="1"/>
  <c r="L51"/>
  <c r="U51"/>
  <c r="V51"/>
  <c r="AB51"/>
  <c r="AC51"/>
  <c r="AH51"/>
  <c r="AI51"/>
  <c r="K48"/>
  <c r="L48"/>
  <c r="U48"/>
  <c r="V48"/>
  <c r="AB48"/>
  <c r="AC48"/>
  <c r="AE48"/>
  <c r="U31" i="10" l="1"/>
  <c r="V31"/>
  <c r="W31" s="1"/>
  <c r="X31" s="1"/>
  <c r="T32"/>
  <c r="I5" i="7"/>
  <c r="J5"/>
  <c r="K5"/>
  <c r="L5" s="1"/>
  <c r="M5"/>
  <c r="N5"/>
  <c r="U32" i="10" l="1"/>
  <c r="V32"/>
  <c r="W32" s="1"/>
  <c r="X32" s="1"/>
  <c r="T33"/>
  <c r="O5" i="7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U33" i="10" l="1"/>
  <c r="V33"/>
  <c r="W33" s="1"/>
  <c r="X33" s="1"/>
  <c r="T34"/>
  <c r="U50" i="1"/>
  <c r="V47"/>
  <c r="L2" i="7"/>
  <c r="O2" s="1"/>
  <c r="L3"/>
  <c r="O3" s="1"/>
  <c r="L4"/>
  <c r="O4" s="1"/>
  <c r="U34" i="10" l="1"/>
  <c r="T35" s="1"/>
  <c r="V34"/>
  <c r="W34" s="1"/>
  <c r="X34" s="1"/>
  <c r="Y34" s="1"/>
  <c r="N2" i="6"/>
  <c r="U35" i="10" l="1"/>
  <c r="T36" s="1"/>
  <c r="V35"/>
  <c r="W35" s="1"/>
  <c r="X35" s="1"/>
  <c r="I2" i="6"/>
  <c r="O2"/>
  <c r="U36" i="10" l="1"/>
  <c r="V36"/>
  <c r="W36" s="1"/>
  <c r="X36" s="1"/>
  <c r="T37"/>
  <c r="K49" i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U37" i="10" l="1"/>
  <c r="V37"/>
  <c r="W37" s="1"/>
  <c r="X37" s="1"/>
  <c r="T38"/>
  <c r="V39" i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U38" i="10" l="1"/>
  <c r="V38"/>
  <c r="W38" s="1"/>
  <c r="X38" s="1"/>
  <c r="T39"/>
  <c r="V37" i="1"/>
  <c r="U39" i="10" l="1"/>
  <c r="V39"/>
  <c r="W39" s="1"/>
  <c r="X39" s="1"/>
  <c r="T40"/>
  <c r="J2" i="5"/>
  <c r="K2"/>
  <c r="L2"/>
  <c r="T2"/>
  <c r="I2" i="4"/>
  <c r="M2" s="1"/>
  <c r="I3"/>
  <c r="M3" s="1"/>
  <c r="O2"/>
  <c r="O3"/>
  <c r="J2"/>
  <c r="N2" s="1"/>
  <c r="J3"/>
  <c r="N3" s="1"/>
  <c r="U40" i="10" l="1"/>
  <c r="V40"/>
  <c r="W40" s="1"/>
  <c r="X40" s="1"/>
  <c r="T41"/>
  <c r="M2" i="5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U41" i="10" l="1"/>
  <c r="V41"/>
  <c r="W41" s="1"/>
  <c r="X41" s="1"/>
  <c r="T42"/>
  <c r="Q2" i="5"/>
  <c r="S2"/>
  <c r="R2"/>
  <c r="P2"/>
  <c r="U42" i="10" l="1"/>
  <c r="V42"/>
  <c r="W42" s="1"/>
  <c r="X42" s="1"/>
  <c r="T43"/>
  <c r="U2" i="5"/>
  <c r="K3" i="4"/>
  <c r="U43" i="10" l="1"/>
  <c r="V43"/>
  <c r="W43" s="1"/>
  <c r="X43" s="1"/>
  <c r="T44"/>
  <c r="U44" l="1"/>
  <c r="V44"/>
  <c r="W44" s="1"/>
  <c r="X44" s="1"/>
  <c r="T45"/>
  <c r="P3" i="4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U45" i="10" l="1"/>
  <c r="V45"/>
  <c r="W45" s="1"/>
  <c r="X45" s="1"/>
  <c r="T46"/>
  <c r="V43" i="1"/>
  <c r="V44"/>
  <c r="V40"/>
  <c r="V34"/>
  <c r="V33"/>
  <c r="U46" i="10" l="1"/>
  <c r="V46"/>
  <c r="W46" s="1"/>
  <c r="X46" s="1"/>
  <c r="Y46" s="1"/>
  <c r="T47"/>
  <c r="K32" i="1"/>
  <c r="L32" s="1"/>
  <c r="U32"/>
  <c r="AB32"/>
  <c r="AC32"/>
  <c r="K31"/>
  <c r="L31" s="1"/>
  <c r="AB31"/>
  <c r="U31"/>
  <c r="AC31"/>
  <c r="AH31"/>
  <c r="AI31"/>
  <c r="K2" i="4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U47" i="10" l="1"/>
  <c r="V47"/>
  <c r="W47" s="1"/>
  <c r="X47" s="1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4" l="1"/>
  <c r="M95"/>
  <c r="M92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4" l="1"/>
  <c r="AK94" s="1"/>
  <c r="Y95"/>
  <c r="AK95" s="1"/>
  <c r="Y92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2"/>
  <c r="Z95" l="1"/>
  <c r="AA95" s="1"/>
  <c r="AK2"/>
  <c r="Z94"/>
  <c r="AA94" s="1"/>
  <c r="Z93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E95" l="1"/>
  <c r="AE94"/>
  <c r="AD95"/>
  <c r="AF95" s="1"/>
  <c r="AD94"/>
  <c r="AF94" s="1"/>
  <c r="AG94" s="1"/>
  <c r="AD93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5" l="1"/>
  <c r="Y99" s="1"/>
  <c r="Y100" s="1"/>
  <c r="AG93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X98" l="1"/>
  <c r="Z98"/>
  <c r="Y98"/>
  <c r="AH47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<sst xmlns="http://schemas.openxmlformats.org/spreadsheetml/2006/main" count="797" uniqueCount="244">
  <si>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</si>
  <si>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</si>
  <si>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</si>
  <si>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</si>
  <si>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</si>
  <si>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</si>
  <si>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</si>
  <si>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</si>
  <si>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</si>
  <si>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</si>
  <si>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</si>
  <si>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</si>
  <si>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</si>
  <si>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</si>
  <si>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</si>
  <si>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</si>
  <si>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</si>
  <si>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</si>
  <si>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</si>
  <si>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</si>
  <si>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</si>
  <si>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</si>
  <si>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</si>
  <si>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</si>
  <si>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</si>
  <si>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</si>
  <si>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</si>
  <si>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</si>
  <si>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</si>
  <si>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</si>
  <si>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</si>
  <si>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</si>
  <si>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</si>
  <si>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</si>
  <si>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</si>
  <si>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</si>
  <si>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</si>
  <si>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</si>
  <si>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</si>
  <si>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</si>
  <si>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</si>
  <si>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</si>
  <si>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</si>
  <si>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</si>
  <si>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</si>
  <si>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</si>
  <si>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</si>
  <si>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</si>
  <si>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</si>
  <si>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</si>
  <si>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</si>
  <si>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</si>
  <si>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</si>
  <si>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</si>
  <si>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</si>
  <si>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</si>
  <si>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</si>
  <si>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</si>
  <si>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</si>
  <si>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</si>
  <si>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</si>
  <si>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</si>
  <si>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</si>
  <si>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</si>
  <si>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</si>
  <si>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</si>
  <si>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</si>
  <si>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</si>
  <si>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</si>
  <si>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</si>
  <si>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</si>
  <si>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</si>
  <si>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</si>
  <si>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</si>
  <si>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</si>
  <si>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</si>
  <si>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</si>
  <si>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</si>
  <si>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</si>
  <si>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</si>
  <si>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</si>
  <si>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</si>
  <si>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</si>
  <si>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</si>
  <si>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</si>
  <si>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</si>
  <si>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</si>
  <si>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</si>
  <si>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</si>
  <si>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</si>
  <si>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</si>
  <si>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</si>
  <si>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</si>
  <si>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</si>
  <si>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</si>
  <si>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</si>
  <si>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</si>
  <si>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</si>
  <si>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</si>
  <si>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</si>
  <si>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</si>
  <si>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</si>
  <si>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</si>
  <si>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</si>
  <si>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</si>
  <si>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</si>
  <si>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</si>
  <si>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</si>
  <si>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</si>
  <si>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</si>
  <si>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</si>
  <si>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</si>
  <si>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</si>
  <si>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</si>
  <si>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</si>
  <si>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</si>
  <si>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</si>
  <si>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</si>
  <si>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</si>
  <si>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</si>
  <si>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</si>
  <si>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</si>
  <si>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</si>
  <si>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</si>
  <si>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</si>
  <si>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</si>
  <si>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</si>
  <si>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</si>
  <si>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</si>
  <si>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</si>
  <si>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</si>
  <si>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</si>
  <si>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</si>
  <si>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</si>
  <si>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</si>
  <si>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</si>
  <si>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</si>
  <si>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</si>
  <si>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</si>
  <si>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</si>
  <si>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</si>
  <si>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</si>
  <si>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</si>
  <si>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</si>
  <si>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</si>
  <si>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</si>
  <si>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</si>
  <si>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</si>
  <si>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</si>
  <si>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</si>
  <si>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</si>
  <si>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</si>
  <si>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</si>
  <si>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</si>
  <si>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</si>
  <si>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</si>
  <si>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</si>
  <si>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</si>
  <si>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</si>
  <si>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</si>
  <si>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</si>
  <si>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</si>
  <si>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</si>
  <si>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</si>
  <si>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</si>
  <si>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</si>
  <si>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</si>
  <si>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</si>
  <si>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</si>
  <si>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</si>
  <si>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</si>
  <si>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</si>
  <si>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</si>
  <si>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</si>
  <si>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</si>
  <si>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</si>
  <si>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</si>
  <si>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</si>
  <si>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</si>
  <si>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</si>
  <si>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</si>
  <si>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</si>
  <si>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</si>
  <si>
    <t>VALED</t>
  </si>
  <si>
    <t>Média</t>
  </si>
  <si>
    <t>DesvPad</t>
  </si>
  <si>
    <t>%DesvPad</t>
  </si>
  <si>
    <t>Variância</t>
  </si>
  <si>
    <t>%Variância</t>
  </si>
  <si>
    <t>petr120m</t>
  </si>
  <si>
    <t>vale120m</t>
  </si>
  <si>
    <t>usdchf</t>
  </si>
  <si>
    <t>Ticket</t>
  </si>
  <si>
    <t>Type</t>
  </si>
  <si>
    <t>Size</t>
  </si>
  <si>
    <t>Item</t>
  </si>
  <si>
    <t>Price</t>
  </si>
  <si>
    <t>Commission</t>
  </si>
  <si>
    <t>Taxes</t>
  </si>
  <si>
    <t>Swap</t>
  </si>
  <si>
    <t>Profit</t>
  </si>
  <si>
    <t>Total geral</t>
  </si>
  <si>
    <t>Valores</t>
  </si>
  <si>
    <t>OpenTime</t>
  </si>
  <si>
    <t>S/L</t>
  </si>
  <si>
    <t>T/P</t>
  </si>
  <si>
    <t>CloseTime</t>
  </si>
  <si>
    <t>Trades</t>
  </si>
  <si>
    <t>Total Profit</t>
  </si>
  <si>
    <t>H1</t>
  </si>
  <si>
    <t>Price2</t>
  </si>
  <si>
    <t>Moeda</t>
  </si>
  <si>
    <t>petr1d</t>
  </si>
  <si>
    <t>vale1d</t>
  </si>
  <si>
    <t>H4</t>
  </si>
  <si>
    <t>D1</t>
  </si>
  <si>
    <t>Total Swap</t>
  </si>
  <si>
    <t>* Total</t>
  </si>
  <si>
    <t>Média de Total</t>
  </si>
  <si>
    <t>DesvPad de Total</t>
  </si>
  <si>
    <t>Data</t>
  </si>
  <si>
    <t>Inicio</t>
  </si>
  <si>
    <t>Fim</t>
  </si>
  <si>
    <t>Rentabilidade</t>
  </si>
  <si>
    <t>QTD</t>
  </si>
  <si>
    <t>sell</t>
  </si>
  <si>
    <t>Garantia</t>
  </si>
  <si>
    <t>Start</t>
  </si>
  <si>
    <t>Stop</t>
  </si>
  <si>
    <t>Pontos</t>
  </si>
  <si>
    <t>Risco</t>
  </si>
  <si>
    <t>N Contrato</t>
  </si>
  <si>
    <t>Prev Target</t>
  </si>
  <si>
    <t>[2]</t>
  </si>
  <si>
    <t>sl</t>
  </si>
  <si>
    <t>gbpusd</t>
  </si>
  <si>
    <t>[4]</t>
  </si>
  <si>
    <t>tp</t>
  </si>
  <si>
    <t>buy</t>
  </si>
  <si>
    <t>audusd</t>
  </si>
  <si>
    <t>usdcad</t>
  </si>
  <si>
    <t>eurusd</t>
  </si>
  <si>
    <t>eurgbp</t>
  </si>
  <si>
    <t>[5]</t>
  </si>
</sst>
</file>

<file path=xl/styles.xml><?xml version="1.0" encoding="utf-8"?>
<styleSheet xmlns="http://schemas.openxmlformats.org/spreadsheetml/2006/main">
  <numFmts count="11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2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color rgb="FF000000"/>
      <name val="Tahoma"/>
    </font>
    <font>
      <sz val="8"/>
      <name val="Tahoma"/>
    </font>
    <font>
      <sz val="8"/>
      <color theme="1"/>
      <name val="Tahoma"/>
    </font>
    <font>
      <sz val="9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0E0E0"/>
        <bgColor indexed="64"/>
      </patternFill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30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172" fontId="3" fillId="0" borderId="0" xfId="3" applyNumberFormat="1" applyFont="1" applyBorder="1" applyAlignment="1"/>
    <xf numFmtId="167" fontId="3" fillId="0" borderId="0" xfId="2" applyNumberFormat="1" applyFont="1"/>
    <xf numFmtId="10" fontId="4" fillId="0" borderId="0" xfId="2" applyNumberFormat="1" applyFont="1"/>
    <xf numFmtId="43" fontId="4" fillId="0" borderId="0" xfId="3" applyFont="1"/>
    <xf numFmtId="9" fontId="4" fillId="0" borderId="0" xfId="2" applyFont="1"/>
    <xf numFmtId="9" fontId="3" fillId="0" borderId="0" xfId="2" applyFont="1"/>
    <xf numFmtId="167" fontId="4" fillId="0" borderId="0" xfId="2" applyNumberFormat="1" applyFont="1"/>
    <xf numFmtId="0" fontId="15" fillId="3" borderId="3" xfId="0" applyFont="1" applyFill="1" applyBorder="1" applyAlignment="1">
      <alignment horizontal="right" wrapText="1"/>
    </xf>
    <xf numFmtId="0" fontId="15" fillId="3" borderId="4" xfId="0" applyFont="1" applyFill="1" applyBorder="1" applyAlignment="1">
      <alignment horizontal="right"/>
    </xf>
    <xf numFmtId="0" fontId="15" fillId="3" borderId="4" xfId="0" applyFont="1" applyFill="1" applyBorder="1" applyAlignment="1">
      <alignment horizontal="right" wrapText="1"/>
    </xf>
    <xf numFmtId="0" fontId="15" fillId="2" borderId="4" xfId="0" applyFont="1" applyFill="1" applyBorder="1" applyAlignment="1">
      <alignment horizontal="right"/>
    </xf>
    <xf numFmtId="0" fontId="15" fillId="2" borderId="4" xfId="0" applyFont="1" applyFill="1" applyBorder="1" applyAlignment="1">
      <alignment horizontal="right" wrapText="1"/>
    </xf>
    <xf numFmtId="3" fontId="15" fillId="2" borderId="4" xfId="0" applyNumberFormat="1" applyFont="1" applyFill="1" applyBorder="1" applyAlignment="1">
      <alignment horizontal="right" wrapText="1"/>
    </xf>
    <xf numFmtId="0" fontId="15" fillId="0" borderId="4" xfId="0" applyFont="1" applyBorder="1" applyAlignment="1">
      <alignment horizontal="right" wrapText="1"/>
    </xf>
    <xf numFmtId="3" fontId="15" fillId="3" borderId="4" xfId="0" applyNumberFormat="1" applyFont="1" applyFill="1" applyBorder="1" applyAlignment="1">
      <alignment horizontal="right" wrapText="1"/>
    </xf>
    <xf numFmtId="0" fontId="15" fillId="0" borderId="3" xfId="0" applyFont="1" applyBorder="1" applyAlignment="1">
      <alignment horizontal="right" wrapText="1"/>
    </xf>
    <xf numFmtId="0" fontId="16" fillId="4" borderId="4" xfId="0" applyFont="1" applyFill="1" applyBorder="1" applyAlignment="1">
      <alignment horizontal="center" wrapText="1"/>
    </xf>
    <xf numFmtId="0" fontId="16" fillId="4" borderId="4" xfId="0" applyFont="1" applyFill="1" applyBorder="1" applyAlignment="1">
      <alignment horizontal="center"/>
    </xf>
    <xf numFmtId="43" fontId="3" fillId="0" borderId="6" xfId="0" applyNumberFormat="1" applyFont="1" applyBorder="1"/>
    <xf numFmtId="164" fontId="3" fillId="0" borderId="6" xfId="1" applyFont="1" applyBorder="1"/>
    <xf numFmtId="0" fontId="15" fillId="2" borderId="5" xfId="0" applyFont="1" applyFill="1" applyBorder="1" applyAlignment="1">
      <alignment horizontal="right" wrapText="1"/>
    </xf>
    <xf numFmtId="0" fontId="15" fillId="3" borderId="5" xfId="0" applyFont="1" applyFill="1" applyBorder="1" applyAlignment="1">
      <alignment horizontal="right" wrapText="1"/>
    </xf>
    <xf numFmtId="0" fontId="15" fillId="3" borderId="0" xfId="0" applyFont="1" applyFill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7" xfId="0" applyFont="1" applyBorder="1" applyAlignment="1">
      <alignment horizontal="right" wrapText="1"/>
    </xf>
    <xf numFmtId="0" fontId="15" fillId="2" borderId="3" xfId="0" applyFont="1" applyFill="1" applyBorder="1" applyAlignment="1">
      <alignment horizontal="right" wrapText="1"/>
    </xf>
    <xf numFmtId="0" fontId="15" fillId="2" borderId="0" xfId="0" applyFont="1" applyFill="1" applyBorder="1" applyAlignment="1">
      <alignment horizontal="right" wrapText="1"/>
    </xf>
    <xf numFmtId="0" fontId="15" fillId="2" borderId="7" xfId="0" applyFont="1" applyFill="1" applyBorder="1" applyAlignment="1">
      <alignment horizontal="right" wrapText="1"/>
    </xf>
    <xf numFmtId="0" fontId="17" fillId="0" borderId="0" xfId="0" applyFont="1"/>
    <xf numFmtId="44" fontId="17" fillId="0" borderId="0" xfId="1" applyNumberFormat="1" applyFont="1"/>
    <xf numFmtId="10" fontId="17" fillId="0" borderId="0" xfId="2" applyNumberFormat="1" applyFont="1"/>
    <xf numFmtId="44" fontId="17" fillId="0" borderId="0" xfId="0" applyNumberFormat="1" applyFont="1"/>
    <xf numFmtId="0" fontId="15" fillId="3" borderId="2" xfId="0" applyFont="1" applyFill="1" applyBorder="1" applyAlignment="1">
      <alignment horizontal="right" wrapText="1"/>
    </xf>
    <xf numFmtId="0" fontId="15" fillId="2" borderId="0" xfId="0" applyFont="1" applyFill="1" applyBorder="1" applyAlignment="1">
      <alignment horizontal="right"/>
    </xf>
    <xf numFmtId="0" fontId="15" fillId="2" borderId="8" xfId="0" applyFont="1" applyFill="1" applyBorder="1" applyAlignment="1">
      <alignment horizontal="right" wrapText="1"/>
    </xf>
    <xf numFmtId="17" fontId="17" fillId="0" borderId="0" xfId="0" applyNumberFormat="1" applyFont="1"/>
    <xf numFmtId="0" fontId="18" fillId="0" borderId="6" xfId="0" applyFont="1" applyBorder="1"/>
    <xf numFmtId="0" fontId="15" fillId="3" borderId="7" xfId="0" applyFont="1" applyFill="1" applyBorder="1" applyAlignment="1">
      <alignment horizontal="right" wrapText="1"/>
    </xf>
    <xf numFmtId="0" fontId="19" fillId="0" borderId="0" xfId="0" applyNumberFormat="1" applyFont="1" applyBorder="1"/>
    <xf numFmtId="0" fontId="19" fillId="0" borderId="0" xfId="0" applyFont="1"/>
    <xf numFmtId="0" fontId="20" fillId="0" borderId="4" xfId="0" applyFont="1" applyBorder="1"/>
    <xf numFmtId="0" fontId="20" fillId="0" borderId="5" xfId="0" applyFont="1" applyBorder="1"/>
    <xf numFmtId="0" fontId="20" fillId="0" borderId="8" xfId="0" applyFont="1" applyBorder="1"/>
    <xf numFmtId="0" fontId="20" fillId="2" borderId="4" xfId="0" applyFont="1" applyFill="1" applyBorder="1"/>
    <xf numFmtId="0" fontId="20" fillId="2" borderId="5" xfId="0" applyFont="1" applyFill="1" applyBorder="1"/>
    <xf numFmtId="0" fontId="15" fillId="3" borderId="0" xfId="0" applyFont="1" applyFill="1" applyBorder="1" applyAlignment="1">
      <alignment horizontal="right"/>
    </xf>
    <xf numFmtId="3" fontId="15" fillId="3" borderId="0" xfId="0" applyNumberFormat="1" applyFont="1" applyFill="1" applyBorder="1" applyAlignment="1">
      <alignment horizontal="right" wrapText="1"/>
    </xf>
    <xf numFmtId="0" fontId="15" fillId="3" borderId="8" xfId="0" applyFont="1" applyFill="1" applyBorder="1" applyAlignment="1">
      <alignment horizontal="right" wrapText="1"/>
    </xf>
    <xf numFmtId="164" fontId="4" fillId="0" borderId="0" xfId="1" applyNumberFormat="1" applyFont="1" applyBorder="1"/>
    <xf numFmtId="164" fontId="4" fillId="0" borderId="0" xfId="0" applyNumberFormat="1" applyFont="1" applyBorder="1"/>
    <xf numFmtId="3" fontId="15" fillId="2" borderId="0" xfId="0" applyNumberFormat="1" applyFont="1" applyFill="1" applyBorder="1" applyAlignment="1">
      <alignment horizontal="right" wrapText="1"/>
    </xf>
    <xf numFmtId="0" fontId="20" fillId="0" borderId="9" xfId="0" applyFont="1" applyBorder="1"/>
    <xf numFmtId="0" fontId="21" fillId="3" borderId="7" xfId="0" applyFont="1" applyFill="1" applyBorder="1" applyAlignment="1">
      <alignment horizontal="right" wrapText="1"/>
    </xf>
    <xf numFmtId="0" fontId="21" fillId="3" borderId="0" xfId="0" applyFont="1" applyFill="1" applyBorder="1" applyAlignment="1">
      <alignment horizontal="right"/>
    </xf>
    <xf numFmtId="0" fontId="21" fillId="3" borderId="0" xfId="0" applyFont="1" applyFill="1" applyBorder="1" applyAlignment="1">
      <alignment horizontal="right" wrapText="1"/>
    </xf>
    <xf numFmtId="3" fontId="21" fillId="3" borderId="0" xfId="0" applyNumberFormat="1" applyFont="1" applyFill="1" applyBorder="1" applyAlignment="1">
      <alignment horizontal="right" wrapText="1"/>
    </xf>
    <xf numFmtId="0" fontId="21" fillId="2" borderId="0" xfId="0" applyFont="1" applyFill="1" applyBorder="1" applyAlignment="1">
      <alignment horizontal="right" wrapText="1"/>
    </xf>
    <xf numFmtId="0" fontId="21" fillId="3" borderId="8" xfId="0" applyFont="1" applyFill="1" applyBorder="1" applyAlignment="1">
      <alignment horizontal="right" wrapText="1"/>
    </xf>
    <xf numFmtId="0" fontId="22" fillId="0" borderId="0" xfId="0" applyNumberFormat="1" applyFont="1" applyBorder="1"/>
    <xf numFmtId="10" fontId="3" fillId="0" borderId="0" xfId="0" applyNumberFormat="1" applyFont="1"/>
    <xf numFmtId="0" fontId="23" fillId="0" borderId="8" xfId="0" applyFont="1" applyBorder="1"/>
    <xf numFmtId="0" fontId="21" fillId="2" borderId="7" xfId="0" applyFont="1" applyFill="1" applyBorder="1" applyAlignment="1">
      <alignment horizontal="right" wrapText="1"/>
    </xf>
    <xf numFmtId="0" fontId="21" fillId="2" borderId="0" xfId="0" applyFont="1" applyFill="1" applyBorder="1" applyAlignment="1">
      <alignment horizontal="right"/>
    </xf>
    <xf numFmtId="0" fontId="21" fillId="2" borderId="8" xfId="0" applyFont="1" applyFill="1" applyBorder="1" applyAlignment="1">
      <alignment horizontal="right" wrapText="1"/>
    </xf>
    <xf numFmtId="0" fontId="21" fillId="0" borderId="7" xfId="0" applyFont="1" applyBorder="1" applyAlignment="1">
      <alignment horizontal="right" wrapText="1"/>
    </xf>
    <xf numFmtId="0" fontId="21" fillId="0" borderId="0" xfId="0" applyFont="1" applyBorder="1" applyAlignment="1">
      <alignment horizontal="right" wrapText="1"/>
    </xf>
    <xf numFmtId="3" fontId="21" fillId="2" borderId="0" xfId="0" applyNumberFormat="1" applyFont="1" applyFill="1" applyBorder="1" applyAlignment="1">
      <alignment horizontal="right" wrapText="1"/>
    </xf>
    <xf numFmtId="164" fontId="17" fillId="0" borderId="0" xfId="1" applyFont="1"/>
    <xf numFmtId="10" fontId="17" fillId="0" borderId="0" xfId="0" applyNumberFormat="1" applyFont="1"/>
    <xf numFmtId="0" fontId="24" fillId="0" borderId="0" xfId="0" pivotButton="1" applyFont="1"/>
    <xf numFmtId="0" fontId="24" fillId="0" borderId="0" xfId="0" applyFont="1"/>
    <xf numFmtId="0" fontId="24" fillId="0" borderId="0" xfId="0" applyFont="1" applyAlignment="1">
      <alignment horizontal="left"/>
    </xf>
    <xf numFmtId="0" fontId="24" fillId="0" borderId="0" xfId="0" applyNumberFormat="1" applyFont="1"/>
    <xf numFmtId="44" fontId="24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5" fillId="2" borderId="3" xfId="0" applyFont="1" applyFill="1" applyBorder="1" applyAlignment="1">
      <alignment horizontal="right" wrapText="1"/>
    </xf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475"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8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indent="0" relativeIndent="0" justifyLastLine="0" shrinkToFit="0" mergeCell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vertical="top" textRotation="0" indent="0" relative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C0C0C0"/>
        </patternFill>
      </fill>
      <alignment horizontal="center" vertical="bottom" textRotation="0" wrapText="1" indent="0" relativeIndent="0" justifyLastLine="0" shrinkToFit="0" mergeCell="0" readingOrder="0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877.378451851851" createdVersion="3" refreshedVersion="3" minRefreshableVersion="3" recordCount="20">
  <cacheSource type="worksheet">
    <worksheetSource name="Tabela9"/>
  </cacheSource>
  <cacheFields count="15">
    <cacheField name="Ticket" numFmtId="0">
      <sharedItems containsNonDate="0" containsString="0" containsBlank="1"/>
    </cacheField>
    <cacheField name="OpenTime" numFmtId="0">
      <sharedItems containsNonDate="0" containsString="0" containsBlank="1"/>
    </cacheField>
    <cacheField name="Type" numFmtId="0">
      <sharedItems containsBlank="1" count="4">
        <s v="sell"/>
        <s v="buy"/>
        <m/>
        <s v="balance" u="1"/>
      </sharedItems>
    </cacheField>
    <cacheField name="Size" numFmtId="0">
      <sharedItems containsNonDate="0" containsString="0" containsBlank="1"/>
    </cacheField>
    <cacheField name="Item" numFmtId="0">
      <sharedItems containsBlank="1" count="7">
        <s v="usdchf"/>
        <s v="gbpusd"/>
        <s v="audusd"/>
        <s v="usdcad"/>
        <s v="eurusd"/>
        <s v="eurgbp"/>
        <m/>
      </sharedItems>
    </cacheField>
    <cacheField name="Price" numFmtId="0">
      <sharedItems containsNonDate="0" containsString="0" containsBlank="1"/>
    </cacheField>
    <cacheField name="S/L" numFmtId="0">
      <sharedItems containsNonDate="0" containsString="0" containsBlank="1"/>
    </cacheField>
    <cacheField name="T/P" numFmtId="0">
      <sharedItems containsNonDate="0" containsString="0" containsBlank="1"/>
    </cacheField>
    <cacheField name="CloseTime" numFmtId="0">
      <sharedItems containsNonDate="0" containsString="0" containsBlank="1"/>
    </cacheField>
    <cacheField name="Price2" numFmtId="0">
      <sharedItems containsNonDate="0" containsString="0" containsBlank="1"/>
    </cacheField>
    <cacheField name="Commission" numFmtId="0">
      <sharedItems containsBlank="1" containsMixedTypes="1" containsNumber="1" containsInteger="1" minValue="0" maxValue="0" count="4">
        <s v="[2]"/>
        <s v="[4]"/>
        <m/>
        <n v="0" u="1"/>
      </sharedItems>
    </cacheField>
    <cacheField name="Taxes" numFmtId="0">
      <sharedItems containsBlank="1" count="3">
        <s v="sl"/>
        <s v="tp"/>
        <m/>
      </sharedItems>
    </cacheField>
    <cacheField name="Swap" numFmtId="0">
      <sharedItems containsString="0" containsBlank="1" containsNumber="1" minValue="-13.91" maxValue="0"/>
    </cacheField>
    <cacheField name="Profit" numFmtId="0">
      <sharedItems containsString="0" containsBlank="1" containsNumber="1" minValue="-289.99" maxValue="763.67"/>
    </cacheField>
    <cacheField name="Total" numFmtId="0">
      <sharedItems containsSemiMixedTypes="0" containsString="0" containsNumber="1" minValue="-292.32" maxValue="749.7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m/>
    <m/>
    <x v="0"/>
    <m/>
    <x v="0"/>
    <m/>
    <m/>
    <m/>
    <m/>
    <m/>
    <x v="0"/>
    <x v="0"/>
    <n v="0"/>
    <n v="-78.31"/>
    <n v="-78.31"/>
  </r>
  <r>
    <m/>
    <m/>
    <x v="0"/>
    <m/>
    <x v="1"/>
    <m/>
    <m/>
    <m/>
    <m/>
    <m/>
    <x v="0"/>
    <x v="0"/>
    <n v="0"/>
    <n v="-66.22"/>
    <n v="-66.22"/>
  </r>
  <r>
    <m/>
    <m/>
    <x v="0"/>
    <m/>
    <x v="0"/>
    <m/>
    <m/>
    <m/>
    <m/>
    <m/>
    <x v="0"/>
    <x v="0"/>
    <n v="-0.91"/>
    <n v="-74.349999999999994"/>
    <n v="-75.259999999999991"/>
  </r>
  <r>
    <m/>
    <m/>
    <x v="0"/>
    <m/>
    <x v="2"/>
    <m/>
    <m/>
    <m/>
    <m/>
    <m/>
    <x v="0"/>
    <x v="1"/>
    <n v="-6.39"/>
    <n v="131.47999999999999"/>
    <n v="125.08999999999999"/>
  </r>
  <r>
    <m/>
    <m/>
    <x v="1"/>
    <m/>
    <x v="3"/>
    <m/>
    <m/>
    <m/>
    <m/>
    <m/>
    <x v="1"/>
    <x v="1"/>
    <n v="-13.91"/>
    <n v="763.67"/>
    <n v="749.76"/>
  </r>
  <r>
    <m/>
    <m/>
    <x v="0"/>
    <m/>
    <x v="1"/>
    <m/>
    <m/>
    <m/>
    <m/>
    <m/>
    <x v="0"/>
    <x v="0"/>
    <n v="-2.1800000000000002"/>
    <n v="-67.13"/>
    <n v="-69.31"/>
  </r>
  <r>
    <m/>
    <m/>
    <x v="0"/>
    <m/>
    <x v="2"/>
    <m/>
    <m/>
    <m/>
    <m/>
    <m/>
    <x v="1"/>
    <x v="0"/>
    <n v="0"/>
    <n v="-264.48"/>
    <n v="-264.48"/>
  </r>
  <r>
    <m/>
    <m/>
    <x v="0"/>
    <m/>
    <x v="4"/>
    <m/>
    <m/>
    <m/>
    <m/>
    <m/>
    <x v="0"/>
    <x v="0"/>
    <n v="-0.86"/>
    <n v="-67.2"/>
    <n v="-68.06"/>
  </r>
  <r>
    <m/>
    <m/>
    <x v="1"/>
    <m/>
    <x v="0"/>
    <m/>
    <m/>
    <m/>
    <m/>
    <m/>
    <x v="1"/>
    <x v="0"/>
    <n v="-2.33"/>
    <n v="-289.99"/>
    <n v="-292.32"/>
  </r>
  <r>
    <m/>
    <m/>
    <x v="0"/>
    <m/>
    <x v="5"/>
    <m/>
    <m/>
    <m/>
    <m/>
    <m/>
    <x v="0"/>
    <x v="0"/>
    <n v="-0.8"/>
    <n v="-117.08"/>
    <n v="-117.88"/>
  </r>
  <r>
    <m/>
    <m/>
    <x v="1"/>
    <m/>
    <x v="3"/>
    <m/>
    <m/>
    <m/>
    <m/>
    <m/>
    <x v="0"/>
    <x v="0"/>
    <n v="-2.78"/>
    <n v="-2.94"/>
    <n v="-5.72"/>
  </r>
  <r>
    <m/>
    <m/>
    <x v="2"/>
    <m/>
    <x v="6"/>
    <m/>
    <m/>
    <m/>
    <m/>
    <m/>
    <x v="2"/>
    <x v="2"/>
    <m/>
    <m/>
    <n v="0"/>
  </r>
  <r>
    <m/>
    <m/>
    <x v="2"/>
    <m/>
    <x v="6"/>
    <m/>
    <m/>
    <m/>
    <m/>
    <m/>
    <x v="2"/>
    <x v="2"/>
    <m/>
    <m/>
    <n v="0"/>
  </r>
  <r>
    <m/>
    <m/>
    <x v="2"/>
    <m/>
    <x v="6"/>
    <m/>
    <m/>
    <m/>
    <m/>
    <m/>
    <x v="2"/>
    <x v="2"/>
    <m/>
    <m/>
    <n v="0"/>
  </r>
  <r>
    <m/>
    <m/>
    <x v="2"/>
    <m/>
    <x v="6"/>
    <m/>
    <m/>
    <m/>
    <m/>
    <m/>
    <x v="2"/>
    <x v="2"/>
    <m/>
    <m/>
    <n v="0"/>
  </r>
  <r>
    <m/>
    <m/>
    <x v="2"/>
    <m/>
    <x v="6"/>
    <m/>
    <m/>
    <m/>
    <m/>
    <m/>
    <x v="2"/>
    <x v="2"/>
    <m/>
    <m/>
    <n v="0"/>
  </r>
  <r>
    <m/>
    <m/>
    <x v="2"/>
    <m/>
    <x v="6"/>
    <m/>
    <m/>
    <m/>
    <m/>
    <m/>
    <x v="2"/>
    <x v="2"/>
    <m/>
    <m/>
    <n v="0"/>
  </r>
  <r>
    <m/>
    <m/>
    <x v="2"/>
    <m/>
    <x v="6"/>
    <m/>
    <m/>
    <m/>
    <m/>
    <m/>
    <x v="2"/>
    <x v="2"/>
    <m/>
    <m/>
    <n v="0"/>
  </r>
  <r>
    <m/>
    <m/>
    <x v="2"/>
    <m/>
    <x v="6"/>
    <m/>
    <m/>
    <m/>
    <m/>
    <m/>
    <x v="2"/>
    <x v="2"/>
    <m/>
    <m/>
    <n v="0"/>
  </r>
  <r>
    <m/>
    <m/>
    <x v="2"/>
    <m/>
    <x v="6"/>
    <m/>
    <m/>
    <m/>
    <m/>
    <m/>
    <x v="2"/>
    <x v="2"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Moeda" colHeaderCaption="Periodo">
  <location ref="A3:G11" firstHeaderRow="1" firstDataRow="2" firstDataCol="1" rowPageCount="1" colPageCount="1"/>
  <pivotFields count="15">
    <pivotField showAll="0"/>
    <pivotField showAll="0"/>
    <pivotField axis="axisRow" showAll="0">
      <items count="5">
        <item m="1" x="3"/>
        <item x="1"/>
        <item x="0"/>
        <item x="2"/>
        <item t="default"/>
      </items>
    </pivotField>
    <pivotField showAll="0"/>
    <pivotField axis="axisRow" showAll="0">
      <items count="8">
        <item sd="0" x="2"/>
        <item sd="0" x="5"/>
        <item sd="0" x="4"/>
        <item sd="0" x="1"/>
        <item sd="0" x="3"/>
        <item sd="0" x="0"/>
        <item h="1" x="6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">
        <item m="1" x="3"/>
        <item x="2"/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/>
    <pivotField dataField="1" showAll="0" defaultSubtotal="0"/>
  </pivotFields>
  <rowFields count="3">
    <field x="4"/>
    <field x="2"/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0" item="2" hier="-1"/>
  </pageFields>
  <dataFields count="6">
    <dataField name="Trades" fld="13" subtotal="count" baseField="0" baseItem="0"/>
    <dataField name="Total Swap" fld="12" baseField="0" baseItem="0" numFmtId="44"/>
    <dataField name="Total Profit" fld="13" baseField="0" baseItem="0" numFmtId="44"/>
    <dataField name="* Total" fld="14" baseField="0" baseItem="0" numFmtId="44"/>
    <dataField name="Média de Total" fld="14" subtotal="average" baseField="0" baseItem="0" numFmtId="44"/>
    <dataField name="DesvPad de Total" fld="14" subtotal="stdDev" baseField="0" baseItem="0" numFmtId="44"/>
  </dataFields>
  <formats count="6">
    <format dxfId="0">
      <pivotArea type="all" dataOnly="0" outline="0" fieldPosition="0"/>
    </format>
    <format dxfId="1">
      <pivotArea type="all" dataOnly="0" outline="0" fieldPosition="0"/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3">
      <pivotArea outline="0" fieldPosition="0">
        <references count="1">
          <reference field="4294967294" count="1">
            <x v="3"/>
          </reference>
        </references>
      </pivotArea>
    </format>
    <format dxfId="4">
      <pivotArea outline="0" fieldPosition="0">
        <references count="1">
          <reference field="4294967294" count="1">
            <x v="4"/>
          </reference>
        </references>
      </pivotArea>
    </format>
    <format dxfId="5">
      <pivotArea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K95" headerRowDxfId="474" dataDxfId="473" totalsRowDxfId="472">
  <autoFilter ref="A1:AK95">
    <filterColumn colId="36"/>
  </autoFilter>
  <sortState ref="A2:AJ89">
    <sortCondition ref="E1:E89"/>
  </sortState>
  <tableColumns count="37">
    <tableColumn id="19" name="ID" totalsRowFunction="max" dataDxfId="471" totalsRowDxfId="470"/>
    <tableColumn id="36" name="U" dataDxfId="469" totalsRowDxfId="468"/>
    <tableColumn id="2" name="ATIVO" dataDxfId="467" totalsRowDxfId="466"/>
    <tableColumn id="3" name="T" dataDxfId="465" totalsRowDxfId="464"/>
    <tableColumn id="4" name="DATA" dataDxfId="463" totalsRowDxfId="462"/>
    <tableColumn id="5" name="QTDE" dataDxfId="461" totalsRowDxfId="460"/>
    <tableColumn id="6" name="PREÇO" totalsRowFunction="custom" dataDxfId="459" totalsRowDxfId="458">
      <totalsRowFormula>NC[[#Totals],[ID]]*14.9</totalsRowFormula>
    </tableColumn>
    <tableColumn id="37" name="PARCIAL" dataDxfId="457" totalsRowDxfId="456"/>
    <tableColumn id="40" name="AJUSTE" dataDxfId="455" totalsRowDxfId="454"/>
    <tableColumn id="7" name="[D/N]" totalsRowFunction="custom" dataDxfId="453" totalsRowDxfId="452">
      <totalsRowFormula>NC[[#Totals],[LUCRO P/ OP]]+NC[[#Totals],[PREÇO]]</totalsRowFormula>
    </tableColumn>
    <tableColumn id="34" name="DATA DE LIQUIDAÇÃO" dataDxfId="451" totalsRowDxfId="450">
      <calculatedColumnFormula>WORKDAY(NC[[#This Row],[DATA]],1,0)</calculatedColumnFormula>
    </tableColumn>
    <tableColumn id="31" name="DATA BASE" dataDxfId="449" totalsRowDxfId="448">
      <calculatedColumnFormula>EOMONTH(NC[[#This Row],[DATA DE LIQUIDAÇÃO]],0)</calculatedColumnFormula>
    </tableColumn>
    <tableColumn id="21" name="PAR" dataDxfId="447" totalsRowDxfId="446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445" totalsRowDxfId="444">
      <calculatedColumnFormula>[QTDE]*[PREÇO]</calculatedColumnFormula>
    </tableColumn>
    <tableColumn id="9" name="VALOR LÍQUIDO DAS OPERAÇÕES" dataDxfId="443" totalsRowDxfId="442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441" totalsRowDxfId="440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439" totalsRowDxfId="438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437" totalsRowDxfId="436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435" totalsRowDxfId="434">
      <calculatedColumnFormula>SETUP!$E$3 * IF([PARCIAL] &gt; 0, [QTDE] / [PARCIAL], 1)</calculatedColumnFormula>
    </tableColumn>
    <tableColumn id="12" name="CORRETAGEM" dataDxfId="433" totalsRowDxfId="432">
      <calculatedColumnFormula>SUMPRODUCT(N([DATA]=NC[[#This Row],[DATA]]),N([ID]&lt;=NC[[#This Row],[ID]]), [CORR])</calculatedColumnFormula>
    </tableColumn>
    <tableColumn id="13" name="ISS" dataDxfId="431" totalsRowDxfId="430">
      <calculatedColumnFormula>TRUNC([CORRETAGEM]*SETUP!$F$3,2)</calculatedColumnFormula>
    </tableColumn>
    <tableColumn id="15" name="OUTRAS BOVESPA" dataDxfId="429" totalsRowDxfId="428">
      <calculatedColumnFormula>ROUND([CORRETAGEM]*SETUP!$G$3,2)</calculatedColumnFormula>
    </tableColumn>
    <tableColumn id="16" name="LÍQUIDO BASE" dataDxfId="427" totalsRowDxfId="426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425" totalsRowDxfId="424">
      <calculatedColumnFormula>IF(AND(['[D/N']]="D",    [T]="CV",    [LÍQUIDO BASE] &gt; 0),    TRUNC([LÍQUIDO BASE]*0.01, 2),    0)</calculatedColumnFormula>
    </tableColumn>
    <tableColumn id="35" name="LÍQUIDO" dataDxfId="423" totalsRowDxfId="422">
      <calculatedColumnFormula>IF([PREÇO] &gt; 0,    [LÍQUIDO BASE]-SUMPRODUCT(N([DATA]=NC[[#This Row],[DATA]]),    [IRRF FONTE]),    0)</calculatedColumnFormula>
    </tableColumn>
    <tableColumn id="17" name="VALOR OP" dataDxfId="421" totalsRowDxfId="420">
      <calculatedColumnFormula>[LÍQUIDO]-SUMPRODUCT(N([DATA]=NC[[#This Row],[DATA]]),N([ID]=(NC[[#This Row],[ID]]-1)),[LÍQUIDO])</calculatedColumnFormula>
    </tableColumn>
    <tableColumn id="18" name="MEDIO P/ OP" dataDxfId="419" totalsRowDxfId="418">
      <calculatedColumnFormula>IF([T] = "VC", ABS([VALOR OP]) / [QTDE], [VALOR OP]/[QTDE])</calculatedColumnFormula>
    </tableColumn>
    <tableColumn id="20" name="IRRF" totalsRowFunction="sum" dataDxfId="417" totalsRowDxfId="416">
      <calculatedColumnFormula>TRUNC(IF(OR([T]="CV",[T]="VV"),     N2*SETUP!$H$3,     0),2)</calculatedColumnFormula>
    </tableColumn>
    <tableColumn id="24" name="SALDO" dataDxfId="415" totalsRowDxfId="414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413" totalsRowDxfId="412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411" totalsRowDxfId="410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409" totalsRowDxfId="408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407" totalsRowDxfId="406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405" totalsRowDxfId="404">
      <calculatedColumnFormula>IF([U] = "U", SUMPRODUCT(N([ID]&lt;=NC[[#This Row],[ID]]),N([DATA BASE]=NC[[#This Row],[DATA BASE]]), N(['[D/N']] = "N"),    [LUCRO P/ OP]), 0)</calculatedColumnFormula>
    </tableColumn>
    <tableColumn id="39" name="LUCRO [D]" dataDxfId="403" totalsRowDxfId="402">
      <calculatedColumnFormula>IF([U] = "U", SUMPRODUCT(N([DATA BASE]=NC[[#This Row],[DATA BASE]]), N(['[D/N']] = "D"),    [LUCRO P/ OP]), 0)</calculatedColumnFormula>
    </tableColumn>
    <tableColumn id="30" name="IRRF DT" dataDxfId="401" totalsRowDxfId="400">
      <calculatedColumnFormula>IF([U] = "U", SUMPRODUCT(N([DATA BASE]=NC[[#This Row],[DATA BASE]]), N(['[D/N']] = "D"),    [IRRF FONTE]), 0)</calculatedColumnFormula>
    </tableColumn>
    <tableColumn id="14" name="Colunas1" dataDxfId="399" totalsRowDxfId="398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abela9" displayName="Tabela9" ref="A1:O21" totalsRowShown="0" headerRowDxfId="114" dataDxfId="112" headerRowBorderDxfId="113" tableBorderDxfId="111">
  <autoFilter ref="A1:O21">
    <filterColumn colId="14"/>
  </autoFilter>
  <tableColumns count="15">
    <tableColumn id="1" name="Ticket" dataDxfId="110"/>
    <tableColumn id="2" name="OpenTime" dataDxfId="109"/>
    <tableColumn id="3" name="Type" dataDxfId="108"/>
    <tableColumn id="4" name="Size" dataDxfId="107"/>
    <tableColumn id="5" name="Item" dataDxfId="106"/>
    <tableColumn id="6" name="Price" dataDxfId="105"/>
    <tableColumn id="7" name="S/L" dataDxfId="104"/>
    <tableColumn id="8" name="T/P" dataDxfId="103"/>
    <tableColumn id="9" name="CloseTime" dataDxfId="102"/>
    <tableColumn id="10" name="Price2" dataDxfId="101"/>
    <tableColumn id="11" name="Commission" dataDxfId="100"/>
    <tableColumn id="12" name="Taxes" dataDxfId="99"/>
    <tableColumn id="13" name="Swap" dataDxfId="98"/>
    <tableColumn id="14" name="Profit" dataDxfId="97"/>
    <tableColumn id="15" name="Total" dataDxfId="96">
      <calculatedColumnFormula>Tabela9[[#This Row],[Swap]]+Tabela9[[#This Row],[Profit]]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397" dataDxfId="396" totalsRowDxfId="395">
  <autoFilter ref="A1:AK61"/>
  <sortState ref="A2:AK61">
    <sortCondition ref="E1:E61"/>
  </sortState>
  <tableColumns count="37">
    <tableColumn id="19" name="ID" totalsRowFunction="max" dataDxfId="394" totalsRowDxfId="393"/>
    <tableColumn id="36" name="U" dataDxfId="392" totalsRowDxfId="391"/>
    <tableColumn id="2" name="ATIVO" dataDxfId="390" totalsRowDxfId="389"/>
    <tableColumn id="3" name="T" dataDxfId="388" totalsRowDxfId="387"/>
    <tableColumn id="4" name="DATA" dataDxfId="386" totalsRowDxfId="385"/>
    <tableColumn id="5" name="QTDE" dataDxfId="384" totalsRowDxfId="383"/>
    <tableColumn id="6" name="PREÇO" dataDxfId="382" totalsRowDxfId="381"/>
    <tableColumn id="37" name="PARCIAL" dataDxfId="380" totalsRowDxfId="379"/>
    <tableColumn id="40" name="AJUSTE" dataDxfId="378" totalsRowDxfId="377"/>
    <tableColumn id="7" name="[D/N]" dataDxfId="376" totalsRowDxfId="375"/>
    <tableColumn id="34" name="DATA DE LIQUIDAÇÃO" dataDxfId="374" totalsRowDxfId="373">
      <calculatedColumnFormula>WORKDAY(NOTAS_80[[#This Row],[DATA]],1,0)</calculatedColumnFormula>
    </tableColumn>
    <tableColumn id="31" name="DATA BASE" dataDxfId="372" totalsRowDxfId="371">
      <calculatedColumnFormula>EOMONTH(NOTAS_80[[#This Row],[DATA DE LIQUIDAÇÃO]],0)</calculatedColumnFormula>
    </tableColumn>
    <tableColumn id="21" name="PAR" dataDxfId="370" totalsRowDxfId="369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368" totalsRowDxfId="367">
      <calculatedColumnFormula>[QTDE]*[PREÇO]</calculatedColumnFormula>
    </tableColumn>
    <tableColumn id="9" name="VALOR LÍQUIDO DAS OPERAÇÕES" dataDxfId="366" totalsRowDxfId="365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364" totalsRowDxfId="363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362" totalsRowDxfId="361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360" totalsRowDxfId="359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358" totalsRowDxfId="357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356" totalsRowDxfId="355">
      <calculatedColumnFormula>TRUNC([CORR BOV] * 20% * IF([PARCIAL] &gt; 0, [QTDE] / [PARCIAL], 1),2)</calculatedColumnFormula>
    </tableColumn>
    <tableColumn id="12" name="CORRETAGEM" dataDxfId="354" totalsRowDxfId="353">
      <calculatedColumnFormula>SUMPRODUCT(N([DATA]=NOTAS_80[[#This Row],[DATA]]),N([ID]&lt;=NOTAS_80[[#This Row],[ID]]), [CORR])</calculatedColumnFormula>
    </tableColumn>
    <tableColumn id="13" name="ISS" dataDxfId="352" totalsRowDxfId="351">
      <calculatedColumnFormula>TRUNC([CORRETAGEM]*SETUP!$F$3,2)</calculatedColumnFormula>
    </tableColumn>
    <tableColumn id="15" name="OUTRAS BOVESPA" dataDxfId="350" totalsRowDxfId="349">
      <calculatedColumnFormula>ROUND([CORRETAGEM]*SETUP!$G$3,2)</calculatedColumnFormula>
    </tableColumn>
    <tableColumn id="16" name="LÍQUIDO BASE" dataDxfId="348" totalsRowDxfId="347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346" totalsRowDxfId="345">
      <calculatedColumnFormula>IF(AND(['[D/N']]="D",    [T]="CV",    [LÍQUIDO BASE] &gt; 0),    TRUNC([LÍQUIDO BASE]*0.01, 2),    0)</calculatedColumnFormula>
    </tableColumn>
    <tableColumn id="35" name="LÍQUIDO" dataDxfId="344" totalsRowDxfId="343">
      <calculatedColumnFormula>IF([PREÇO] &gt; 0,    [LÍQUIDO BASE]-SUMPRODUCT(N([DATA]=NOTAS_80[[#This Row],[DATA]]),    [IRRF FONTE]),    0)</calculatedColumnFormula>
    </tableColumn>
    <tableColumn id="17" name="VALOR OP" dataDxfId="342" totalsRowDxfId="341">
      <calculatedColumnFormula>[LÍQUIDO]-SUMPRODUCT(N([DATA]=NOTAS_80[[#This Row],[DATA]]),N([ID]=(NOTAS_80[[#This Row],[ID]]-1)),[LÍQUIDO])</calculatedColumnFormula>
    </tableColumn>
    <tableColumn id="18" name="MEDIO P/ OP" dataDxfId="340" totalsRowDxfId="339">
      <calculatedColumnFormula>IF([T] = "VC", ABS([VALOR OP]) / [QTDE], [VALOR OP]/[QTDE])</calculatedColumnFormula>
    </tableColumn>
    <tableColumn id="20" name="IRRF" totalsRowFunction="sum" dataDxfId="338" totalsRowDxfId="337">
      <calculatedColumnFormula>TRUNC(IF(OR([T]="CV",[T]="VV"),     N2*SETUP!$H$3,     0),2)</calculatedColumnFormula>
    </tableColumn>
    <tableColumn id="24" name="SALDO" dataDxfId="336" totalsRowDxfId="335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334" totalsRowDxfId="333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332" totalsRowDxfId="331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330" totalsRowDxfId="329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328" totalsRowDxfId="327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326" totalsRowDxfId="325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324" totalsRowDxfId="323">
      <calculatedColumnFormula>IF([U] = "U", SUMPRODUCT(N([DATA BASE]=NOTAS_80[[#This Row],[DATA BASE]]), N(['[D/N']] = "D"),    [LUCRO P/ OP]), 0)</calculatedColumnFormula>
    </tableColumn>
    <tableColumn id="30" name="IRRF DT" dataDxfId="322" totalsRowDxfId="321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320" dataDxfId="319">
  <autoFilter ref="A1:N5"/>
  <tableColumns count="14">
    <tableColumn id="1" name="DATA" totalsRowLabel="Total" dataDxfId="318" totalsRowDxfId="317"/>
    <tableColumn id="2" name="LUCRO [N]" dataDxfId="316" totalsRowDxfId="315"/>
    <tableColumn id="3" name="DEDUÇÃO [N]" dataDxfId="314" totalsRowDxfId="313"/>
    <tableColumn id="8" name="IRRF [N]" dataDxfId="312" totalsRowDxfId="311"/>
    <tableColumn id="4" name="LUCRO [D]" dataDxfId="310" totalsRowDxfId="309"/>
    <tableColumn id="5" name="DEDUÇÃO [D]" dataDxfId="308" totalsRowDxfId="307"/>
    <tableColumn id="9" name="IRRF [D]" dataDxfId="306" totalsRowDxfId="305"/>
    <tableColumn id="6" name="ACC [N]" dataDxfId="304" totalsRowDxfId="303">
      <calculatedColumnFormula>IF([LUCRO '[N']] + [DEDUÇÃO '[N']] &gt; 0, 0, [LUCRO '[N']] + [DEDUÇÃO '[N']])</calculatedColumnFormula>
    </tableColumn>
    <tableColumn id="12" name="ACC [D]" dataDxfId="302" totalsRowDxfId="301">
      <calculatedColumnFormula>IF([LUCRO '[D']] + [DEDUÇÃO '[D']] &gt; 0, 0, [LUCRO '[D']] + [DEDUÇÃO '[D']])</calculatedColumnFormula>
    </tableColumn>
    <tableColumn id="7" name="IR DEVIDO [N]" dataDxfId="300" totalsRowDxfId="299">
      <calculatedColumnFormula>IF([ACC '[N']] = 0, ROUND(([LUCRO '[N']] + [DEDUÇÃO '[N']]) * 15%, 2) - [IRRF '[N']], 0)</calculatedColumnFormula>
    </tableColumn>
    <tableColumn id="10" name="IR DEVIDO [D]" dataDxfId="298" totalsRowDxfId="297">
      <calculatedColumnFormula>IF([ACC '[D']] = 0, ROUND(([LUCRO '[D']] + [DEDUÇÃO '[D']]) * 20%, 2) - [IRRF '[D']], 0)</calculatedColumnFormula>
    </tableColumn>
    <tableColumn id="14" name="IRRF" dataDxfId="296" totalsRowDxfId="295">
      <calculatedColumnFormula>[IRRF '[N']] + [IRRF '[D']]</calculatedColumnFormula>
    </tableColumn>
    <tableColumn id="11" name="IR DEVIDO" dataDxfId="294" totalsRowDxfId="293">
      <calculatedColumnFormula>[IR DEVIDO '[N']] + [IR DEVIDO '[D']]</calculatedColumnFormula>
    </tableColumn>
    <tableColumn id="13" name="LUCRO TOTAL" totalsRowFunction="sum" dataDxfId="292" totalsRowDxfId="291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290" dataDxfId="289">
  <autoFilter ref="A1:K5"/>
  <sortState ref="A2:K4">
    <sortCondition ref="C1:C4"/>
  </sortState>
  <tableColumns count="11">
    <tableColumn id="1" name="PAPEL" totalsRowLabel="Total" dataDxfId="288" totalsRowDxfId="287"/>
    <tableColumn id="10" name="APLICAÇÃO" dataDxfId="286" totalsRowDxfId="285">
      <calculatedColumnFormula>700</calculatedColumnFormula>
    </tableColumn>
    <tableColumn id="2" name="EXERCÍCIO" dataDxfId="284" totalsRowDxfId="283"/>
    <tableColumn id="3" name="PREÇO OPÇÃO" dataDxfId="282" totalsRowDxfId="281"/>
    <tableColumn id="4" name="PREÇO AÇÃO" dataDxfId="280" totalsRowDxfId="279"/>
    <tableColumn id="11" name="QTDE TMP" dataDxfId="278" totalsRowDxfId="277">
      <calculatedColumnFormula>ROUNDDOWN([APLICAÇÃO]/[PREÇO OPÇÃO], 0)</calculatedColumnFormula>
    </tableColumn>
    <tableColumn id="14" name="QTDE" dataDxfId="276" totalsRowDxfId="275">
      <calculatedColumnFormula>[QTDE TMP] - MOD([QTDE TMP], 100)</calculatedColumnFormula>
    </tableColumn>
    <tableColumn id="5" name="TARGET 100%" dataDxfId="274" totalsRowDxfId="273" dataCellStyle="Moeda">
      <calculatedColumnFormula>[EXERCÍCIO] + ([PREÇO OPÇÃO] * 2)</calculatedColumnFormula>
    </tableColumn>
    <tableColumn id="6" name="ALTA 100%" dataDxfId="272" totalsRowDxfId="271">
      <calculatedColumnFormula>[TARGET 100%] / [PREÇO AÇÃO] - 1</calculatedColumnFormula>
    </tableColumn>
    <tableColumn id="12" name="LUCRO* 100%" dataDxfId="270" totalsRowDxfId="269">
      <calculatedColumnFormula>[PREÇO OPÇÃO] * [QTDE]</calculatedColumnFormula>
    </tableColumn>
    <tableColumn id="7" name="GORDURA" dataDxfId="268" totalsRowDxfId="267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266" dataDxfId="265">
  <autoFilter ref="A1:P4"/>
  <tableColumns count="16">
    <tableColumn id="1" name="PAPEL" totalsRowLabel="Total" dataDxfId="264" totalsRowDxfId="263"/>
    <tableColumn id="10" name="VOLUME" dataDxfId="262" totalsRowDxfId="261">
      <calculatedColumnFormula>1800</calculatedColumnFormula>
    </tableColumn>
    <tableColumn id="20" name="PREÇO AÇÃO" dataDxfId="260" totalsRowDxfId="259"/>
    <tableColumn id="7" name="EXERC. VENDA" dataDxfId="258" totalsRowDxfId="257"/>
    <tableColumn id="8" name="PREÇO VENDA" dataDxfId="256" totalsRowDxfId="255"/>
    <tableColumn id="2" name="EXERC. COMPRA" dataDxfId="254" totalsRowDxfId="253"/>
    <tableColumn id="3" name="PREÇO COMPRA" dataDxfId="252" totalsRowDxfId="251"/>
    <tableColumn id="4" name="QTD" dataDxfId="250" totalsRowDxfId="249">
      <calculatedColumnFormula>[VOLUME]/([PREÇO VENDA]+[PREÇO COMPRA])</calculatedColumnFormula>
    </tableColumn>
    <tableColumn id="18" name="LUCRO P/ OPÇÃO" dataDxfId="248" totalsRowDxfId="247">
      <calculatedColumnFormula>[PREÇO VENDA]-[PREÇO COMPRA]</calculatedColumnFormula>
    </tableColumn>
    <tableColumn id="19" name="PERDA P/ OPÇÃO" dataDxfId="246" totalsRowDxfId="245">
      <calculatedColumnFormula>(0.01 - [PREÇO COMPRA]) + ([PREÇO VENDA] - ([EXERC. COMPRA]-[EXERC. VENDA]+0.01))</calculatedColumnFormula>
    </tableColumn>
    <tableColumn id="11" name="QTDE TMP" dataDxfId="244" totalsRowDxfId="243">
      <calculatedColumnFormula>ROUNDDOWN([VOLUME]/ABS([PERDA P/ OPÇÃO]), 0)</calculatedColumnFormula>
    </tableColumn>
    <tableColumn id="14" name="QTDE" dataDxfId="242" totalsRowDxfId="241">
      <calculatedColumnFormula>[QTD] - MOD([QTD], 100)</calculatedColumnFormula>
    </tableColumn>
    <tableColumn id="5" name="LUCRO*" dataDxfId="240" totalsRowDxfId="239">
      <calculatedColumnFormula>([QTDE]*[LUCRO P/ OPÇÃO])-48</calculatedColumnFormula>
    </tableColumn>
    <tableColumn id="6" name="PERDA*" dataDxfId="238" totalsRowDxfId="237">
      <calculatedColumnFormula>[QTDE]*[PERDA P/ OPÇÃO]-48</calculatedColumnFormula>
    </tableColumn>
    <tableColumn id="21" name="% QUEDA" dataDxfId="236" totalsRowDxfId="235">
      <calculatedColumnFormula>[EXERC. VENDA]/[PREÇO AÇÃO]-1</calculatedColumnFormula>
    </tableColumn>
    <tableColumn id="22" name="RISCO : 1" dataDxfId="234" totalsRowDxfId="233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ela10" displayName="Tabela10" ref="A1:G2" totalsRowShown="0" headerRowDxfId="232" dataDxfId="231">
  <autoFilter ref="A1:G2"/>
  <tableColumns count="7">
    <tableColumn id="1" name="Garantia" dataDxfId="230"/>
    <tableColumn id="2" name="Start" dataDxfId="229"/>
    <tableColumn id="3" name="Stop" dataDxfId="228"/>
    <tableColumn id="4" name="Pontos" dataDxfId="227">
      <calculatedColumnFormula>ABS(B2-C2)</calculatedColumnFormula>
    </tableColumn>
    <tableColumn id="5" name="Risco" dataDxfId="226">
      <calculatedColumnFormula>A2*10%</calculatedColumnFormula>
    </tableColumn>
    <tableColumn id="6" name="N Contrato" dataDxfId="225">
      <calculatedColumnFormula>E2/(0.2*D2)-MOD(E2/(0.2*D2),1)</calculatedColumnFormula>
    </tableColumn>
    <tableColumn id="7" name="Prev Target" dataDxfId="224">
      <calculatedColumnFormula>IF([Start]&lt;[Stop],[Start]-([Pontos]*3.5),[Start]+([Pontos]*3.5))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246" displayName="Tabela246" ref="A1:O3" headerRowDxfId="223" dataDxfId="222">
  <autoFilter ref="A1:O3"/>
  <tableColumns count="15">
    <tableColumn id="1" name="PAPEL" totalsRowLabel="Total" dataDxfId="221" totalsRowDxfId="220"/>
    <tableColumn id="10" name="RISCO" dataDxfId="219" totalsRowDxfId="218"/>
    <tableColumn id="20" name="PREÇO AÇÃO" dataDxfId="217" totalsRowDxfId="216"/>
    <tableColumn id="7" name="EX. VENDA" dataDxfId="215" totalsRowDxfId="214"/>
    <tableColumn id="2" name="EX. COMPRA" dataDxfId="213" totalsRowDxfId="212" dataCellStyle="Moeda"/>
    <tableColumn id="3" name="PR Venda" dataDxfId="211" totalsRowDxfId="210" dataCellStyle="Moeda"/>
    <tableColumn id="16" name="QTDE" dataDxfId="209" totalsRowDxfId="208"/>
    <tableColumn id="13" name="PERDA P/ OPÇÃO" dataDxfId="207" totalsRowDxfId="206">
      <calculatedColumnFormula>([RISCO])/[QTDE]</calculatedColumnFormula>
    </tableColumn>
    <tableColumn id="14" name="Volume" dataDxfId="205" totalsRowDxfId="204">
      <calculatedColumnFormula>[PR Venda] * [QTDE]+[QTDE]*[PR Compra]</calculatedColumnFormula>
    </tableColumn>
    <tableColumn id="15" name="LUCRO UNI" dataDxfId="203" totalsRowDxfId="202">
      <calculatedColumnFormula>[PR Venda]-[PR Compra]</calculatedColumnFormula>
    </tableColumn>
    <tableColumn id="8" name="PR Compra" dataDxfId="201" totalsRowDxfId="200">
      <calculatedColumnFormula>(-[PERDA P/ OPÇÃO] + ([EX. COMPRA] - [EX. VENDA] + 0.01) - 0.01 -[PR Venda])*-1</calculatedColumnFormula>
    </tableColumn>
    <tableColumn id="5" name="LUCRO" dataDxfId="199" totalsRowDxfId="198">
      <calculatedColumnFormula>([QTDE]*[LUCRO UNI])-64</calculatedColumnFormula>
    </tableColumn>
    <tableColumn id="6" name="PERDA" dataDxfId="197" totalsRowDxfId="196">
      <calculatedColumnFormula>-[PERDA P/ OPÇÃO]*[QTDE]-64</calculatedColumnFormula>
    </tableColumn>
    <tableColumn id="21" name="% QUEDA" dataDxfId="195" totalsRowDxfId="194">
      <calculatedColumnFormula>[EX. VENDA]/[PREÇO AÇÃO]-1</calculatedColumnFormula>
    </tableColumn>
    <tableColumn id="22" name="RISCO : 1" dataDxfId="193" totalsRowDxfId="192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ela245" displayName="Tabela245" ref="A1:U3" totalsRowCount="1" headerRowDxfId="191" dataDxfId="190">
  <autoFilter ref="A1:U2"/>
  <tableColumns count="21">
    <tableColumn id="1" name="PAPEL" totalsRowLabel="Total" dataDxfId="189" totalsRowDxfId="188"/>
    <tableColumn id="10" name="BASE" dataDxfId="187" totalsRowDxfId="186"/>
    <tableColumn id="20" name="PR. AÇÃO" dataDxfId="185" totalsRowDxfId="184"/>
    <tableColumn id="2" name="EX. CP 1" dataDxfId="183" totalsRowDxfId="182"/>
    <tableColumn id="3" name="PR CP 1" dataDxfId="181" totalsRowDxfId="180"/>
    <tableColumn id="12" name="EX. VD" dataDxfId="179" totalsRowDxfId="178"/>
    <tableColumn id="13" name="PR VD" dataDxfId="177" totalsRowDxfId="176"/>
    <tableColumn id="8" name="EX. CP 2" dataDxfId="175" totalsRowDxfId="174"/>
    <tableColumn id="7" name="PR CP 2" dataDxfId="173" totalsRowDxfId="172"/>
    <tableColumn id="18" name="LUCRO UNI." dataDxfId="171" totalsRowDxfId="170">
      <calculatedColumnFormula>(([PR VD] - 0.01) * 2) + (([EX. VD] - [EX. CP 1] + 0.01) - [PR CP 1]) + (0.01 - [PR CP 2])</calculatedColumnFormula>
    </tableColumn>
    <tableColumn id="19" name="PERDA 1" dataDxfId="169" totalsRowDxfId="168">
      <calculatedColumnFormula>(0.01 - [PR CP 1]) + (([PR VD] - 0.01) * 2) + (0.01 - [PR CP 2])</calculatedColumnFormula>
    </tableColumn>
    <tableColumn id="15" name="PERDA 2" dataDxfId="167" totalsRowDxfId="166">
      <calculatedColumnFormula>(([EX. CP 2] - [EX. CP 1] + 0.01) - [PR CP 1]) + (([PR VD] - ([EX. CP 2] - [EX. VD] + 0.01)) * 2) + (0.01 - [PR CP 2])</calculatedColumnFormula>
    </tableColumn>
    <tableColumn id="16" name="PERDA" dataDxfId="165" totalsRowDxfId="164">
      <calculatedColumnFormula>IF([PERDA 1] &gt; [PERDA 2], [PERDA 2], [PERDA 1])</calculatedColumnFormula>
    </tableColumn>
    <tableColumn id="11" name="QTDE TMP" dataDxfId="163" totalsRowDxfId="162">
      <calculatedColumnFormula>ROUNDDOWN([BASE]/ABS([PERDA]), 0)</calculatedColumnFormula>
    </tableColumn>
    <tableColumn id="14" name="QTDE" dataDxfId="161" totalsRowDxfId="160">
      <calculatedColumnFormula>[QTDE TMP] - MOD([QTDE TMP], 100)</calculatedColumnFormula>
    </tableColumn>
    <tableColumn id="4" name="QTDE VD" dataDxfId="159" totalsRowDxfId="158">
      <calculatedColumnFormula>Tabela245[[#This Row],[QTDE]]*2</calculatedColumnFormula>
    </tableColumn>
    <tableColumn id="17" name="VOLUME" dataDxfId="157" totalsRowDxfId="156">
      <calculatedColumnFormula>([QTDE]*[PR CP 1] + [QTDE]*[PR CP 2])+[QTDE]*[PR VD] * 2</calculatedColumnFormula>
    </tableColumn>
    <tableColumn id="5" name="LUCRO" dataDxfId="155" totalsRowDxfId="154">
      <calculatedColumnFormula>([QTDE]*[LUCRO UNI.])-48</calculatedColumnFormula>
    </tableColumn>
    <tableColumn id="6" name="PERDA2" dataDxfId="153" totalsRowDxfId="152">
      <calculatedColumnFormula>[QTDE]*[PERDA]-48</calculatedColumnFormula>
    </tableColumn>
    <tableColumn id="21" name="% VAR" dataDxfId="151" totalsRowDxfId="150">
      <calculatedColumnFormula>[EX. VD] / [PR. AÇÃO] - 1</calculatedColumnFormula>
    </tableColumn>
    <tableColumn id="22" name="RISCO : 1" dataDxfId="149" totalsRowDxfId="148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abela2467" displayName="Tabela2467" ref="A1:O6" totalsRowCount="1" headerRowDxfId="147" dataDxfId="146">
  <autoFilter ref="A1:O5"/>
  <tableColumns count="15">
    <tableColumn id="1" name="PAPEL" totalsRowLabel="Total" dataDxfId="145" totalsRowDxfId="144"/>
    <tableColumn id="10" name="RISCO" dataDxfId="143" totalsRowDxfId="142"/>
    <tableColumn id="20" name="PREÇO AÇÃO" dataDxfId="141" totalsRowDxfId="140"/>
    <tableColumn id="7" name="EX. VENDA" dataDxfId="139" totalsRowDxfId="138"/>
    <tableColumn id="2" name="EX. COMPRA" dataDxfId="137" totalsRowDxfId="136"/>
    <tableColumn id="9" name="PR VENDA" totalsRowDxfId="135"/>
    <tableColumn id="3" name="PR COMPRA" dataDxfId="134" totalsRowDxfId="133"/>
    <tableColumn id="16" name="QTDE" dataDxfId="132" totalsRowDxfId="131"/>
    <tableColumn id="13" name="PERDA P/ OPÇÃO" dataDxfId="130" totalsRowDxfId="129">
      <calculatedColumnFormula>([PR VENDA] - ([EX. COMPRA] - [EX. VENDA] + 0.01)) + (0.01 - ([PR COMPRA]))</calculatedColumnFormula>
    </tableColumn>
    <tableColumn id="14" name="VOLUME" dataDxfId="128" totalsRowDxfId="127">
      <calculatedColumnFormula>[PR COMPRA] * [QTDE]</calculatedColumnFormula>
    </tableColumn>
    <tableColumn id="15" name="LUCRO UNI" dataDxfId="126" totalsRowDxfId="125">
      <calculatedColumnFormula>[PR VENDA]-[PR COMPRA]</calculatedColumnFormula>
    </tableColumn>
    <tableColumn id="5" name="LUCRO*" dataDxfId="124" totalsRowDxfId="123">
      <calculatedColumnFormula>([QTDE]*[LUCRO UNI])</calculatedColumnFormula>
    </tableColumn>
    <tableColumn id="6" name="PERDA*" dataDxfId="122" totalsRowDxfId="121">
      <calculatedColumnFormula>[PERDA P/ OPÇÃO]*[QTDE]</calculatedColumnFormula>
    </tableColumn>
    <tableColumn id="21" name="% QUEDA" dataDxfId="120" totalsRowDxfId="119">
      <calculatedColumnFormula>[EX. VENDA]/[PREÇO AÇÃO]-1</calculatedColumnFormula>
    </tableColumn>
    <tableColumn id="22" name="RISCO : 1" dataDxfId="118" totalsRowDxfId="117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105"/>
  <sheetViews>
    <sheetView workbookViewId="0">
      <pane xSplit="10" ySplit="1" topLeftCell="K86" activePane="bottomRight" state="frozen"/>
      <selection pane="topRight" activeCell="K1" sqref="K1"/>
      <selection pane="bottomLeft" activeCell="A2" sqref="A2"/>
      <selection pane="bottomRight" activeCell="Z109" sqref="Z109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6.85546875" style="7" bestFit="1" customWidth="1"/>
    <col min="5" max="5" width="9.85546875" style="7" bestFit="1" customWidth="1"/>
    <col min="6" max="6" width="7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85546875" style="7" bestFit="1" customWidth="1"/>
    <col min="24" max="24" width="10.7109375" style="7" bestFit="1" customWidth="1"/>
    <col min="25" max="26" width="12.855468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2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0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1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1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1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1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1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1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1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1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1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1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1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1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1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1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1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1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1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1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1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1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1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1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1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1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1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1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1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1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1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1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1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1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1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1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1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1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1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1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1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1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1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1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1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1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1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1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1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1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1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1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1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1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1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1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1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1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1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1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1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1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1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1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1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1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1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1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1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1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1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1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1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1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1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1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1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1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1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1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1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1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1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1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1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1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1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1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1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1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1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1">
        <f>NC[[#This Row],[LÍQUIDO]]/NC[[#This Row],[QTDE]]</f>
        <v>0.39004999999999995</v>
      </c>
    </row>
    <row r="92" spans="1:37">
      <c r="A92" s="132">
        <v>91</v>
      </c>
      <c r="B92" s="132"/>
      <c r="C92" s="132" t="s">
        <v>177</v>
      </c>
      <c r="D92" s="132" t="s">
        <v>24</v>
      </c>
      <c r="E92" s="133">
        <v>41697</v>
      </c>
      <c r="F92" s="132">
        <v>1000</v>
      </c>
      <c r="G92" s="134">
        <v>0.47</v>
      </c>
      <c r="H92" s="135"/>
      <c r="I92" s="136"/>
      <c r="J92" s="132" t="s">
        <v>6</v>
      </c>
      <c r="K92" s="133">
        <f>WORKDAY(NC[[#This Row],[DATA]],1,0)</f>
        <v>41698</v>
      </c>
      <c r="L92" s="137">
        <f>EOMONTH(NC[[#This Row],[DATA DE LIQUIDAÇÃO]],0)</f>
        <v>41698</v>
      </c>
      <c r="M92" s="132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4">
        <f>[QTDE]*[PREÇO]</f>
        <v>470</v>
      </c>
      <c r="O92" s="134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-470</v>
      </c>
      <c r="P92" s="134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92" s="134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2" s="134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92" s="134">
        <f>SETUP!$E$3 * IF([PARCIAL] &gt; 0, [QTDE] / [PARCIAL], 1)</f>
        <v>14.9</v>
      </c>
      <c r="T92" s="134">
        <f>SUMPRODUCT(N([DATA]=NC[[#This Row],[DATA]]),N([ID]&lt;=NC[[#This Row],[ID]]), [CORR])</f>
        <v>14.9</v>
      </c>
      <c r="U92" s="134">
        <f>TRUNC([CORRETAGEM]*SETUP!$F$3,2)</f>
        <v>0.28999999999999998</v>
      </c>
      <c r="V92" s="134">
        <f>ROUND([CORRETAGEM]*SETUP!$G$3,2)</f>
        <v>0.57999999999999996</v>
      </c>
      <c r="W92" s="134">
        <f>[VALOR LÍQUIDO DAS OPERAÇÕES]-[TAXA DE LIQUIDAÇÃO]-[EMOLUMENTOS]-[TAXA DE REGISTRO]-[CORRETAGEM]-[ISS]-IF(['[D/N']]="D",    0,    [OUTRAS BOVESPA]) - [AJUSTE]</f>
        <v>-486.38</v>
      </c>
      <c r="X92" s="134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-486.38</v>
      </c>
      <c r="Z92" s="134">
        <f>[LÍQUIDO]-SUMPRODUCT(N([DATA]=NC[[#This Row],[DATA]]),N([ID]=(NC[[#This Row],[ID]]-1)),[LÍQUIDO])</f>
        <v>-486.38</v>
      </c>
      <c r="AA92" s="134">
        <f>IF([T] = "VC", ABS([VALOR OP]) / [QTDE], [VALOR OP]/[QTDE])</f>
        <v>-0.48637999999999998</v>
      </c>
      <c r="AB92" s="134">
        <f>TRUNC(IF(OR([T]="CV",[T]="VV"),     N92*SETUP!$H$3,     0),2)</f>
        <v>0</v>
      </c>
      <c r="AC92" s="132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92" s="13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2" s="139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3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4">
        <f>IF([LUCRO TMP] &lt;&gt; 0, [LUCRO TMP] - SUMPRODUCT(N([ATIVO]=NC[[#This Row],[ATIVO]]),N(['[D/N']]="N"),N([ID]&lt;NC[[#This Row],[ID]]),N([PAR]=NC[[#This Row],[PAR]]), [LUCRO TMP]), 0)</f>
        <v>0</v>
      </c>
      <c r="AH92" s="134">
        <f>IF([U] = "U", SUMPRODUCT(N([ID]&lt;=NC[[#This Row],[ID]]),N([DATA BASE]=NC[[#This Row],[DATA BASE]]), N(['[D/N']] = "N"),    [LUCRO P/ OP]), 0)</f>
        <v>0</v>
      </c>
      <c r="AI92" s="134">
        <f>IF([U] = "U", SUMPRODUCT(N([DATA BASE]=NC[[#This Row],[DATA BASE]]), N(['[D/N']] = "D"),    [LUCRO P/ OP]), 0)</f>
        <v>0</v>
      </c>
      <c r="AJ92" s="134">
        <f>IF([U] = "U", SUMPRODUCT(N([DATA BASE]=NC[[#This Row],[DATA BASE]]), N(['[D/N']] = "D"),    [IRRF FONTE]), 0)</f>
        <v>0</v>
      </c>
      <c r="AK92" s="141">
        <f>NC[[#This Row],[LÍQUIDO]]/NC[[#This Row],[QTDE]]</f>
        <v>-0.48637999999999998</v>
      </c>
    </row>
    <row r="93" spans="1:37">
      <c r="A93" s="13">
        <v>92</v>
      </c>
      <c r="B93" s="132"/>
      <c r="C93" s="132" t="s">
        <v>177</v>
      </c>
      <c r="D93" s="132" t="s">
        <v>25</v>
      </c>
      <c r="E93" s="133">
        <v>41698</v>
      </c>
      <c r="F93" s="132">
        <v>500</v>
      </c>
      <c r="G93" s="134">
        <v>0.65</v>
      </c>
      <c r="H93" s="135"/>
      <c r="I93" s="136"/>
      <c r="J93" s="132" t="s">
        <v>6</v>
      </c>
      <c r="K93" s="133">
        <f>WORKDAY(NC[[#This Row],[DATA]],1,0)</f>
        <v>41701</v>
      </c>
      <c r="L93" s="137">
        <f>EOMONTH(NC[[#This Row],[DATA DE LIQUIDAÇÃO]],0)</f>
        <v>41729</v>
      </c>
      <c r="M93" s="132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4">
        <f>[QTDE]*[PREÇO]</f>
        <v>325</v>
      </c>
      <c r="O93" s="134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325</v>
      </c>
      <c r="P93" s="134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93" s="134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93" s="134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93" s="134">
        <f>SETUP!$E$3 * IF([PARCIAL] &gt; 0, [QTDE] / [PARCIAL], 1)</f>
        <v>14.9</v>
      </c>
      <c r="T93" s="134">
        <f>SUMPRODUCT(N([DATA]=NC[[#This Row],[DATA]]),N([ID]&lt;=NC[[#This Row],[ID]]), [CORR])</f>
        <v>14.9</v>
      </c>
      <c r="U93" s="134">
        <f>TRUNC([CORRETAGEM]*SETUP!$F$3,2)</f>
        <v>0.28999999999999998</v>
      </c>
      <c r="V93" s="134">
        <f>ROUND([CORRETAGEM]*SETUP!$G$3,2)</f>
        <v>0.57999999999999996</v>
      </c>
      <c r="W93" s="134">
        <f>[VALOR LÍQUIDO DAS OPERAÇÕES]-[TAXA DE LIQUIDAÇÃO]-[EMOLUMENTOS]-[TAXA DE REGISTRO]-[CORRETAGEM]-[ISS]-IF(['[D/N']]="D",    0,    [OUTRAS BOVESPA]) - [AJUSTE]</f>
        <v>308.81</v>
      </c>
      <c r="X93" s="134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308.81</v>
      </c>
      <c r="Z93" s="134">
        <f>[LÍQUIDO]-SUMPRODUCT(N([DATA]=NC[[#This Row],[DATA]]),N([ID]=(NC[[#This Row],[ID]]-1)),[LÍQUIDO])</f>
        <v>308.81</v>
      </c>
      <c r="AA93" s="134">
        <f>IF([T] = "VC", ABS([VALOR OP]) / [QTDE], [VALOR OP]/[QTDE])</f>
        <v>0.61762000000000006</v>
      </c>
      <c r="AB93" s="134">
        <f>TRUNC(IF(OR([T]="CV",[T]="VV"),     N93*SETUP!$H$3,     0),2)</f>
        <v>0.01</v>
      </c>
      <c r="AC93" s="132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93" s="13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3" s="139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0.61762000000000006</v>
      </c>
      <c r="AF93" s="13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65.620000000000033</v>
      </c>
      <c r="AG93" s="134">
        <f>IF([LUCRO TMP] &lt;&gt; 0, [LUCRO TMP] - SUMPRODUCT(N([ATIVO]=NC[[#This Row],[ATIVO]]),N(['[D/N']]="N"),N([ID]&lt;NC[[#This Row],[ID]]),N([PAR]=NC[[#This Row],[PAR]]), [LUCRO TMP]), 0)</f>
        <v>65.620000000000033</v>
      </c>
      <c r="AH93" s="134">
        <f>IF([U] = "U", SUMPRODUCT(N([ID]&lt;=NC[[#This Row],[ID]]),N([DATA BASE]=NC[[#This Row],[DATA BASE]]), N(['[D/N']] = "N"),    [LUCRO P/ OP]), 0)</f>
        <v>0</v>
      </c>
      <c r="AI93" s="134">
        <f>IF([U] = "U", SUMPRODUCT(N([DATA BASE]=NC[[#This Row],[DATA BASE]]), N(['[D/N']] = "D"),    [LUCRO P/ OP]), 0)</f>
        <v>0</v>
      </c>
      <c r="AJ93" s="134">
        <f>IF([U] = "U", SUMPRODUCT(N([DATA BASE]=NC[[#This Row],[DATA BASE]]), N(['[D/N']] = "D"),    [IRRF FONTE]), 0)</f>
        <v>0</v>
      </c>
      <c r="AK93" s="141">
        <f>NC[[#This Row],[LÍQUIDO]]/NC[[#This Row],[QTDE]]</f>
        <v>0.61762000000000006</v>
      </c>
    </row>
    <row r="94" spans="1:37">
      <c r="A94" s="132">
        <v>93</v>
      </c>
      <c r="B94" s="132"/>
      <c r="C94" s="132" t="s">
        <v>183</v>
      </c>
      <c r="D94" s="132" t="s">
        <v>24</v>
      </c>
      <c r="E94" s="133">
        <v>41758</v>
      </c>
      <c r="F94" s="132">
        <v>2200</v>
      </c>
      <c r="G94" s="134">
        <v>0.28000000000000003</v>
      </c>
      <c r="H94" s="135"/>
      <c r="I94" s="136"/>
      <c r="J94" s="132" t="s">
        <v>6</v>
      </c>
      <c r="K94" s="133">
        <f>WORKDAY(NC[[#This Row],[DATA]],1,0)</f>
        <v>41759</v>
      </c>
      <c r="L94" s="137">
        <f>EOMONTH(NC[[#This Row],[DATA DE LIQUIDAÇÃO]],0)</f>
        <v>41759</v>
      </c>
      <c r="M94" s="132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4" s="134">
        <f>[QTDE]*[PREÇO]</f>
        <v>616.00000000000011</v>
      </c>
      <c r="O94" s="134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-616.00000000000011</v>
      </c>
      <c r="P94" s="134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94" s="134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94" s="134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0.42</v>
      </c>
      <c r="S94" s="134">
        <f>SETUP!$E$3 * IF([PARCIAL] &gt; 0, [QTDE] / [PARCIAL], 1)</f>
        <v>14.9</v>
      </c>
      <c r="T94" s="134">
        <f>SUMPRODUCT(N([DATA]=NC[[#This Row],[DATA]]),N([ID]&lt;=NC[[#This Row],[ID]]), [CORR])</f>
        <v>14.9</v>
      </c>
      <c r="U94" s="134">
        <f>TRUNC([CORRETAGEM]*SETUP!$F$3,2)</f>
        <v>0.28999999999999998</v>
      </c>
      <c r="V94" s="134">
        <f>ROUND([CORRETAGEM]*SETUP!$G$3,2)</f>
        <v>0.57999999999999996</v>
      </c>
      <c r="W94" s="134">
        <f>[VALOR LÍQUIDO DAS OPERAÇÕES]-[TAXA DE LIQUIDAÇÃO]-[EMOLUMENTOS]-[TAXA DE REGISTRO]-[CORRETAGEM]-[ISS]-IF(['[D/N']]="D",    0,    [OUTRAS BOVESPA]) - [AJUSTE]</f>
        <v>-632.57000000000005</v>
      </c>
      <c r="X94" s="134">
        <f>IF(AND(['[D/N']]="D",    [T]="CV",    [LÍQUIDO BASE] &gt; 0),    TRUNC([LÍQUIDO BASE]*0.01, 2),    0)</f>
        <v>0</v>
      </c>
      <c r="Y94" s="63">
        <f>IF([PREÇO] &gt; 0,    [LÍQUIDO BASE]-SUMPRODUCT(N([DATA]=NC[[#This Row],[DATA]]),    [IRRF FONTE]),    0)</f>
        <v>-632.57000000000005</v>
      </c>
      <c r="Z94" s="134">
        <f>[LÍQUIDO]-SUMPRODUCT(N([DATA]=NC[[#This Row],[DATA]]),N([ID]=(NC[[#This Row],[ID]]-1)),[LÍQUIDO])</f>
        <v>-632.57000000000005</v>
      </c>
      <c r="AA94" s="134">
        <f>IF([T] = "VC", ABS([VALOR OP]) / [QTDE], [VALOR OP]/[QTDE])</f>
        <v>-0.28753181818181822</v>
      </c>
      <c r="AB94" s="134">
        <f>TRUNC(IF(OR([T]="CV",[T]="VV"),     N94*SETUP!$H$3,     0),2)</f>
        <v>0</v>
      </c>
      <c r="AC94" s="132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2200</v>
      </c>
      <c r="AD94" s="13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0.28753181818181822</v>
      </c>
      <c r="AE94" s="139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4" s="13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4" s="134">
        <f>IF([LUCRO TMP] &lt;&gt; 0, [LUCRO TMP] - SUMPRODUCT(N([ATIVO]=NC[[#This Row],[ATIVO]]),N(['[D/N']]="N"),N([ID]&lt;NC[[#This Row],[ID]]),N([PAR]=NC[[#This Row],[PAR]]), [LUCRO TMP]), 0)</f>
        <v>0</v>
      </c>
      <c r="AH94" s="134">
        <f>IF([U] = "U", SUMPRODUCT(N([ID]&lt;=NC[[#This Row],[ID]]),N([DATA BASE]=NC[[#This Row],[DATA BASE]]), N(['[D/N']] = "N"),    [LUCRO P/ OP]), 0)</f>
        <v>0</v>
      </c>
      <c r="AI94" s="134">
        <f>IF([U] = "U", SUMPRODUCT(N([DATA BASE]=NC[[#This Row],[DATA BASE]]), N(['[D/N']] = "D"),    [LUCRO P/ OP]), 0)</f>
        <v>0</v>
      </c>
      <c r="AJ94" s="134">
        <f>IF([U] = "U", SUMPRODUCT(N([DATA BASE]=NC[[#This Row],[DATA BASE]]), N(['[D/N']] = "D"),    [IRRF FONTE]), 0)</f>
        <v>0</v>
      </c>
      <c r="AK94" s="152">
        <f>NC[[#This Row],[LÍQUIDO]]/NC[[#This Row],[QTDE]]</f>
        <v>-0.28753181818181822</v>
      </c>
    </row>
    <row r="95" spans="1:37">
      <c r="A95" s="132">
        <v>94</v>
      </c>
      <c r="B95" s="132"/>
      <c r="C95" s="132" t="s">
        <v>183</v>
      </c>
      <c r="D95" s="132" t="s">
        <v>25</v>
      </c>
      <c r="E95" s="133">
        <v>41759</v>
      </c>
      <c r="F95" s="132">
        <v>2200</v>
      </c>
      <c r="G95" s="134">
        <v>0.48</v>
      </c>
      <c r="H95" s="135"/>
      <c r="I95" s="136"/>
      <c r="J95" s="132" t="s">
        <v>6</v>
      </c>
      <c r="K95" s="133">
        <f>WORKDAY(NC[[#This Row],[DATA]],1,0)</f>
        <v>41760</v>
      </c>
      <c r="L95" s="137">
        <f>EOMONTH(NC[[#This Row],[DATA DE LIQUIDAÇÃO]],0)</f>
        <v>41790</v>
      </c>
      <c r="M95" s="132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5" s="134">
        <f>[QTDE]*[PREÇO]</f>
        <v>1056</v>
      </c>
      <c r="O95" s="134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1056</v>
      </c>
      <c r="P95" s="134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0.28999999999999998</v>
      </c>
      <c r="Q95" s="134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0.39</v>
      </c>
      <c r="R95" s="134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95" s="134">
        <f>SETUP!$E$3 * IF([PARCIAL] &gt; 0, [QTDE] / [PARCIAL], 1)</f>
        <v>14.9</v>
      </c>
      <c r="T95" s="134">
        <f>SUMPRODUCT(N([DATA]=NC[[#This Row],[DATA]]),N([ID]&lt;=NC[[#This Row],[ID]]), [CORR])</f>
        <v>14.9</v>
      </c>
      <c r="U95" s="134">
        <f>TRUNC([CORRETAGEM]*SETUP!$F$3,2)</f>
        <v>0.28999999999999998</v>
      </c>
      <c r="V95" s="134">
        <f>ROUND([CORRETAGEM]*SETUP!$G$3,2)</f>
        <v>0.57999999999999996</v>
      </c>
      <c r="W95" s="134">
        <f>[VALOR LÍQUIDO DAS OPERAÇÕES]-[TAXA DE LIQUIDAÇÃO]-[EMOLUMENTOS]-[TAXA DE REGISTRO]-[CORRETAGEM]-[ISS]-IF(['[D/N']]="D",    0,    [OUTRAS BOVESPA]) - [AJUSTE]</f>
        <v>1038.82</v>
      </c>
      <c r="X95" s="134">
        <f>IF(AND(['[D/N']]="D",    [T]="CV",    [LÍQUIDO BASE] &gt; 0),    TRUNC([LÍQUIDO BASE]*0.01, 2),    0)</f>
        <v>0</v>
      </c>
      <c r="Y95" s="63">
        <f>IF([PREÇO] &gt; 0,    [LÍQUIDO BASE]-SUMPRODUCT(N([DATA]=NC[[#This Row],[DATA]]),    [IRRF FONTE]),    0)</f>
        <v>1038.82</v>
      </c>
      <c r="Z95" s="134">
        <f>[LÍQUIDO]-SUMPRODUCT(N([DATA]=NC[[#This Row],[DATA]]),N([ID]=(NC[[#This Row],[ID]]-1)),[LÍQUIDO])</f>
        <v>1038.82</v>
      </c>
      <c r="AA95" s="134">
        <f>IF([T] = "VC", ABS([VALOR OP]) / [QTDE], [VALOR OP]/[QTDE])</f>
        <v>0.47219090909090905</v>
      </c>
      <c r="AB95" s="134">
        <f>TRUNC(IF(OR([T]="CV",[T]="VV"),     N95*SETUP!$H$3,     0),2)</f>
        <v>0.05</v>
      </c>
      <c r="AC95" s="132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5" s="13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0.28753181818181822</v>
      </c>
      <c r="AE95" s="139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0.47219090909090905</v>
      </c>
      <c r="AF95" s="13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406.24999999999983</v>
      </c>
      <c r="AG95" s="134">
        <f>IF([LUCRO TMP] &lt;&gt; 0, [LUCRO TMP] - SUMPRODUCT(N([ATIVO]=NC[[#This Row],[ATIVO]]),N(['[D/N']]="N"),N([ID]&lt;NC[[#This Row],[ID]]),N([PAR]=NC[[#This Row],[PAR]]), [LUCRO TMP]), 0)</f>
        <v>406.24999999999983</v>
      </c>
      <c r="AH95" s="134">
        <f>IF([U] = "U", SUMPRODUCT(N([ID]&lt;=NC[[#This Row],[ID]]),N([DATA BASE]=NC[[#This Row],[DATA BASE]]), N(['[D/N']] = "N"),    [LUCRO P/ OP]), 0)</f>
        <v>0</v>
      </c>
      <c r="AI95" s="134">
        <f>IF([U] = "U", SUMPRODUCT(N([DATA BASE]=NC[[#This Row],[DATA BASE]]), N(['[D/N']] = "D"),    [LUCRO P/ OP]), 0)</f>
        <v>0</v>
      </c>
      <c r="AJ95" s="134">
        <f>IF([U] = "U", SUMPRODUCT(N([DATA BASE]=NC[[#This Row],[DATA BASE]]), N(['[D/N']] = "D"),    [IRRF FONTE]), 0)</f>
        <v>0</v>
      </c>
      <c r="AK95" s="152">
        <f>NC[[#This Row],[LÍQUIDO]]/NC[[#This Row],[QTDE]]</f>
        <v>0.47219090909090905</v>
      </c>
    </row>
    <row r="96" spans="1:37">
      <c r="Y96" s="27"/>
      <c r="AG96" s="27"/>
    </row>
    <row r="98" spans="2:28">
      <c r="F98" s="24">
        <v>28.68</v>
      </c>
      <c r="G98" s="23">
        <f>G95-G94</f>
        <v>0.19999999999999996</v>
      </c>
      <c r="H98" s="25">
        <f>F98+G98</f>
        <v>28.88</v>
      </c>
      <c r="I98" s="27">
        <f>H98/F98-1</f>
        <v>6.9735006973501434E-3</v>
      </c>
      <c r="X98" s="25">
        <f>AG95*5%</f>
        <v>20.312499999999993</v>
      </c>
      <c r="Y98" s="25">
        <f>AG95*15%</f>
        <v>60.937499999999972</v>
      </c>
      <c r="Z98" s="25">
        <f>AG95*60%</f>
        <v>243.74999999999989</v>
      </c>
      <c r="AB98" s="23"/>
    </row>
    <row r="99" spans="2:28">
      <c r="F99" s="7">
        <v>28.4</v>
      </c>
      <c r="I99" s="27">
        <f>H98/F99-1</f>
        <v>1.6901408450704203E-2</v>
      </c>
      <c r="Y99" s="27">
        <f>ABS(AG95/Z94)</f>
        <v>0.64222141423083579</v>
      </c>
    </row>
    <row r="100" spans="2:28">
      <c r="Y100" s="27">
        <f>Y99*1.5</f>
        <v>0.96333212134625368</v>
      </c>
    </row>
    <row r="102" spans="2:28">
      <c r="C102" s="7">
        <v>1900</v>
      </c>
      <c r="D102" s="25">
        <v>0.48</v>
      </c>
      <c r="E102" s="25">
        <f>C102*D102</f>
        <v>912</v>
      </c>
      <c r="Z102" s="27"/>
    </row>
    <row r="103" spans="2:28">
      <c r="B103" s="7">
        <v>530</v>
      </c>
      <c r="C103" s="7">
        <f>B103/D103-MOD(B103/D103,100)</f>
        <v>2600</v>
      </c>
      <c r="D103" s="25">
        <v>0.2</v>
      </c>
      <c r="E103" s="25">
        <f>C103*D103</f>
        <v>520</v>
      </c>
      <c r="AB103" s="27"/>
    </row>
    <row r="104" spans="2:28">
      <c r="C104" s="7">
        <f>C103+C102</f>
        <v>4500</v>
      </c>
      <c r="E104" s="23">
        <f>E102+E103</f>
        <v>1432</v>
      </c>
      <c r="F104" s="7">
        <f>E104/C104</f>
        <v>0.31822222222222224</v>
      </c>
      <c r="G104" s="7">
        <f>F104*2</f>
        <v>0.63644444444444448</v>
      </c>
    </row>
    <row r="105" spans="2:28">
      <c r="W105" s="7">
        <v>868.08</v>
      </c>
      <c r="X105" s="7">
        <f>444.04-W105</f>
        <v>-424.04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E18" sqref="E1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228" t="s">
        <v>7</v>
      </c>
      <c r="B1" s="228"/>
      <c r="C1" s="228" t="s">
        <v>8</v>
      </c>
      <c r="D1" s="228"/>
      <c r="E1" s="227" t="s">
        <v>9</v>
      </c>
      <c r="F1" s="227" t="s">
        <v>4</v>
      </c>
      <c r="G1" s="227" t="s">
        <v>10</v>
      </c>
      <c r="H1" s="227" t="s">
        <v>11</v>
      </c>
      <c r="I1" s="227" t="s">
        <v>23</v>
      </c>
      <c r="K1" s="226" t="s">
        <v>147</v>
      </c>
      <c r="L1" s="226"/>
      <c r="M1" s="226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227"/>
      <c r="F2" s="227"/>
      <c r="G2" s="227"/>
      <c r="H2" s="227"/>
      <c r="I2" s="227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226" t="s">
        <v>26</v>
      </c>
      <c r="B4" s="226"/>
      <c r="C4" s="226"/>
      <c r="D4" s="226"/>
      <c r="E4" s="226"/>
      <c r="F4" s="226"/>
      <c r="K4" s="17">
        <v>498.62</v>
      </c>
      <c r="L4" s="17">
        <v>0</v>
      </c>
      <c r="M4" s="104">
        <v>0.02</v>
      </c>
    </row>
    <row r="5" spans="1:13">
      <c r="A5" s="226" t="s">
        <v>7</v>
      </c>
      <c r="B5" s="226"/>
      <c r="C5" s="226"/>
      <c r="D5" s="226" t="s">
        <v>8</v>
      </c>
      <c r="E5" s="226"/>
      <c r="F5" s="226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10"/>
  <dimension ref="A1:Y80"/>
  <sheetViews>
    <sheetView workbookViewId="0">
      <selection activeCell="L22" sqref="L22"/>
    </sheetView>
  </sheetViews>
  <sheetFormatPr defaultRowHeight="11.25"/>
  <cols>
    <col min="1" max="1" width="9.85546875" style="25" bestFit="1" customWidth="1"/>
    <col min="2" max="2" width="10" style="25" customWidth="1"/>
    <col min="3" max="3" width="7.7109375" style="25" bestFit="1" customWidth="1"/>
    <col min="4" max="4" width="7.42578125" style="150" bestFit="1" customWidth="1"/>
    <col min="5" max="5" width="7.7109375" style="27" bestFit="1" customWidth="1"/>
    <col min="6" max="6" width="6.5703125" style="157" bestFit="1" customWidth="1"/>
    <col min="7" max="7" width="8" style="150" bestFit="1" customWidth="1"/>
    <col min="8" max="8" width="8.28515625" style="153" bestFit="1" customWidth="1"/>
    <col min="9" max="9" width="6.5703125" style="157" bestFit="1" customWidth="1"/>
    <col min="10" max="10" width="6.5703125" style="7" bestFit="1" customWidth="1"/>
    <col min="11" max="11" width="9.140625" style="25" customWidth="1"/>
    <col min="12" max="12" width="9.85546875" style="25" bestFit="1" customWidth="1"/>
    <col min="13" max="13" width="8.42578125" style="25" bestFit="1" customWidth="1"/>
    <col min="14" max="14" width="8.42578125" style="25" customWidth="1"/>
    <col min="15" max="15" width="9.140625" style="7"/>
    <col min="16" max="16" width="7.7109375" style="25" bestFit="1" customWidth="1"/>
    <col min="17" max="17" width="9.85546875" style="25" bestFit="1" customWidth="1"/>
    <col min="18" max="18" width="7.7109375" style="25" customWidth="1"/>
    <col min="19" max="19" width="9.140625" style="7"/>
    <col min="20" max="20" width="13.85546875" style="25" bestFit="1" customWidth="1"/>
    <col min="21" max="22" width="10.85546875" style="7" bestFit="1" customWidth="1"/>
    <col min="23" max="25" width="11.7109375" style="7" bestFit="1" customWidth="1"/>
    <col min="26" max="16384" width="9.140625" style="7"/>
  </cols>
  <sheetData>
    <row r="1" spans="1:24" s="24" customFormat="1">
      <c r="A1" s="26" t="s">
        <v>189</v>
      </c>
      <c r="B1" s="154">
        <f>SUM(B2:B29)/COUNTA(B2:B29)</f>
        <v>5.8816133159214331E-4</v>
      </c>
      <c r="C1" s="26" t="s">
        <v>184</v>
      </c>
      <c r="D1" s="155" t="s">
        <v>185</v>
      </c>
      <c r="E1" s="154" t="s">
        <v>186</v>
      </c>
      <c r="F1" s="156"/>
      <c r="G1" s="155" t="s">
        <v>187</v>
      </c>
      <c r="H1" s="158" t="s">
        <v>188</v>
      </c>
      <c r="I1" s="156"/>
      <c r="K1" s="26"/>
      <c r="L1" s="26" t="s">
        <v>189</v>
      </c>
      <c r="M1" s="26" t="s">
        <v>190</v>
      </c>
      <c r="N1" s="26"/>
      <c r="P1" s="26" t="s">
        <v>212</v>
      </c>
      <c r="Q1" s="26" t="s">
        <v>213</v>
      </c>
      <c r="R1" s="26"/>
      <c r="T1" s="26"/>
    </row>
    <row r="2" spans="1:24">
      <c r="A2" s="25">
        <v>19.75</v>
      </c>
      <c r="C2" s="25">
        <f>IF(COUNTBLANK(A2:A10)&gt;0,"",AVERAGE(A2:A10))</f>
        <v>19.581111111111113</v>
      </c>
      <c r="D2" s="150">
        <f t="shared" ref="D2:D9" si="0">IF(C2="","",STDEV(A2:A10))</f>
        <v>0.29306332269853935</v>
      </c>
      <c r="E2" s="27">
        <f>D2/C2</f>
        <v>1.49666339686027E-2</v>
      </c>
      <c r="G2" s="150">
        <f>VAR(A2:A10)</f>
        <v>8.5886111111108221E-2</v>
      </c>
      <c r="H2" s="153">
        <f t="shared" ref="H2:H33" si="1">G2/C2</f>
        <v>4.3861714804515348E-3</v>
      </c>
      <c r="L2" s="25">
        <v>19.75</v>
      </c>
      <c r="M2" s="25">
        <v>29.42</v>
      </c>
      <c r="P2" s="25">
        <v>17.12</v>
      </c>
      <c r="Q2" s="25">
        <v>27.2</v>
      </c>
      <c r="T2" s="25">
        <v>600</v>
      </c>
      <c r="U2" s="80">
        <f>T2*85%*20%</f>
        <v>102</v>
      </c>
      <c r="V2" s="80">
        <f>T2-U2</f>
        <v>498</v>
      </c>
      <c r="W2" s="80">
        <f>SUM($V$2:V2)</f>
        <v>498</v>
      </c>
      <c r="X2" s="80">
        <f>W2+U2+T2</f>
        <v>1200</v>
      </c>
    </row>
    <row r="3" spans="1:24">
      <c r="A3" s="25">
        <v>19.62</v>
      </c>
      <c r="B3" s="27">
        <f>IF(A3&gt;0,A3/A2-1,"")</f>
        <v>-6.5822784810125601E-3</v>
      </c>
      <c r="C3" s="25">
        <f t="shared" ref="C3:C66" si="2">IF(COUNTBLANK(A3:A11)&gt;0,"",AVERAGE(A3:A11))</f>
        <v>19.50888888888889</v>
      </c>
      <c r="D3" s="150">
        <f t="shared" si="0"/>
        <v>0.32463227059413219</v>
      </c>
      <c r="E3" s="27">
        <f t="shared" ref="E3:E15" si="3">D3/C3</f>
        <v>1.6640223461369116E-2</v>
      </c>
      <c r="F3" s="157">
        <f>E3/E2</f>
        <v>1.1118213685373282</v>
      </c>
      <c r="G3" s="150">
        <f t="shared" ref="G3:G66" si="4">VAR(A3:A11)</f>
        <v>0.10538611111110185</v>
      </c>
      <c r="H3" s="153">
        <f t="shared" si="1"/>
        <v>5.4019535254580054E-3</v>
      </c>
      <c r="I3" s="157">
        <f>ROUND(H3/H2,2)</f>
        <v>1.23</v>
      </c>
      <c r="J3" s="27">
        <f>IF(COUNTBLANK(B3:B11)&gt;0,"",AVERAGE(B3:B11))</f>
        <v>-3.6604543246773324E-3</v>
      </c>
      <c r="L3" s="25">
        <v>19.62</v>
      </c>
      <c r="M3" s="25">
        <v>29.35</v>
      </c>
      <c r="O3" s="80"/>
      <c r="P3" s="25">
        <v>17.5</v>
      </c>
      <c r="Q3" s="25">
        <v>27.78</v>
      </c>
      <c r="T3" s="25">
        <f t="shared" ref="T3:T15" si="5">T2+U2+600</f>
        <v>1302</v>
      </c>
      <c r="U3" s="80">
        <f t="shared" ref="U3:U47" si="6">T3*85%*20%</f>
        <v>221.34000000000003</v>
      </c>
      <c r="V3" s="80">
        <f t="shared" ref="V3:V22" si="7">T3-U3</f>
        <v>1080.6599999999999</v>
      </c>
      <c r="W3" s="80">
        <f>SUM($V$2:V3)</f>
        <v>1578.6599999999999</v>
      </c>
      <c r="X3" s="80">
        <f t="shared" ref="X3:X22" si="8">W3+U3+T3</f>
        <v>3102</v>
      </c>
    </row>
    <row r="4" spans="1:24">
      <c r="A4" s="25">
        <v>19.75</v>
      </c>
      <c r="B4" s="27">
        <f t="shared" ref="B4:B29" si="9">IF(A4&gt;0,A4/A3-1,"")</f>
        <v>6.6258919469928124E-3</v>
      </c>
      <c r="C4" s="25">
        <f t="shared" si="2"/>
        <v>19.440000000000001</v>
      </c>
      <c r="D4" s="150">
        <f t="shared" si="0"/>
        <v>0.36176649927812049</v>
      </c>
      <c r="E4" s="27">
        <f t="shared" si="3"/>
        <v>1.8609387822948582E-2</v>
      </c>
      <c r="F4" s="157">
        <f t="shared" ref="F4:F67" si="10">E4/E3</f>
        <v>1.1183376152460305</v>
      </c>
      <c r="G4" s="150">
        <f t="shared" si="4"/>
        <v>0.13087499999994634</v>
      </c>
      <c r="H4" s="153">
        <f t="shared" si="1"/>
        <v>6.7322530864169922E-3</v>
      </c>
      <c r="I4" s="157">
        <f>ROUND(H4/H3,2)</f>
        <v>1.25</v>
      </c>
      <c r="J4" s="27">
        <f t="shared" ref="J4:J67" si="11">IF(COUNTBLANK(B4:B12)&gt;0,"",AVERAGE(B4:B12))</f>
        <v>-3.510823615036037E-3</v>
      </c>
      <c r="L4" s="25">
        <v>19.75</v>
      </c>
      <c r="M4" s="25">
        <v>29.08</v>
      </c>
      <c r="O4" s="80"/>
      <c r="P4" s="25">
        <v>17.5</v>
      </c>
      <c r="Q4" s="25">
        <v>27.86</v>
      </c>
      <c r="T4" s="25">
        <f t="shared" si="5"/>
        <v>2123.34</v>
      </c>
      <c r="U4" s="80">
        <f t="shared" si="6"/>
        <v>360.96780000000007</v>
      </c>
      <c r="V4" s="80">
        <f t="shared" si="7"/>
        <v>1762.3722</v>
      </c>
      <c r="W4" s="80">
        <f>SUM($V$2:V4)</f>
        <v>3341.0321999999996</v>
      </c>
      <c r="X4" s="80">
        <f t="shared" si="8"/>
        <v>5825.34</v>
      </c>
    </row>
    <row r="5" spans="1:24">
      <c r="A5" s="25">
        <v>19.75</v>
      </c>
      <c r="B5" s="27">
        <f t="shared" si="9"/>
        <v>0</v>
      </c>
      <c r="C5" s="25">
        <f t="shared" si="2"/>
        <v>19.335555555555558</v>
      </c>
      <c r="D5" s="150">
        <f t="shared" si="0"/>
        <v>0.39522497109591187</v>
      </c>
      <c r="E5" s="27">
        <f t="shared" si="3"/>
        <v>2.0440321456517679E-2</v>
      </c>
      <c r="F5" s="157">
        <f t="shared" si="10"/>
        <v>1.0983876337571534</v>
      </c>
      <c r="G5" s="150">
        <f t="shared" si="4"/>
        <v>0.15620277777776437</v>
      </c>
      <c r="H5" s="153">
        <f t="shared" si="1"/>
        <v>8.0785254568433457E-3</v>
      </c>
      <c r="I5" s="157">
        <f t="shared" ref="I5:I68" si="12">ROUND(H5/H4,2)</f>
        <v>1.2</v>
      </c>
      <c r="J5" s="27">
        <f t="shared" si="11"/>
        <v>-5.3581449424796963E-3</v>
      </c>
      <c r="L5" s="25">
        <v>19.75</v>
      </c>
      <c r="M5" s="25">
        <v>28.89</v>
      </c>
      <c r="O5" s="80"/>
      <c r="P5" s="25">
        <v>17.28</v>
      </c>
      <c r="Q5" s="25">
        <v>27.66</v>
      </c>
      <c r="T5" s="25">
        <f t="shared" si="5"/>
        <v>3084.3078</v>
      </c>
      <c r="U5" s="80">
        <f t="shared" si="6"/>
        <v>524.33232600000008</v>
      </c>
      <c r="V5" s="80">
        <f t="shared" si="7"/>
        <v>2559.9754739999998</v>
      </c>
      <c r="W5" s="80">
        <f>SUM($V$2:V5)</f>
        <v>5901.0076739999995</v>
      </c>
      <c r="X5" s="80">
        <f t="shared" si="8"/>
        <v>9509.6477999999988</v>
      </c>
    </row>
    <row r="6" spans="1:24">
      <c r="A6" s="25">
        <v>19.89</v>
      </c>
      <c r="B6" s="27">
        <f t="shared" si="9"/>
        <v>7.088607594936791E-3</v>
      </c>
      <c r="C6" s="25">
        <f t="shared" si="2"/>
        <v>19.256666666666668</v>
      </c>
      <c r="D6" s="150">
        <f t="shared" si="0"/>
        <v>0.37235735523819613</v>
      </c>
      <c r="E6" s="27">
        <f t="shared" si="3"/>
        <v>1.9336542595024899E-2</v>
      </c>
      <c r="F6" s="157">
        <f t="shared" si="10"/>
        <v>0.9459999264766541</v>
      </c>
      <c r="G6" s="150">
        <f t="shared" si="4"/>
        <v>0.13864999999998417</v>
      </c>
      <c r="H6" s="153">
        <f t="shared" si="1"/>
        <v>7.2001038601341959E-3</v>
      </c>
      <c r="I6" s="157">
        <f t="shared" si="12"/>
        <v>0.89</v>
      </c>
      <c r="J6" s="27">
        <f t="shared" si="11"/>
        <v>-3.9995295487765693E-3</v>
      </c>
      <c r="L6" s="25">
        <v>19.89</v>
      </c>
      <c r="M6" s="25">
        <v>28.97</v>
      </c>
      <c r="O6" s="80"/>
      <c r="P6" s="25">
        <v>17.329999999999998</v>
      </c>
      <c r="Q6" s="25">
        <v>27.74</v>
      </c>
      <c r="T6" s="25">
        <f t="shared" si="5"/>
        <v>4208.6401260000002</v>
      </c>
      <c r="U6" s="80">
        <f t="shared" si="6"/>
        <v>715.46882142000004</v>
      </c>
      <c r="V6" s="80">
        <f t="shared" si="7"/>
        <v>3493.1713045800002</v>
      </c>
      <c r="W6" s="80">
        <f>SUM($V$2:V6)</f>
        <v>9394.1789785799992</v>
      </c>
      <c r="X6" s="80">
        <f t="shared" si="8"/>
        <v>14318.287925999999</v>
      </c>
    </row>
    <row r="7" spans="1:24">
      <c r="A7" s="25">
        <v>19.850000000000001</v>
      </c>
      <c r="B7" s="27">
        <f t="shared" si="9"/>
        <v>-2.0110608345902392E-3</v>
      </c>
      <c r="C7" s="25">
        <f t="shared" si="2"/>
        <v>19.158888888888885</v>
      </c>
      <c r="D7" s="150">
        <f t="shared" si="0"/>
        <v>0.292166238828582</v>
      </c>
      <c r="E7" s="27">
        <f t="shared" si="3"/>
        <v>1.5249644200297155E-2</v>
      </c>
      <c r="F7" s="157">
        <f t="shared" si="10"/>
        <v>0.78864378806895596</v>
      </c>
      <c r="G7" s="150">
        <f t="shared" si="4"/>
        <v>8.5361111111240007E-2</v>
      </c>
      <c r="H7" s="153">
        <f t="shared" si="1"/>
        <v>4.4554311894749185E-3</v>
      </c>
      <c r="I7" s="157">
        <f t="shared" si="12"/>
        <v>0.62</v>
      </c>
      <c r="J7" s="27">
        <f t="shared" si="11"/>
        <v>-4.9622226428918488E-3</v>
      </c>
      <c r="L7" s="25">
        <v>19.850000000000001</v>
      </c>
      <c r="M7" s="25">
        <v>28.93</v>
      </c>
      <c r="O7" s="80"/>
      <c r="P7" s="25">
        <v>18.11</v>
      </c>
      <c r="Q7" s="25">
        <v>27.72</v>
      </c>
      <c r="T7" s="25">
        <f t="shared" si="5"/>
        <v>5524.1089474199998</v>
      </c>
      <c r="U7" s="80">
        <f t="shared" si="6"/>
        <v>939.09852106139988</v>
      </c>
      <c r="V7" s="80">
        <f t="shared" si="7"/>
        <v>4585.0104263585999</v>
      </c>
      <c r="W7" s="80">
        <f>SUM($V$2:V7)</f>
        <v>13979.189404938599</v>
      </c>
      <c r="X7" s="80">
        <f t="shared" si="8"/>
        <v>20442.396873419999</v>
      </c>
    </row>
    <row r="8" spans="1:24">
      <c r="A8" s="25">
        <v>19.29</v>
      </c>
      <c r="B8" s="27">
        <f t="shared" si="9"/>
        <v>-2.8211586901763286E-2</v>
      </c>
      <c r="C8" s="25">
        <f t="shared" si="2"/>
        <v>19.049999999999997</v>
      </c>
      <c r="D8" s="150">
        <f t="shared" si="0"/>
        <v>0.150831031290273</v>
      </c>
      <c r="E8" s="27">
        <f t="shared" si="3"/>
        <v>7.9176394378096069E-3</v>
      </c>
      <c r="F8" s="157">
        <f t="shared" si="10"/>
        <v>0.5192015848904411</v>
      </c>
      <c r="G8" s="150">
        <f t="shared" si="4"/>
        <v>2.2750000000087311E-2</v>
      </c>
      <c r="H8" s="153">
        <f t="shared" si="1"/>
        <v>1.1942257217893604E-3</v>
      </c>
      <c r="I8" s="157">
        <f t="shared" si="12"/>
        <v>0.27</v>
      </c>
      <c r="J8" s="27">
        <f t="shared" si="11"/>
        <v>-5.5570542141960798E-3</v>
      </c>
      <c r="L8" s="25">
        <v>19.29</v>
      </c>
      <c r="M8" s="25">
        <v>28.82</v>
      </c>
      <c r="O8" s="80"/>
      <c r="P8" s="25">
        <v>18.28</v>
      </c>
      <c r="Q8" s="25">
        <v>27.6</v>
      </c>
      <c r="T8" s="25">
        <f t="shared" si="5"/>
        <v>7063.2074684813997</v>
      </c>
      <c r="U8" s="80">
        <f t="shared" si="6"/>
        <v>1200.7452696418379</v>
      </c>
      <c r="V8" s="80">
        <f t="shared" si="7"/>
        <v>5862.462198839562</v>
      </c>
      <c r="W8" s="80">
        <f>SUM($V$2:V8)</f>
        <v>19841.651603778162</v>
      </c>
      <c r="X8" s="80">
        <f t="shared" si="8"/>
        <v>28105.604341901399</v>
      </c>
    </row>
    <row r="9" spans="1:24">
      <c r="A9" s="25">
        <v>19.14</v>
      </c>
      <c r="B9" s="27">
        <f t="shared" si="9"/>
        <v>-7.7760497667184181E-3</v>
      </c>
      <c r="C9" s="25">
        <f t="shared" si="2"/>
        <v>19.029999999999998</v>
      </c>
      <c r="D9" s="150">
        <f t="shared" si="0"/>
        <v>0.12469963913339967</v>
      </c>
      <c r="E9" s="27">
        <f t="shared" si="3"/>
        <v>6.5527923874618855E-3</v>
      </c>
      <c r="F9" s="157">
        <f t="shared" si="10"/>
        <v>0.82761944881828287</v>
      </c>
      <c r="G9" s="150">
        <f t="shared" si="4"/>
        <v>1.5550000000000102E-2</v>
      </c>
      <c r="H9" s="153">
        <f t="shared" si="1"/>
        <v>8.1713084603258557E-4</v>
      </c>
      <c r="I9" s="157">
        <f>ROUND(H9/H8,2)</f>
        <v>0.68</v>
      </c>
      <c r="J9" s="27">
        <f t="shared" si="11"/>
        <v>-1.0092555635673709E-3</v>
      </c>
      <c r="L9" s="25">
        <v>19.14</v>
      </c>
      <c r="M9" s="25">
        <v>28.92</v>
      </c>
      <c r="O9" s="80"/>
      <c r="P9" s="25">
        <v>19.100000000000001</v>
      </c>
      <c r="Q9" s="25">
        <v>27.82</v>
      </c>
      <c r="T9" s="25">
        <f t="shared" si="5"/>
        <v>8863.9527381232383</v>
      </c>
      <c r="U9" s="80">
        <f t="shared" si="6"/>
        <v>1506.8719654809506</v>
      </c>
      <c r="V9" s="80">
        <f t="shared" si="7"/>
        <v>7357.0807726422881</v>
      </c>
      <c r="W9" s="80">
        <f>SUM($V$2:V9)</f>
        <v>27198.732376420448</v>
      </c>
      <c r="X9" s="80">
        <f t="shared" si="8"/>
        <v>37569.557080024635</v>
      </c>
    </row>
    <row r="10" spans="1:24">
      <c r="A10" s="25">
        <v>19.190000000000001</v>
      </c>
      <c r="B10" s="27">
        <f t="shared" si="9"/>
        <v>2.6123301985372382E-3</v>
      </c>
      <c r="C10" s="25">
        <f t="shared" si="2"/>
        <v>19.04</v>
      </c>
      <c r="D10" s="150">
        <f>IF(C10="","",STDEV(A10:A17))</f>
        <v>0.12580455363096291</v>
      </c>
      <c r="E10" s="27">
        <f t="shared" si="3"/>
        <v>6.6073820184329264E-3</v>
      </c>
      <c r="F10" s="157">
        <f t="shared" si="10"/>
        <v>1.0083307432531348</v>
      </c>
      <c r="G10" s="150">
        <f t="shared" si="4"/>
        <v>1.8925000000000101E-2</v>
      </c>
      <c r="H10" s="153">
        <f t="shared" si="1"/>
        <v>9.9396008403361872E-4</v>
      </c>
      <c r="I10" s="157">
        <f t="shared" si="12"/>
        <v>1.22</v>
      </c>
      <c r="J10" s="27">
        <f t="shared" si="11"/>
        <v>5.5246494949728268E-4</v>
      </c>
      <c r="L10" s="25">
        <v>19.190000000000001</v>
      </c>
      <c r="M10" s="25">
        <v>29.07</v>
      </c>
      <c r="O10" s="80"/>
      <c r="P10" s="25">
        <v>19.260000000000002</v>
      </c>
      <c r="Q10" s="25">
        <v>28.02</v>
      </c>
      <c r="T10" s="171">
        <f t="shared" si="5"/>
        <v>10970.824703604188</v>
      </c>
      <c r="U10" s="80">
        <f t="shared" si="6"/>
        <v>1865.0401996127121</v>
      </c>
      <c r="V10" s="170">
        <f t="shared" si="7"/>
        <v>9105.7845039914755</v>
      </c>
      <c r="W10" s="170">
        <f>SUM($V$2:V10)</f>
        <v>36304.516880411924</v>
      </c>
      <c r="X10" s="170">
        <f t="shared" si="8"/>
        <v>49140.381783628822</v>
      </c>
    </row>
    <row r="11" spans="1:24">
      <c r="A11" s="25">
        <v>19.100000000000001</v>
      </c>
      <c r="B11" s="27">
        <f t="shared" si="9"/>
        <v>-4.6899426784783316E-3</v>
      </c>
      <c r="C11" s="25">
        <f t="shared" si="2"/>
        <v>19.068888888888885</v>
      </c>
      <c r="D11" s="150">
        <f t="shared" ref="D11:D17" si="13">IF(C11="","",STDEV(A11:A19))</f>
        <v>0.19022647321335712</v>
      </c>
      <c r="E11" s="27">
        <f t="shared" si="3"/>
        <v>9.9757502559154783E-3</v>
      </c>
      <c r="F11" s="157">
        <f t="shared" si="10"/>
        <v>1.509788631576872</v>
      </c>
      <c r="G11" s="150">
        <f t="shared" si="4"/>
        <v>3.6186111111192076E-2</v>
      </c>
      <c r="H11" s="153">
        <f t="shared" si="1"/>
        <v>1.8976517888400462E-3</v>
      </c>
      <c r="I11" s="157">
        <f t="shared" si="12"/>
        <v>1.91</v>
      </c>
      <c r="J11" s="27">
        <f t="shared" si="11"/>
        <v>1.5333679961381118E-3</v>
      </c>
      <c r="L11" s="25">
        <v>19.100000000000001</v>
      </c>
      <c r="M11" s="25">
        <v>29.13</v>
      </c>
      <c r="P11" s="25">
        <v>19.309999999999999</v>
      </c>
      <c r="Q11" s="25">
        <v>28.52</v>
      </c>
      <c r="T11" s="25">
        <f t="shared" si="5"/>
        <v>13435.864903216901</v>
      </c>
      <c r="U11" s="80">
        <f t="shared" si="6"/>
        <v>2284.0970335468733</v>
      </c>
      <c r="V11" s="80">
        <f t="shared" si="7"/>
        <v>11151.767869670028</v>
      </c>
      <c r="W11" s="80">
        <f>SUM($V$2:V11)</f>
        <v>47456.284750081948</v>
      </c>
      <c r="X11" s="80">
        <f t="shared" si="8"/>
        <v>63176.246686845727</v>
      </c>
    </row>
    <row r="12" spans="1:24">
      <c r="A12" s="25">
        <v>19</v>
      </c>
      <c r="B12" s="27">
        <f t="shared" si="9"/>
        <v>-5.2356020942408987E-3</v>
      </c>
      <c r="C12" s="25">
        <f>IF(COUNTBLANK(A12:A20)&gt;0,"",AVERAGE(A12:A20))</f>
        <v>19.173333333333332</v>
      </c>
      <c r="D12" s="150">
        <f t="shared" si="13"/>
        <v>0.37639739637799613</v>
      </c>
      <c r="E12" s="27">
        <f t="shared" si="3"/>
        <v>1.9631296751286307E-2</v>
      </c>
      <c r="F12" s="157">
        <f t="shared" si="10"/>
        <v>1.9679017865994817</v>
      </c>
      <c r="G12" s="150">
        <f t="shared" si="4"/>
        <v>0.14167500000013433</v>
      </c>
      <c r="H12" s="153">
        <f t="shared" si="1"/>
        <v>7.3891689847079799E-3</v>
      </c>
      <c r="I12" s="157">
        <f t="shared" si="12"/>
        <v>3.89</v>
      </c>
      <c r="J12" s="27">
        <f t="shared" si="11"/>
        <v>5.4249383194537627E-3</v>
      </c>
      <c r="L12" s="25">
        <v>19</v>
      </c>
      <c r="M12" s="25">
        <v>28.67</v>
      </c>
      <c r="P12" s="25">
        <v>19.559999999999999</v>
      </c>
      <c r="Q12" s="25">
        <v>28.16</v>
      </c>
      <c r="T12" s="25">
        <f t="shared" si="5"/>
        <v>16319.961936763775</v>
      </c>
      <c r="U12" s="80">
        <f t="shared" si="6"/>
        <v>2774.3935292498418</v>
      </c>
      <c r="V12" s="80">
        <f t="shared" si="7"/>
        <v>13545.568407513932</v>
      </c>
      <c r="W12" s="80">
        <f>SUM($V$2:V12)</f>
        <v>61001.853157595877</v>
      </c>
      <c r="X12" s="80">
        <f t="shared" si="8"/>
        <v>80096.208623609491</v>
      </c>
    </row>
    <row r="13" spans="1:24">
      <c r="A13" s="25">
        <v>18.809999999999999</v>
      </c>
      <c r="B13" s="27">
        <f t="shared" si="9"/>
        <v>-1.000000000000012E-2</v>
      </c>
      <c r="C13" s="25" t="str">
        <f t="shared" si="2"/>
        <v/>
      </c>
      <c r="D13" s="150" t="str">
        <f t="shared" si="13"/>
        <v/>
      </c>
      <c r="E13" s="27" t="e">
        <f t="shared" si="3"/>
        <v>#VALUE!</v>
      </c>
      <c r="F13" s="157" t="e">
        <f t="shared" si="10"/>
        <v>#VALUE!</v>
      </c>
      <c r="G13" s="150">
        <f t="shared" si="4"/>
        <v>0.15708571428565068</v>
      </c>
      <c r="H13" s="153" t="e">
        <f t="shared" si="1"/>
        <v>#VALUE!</v>
      </c>
      <c r="I13" s="157" t="e">
        <f t="shared" si="12"/>
        <v>#VALUE!</v>
      </c>
      <c r="J13" s="27" t="str">
        <f t="shared" si="11"/>
        <v/>
      </c>
      <c r="L13" s="25">
        <v>18.809999999999999</v>
      </c>
      <c r="M13" s="25">
        <v>28.41</v>
      </c>
      <c r="P13" s="25">
        <v>20.52</v>
      </c>
      <c r="Q13" s="25">
        <v>28.15</v>
      </c>
      <c r="T13" s="25">
        <f t="shared" si="5"/>
        <v>19694.355466013618</v>
      </c>
      <c r="U13" s="80">
        <f t="shared" si="6"/>
        <v>3348.0404292223157</v>
      </c>
      <c r="V13" s="80">
        <f t="shared" si="7"/>
        <v>16346.315036791302</v>
      </c>
      <c r="W13" s="80">
        <f>SUM($V$2:V13)</f>
        <v>77348.168194387181</v>
      </c>
      <c r="X13" s="80">
        <f t="shared" si="8"/>
        <v>100390.56408962311</v>
      </c>
    </row>
    <row r="14" spans="1:24">
      <c r="A14" s="25">
        <v>19.04</v>
      </c>
      <c r="B14" s="27">
        <f t="shared" si="9"/>
        <v>1.2227538543328142E-2</v>
      </c>
      <c r="C14" s="25" t="str">
        <f t="shared" si="2"/>
        <v/>
      </c>
      <c r="D14" s="150" t="str">
        <f t="shared" si="13"/>
        <v/>
      </c>
      <c r="E14" s="27" t="e">
        <f t="shared" si="3"/>
        <v>#VALUE!</v>
      </c>
      <c r="F14" s="157" t="e">
        <f t="shared" si="10"/>
        <v>#VALUE!</v>
      </c>
      <c r="G14" s="150">
        <f t="shared" si="4"/>
        <v>0.15503333333329769</v>
      </c>
      <c r="H14" s="153" t="e">
        <f t="shared" si="1"/>
        <v>#VALUE!</v>
      </c>
      <c r="I14" s="157" t="e">
        <f t="shared" si="12"/>
        <v>#VALUE!</v>
      </c>
      <c r="J14" s="27" t="str">
        <f t="shared" si="11"/>
        <v/>
      </c>
      <c r="L14" s="25">
        <v>19.04</v>
      </c>
      <c r="M14" s="25">
        <v>28.44</v>
      </c>
      <c r="P14" s="25">
        <v>20.9</v>
      </c>
      <c r="Q14" s="25">
        <v>28.27</v>
      </c>
      <c r="T14" s="25">
        <f t="shared" si="5"/>
        <v>23642.395895235932</v>
      </c>
      <c r="U14" s="80">
        <f t="shared" si="6"/>
        <v>4019.2073021901083</v>
      </c>
      <c r="V14" s="80">
        <f t="shared" si="7"/>
        <v>19623.188593045823</v>
      </c>
      <c r="W14" s="80">
        <f>SUM($V$2:V14)</f>
        <v>96971.356787433004</v>
      </c>
      <c r="X14" s="80">
        <f t="shared" si="8"/>
        <v>124632.95998485904</v>
      </c>
    </row>
    <row r="15" spans="1:24">
      <c r="A15" s="25">
        <v>19.010000000000002</v>
      </c>
      <c r="B15" s="27">
        <f t="shared" si="9"/>
        <v>-1.5756302521007237E-3</v>
      </c>
      <c r="C15" s="25" t="str">
        <f>IF(COUNTBLANK(A15:A23)&gt;0,"",AVERAGE(A15:A23))</f>
        <v/>
      </c>
      <c r="D15" s="150" t="str">
        <f t="shared" si="13"/>
        <v/>
      </c>
      <c r="E15" s="27" t="e">
        <f t="shared" si="3"/>
        <v>#VALUE!</v>
      </c>
      <c r="F15" s="157" t="e">
        <f t="shared" si="10"/>
        <v>#VALUE!</v>
      </c>
      <c r="G15" s="150">
        <f t="shared" si="4"/>
        <v>0.17574999999987995</v>
      </c>
      <c r="H15" s="153" t="e">
        <f t="shared" si="1"/>
        <v>#VALUE!</v>
      </c>
      <c r="I15" s="157" t="e">
        <f t="shared" si="12"/>
        <v>#VALUE!</v>
      </c>
      <c r="J15" s="27" t="str">
        <f t="shared" si="11"/>
        <v/>
      </c>
      <c r="L15" s="25">
        <v>19.010000000000002</v>
      </c>
      <c r="M15" s="25">
        <v>28.54</v>
      </c>
      <c r="P15" s="25">
        <v>21.05</v>
      </c>
      <c r="Q15" s="25">
        <v>28.54</v>
      </c>
      <c r="T15" s="25">
        <f t="shared" si="5"/>
        <v>28261.60319742604</v>
      </c>
      <c r="U15" s="80">
        <f t="shared" si="6"/>
        <v>4804.4725435624268</v>
      </c>
      <c r="V15" s="80">
        <f t="shared" si="7"/>
        <v>23457.130653863613</v>
      </c>
      <c r="W15" s="80">
        <f>SUM($V$2:V15)</f>
        <v>120428.48744129662</v>
      </c>
      <c r="X15" s="80">
        <f t="shared" si="8"/>
        <v>153494.56318228508</v>
      </c>
    </row>
    <row r="16" spans="1:24">
      <c r="A16" s="25">
        <v>18.87</v>
      </c>
      <c r="B16" s="27">
        <f t="shared" si="9"/>
        <v>-7.3645449763283244E-3</v>
      </c>
      <c r="C16" s="25" t="str">
        <f>IF(COUNTBLANK(A16:A24)&gt;0,"",AVERAGE(A16:A24))</f>
        <v/>
      </c>
      <c r="D16" s="150" t="str">
        <f t="shared" si="13"/>
        <v/>
      </c>
      <c r="E16" s="27" t="e">
        <f t="shared" ref="E16:E33" si="14">D16/C16</f>
        <v>#VALUE!</v>
      </c>
      <c r="F16" s="157" t="e">
        <f t="shared" si="10"/>
        <v>#VALUE!</v>
      </c>
      <c r="G16" s="150">
        <f t="shared" si="4"/>
        <v>0.19699999999988904</v>
      </c>
      <c r="H16" s="153" t="e">
        <f t="shared" si="1"/>
        <v>#VALUE!</v>
      </c>
      <c r="I16" s="157" t="e">
        <f t="shared" si="12"/>
        <v>#VALUE!</v>
      </c>
      <c r="J16" s="27" t="str">
        <f t="shared" si="11"/>
        <v/>
      </c>
      <c r="L16" s="25">
        <v>18.87</v>
      </c>
      <c r="M16" s="25">
        <v>28.2</v>
      </c>
      <c r="P16" s="25">
        <v>20.260000000000002</v>
      </c>
      <c r="Q16" s="25">
        <v>28.54</v>
      </c>
      <c r="T16" s="25">
        <f t="shared" ref="T16:T22" si="15">T15+U15+600</f>
        <v>33666.075740988468</v>
      </c>
      <c r="U16" s="80">
        <f t="shared" si="6"/>
        <v>5723.2328759680395</v>
      </c>
      <c r="V16" s="80">
        <f t="shared" si="7"/>
        <v>27942.84286502043</v>
      </c>
      <c r="W16" s="80">
        <f>SUM($V$2:V16)</f>
        <v>148371.33030631705</v>
      </c>
      <c r="X16" s="80">
        <f t="shared" si="8"/>
        <v>187760.63892327354</v>
      </c>
    </row>
    <row r="17" spans="1:25">
      <c r="A17" s="25">
        <v>19.11</v>
      </c>
      <c r="B17" s="27">
        <f t="shared" si="9"/>
        <v>1.2718600953895098E-2</v>
      </c>
      <c r="C17" s="25" t="str">
        <f t="shared" si="2"/>
        <v/>
      </c>
      <c r="D17" s="150" t="str">
        <f t="shared" si="13"/>
        <v/>
      </c>
      <c r="E17" s="27" t="e">
        <f t="shared" si="14"/>
        <v>#VALUE!</v>
      </c>
      <c r="F17" s="157" t="e">
        <f t="shared" si="10"/>
        <v>#VALUE!</v>
      </c>
      <c r="G17" s="150">
        <f t="shared" si="4"/>
        <v>0.17062499999982114</v>
      </c>
      <c r="H17" s="153" t="e">
        <f t="shared" si="1"/>
        <v>#VALUE!</v>
      </c>
      <c r="I17" s="157" t="e">
        <f t="shared" si="12"/>
        <v>#VALUE!</v>
      </c>
      <c r="J17" s="27" t="str">
        <f t="shared" si="11"/>
        <v/>
      </c>
      <c r="L17" s="25">
        <v>19.11</v>
      </c>
      <c r="M17" s="25">
        <v>28.42</v>
      </c>
      <c r="P17" s="25">
        <v>20.309999999999999</v>
      </c>
      <c r="Q17" s="25">
        <v>28.95</v>
      </c>
      <c r="T17" s="25">
        <f t="shared" si="15"/>
        <v>39989.308616956507</v>
      </c>
      <c r="U17" s="80">
        <f t="shared" si="6"/>
        <v>6798.1824648826068</v>
      </c>
      <c r="V17" s="80">
        <f t="shared" si="7"/>
        <v>33191.126152073899</v>
      </c>
      <c r="W17" s="80">
        <f>SUM($V$2:V17)</f>
        <v>181562.45645839095</v>
      </c>
      <c r="X17" s="80">
        <f t="shared" si="8"/>
        <v>228349.94754023006</v>
      </c>
    </row>
    <row r="18" spans="1:25">
      <c r="A18" s="25">
        <v>19.23</v>
      </c>
      <c r="B18" s="27">
        <f t="shared" si="9"/>
        <v>6.2794348508634634E-3</v>
      </c>
      <c r="C18" s="25" t="str">
        <f t="shared" si="2"/>
        <v/>
      </c>
      <c r="D18" s="150" t="str">
        <f>IF(C18="","",STDEV(A17:A26))</f>
        <v/>
      </c>
      <c r="E18" s="27" t="e">
        <f t="shared" si="14"/>
        <v>#VALUE!</v>
      </c>
      <c r="F18" s="157" t="e">
        <f t="shared" si="10"/>
        <v>#VALUE!</v>
      </c>
      <c r="G18" s="150">
        <f t="shared" si="4"/>
        <v>0.17543333333333067</v>
      </c>
      <c r="H18" s="153" t="e">
        <f t="shared" si="1"/>
        <v>#VALUE!</v>
      </c>
      <c r="I18" s="157" t="e">
        <f t="shared" si="12"/>
        <v>#VALUE!</v>
      </c>
      <c r="J18" s="27" t="str">
        <f t="shared" si="11"/>
        <v/>
      </c>
      <c r="L18" s="25">
        <v>19.23</v>
      </c>
      <c r="M18" s="25">
        <v>28.53</v>
      </c>
      <c r="P18" s="25">
        <v>20.49</v>
      </c>
      <c r="Q18" s="25">
        <v>28.95</v>
      </c>
      <c r="T18" s="25">
        <f t="shared" si="15"/>
        <v>47387.491081839114</v>
      </c>
      <c r="U18" s="80">
        <f t="shared" si="6"/>
        <v>8055.87348391265</v>
      </c>
      <c r="V18" s="80">
        <f t="shared" si="7"/>
        <v>39331.617597926466</v>
      </c>
      <c r="W18" s="80">
        <f>SUM($V$2:V18)</f>
        <v>220894.07405631742</v>
      </c>
      <c r="X18" s="80">
        <f t="shared" si="8"/>
        <v>276337.4386220692</v>
      </c>
    </row>
    <row r="19" spans="1:25">
      <c r="A19" s="25">
        <v>19.45</v>
      </c>
      <c r="B19" s="27">
        <f t="shared" si="9"/>
        <v>1.14404576183047E-2</v>
      </c>
      <c r="C19" s="25" t="str">
        <f t="shared" si="2"/>
        <v/>
      </c>
      <c r="D19" s="150" t="str">
        <f t="shared" ref="D19:D50" si="16">IF(C19="","",STDEV(A19:A27))</f>
        <v/>
      </c>
      <c r="E19" s="27" t="e">
        <f t="shared" si="14"/>
        <v>#VALUE!</v>
      </c>
      <c r="F19" s="157" t="e">
        <f t="shared" si="10"/>
        <v>#VALUE!</v>
      </c>
      <c r="G19" s="150">
        <f t="shared" si="4"/>
        <v>0.17405000000019299</v>
      </c>
      <c r="H19" s="153" t="e">
        <f t="shared" si="1"/>
        <v>#VALUE!</v>
      </c>
      <c r="I19" s="157" t="e">
        <f t="shared" si="12"/>
        <v>#VALUE!</v>
      </c>
      <c r="J19" s="27" t="str">
        <f t="shared" si="11"/>
        <v/>
      </c>
      <c r="L19" s="25">
        <v>19.45</v>
      </c>
      <c r="M19" s="25">
        <v>28.7</v>
      </c>
      <c r="P19" s="25">
        <v>20.149999999999999</v>
      </c>
      <c r="Q19" s="25">
        <v>29.36</v>
      </c>
      <c r="T19" s="25">
        <f t="shared" si="15"/>
        <v>56043.364565751763</v>
      </c>
      <c r="U19" s="80">
        <f t="shared" si="6"/>
        <v>9527.3719761777993</v>
      </c>
      <c r="V19" s="80">
        <f t="shared" si="7"/>
        <v>46515.992589573965</v>
      </c>
      <c r="W19" s="80">
        <f>SUM($V$2:V19)</f>
        <v>267410.06664589141</v>
      </c>
      <c r="X19" s="80">
        <f t="shared" si="8"/>
        <v>332980.80318782094</v>
      </c>
    </row>
    <row r="20" spans="1:25">
      <c r="A20" s="25">
        <v>20.04</v>
      </c>
      <c r="B20" s="27">
        <f t="shared" si="9"/>
        <v>3.0334190231362523E-2</v>
      </c>
      <c r="C20" s="25" t="str">
        <f t="shared" si="2"/>
        <v/>
      </c>
      <c r="D20" s="150" t="str">
        <f t="shared" si="16"/>
        <v/>
      </c>
      <c r="E20" s="27" t="e">
        <f t="shared" si="14"/>
        <v>#VALUE!</v>
      </c>
      <c r="F20" s="157" t="e">
        <f t="shared" si="10"/>
        <v>#VALUE!</v>
      </c>
      <c r="G20" s="150" t="e">
        <f t="shared" si="4"/>
        <v>#DIV/0!</v>
      </c>
      <c r="H20" s="153" t="e">
        <f t="shared" si="1"/>
        <v>#DIV/0!</v>
      </c>
      <c r="I20" s="157" t="e">
        <f t="shared" si="12"/>
        <v>#DIV/0!</v>
      </c>
      <c r="J20" s="27" t="str">
        <f t="shared" si="11"/>
        <v/>
      </c>
      <c r="L20" s="25">
        <v>20.04</v>
      </c>
      <c r="P20" s="25">
        <v>19.62</v>
      </c>
      <c r="Q20" s="25">
        <v>29.35</v>
      </c>
      <c r="T20" s="25">
        <f t="shared" si="15"/>
        <v>66170.736541929567</v>
      </c>
      <c r="U20" s="80">
        <f t="shared" si="6"/>
        <v>11249.025212128028</v>
      </c>
      <c r="V20" s="80">
        <f t="shared" si="7"/>
        <v>54921.711329801539</v>
      </c>
      <c r="W20" s="80">
        <f>SUM($V$2:V20)</f>
        <v>322331.77797569294</v>
      </c>
      <c r="X20" s="80">
        <f t="shared" si="8"/>
        <v>399751.53972975048</v>
      </c>
    </row>
    <row r="21" spans="1:25">
      <c r="B21" s="27" t="str">
        <f t="shared" si="9"/>
        <v/>
      </c>
      <c r="C21" s="25" t="str">
        <f t="shared" si="2"/>
        <v/>
      </c>
      <c r="D21" s="150" t="str">
        <f t="shared" si="16"/>
        <v/>
      </c>
      <c r="E21" s="27" t="e">
        <f t="shared" si="14"/>
        <v>#VALUE!</v>
      </c>
      <c r="F21" s="157" t="e">
        <f t="shared" si="10"/>
        <v>#VALUE!</v>
      </c>
      <c r="G21" s="150" t="e">
        <f t="shared" si="4"/>
        <v>#DIV/0!</v>
      </c>
      <c r="H21" s="153" t="e">
        <f t="shared" si="1"/>
        <v>#DIV/0!</v>
      </c>
      <c r="I21" s="157" t="e">
        <f t="shared" si="12"/>
        <v>#DIV/0!</v>
      </c>
      <c r="J21" s="27" t="str">
        <f t="shared" si="11"/>
        <v/>
      </c>
      <c r="P21" s="25">
        <v>19.850000000000001</v>
      </c>
      <c r="Q21" s="25">
        <v>28.93</v>
      </c>
      <c r="T21" s="25">
        <f t="shared" si="15"/>
        <v>78019.761754057603</v>
      </c>
      <c r="U21" s="80">
        <f t="shared" si="6"/>
        <v>13263.359498189791</v>
      </c>
      <c r="V21" s="80">
        <f t="shared" si="7"/>
        <v>64756.402255867812</v>
      </c>
      <c r="W21" s="80">
        <f>SUM($V$2:V21)</f>
        <v>387088.18023156072</v>
      </c>
      <c r="X21" s="80">
        <f t="shared" si="8"/>
        <v>478371.30148380809</v>
      </c>
    </row>
    <row r="22" spans="1:25">
      <c r="B22" s="27" t="str">
        <f t="shared" si="9"/>
        <v/>
      </c>
      <c r="C22" s="25" t="str">
        <f t="shared" si="2"/>
        <v/>
      </c>
      <c r="D22" s="150" t="str">
        <f t="shared" si="16"/>
        <v/>
      </c>
      <c r="E22" s="27" t="e">
        <f t="shared" si="14"/>
        <v>#VALUE!</v>
      </c>
      <c r="F22" s="157" t="e">
        <f t="shared" si="10"/>
        <v>#VALUE!</v>
      </c>
      <c r="G22" s="150" t="e">
        <f t="shared" si="4"/>
        <v>#DIV/0!</v>
      </c>
      <c r="H22" s="153" t="e">
        <f t="shared" si="1"/>
        <v>#DIV/0!</v>
      </c>
      <c r="I22" s="157" t="e">
        <f t="shared" si="12"/>
        <v>#DIV/0!</v>
      </c>
      <c r="J22" s="27" t="str">
        <f t="shared" si="11"/>
        <v/>
      </c>
      <c r="P22" s="25">
        <v>19.100000000000001</v>
      </c>
      <c r="Q22" s="25">
        <v>29.13</v>
      </c>
      <c r="T22" s="171">
        <f t="shared" si="15"/>
        <v>91883.121252247394</v>
      </c>
      <c r="U22" s="170">
        <f t="shared" si="6"/>
        <v>15620.130612882058</v>
      </c>
      <c r="V22" s="170">
        <f t="shared" si="7"/>
        <v>76262.990639365336</v>
      </c>
      <c r="W22" s="170">
        <f>SUM($V$2:V22)</f>
        <v>463351.17087092606</v>
      </c>
      <c r="X22" s="170">
        <f t="shared" si="8"/>
        <v>570854.42273605545</v>
      </c>
      <c r="Y22" s="80">
        <f>X22-X10</f>
        <v>521714.04095242661</v>
      </c>
    </row>
    <row r="23" spans="1:25">
      <c r="B23" s="27" t="str">
        <f t="shared" si="9"/>
        <v/>
      </c>
      <c r="C23" s="25" t="str">
        <f t="shared" si="2"/>
        <v/>
      </c>
      <c r="D23" s="150" t="str">
        <f t="shared" si="16"/>
        <v/>
      </c>
      <c r="E23" s="27" t="e">
        <f t="shared" si="14"/>
        <v>#VALUE!</v>
      </c>
      <c r="F23" s="157" t="e">
        <f t="shared" si="10"/>
        <v>#VALUE!</v>
      </c>
      <c r="G23" s="150" t="e">
        <f t="shared" si="4"/>
        <v>#DIV/0!</v>
      </c>
      <c r="H23" s="153" t="e">
        <f t="shared" si="1"/>
        <v>#DIV/0!</v>
      </c>
      <c r="I23" s="157" t="e">
        <f t="shared" si="12"/>
        <v>#DIV/0!</v>
      </c>
      <c r="J23" s="27" t="str">
        <f t="shared" si="11"/>
        <v/>
      </c>
      <c r="P23" s="25">
        <v>19.010000000000002</v>
      </c>
      <c r="Q23" s="25">
        <v>28.54</v>
      </c>
      <c r="T23" s="25">
        <f>T22+U22+600</f>
        <v>108103.25186512945</v>
      </c>
      <c r="U23" s="80">
        <f t="shared" si="6"/>
        <v>18377.552817072006</v>
      </c>
      <c r="V23" s="80">
        <f>T23-U23</f>
        <v>89725.699048057446</v>
      </c>
      <c r="W23" s="80">
        <f>SUM($V$2:V23)</f>
        <v>553076.86991898355</v>
      </c>
      <c r="X23" s="80">
        <f>W23+U23+T23</f>
        <v>679557.67460118502</v>
      </c>
    </row>
    <row r="24" spans="1:25">
      <c r="B24" s="27" t="str">
        <f t="shared" si="9"/>
        <v/>
      </c>
      <c r="C24" s="25" t="str">
        <f t="shared" si="2"/>
        <v/>
      </c>
      <c r="D24" s="150" t="str">
        <f t="shared" si="16"/>
        <v/>
      </c>
      <c r="E24" s="27" t="e">
        <f t="shared" si="14"/>
        <v>#VALUE!</v>
      </c>
      <c r="F24" s="157" t="e">
        <f t="shared" si="10"/>
        <v>#VALUE!</v>
      </c>
      <c r="G24" s="150" t="e">
        <f t="shared" si="4"/>
        <v>#DIV/0!</v>
      </c>
      <c r="H24" s="153" t="e">
        <f t="shared" si="1"/>
        <v>#DIV/0!</v>
      </c>
      <c r="I24" s="157" t="e">
        <f t="shared" si="12"/>
        <v>#DIV/0!</v>
      </c>
      <c r="J24" s="27" t="str">
        <f t="shared" si="11"/>
        <v/>
      </c>
      <c r="P24" s="25">
        <v>19.45</v>
      </c>
      <c r="Q24" s="25">
        <v>28.7</v>
      </c>
      <c r="T24" s="25">
        <f t="shared" ref="T24:T29" si="17">T23+U23+600</f>
        <v>127080.80468220146</v>
      </c>
      <c r="U24" s="80">
        <f t="shared" si="6"/>
        <v>21603.736795974248</v>
      </c>
      <c r="V24" s="80">
        <f t="shared" ref="V24:V29" si="18">T24-U24</f>
        <v>105477.06788622722</v>
      </c>
      <c r="W24" s="80">
        <f>SUM($V$2:V24)</f>
        <v>658553.93780521071</v>
      </c>
      <c r="X24" s="80">
        <f t="shared" ref="X24:X29" si="19">W24+U24+T24</f>
        <v>807238.47928338638</v>
      </c>
    </row>
    <row r="25" spans="1:25">
      <c r="B25" s="27" t="str">
        <f>IF(A25&gt;0,A25/A24-1,"")</f>
        <v/>
      </c>
      <c r="C25" s="25" t="str">
        <f t="shared" si="2"/>
        <v/>
      </c>
      <c r="D25" s="150" t="str">
        <f t="shared" si="16"/>
        <v/>
      </c>
      <c r="E25" s="27" t="e">
        <f t="shared" si="14"/>
        <v>#VALUE!</v>
      </c>
      <c r="F25" s="157" t="e">
        <f t="shared" si="10"/>
        <v>#VALUE!</v>
      </c>
      <c r="G25" s="150" t="e">
        <f t="shared" si="4"/>
        <v>#DIV/0!</v>
      </c>
      <c r="H25" s="153" t="e">
        <f t="shared" si="1"/>
        <v>#DIV/0!</v>
      </c>
      <c r="I25" s="157" t="e">
        <f t="shared" si="12"/>
        <v>#DIV/0!</v>
      </c>
      <c r="J25" s="27" t="str">
        <f t="shared" si="11"/>
        <v/>
      </c>
      <c r="T25" s="25">
        <f t="shared" si="17"/>
        <v>149284.5414781757</v>
      </c>
      <c r="U25" s="80">
        <f t="shared" si="6"/>
        <v>25378.372051289869</v>
      </c>
      <c r="V25" s="80">
        <f t="shared" si="18"/>
        <v>123906.16942688583</v>
      </c>
      <c r="W25" s="80">
        <f>SUM($V$2:V25)</f>
        <v>782460.10723209649</v>
      </c>
      <c r="X25" s="80">
        <f t="shared" si="19"/>
        <v>957123.02076156205</v>
      </c>
    </row>
    <row r="26" spans="1:25">
      <c r="B26" s="27" t="str">
        <f t="shared" si="9"/>
        <v/>
      </c>
      <c r="C26" s="25" t="str">
        <f t="shared" si="2"/>
        <v/>
      </c>
      <c r="D26" s="150" t="str">
        <f t="shared" si="16"/>
        <v/>
      </c>
      <c r="E26" s="27" t="e">
        <f t="shared" si="14"/>
        <v>#VALUE!</v>
      </c>
      <c r="F26" s="157" t="e">
        <f t="shared" si="10"/>
        <v>#VALUE!</v>
      </c>
      <c r="G26" s="150" t="e">
        <f t="shared" si="4"/>
        <v>#DIV/0!</v>
      </c>
      <c r="H26" s="153" t="e">
        <f t="shared" si="1"/>
        <v>#DIV/0!</v>
      </c>
      <c r="I26" s="157" t="e">
        <f t="shared" si="12"/>
        <v>#DIV/0!</v>
      </c>
      <c r="J26" s="27" t="str">
        <f t="shared" si="11"/>
        <v/>
      </c>
      <c r="T26" s="25">
        <f t="shared" si="17"/>
        <v>175262.91352946556</v>
      </c>
      <c r="U26" s="80">
        <f t="shared" si="6"/>
        <v>29794.695300009145</v>
      </c>
      <c r="V26" s="80">
        <f t="shared" si="18"/>
        <v>145468.2182294564</v>
      </c>
      <c r="W26" s="80">
        <f>SUM($V$2:V26)</f>
        <v>927928.32546155294</v>
      </c>
      <c r="X26" s="80">
        <f t="shared" si="19"/>
        <v>1132985.9342910275</v>
      </c>
    </row>
    <row r="27" spans="1:25">
      <c r="B27" s="27" t="str">
        <f t="shared" si="9"/>
        <v/>
      </c>
      <c r="C27" s="25" t="str">
        <f t="shared" si="2"/>
        <v/>
      </c>
      <c r="D27" s="150" t="str">
        <f t="shared" si="16"/>
        <v/>
      </c>
      <c r="E27" s="27" t="e">
        <f t="shared" si="14"/>
        <v>#VALUE!</v>
      </c>
      <c r="F27" s="157" t="e">
        <f t="shared" si="10"/>
        <v>#VALUE!</v>
      </c>
      <c r="G27" s="150" t="e">
        <f t="shared" si="4"/>
        <v>#DIV/0!</v>
      </c>
      <c r="H27" s="153" t="e">
        <f t="shared" si="1"/>
        <v>#DIV/0!</v>
      </c>
      <c r="I27" s="157" t="e">
        <f t="shared" si="12"/>
        <v>#DIV/0!</v>
      </c>
      <c r="J27" s="27" t="str">
        <f t="shared" si="11"/>
        <v/>
      </c>
      <c r="K27" s="27"/>
      <c r="O27" s="80"/>
      <c r="T27" s="25">
        <f t="shared" si="17"/>
        <v>205657.60882947472</v>
      </c>
      <c r="U27" s="80">
        <f t="shared" si="6"/>
        <v>34961.793501010703</v>
      </c>
      <c r="V27" s="80">
        <f t="shared" si="18"/>
        <v>170695.81532846403</v>
      </c>
      <c r="W27" s="80">
        <f>SUM($V$2:V27)</f>
        <v>1098624.1407900169</v>
      </c>
      <c r="X27" s="80">
        <f t="shared" si="19"/>
        <v>1339243.5431205023</v>
      </c>
    </row>
    <row r="28" spans="1:25">
      <c r="B28" s="27" t="str">
        <f t="shared" si="9"/>
        <v/>
      </c>
      <c r="C28" s="25" t="str">
        <f t="shared" si="2"/>
        <v/>
      </c>
      <c r="D28" s="150" t="str">
        <f t="shared" si="16"/>
        <v/>
      </c>
      <c r="E28" s="27" t="e">
        <f t="shared" si="14"/>
        <v>#VALUE!</v>
      </c>
      <c r="F28" s="157" t="e">
        <f t="shared" si="10"/>
        <v>#VALUE!</v>
      </c>
      <c r="G28" s="150" t="e">
        <f t="shared" si="4"/>
        <v>#DIV/0!</v>
      </c>
      <c r="H28" s="153" t="e">
        <f t="shared" si="1"/>
        <v>#DIV/0!</v>
      </c>
      <c r="I28" s="157" t="e">
        <f t="shared" si="12"/>
        <v>#DIV/0!</v>
      </c>
      <c r="J28" s="27" t="str">
        <f t="shared" si="11"/>
        <v/>
      </c>
      <c r="T28" s="25">
        <f t="shared" si="17"/>
        <v>241219.40233048541</v>
      </c>
      <c r="U28" s="80">
        <f t="shared" si="6"/>
        <v>41007.298396182523</v>
      </c>
      <c r="V28" s="80">
        <f t="shared" si="18"/>
        <v>200212.10393430287</v>
      </c>
      <c r="W28" s="80">
        <f>SUM($V$2:V28)</f>
        <v>1298836.2447243198</v>
      </c>
      <c r="X28" s="80">
        <f t="shared" si="19"/>
        <v>1581062.9454509877</v>
      </c>
    </row>
    <row r="29" spans="1:25">
      <c r="B29" s="27" t="str">
        <f t="shared" si="9"/>
        <v/>
      </c>
      <c r="C29" s="25" t="str">
        <f t="shared" si="2"/>
        <v/>
      </c>
      <c r="D29" s="150" t="str">
        <f t="shared" si="16"/>
        <v/>
      </c>
      <c r="E29" s="27" t="e">
        <f t="shared" si="14"/>
        <v>#VALUE!</v>
      </c>
      <c r="F29" s="157" t="e">
        <f t="shared" si="10"/>
        <v>#VALUE!</v>
      </c>
      <c r="G29" s="150" t="e">
        <f t="shared" si="4"/>
        <v>#DIV/0!</v>
      </c>
      <c r="H29" s="153" t="e">
        <f t="shared" si="1"/>
        <v>#DIV/0!</v>
      </c>
      <c r="I29" s="157" t="e">
        <f t="shared" si="12"/>
        <v>#DIV/0!</v>
      </c>
      <c r="J29" s="27" t="str">
        <f t="shared" si="11"/>
        <v/>
      </c>
      <c r="T29" s="25">
        <f t="shared" si="17"/>
        <v>282826.70072666794</v>
      </c>
      <c r="U29" s="80">
        <f t="shared" si="6"/>
        <v>48080.539123533556</v>
      </c>
      <c r="V29" s="80">
        <f t="shared" si="18"/>
        <v>234746.16160313439</v>
      </c>
      <c r="W29" s="80">
        <f>SUM($V$2:V29)</f>
        <v>1533582.4063274541</v>
      </c>
      <c r="X29" s="80">
        <f t="shared" si="19"/>
        <v>1864489.6461776556</v>
      </c>
    </row>
    <row r="30" spans="1:25">
      <c r="C30" s="25" t="str">
        <f t="shared" si="2"/>
        <v/>
      </c>
      <c r="D30" s="150" t="str">
        <f t="shared" si="16"/>
        <v/>
      </c>
      <c r="E30" s="27" t="e">
        <f t="shared" si="14"/>
        <v>#VALUE!</v>
      </c>
      <c r="F30" s="157" t="e">
        <f t="shared" si="10"/>
        <v>#VALUE!</v>
      </c>
      <c r="G30" s="150" t="e">
        <f t="shared" si="4"/>
        <v>#DIV/0!</v>
      </c>
      <c r="H30" s="153" t="e">
        <f t="shared" si="1"/>
        <v>#DIV/0!</v>
      </c>
      <c r="I30" s="157" t="e">
        <f t="shared" si="12"/>
        <v>#DIV/0!</v>
      </c>
      <c r="J30" s="27" t="str">
        <f t="shared" si="11"/>
        <v/>
      </c>
      <c r="T30" s="25">
        <f t="shared" ref="T30:T35" si="20">T29+U29+600</f>
        <v>331507.23985020153</v>
      </c>
      <c r="U30" s="80">
        <f t="shared" si="6"/>
        <v>56356.230774534262</v>
      </c>
      <c r="V30" s="80">
        <f t="shared" ref="V30:V35" si="21">T30-U30</f>
        <v>275151.00907566724</v>
      </c>
      <c r="W30" s="80">
        <f>SUM($V$2:V30)</f>
        <v>1808733.4154031214</v>
      </c>
      <c r="X30" s="80">
        <f t="shared" ref="X30:X35" si="22">W30+U30+T30</f>
        <v>2196596.8860278572</v>
      </c>
    </row>
    <row r="31" spans="1:25">
      <c r="C31" s="25" t="str">
        <f t="shared" si="2"/>
        <v/>
      </c>
      <c r="D31" s="150" t="str">
        <f t="shared" si="16"/>
        <v/>
      </c>
      <c r="E31" s="27" t="e">
        <f t="shared" si="14"/>
        <v>#VALUE!</v>
      </c>
      <c r="F31" s="157" t="e">
        <f t="shared" si="10"/>
        <v>#VALUE!</v>
      </c>
      <c r="G31" s="150" t="e">
        <f t="shared" si="4"/>
        <v>#DIV/0!</v>
      </c>
      <c r="H31" s="153" t="e">
        <f t="shared" si="1"/>
        <v>#DIV/0!</v>
      </c>
      <c r="I31" s="157" t="e">
        <f t="shared" si="12"/>
        <v>#DIV/0!</v>
      </c>
      <c r="J31" s="27" t="str">
        <f t="shared" si="11"/>
        <v/>
      </c>
      <c r="T31" s="25">
        <f t="shared" si="20"/>
        <v>388463.47062473581</v>
      </c>
      <c r="U31" s="80">
        <f t="shared" si="6"/>
        <v>66038.79000620509</v>
      </c>
      <c r="V31" s="80">
        <f t="shared" si="21"/>
        <v>322424.68061853072</v>
      </c>
      <c r="W31" s="80">
        <f>SUM($V$2:V31)</f>
        <v>2131158.0960216522</v>
      </c>
      <c r="X31" s="80">
        <f t="shared" si="22"/>
        <v>2585660.3566525932</v>
      </c>
    </row>
    <row r="32" spans="1:25">
      <c r="C32" s="25" t="str">
        <f t="shared" si="2"/>
        <v/>
      </c>
      <c r="D32" s="150" t="str">
        <f t="shared" si="16"/>
        <v/>
      </c>
      <c r="E32" s="27" t="e">
        <f t="shared" si="14"/>
        <v>#VALUE!</v>
      </c>
      <c r="F32" s="157" t="e">
        <f t="shared" si="10"/>
        <v>#VALUE!</v>
      </c>
      <c r="G32" s="150" t="e">
        <f t="shared" si="4"/>
        <v>#DIV/0!</v>
      </c>
      <c r="H32" s="153" t="e">
        <f t="shared" si="1"/>
        <v>#DIV/0!</v>
      </c>
      <c r="I32" s="157" t="e">
        <f t="shared" si="12"/>
        <v>#DIV/0!</v>
      </c>
      <c r="J32" s="27" t="str">
        <f t="shared" si="11"/>
        <v/>
      </c>
      <c r="T32" s="25">
        <f t="shared" si="20"/>
        <v>455102.2606309409</v>
      </c>
      <c r="U32" s="80">
        <f t="shared" si="6"/>
        <v>77367.384307259956</v>
      </c>
      <c r="V32" s="80">
        <f t="shared" si="21"/>
        <v>377734.87632368098</v>
      </c>
      <c r="W32" s="80">
        <f>SUM($V$2:V32)</f>
        <v>2508892.9723453331</v>
      </c>
      <c r="X32" s="80">
        <f t="shared" si="22"/>
        <v>3041362.6172835343</v>
      </c>
    </row>
    <row r="33" spans="3:25">
      <c r="C33" s="25" t="str">
        <f t="shared" si="2"/>
        <v/>
      </c>
      <c r="D33" s="150" t="str">
        <f t="shared" si="16"/>
        <v/>
      </c>
      <c r="E33" s="27" t="e">
        <f t="shared" si="14"/>
        <v>#VALUE!</v>
      </c>
      <c r="F33" s="157" t="e">
        <f t="shared" si="10"/>
        <v>#VALUE!</v>
      </c>
      <c r="G33" s="150" t="e">
        <f t="shared" si="4"/>
        <v>#DIV/0!</v>
      </c>
      <c r="H33" s="153" t="e">
        <f t="shared" si="1"/>
        <v>#DIV/0!</v>
      </c>
      <c r="I33" s="157" t="e">
        <f t="shared" si="12"/>
        <v>#DIV/0!</v>
      </c>
      <c r="J33" s="27" t="str">
        <f t="shared" si="11"/>
        <v/>
      </c>
      <c r="T33" s="25">
        <f t="shared" si="20"/>
        <v>533069.64493820083</v>
      </c>
      <c r="U33" s="80">
        <f t="shared" si="6"/>
        <v>90621.839639494137</v>
      </c>
      <c r="V33" s="80">
        <f t="shared" si="21"/>
        <v>442447.80529870669</v>
      </c>
      <c r="W33" s="80">
        <f>SUM($V$2:V33)</f>
        <v>2951340.7776440396</v>
      </c>
      <c r="X33" s="80">
        <f t="shared" si="22"/>
        <v>3575032.2622217345</v>
      </c>
    </row>
    <row r="34" spans="3:25">
      <c r="C34" s="25" t="str">
        <f t="shared" si="2"/>
        <v/>
      </c>
      <c r="D34" s="150" t="str">
        <f t="shared" si="16"/>
        <v/>
      </c>
      <c r="E34" s="27" t="e">
        <f t="shared" ref="E34:E49" si="23">D34/C34</f>
        <v>#VALUE!</v>
      </c>
      <c r="F34" s="157" t="e">
        <f t="shared" si="10"/>
        <v>#VALUE!</v>
      </c>
      <c r="G34" s="150" t="e">
        <f t="shared" si="4"/>
        <v>#DIV/0!</v>
      </c>
      <c r="H34" s="153" t="e">
        <f t="shared" ref="H34:H65" si="24">G34/C34</f>
        <v>#DIV/0!</v>
      </c>
      <c r="I34" s="157" t="e">
        <f t="shared" si="12"/>
        <v>#DIV/0!</v>
      </c>
      <c r="J34" s="27" t="str">
        <f t="shared" si="11"/>
        <v/>
      </c>
      <c r="T34" s="171">
        <f t="shared" si="20"/>
        <v>624291.48457769491</v>
      </c>
      <c r="U34" s="170">
        <f t="shared" si="6"/>
        <v>106129.55237820813</v>
      </c>
      <c r="V34" s="170">
        <f t="shared" si="21"/>
        <v>518161.93219948676</v>
      </c>
      <c r="W34" s="170">
        <f>SUM($V$2:V34)</f>
        <v>3469502.7098435266</v>
      </c>
      <c r="X34" s="170">
        <f t="shared" si="22"/>
        <v>4199923.7467994299</v>
      </c>
      <c r="Y34" s="80">
        <f>X34-X22</f>
        <v>3629069.3240633747</v>
      </c>
    </row>
    <row r="35" spans="3:25">
      <c r="C35" s="25" t="str">
        <f t="shared" si="2"/>
        <v/>
      </c>
      <c r="D35" s="150" t="str">
        <f t="shared" si="16"/>
        <v/>
      </c>
      <c r="E35" s="27" t="e">
        <f t="shared" si="23"/>
        <v>#VALUE!</v>
      </c>
      <c r="F35" s="157" t="e">
        <f t="shared" si="10"/>
        <v>#VALUE!</v>
      </c>
      <c r="G35" s="150" t="e">
        <f t="shared" si="4"/>
        <v>#DIV/0!</v>
      </c>
      <c r="H35" s="153" t="e">
        <f t="shared" si="24"/>
        <v>#DIV/0!</v>
      </c>
      <c r="I35" s="157" t="e">
        <f t="shared" si="12"/>
        <v>#DIV/0!</v>
      </c>
      <c r="J35" s="27" t="str">
        <f t="shared" si="11"/>
        <v/>
      </c>
      <c r="T35" s="25">
        <f t="shared" si="20"/>
        <v>731021.03695590305</v>
      </c>
      <c r="U35" s="80">
        <f t="shared" si="6"/>
        <v>124273.57628250353</v>
      </c>
      <c r="V35" s="80">
        <f t="shared" si="21"/>
        <v>606747.4606733995</v>
      </c>
      <c r="W35" s="80">
        <f>SUM($V$2:V35)</f>
        <v>4076250.1705169259</v>
      </c>
      <c r="X35" s="80">
        <f t="shared" si="22"/>
        <v>4931544.7837553322</v>
      </c>
    </row>
    <row r="36" spans="3:25">
      <c r="C36" s="25" t="str">
        <f t="shared" si="2"/>
        <v/>
      </c>
      <c r="D36" s="150" t="str">
        <f t="shared" si="16"/>
        <v/>
      </c>
      <c r="E36" s="27" t="e">
        <f t="shared" si="23"/>
        <v>#VALUE!</v>
      </c>
      <c r="F36" s="157" t="e">
        <f t="shared" si="10"/>
        <v>#VALUE!</v>
      </c>
      <c r="G36" s="150" t="e">
        <f t="shared" si="4"/>
        <v>#DIV/0!</v>
      </c>
      <c r="H36" s="153" t="e">
        <f t="shared" si="24"/>
        <v>#DIV/0!</v>
      </c>
      <c r="I36" s="157" t="e">
        <f t="shared" si="12"/>
        <v>#DIV/0!</v>
      </c>
      <c r="J36" s="27" t="str">
        <f t="shared" si="11"/>
        <v/>
      </c>
      <c r="T36" s="25">
        <f t="shared" ref="T36:T47" si="25">T35+U35+600</f>
        <v>855894.6132384066</v>
      </c>
      <c r="U36" s="80">
        <f t="shared" si="6"/>
        <v>145502.08425052912</v>
      </c>
      <c r="V36" s="80">
        <f t="shared" ref="V36:V47" si="26">T36-U36</f>
        <v>710392.52898787754</v>
      </c>
      <c r="W36" s="80">
        <f>SUM($V$2:V36)</f>
        <v>4786642.6995048039</v>
      </c>
      <c r="X36" s="80">
        <f t="shared" ref="X36:X47" si="27">W36+U36+T36</f>
        <v>5788039.3969937395</v>
      </c>
    </row>
    <row r="37" spans="3:25">
      <c r="C37" s="25" t="str">
        <f t="shared" si="2"/>
        <v/>
      </c>
      <c r="D37" s="150" t="str">
        <f t="shared" si="16"/>
        <v/>
      </c>
      <c r="E37" s="27" t="e">
        <f t="shared" si="23"/>
        <v>#VALUE!</v>
      </c>
      <c r="F37" s="157" t="e">
        <f t="shared" si="10"/>
        <v>#VALUE!</v>
      </c>
      <c r="G37" s="150" t="e">
        <f t="shared" si="4"/>
        <v>#DIV/0!</v>
      </c>
      <c r="H37" s="153" t="e">
        <f t="shared" si="24"/>
        <v>#DIV/0!</v>
      </c>
      <c r="I37" s="157" t="e">
        <f t="shared" si="12"/>
        <v>#DIV/0!</v>
      </c>
      <c r="J37" s="27" t="str">
        <f t="shared" si="11"/>
        <v/>
      </c>
      <c r="T37" s="25">
        <f t="shared" si="25"/>
        <v>1001996.6974889357</v>
      </c>
      <c r="U37" s="80">
        <f t="shared" si="6"/>
        <v>170339.43857311909</v>
      </c>
      <c r="V37" s="80">
        <f t="shared" si="26"/>
        <v>831657.25891581655</v>
      </c>
      <c r="W37" s="80">
        <f>SUM($V$2:V37)</f>
        <v>5618299.9584206203</v>
      </c>
      <c r="X37" s="80">
        <f t="shared" si="27"/>
        <v>6790636.0944826752</v>
      </c>
    </row>
    <row r="38" spans="3:25">
      <c r="C38" s="25" t="str">
        <f t="shared" si="2"/>
        <v/>
      </c>
      <c r="D38" s="150" t="str">
        <f t="shared" si="16"/>
        <v/>
      </c>
      <c r="E38" s="27" t="e">
        <f t="shared" si="23"/>
        <v>#VALUE!</v>
      </c>
      <c r="F38" s="157" t="e">
        <f t="shared" si="10"/>
        <v>#VALUE!</v>
      </c>
      <c r="G38" s="150" t="e">
        <f t="shared" si="4"/>
        <v>#DIV/0!</v>
      </c>
      <c r="H38" s="153" t="e">
        <f t="shared" si="24"/>
        <v>#DIV/0!</v>
      </c>
      <c r="I38" s="157" t="e">
        <f t="shared" si="12"/>
        <v>#DIV/0!</v>
      </c>
      <c r="J38" s="27" t="str">
        <f t="shared" si="11"/>
        <v/>
      </c>
      <c r="T38" s="25">
        <f t="shared" si="25"/>
        <v>1172936.1360620547</v>
      </c>
      <c r="U38" s="80">
        <f t="shared" si="6"/>
        <v>199399.14313054929</v>
      </c>
      <c r="V38" s="80">
        <f t="shared" si="26"/>
        <v>973536.99293150543</v>
      </c>
      <c r="W38" s="80">
        <f>SUM($V$2:V38)</f>
        <v>6591836.951352126</v>
      </c>
      <c r="X38" s="80">
        <f t="shared" si="27"/>
        <v>7964172.2305447301</v>
      </c>
    </row>
    <row r="39" spans="3:25">
      <c r="C39" s="25" t="str">
        <f t="shared" si="2"/>
        <v/>
      </c>
      <c r="D39" s="150" t="str">
        <f t="shared" si="16"/>
        <v/>
      </c>
      <c r="E39" s="27" t="e">
        <f t="shared" si="23"/>
        <v>#VALUE!</v>
      </c>
      <c r="F39" s="157" t="e">
        <f t="shared" si="10"/>
        <v>#VALUE!</v>
      </c>
      <c r="G39" s="150" t="e">
        <f t="shared" si="4"/>
        <v>#DIV/0!</v>
      </c>
      <c r="H39" s="153" t="e">
        <f t="shared" si="24"/>
        <v>#DIV/0!</v>
      </c>
      <c r="I39" s="157" t="e">
        <f t="shared" si="12"/>
        <v>#DIV/0!</v>
      </c>
      <c r="J39" s="27" t="str">
        <f t="shared" si="11"/>
        <v/>
      </c>
      <c r="T39" s="25">
        <f t="shared" si="25"/>
        <v>1372935.2791926039</v>
      </c>
      <c r="U39" s="80">
        <f t="shared" si="6"/>
        <v>233398.99746274264</v>
      </c>
      <c r="V39" s="80">
        <f t="shared" si="26"/>
        <v>1139536.2817298612</v>
      </c>
      <c r="W39" s="80">
        <f>SUM($V$2:V39)</f>
        <v>7731373.2330819871</v>
      </c>
      <c r="X39" s="80">
        <f t="shared" si="27"/>
        <v>9337707.5097373333</v>
      </c>
    </row>
    <row r="40" spans="3:25">
      <c r="C40" s="25" t="str">
        <f t="shared" si="2"/>
        <v/>
      </c>
      <c r="D40" s="150" t="str">
        <f t="shared" si="16"/>
        <v/>
      </c>
      <c r="E40" s="27" t="e">
        <f t="shared" si="23"/>
        <v>#VALUE!</v>
      </c>
      <c r="F40" s="157" t="e">
        <f t="shared" si="10"/>
        <v>#VALUE!</v>
      </c>
      <c r="G40" s="150" t="e">
        <f t="shared" si="4"/>
        <v>#DIV/0!</v>
      </c>
      <c r="H40" s="153" t="e">
        <f t="shared" si="24"/>
        <v>#DIV/0!</v>
      </c>
      <c r="I40" s="157" t="e">
        <f t="shared" si="12"/>
        <v>#DIV/0!</v>
      </c>
      <c r="J40" s="27" t="str">
        <f t="shared" si="11"/>
        <v/>
      </c>
      <c r="T40" s="25">
        <f t="shared" si="25"/>
        <v>1606934.2766553466</v>
      </c>
      <c r="U40" s="80">
        <f t="shared" si="6"/>
        <v>273178.8270314089</v>
      </c>
      <c r="V40" s="80">
        <f t="shared" si="26"/>
        <v>1333755.4496239377</v>
      </c>
      <c r="W40" s="80">
        <f>SUM($V$2:V40)</f>
        <v>9065128.6827059239</v>
      </c>
      <c r="X40" s="80">
        <f t="shared" si="27"/>
        <v>10945241.786392679</v>
      </c>
    </row>
    <row r="41" spans="3:25">
      <c r="C41" s="25" t="str">
        <f t="shared" si="2"/>
        <v/>
      </c>
      <c r="D41" s="150" t="str">
        <f t="shared" si="16"/>
        <v/>
      </c>
      <c r="E41" s="27" t="e">
        <f t="shared" si="23"/>
        <v>#VALUE!</v>
      </c>
      <c r="F41" s="157" t="e">
        <f t="shared" si="10"/>
        <v>#VALUE!</v>
      </c>
      <c r="G41" s="150" t="e">
        <f t="shared" si="4"/>
        <v>#DIV/0!</v>
      </c>
      <c r="H41" s="153" t="e">
        <f t="shared" si="24"/>
        <v>#DIV/0!</v>
      </c>
      <c r="I41" s="157" t="e">
        <f t="shared" si="12"/>
        <v>#DIV/0!</v>
      </c>
      <c r="J41" s="27" t="str">
        <f t="shared" si="11"/>
        <v/>
      </c>
      <c r="T41" s="25">
        <f t="shared" si="25"/>
        <v>1880713.1036867555</v>
      </c>
      <c r="U41" s="80">
        <f t="shared" si="6"/>
        <v>319721.22762674844</v>
      </c>
      <c r="V41" s="80">
        <f t="shared" si="26"/>
        <v>1560991.8760600071</v>
      </c>
      <c r="W41" s="80">
        <f>SUM($V$2:V41)</f>
        <v>10626120.558765931</v>
      </c>
      <c r="X41" s="80">
        <f t="shared" si="27"/>
        <v>12826554.890079435</v>
      </c>
    </row>
    <row r="42" spans="3:25">
      <c r="C42" s="25" t="str">
        <f t="shared" si="2"/>
        <v/>
      </c>
      <c r="D42" s="150" t="str">
        <f t="shared" si="16"/>
        <v/>
      </c>
      <c r="E42" s="27" t="e">
        <f t="shared" si="23"/>
        <v>#VALUE!</v>
      </c>
      <c r="F42" s="157" t="e">
        <f t="shared" si="10"/>
        <v>#VALUE!</v>
      </c>
      <c r="G42" s="150" t="e">
        <f t="shared" si="4"/>
        <v>#DIV/0!</v>
      </c>
      <c r="H42" s="153" t="e">
        <f t="shared" si="24"/>
        <v>#DIV/0!</v>
      </c>
      <c r="I42" s="157" t="e">
        <f t="shared" si="12"/>
        <v>#DIV/0!</v>
      </c>
      <c r="J42" s="27" t="str">
        <f t="shared" si="11"/>
        <v/>
      </c>
      <c r="T42" s="25">
        <f t="shared" si="25"/>
        <v>2201034.3313135039</v>
      </c>
      <c r="U42" s="80">
        <f t="shared" si="6"/>
        <v>374175.83632329572</v>
      </c>
      <c r="V42" s="80">
        <f t="shared" si="26"/>
        <v>1826858.4949902082</v>
      </c>
      <c r="W42" s="80">
        <f>SUM($V$2:V42)</f>
        <v>12452979.05375614</v>
      </c>
      <c r="X42" s="80">
        <f t="shared" si="27"/>
        <v>15028189.221392939</v>
      </c>
    </row>
    <row r="43" spans="3:25">
      <c r="C43" s="25" t="str">
        <f t="shared" si="2"/>
        <v/>
      </c>
      <c r="D43" s="150" t="str">
        <f t="shared" si="16"/>
        <v/>
      </c>
      <c r="E43" s="27" t="e">
        <f t="shared" si="23"/>
        <v>#VALUE!</v>
      </c>
      <c r="F43" s="157" t="e">
        <f t="shared" si="10"/>
        <v>#VALUE!</v>
      </c>
      <c r="G43" s="150" t="e">
        <f t="shared" si="4"/>
        <v>#DIV/0!</v>
      </c>
      <c r="H43" s="153" t="e">
        <f t="shared" si="24"/>
        <v>#DIV/0!</v>
      </c>
      <c r="I43" s="157" t="e">
        <f t="shared" si="12"/>
        <v>#DIV/0!</v>
      </c>
      <c r="J43" s="27" t="str">
        <f t="shared" si="11"/>
        <v/>
      </c>
      <c r="T43" s="25">
        <f t="shared" si="25"/>
        <v>2575810.1676367996</v>
      </c>
      <c r="U43" s="80">
        <f t="shared" si="6"/>
        <v>437887.72849825595</v>
      </c>
      <c r="V43" s="80">
        <f t="shared" si="26"/>
        <v>2137922.4391385438</v>
      </c>
      <c r="W43" s="80">
        <f>SUM($V$2:V43)</f>
        <v>14590901.492894683</v>
      </c>
      <c r="X43" s="80">
        <f t="shared" si="27"/>
        <v>17604599.389029738</v>
      </c>
    </row>
    <row r="44" spans="3:25">
      <c r="C44" s="25" t="str">
        <f t="shared" si="2"/>
        <v/>
      </c>
      <c r="D44" s="150" t="str">
        <f t="shared" si="16"/>
        <v/>
      </c>
      <c r="E44" s="27" t="e">
        <f t="shared" si="23"/>
        <v>#VALUE!</v>
      </c>
      <c r="F44" s="157" t="e">
        <f t="shared" si="10"/>
        <v>#VALUE!</v>
      </c>
      <c r="G44" s="150" t="e">
        <f t="shared" si="4"/>
        <v>#DIV/0!</v>
      </c>
      <c r="H44" s="153" t="e">
        <f t="shared" si="24"/>
        <v>#DIV/0!</v>
      </c>
      <c r="I44" s="157" t="e">
        <f t="shared" si="12"/>
        <v>#DIV/0!</v>
      </c>
      <c r="J44" s="27" t="str">
        <f t="shared" si="11"/>
        <v/>
      </c>
      <c r="T44" s="25">
        <f t="shared" si="25"/>
        <v>3014297.8961350555</v>
      </c>
      <c r="U44" s="80">
        <f t="shared" si="6"/>
        <v>512430.64234295947</v>
      </c>
      <c r="V44" s="80">
        <f t="shared" si="26"/>
        <v>2501867.2537920959</v>
      </c>
      <c r="W44" s="80">
        <f>SUM($V$2:V44)</f>
        <v>17092768.746686779</v>
      </c>
      <c r="X44" s="80">
        <f t="shared" si="27"/>
        <v>20619497.285164792</v>
      </c>
    </row>
    <row r="45" spans="3:25">
      <c r="C45" s="25" t="str">
        <f t="shared" si="2"/>
        <v/>
      </c>
      <c r="D45" s="150" t="str">
        <f t="shared" si="16"/>
        <v/>
      </c>
      <c r="E45" s="27" t="e">
        <f t="shared" si="23"/>
        <v>#VALUE!</v>
      </c>
      <c r="F45" s="157" t="e">
        <f t="shared" si="10"/>
        <v>#VALUE!</v>
      </c>
      <c r="G45" s="150" t="e">
        <f t="shared" si="4"/>
        <v>#DIV/0!</v>
      </c>
      <c r="H45" s="153" t="e">
        <f t="shared" si="24"/>
        <v>#DIV/0!</v>
      </c>
      <c r="I45" s="157" t="e">
        <f t="shared" si="12"/>
        <v>#DIV/0!</v>
      </c>
      <c r="J45" s="27" t="str">
        <f t="shared" si="11"/>
        <v/>
      </c>
      <c r="T45" s="25">
        <f t="shared" si="25"/>
        <v>3527328.538478015</v>
      </c>
      <c r="U45" s="80">
        <f t="shared" si="6"/>
        <v>599645.85154126247</v>
      </c>
      <c r="V45" s="80">
        <f t="shared" si="26"/>
        <v>2927682.6869367524</v>
      </c>
      <c r="W45" s="80">
        <f>SUM($V$2:V45)</f>
        <v>20020451.43362353</v>
      </c>
      <c r="X45" s="80">
        <f t="shared" si="27"/>
        <v>24147425.823642805</v>
      </c>
    </row>
    <row r="46" spans="3:25">
      <c r="C46" s="25" t="str">
        <f t="shared" si="2"/>
        <v/>
      </c>
      <c r="D46" s="150" t="str">
        <f t="shared" si="16"/>
        <v/>
      </c>
      <c r="E46" s="27" t="e">
        <f t="shared" si="23"/>
        <v>#VALUE!</v>
      </c>
      <c r="F46" s="157" t="e">
        <f t="shared" si="10"/>
        <v>#VALUE!</v>
      </c>
      <c r="G46" s="150" t="e">
        <f t="shared" si="4"/>
        <v>#DIV/0!</v>
      </c>
      <c r="H46" s="153" t="e">
        <f t="shared" si="24"/>
        <v>#DIV/0!</v>
      </c>
      <c r="I46" s="157" t="e">
        <f t="shared" si="12"/>
        <v>#DIV/0!</v>
      </c>
      <c r="J46" s="27" t="str">
        <f t="shared" si="11"/>
        <v/>
      </c>
      <c r="T46" s="25">
        <f t="shared" si="25"/>
        <v>4127574.3900192776</v>
      </c>
      <c r="U46" s="80">
        <f t="shared" si="6"/>
        <v>701687.64630327723</v>
      </c>
      <c r="V46" s="80">
        <f t="shared" si="26"/>
        <v>3425886.7437160006</v>
      </c>
      <c r="W46" s="80">
        <f>SUM($V$2:V46)</f>
        <v>23446338.177339531</v>
      </c>
      <c r="X46" s="80">
        <f t="shared" si="27"/>
        <v>28275600.213662088</v>
      </c>
      <c r="Y46" s="80">
        <f>X46-X34</f>
        <v>24075676.466862656</v>
      </c>
    </row>
    <row r="47" spans="3:25">
      <c r="C47" s="25" t="str">
        <f t="shared" si="2"/>
        <v/>
      </c>
      <c r="D47" s="150" t="str">
        <f t="shared" si="16"/>
        <v/>
      </c>
      <c r="E47" s="27" t="e">
        <f t="shared" si="23"/>
        <v>#VALUE!</v>
      </c>
      <c r="F47" s="157" t="e">
        <f t="shared" si="10"/>
        <v>#VALUE!</v>
      </c>
      <c r="G47" s="150" t="e">
        <f t="shared" si="4"/>
        <v>#DIV/0!</v>
      </c>
      <c r="H47" s="153" t="e">
        <f t="shared" si="24"/>
        <v>#DIV/0!</v>
      </c>
      <c r="I47" s="157" t="e">
        <f t="shared" si="12"/>
        <v>#DIV/0!</v>
      </c>
      <c r="J47" s="27" t="str">
        <f t="shared" si="11"/>
        <v/>
      </c>
      <c r="T47" s="25">
        <f t="shared" si="25"/>
        <v>4829862.0363225546</v>
      </c>
      <c r="U47" s="80">
        <f t="shared" si="6"/>
        <v>821076.54617483437</v>
      </c>
      <c r="V47" s="80">
        <f t="shared" si="26"/>
        <v>4008785.4901477201</v>
      </c>
      <c r="W47" s="80">
        <f>SUM($V$2:V47)</f>
        <v>27455123.667487253</v>
      </c>
      <c r="X47" s="80">
        <f t="shared" si="27"/>
        <v>33106062.249984644</v>
      </c>
      <c r="Y47" s="80"/>
    </row>
    <row r="48" spans="3:25">
      <c r="C48" s="25" t="str">
        <f t="shared" si="2"/>
        <v/>
      </c>
      <c r="D48" s="150" t="str">
        <f t="shared" si="16"/>
        <v/>
      </c>
      <c r="E48" s="27" t="e">
        <f t="shared" si="23"/>
        <v>#VALUE!</v>
      </c>
      <c r="F48" s="157" t="e">
        <f t="shared" si="10"/>
        <v>#VALUE!</v>
      </c>
      <c r="G48" s="150" t="e">
        <f t="shared" si="4"/>
        <v>#DIV/0!</v>
      </c>
      <c r="H48" s="153" t="e">
        <f t="shared" si="24"/>
        <v>#DIV/0!</v>
      </c>
      <c r="I48" s="157" t="e">
        <f t="shared" si="12"/>
        <v>#DIV/0!</v>
      </c>
      <c r="J48" s="27" t="str">
        <f t="shared" si="11"/>
        <v/>
      </c>
    </row>
    <row r="49" spans="3:24">
      <c r="C49" s="25" t="str">
        <f t="shared" si="2"/>
        <v/>
      </c>
      <c r="D49" s="150" t="str">
        <f t="shared" si="16"/>
        <v/>
      </c>
      <c r="E49" s="27" t="e">
        <f t="shared" si="23"/>
        <v>#VALUE!</v>
      </c>
      <c r="F49" s="157" t="e">
        <f t="shared" si="10"/>
        <v>#VALUE!</v>
      </c>
      <c r="G49" s="150" t="e">
        <f t="shared" si="4"/>
        <v>#DIV/0!</v>
      </c>
      <c r="H49" s="153" t="e">
        <f t="shared" si="24"/>
        <v>#DIV/0!</v>
      </c>
      <c r="I49" s="157" t="e">
        <f t="shared" si="12"/>
        <v>#DIV/0!</v>
      </c>
      <c r="J49" s="27" t="str">
        <f t="shared" si="11"/>
        <v/>
      </c>
    </row>
    <row r="50" spans="3:24">
      <c r="C50" s="25" t="str">
        <f t="shared" si="2"/>
        <v/>
      </c>
      <c r="D50" s="150" t="str">
        <f t="shared" si="16"/>
        <v/>
      </c>
      <c r="E50" s="27" t="e">
        <f t="shared" ref="E50:E61" si="28">D50/C50</f>
        <v>#VALUE!</v>
      </c>
      <c r="F50" s="157" t="e">
        <f t="shared" si="10"/>
        <v>#VALUE!</v>
      </c>
      <c r="G50" s="150" t="e">
        <f t="shared" si="4"/>
        <v>#DIV/0!</v>
      </c>
      <c r="H50" s="153" t="e">
        <f t="shared" si="24"/>
        <v>#DIV/0!</v>
      </c>
      <c r="I50" s="157" t="e">
        <f t="shared" si="12"/>
        <v>#DIV/0!</v>
      </c>
      <c r="J50" s="27" t="str">
        <f t="shared" si="11"/>
        <v/>
      </c>
    </row>
    <row r="51" spans="3:24">
      <c r="C51" s="25" t="str">
        <f t="shared" si="2"/>
        <v/>
      </c>
      <c r="D51" s="150" t="str">
        <f t="shared" ref="D51:D80" si="29">IF(C51="","",STDEV(A51:A59))</f>
        <v/>
      </c>
      <c r="E51" s="27" t="e">
        <f t="shared" si="28"/>
        <v>#VALUE!</v>
      </c>
      <c r="F51" s="157" t="e">
        <f t="shared" si="10"/>
        <v>#VALUE!</v>
      </c>
      <c r="G51" s="150" t="e">
        <f t="shared" si="4"/>
        <v>#DIV/0!</v>
      </c>
      <c r="H51" s="153" t="e">
        <f t="shared" si="24"/>
        <v>#DIV/0!</v>
      </c>
      <c r="I51" s="157" t="e">
        <f t="shared" si="12"/>
        <v>#DIV/0!</v>
      </c>
      <c r="J51" s="27" t="str">
        <f t="shared" si="11"/>
        <v/>
      </c>
      <c r="T51" s="25">
        <v>1000</v>
      </c>
    </row>
    <row r="52" spans="3:24">
      <c r="C52" s="25" t="str">
        <f t="shared" si="2"/>
        <v/>
      </c>
      <c r="D52" s="150" t="str">
        <f t="shared" si="29"/>
        <v/>
      </c>
      <c r="E52" s="27" t="e">
        <f t="shared" si="28"/>
        <v>#VALUE!</v>
      </c>
      <c r="F52" s="157" t="e">
        <f t="shared" si="10"/>
        <v>#VALUE!</v>
      </c>
      <c r="G52" s="150" t="e">
        <f t="shared" si="4"/>
        <v>#DIV/0!</v>
      </c>
      <c r="H52" s="153" t="e">
        <f t="shared" si="24"/>
        <v>#DIV/0!</v>
      </c>
      <c r="I52" s="157" t="e">
        <f t="shared" si="12"/>
        <v>#DIV/0!</v>
      </c>
      <c r="J52" s="27" t="str">
        <f t="shared" si="11"/>
        <v/>
      </c>
      <c r="T52" s="25">
        <v>900</v>
      </c>
    </row>
    <row r="53" spans="3:24">
      <c r="C53" s="25" t="str">
        <f t="shared" si="2"/>
        <v/>
      </c>
      <c r="D53" s="150" t="str">
        <f t="shared" si="29"/>
        <v/>
      </c>
      <c r="E53" s="27" t="e">
        <f t="shared" si="28"/>
        <v>#VALUE!</v>
      </c>
      <c r="F53" s="157" t="e">
        <f t="shared" si="10"/>
        <v>#VALUE!</v>
      </c>
      <c r="G53" s="150" t="e">
        <f t="shared" si="4"/>
        <v>#DIV/0!</v>
      </c>
      <c r="H53" s="153" t="e">
        <f t="shared" si="24"/>
        <v>#DIV/0!</v>
      </c>
      <c r="I53" s="157" t="e">
        <f t="shared" si="12"/>
        <v>#DIV/0!</v>
      </c>
      <c r="J53" s="27" t="str">
        <f t="shared" si="11"/>
        <v/>
      </c>
      <c r="T53" s="25">
        <v>600</v>
      </c>
    </row>
    <row r="54" spans="3:24">
      <c r="C54" s="25" t="str">
        <f t="shared" si="2"/>
        <v/>
      </c>
      <c r="D54" s="150" t="str">
        <f t="shared" si="29"/>
        <v/>
      </c>
      <c r="E54" s="27" t="e">
        <f t="shared" si="28"/>
        <v>#VALUE!</v>
      </c>
      <c r="F54" s="157" t="e">
        <f t="shared" si="10"/>
        <v>#VALUE!</v>
      </c>
      <c r="G54" s="150" t="e">
        <f t="shared" si="4"/>
        <v>#DIV/0!</v>
      </c>
      <c r="H54" s="153" t="e">
        <f t="shared" si="24"/>
        <v>#DIV/0!</v>
      </c>
      <c r="I54" s="157" t="e">
        <f t="shared" si="12"/>
        <v>#DIV/0!</v>
      </c>
      <c r="J54" s="27" t="str">
        <f t="shared" si="11"/>
        <v/>
      </c>
      <c r="T54" s="25">
        <v>4000</v>
      </c>
    </row>
    <row r="55" spans="3:24">
      <c r="C55" s="25" t="str">
        <f t="shared" si="2"/>
        <v/>
      </c>
      <c r="D55" s="150" t="str">
        <f t="shared" si="29"/>
        <v/>
      </c>
      <c r="E55" s="27" t="e">
        <f t="shared" si="28"/>
        <v>#VALUE!</v>
      </c>
      <c r="F55" s="157" t="e">
        <f t="shared" si="10"/>
        <v>#VALUE!</v>
      </c>
      <c r="G55" s="150" t="e">
        <f t="shared" si="4"/>
        <v>#DIV/0!</v>
      </c>
      <c r="H55" s="153" t="e">
        <f t="shared" si="24"/>
        <v>#DIV/0!</v>
      </c>
      <c r="I55" s="157" t="e">
        <f t="shared" si="12"/>
        <v>#DIV/0!</v>
      </c>
      <c r="J55" s="27" t="str">
        <f t="shared" si="11"/>
        <v/>
      </c>
      <c r="T55" s="25">
        <f>SUM(T51:T54)</f>
        <v>6500</v>
      </c>
      <c r="U55" s="27">
        <f>T55/T57</f>
        <v>0.95588235294117652</v>
      </c>
    </row>
    <row r="56" spans="3:24">
      <c r="C56" s="25" t="str">
        <f t="shared" si="2"/>
        <v/>
      </c>
      <c r="D56" s="150" t="str">
        <f t="shared" si="29"/>
        <v/>
      </c>
      <c r="E56" s="27" t="e">
        <f t="shared" si="28"/>
        <v>#VALUE!</v>
      </c>
      <c r="F56" s="157" t="e">
        <f t="shared" si="10"/>
        <v>#VALUE!</v>
      </c>
      <c r="G56" s="150" t="e">
        <f t="shared" si="4"/>
        <v>#DIV/0!</v>
      </c>
      <c r="H56" s="153" t="e">
        <f t="shared" si="24"/>
        <v>#DIV/0!</v>
      </c>
      <c r="I56" s="157" t="e">
        <f t="shared" si="12"/>
        <v>#DIV/0!</v>
      </c>
      <c r="J56" s="27" t="str">
        <f t="shared" si="11"/>
        <v/>
      </c>
      <c r="T56" s="25">
        <v>300</v>
      </c>
      <c r="U56" s="27">
        <f>T56/T57</f>
        <v>4.4117647058823532E-2</v>
      </c>
    </row>
    <row r="57" spans="3:24">
      <c r="C57" s="25" t="str">
        <f t="shared" si="2"/>
        <v/>
      </c>
      <c r="D57" s="150" t="str">
        <f t="shared" si="29"/>
        <v/>
      </c>
      <c r="E57" s="27" t="e">
        <f t="shared" si="28"/>
        <v>#VALUE!</v>
      </c>
      <c r="F57" s="157" t="e">
        <f t="shared" si="10"/>
        <v>#VALUE!</v>
      </c>
      <c r="G57" s="150" t="e">
        <f t="shared" si="4"/>
        <v>#DIV/0!</v>
      </c>
      <c r="H57" s="153" t="e">
        <f t="shared" si="24"/>
        <v>#DIV/0!</v>
      </c>
      <c r="I57" s="157" t="e">
        <f t="shared" si="12"/>
        <v>#DIV/0!</v>
      </c>
      <c r="J57" s="27" t="str">
        <f t="shared" si="11"/>
        <v/>
      </c>
      <c r="T57" s="25">
        <f>T56+T55</f>
        <v>6800</v>
      </c>
    </row>
    <row r="58" spans="3:24">
      <c r="C58" s="25" t="str">
        <f t="shared" si="2"/>
        <v/>
      </c>
      <c r="D58" s="150" t="str">
        <f t="shared" si="29"/>
        <v/>
      </c>
      <c r="E58" s="27" t="e">
        <f t="shared" si="28"/>
        <v>#VALUE!</v>
      </c>
      <c r="F58" s="157" t="e">
        <f t="shared" si="10"/>
        <v>#VALUE!</v>
      </c>
      <c r="G58" s="150" t="e">
        <f t="shared" si="4"/>
        <v>#DIV/0!</v>
      </c>
      <c r="H58" s="153" t="e">
        <f t="shared" si="24"/>
        <v>#DIV/0!</v>
      </c>
      <c r="I58" s="157" t="e">
        <f t="shared" si="12"/>
        <v>#DIV/0!</v>
      </c>
      <c r="J58" s="27" t="str">
        <f t="shared" si="11"/>
        <v/>
      </c>
    </row>
    <row r="59" spans="3:24">
      <c r="C59" s="25" t="str">
        <f t="shared" si="2"/>
        <v/>
      </c>
      <c r="D59" s="150" t="str">
        <f t="shared" si="29"/>
        <v/>
      </c>
      <c r="E59" s="27" t="e">
        <f t="shared" si="28"/>
        <v>#VALUE!</v>
      </c>
      <c r="F59" s="157" t="e">
        <f t="shared" si="10"/>
        <v>#VALUE!</v>
      </c>
      <c r="G59" s="150" t="e">
        <f t="shared" si="4"/>
        <v>#DIV/0!</v>
      </c>
      <c r="H59" s="153" t="e">
        <f t="shared" si="24"/>
        <v>#DIV/0!</v>
      </c>
      <c r="I59" s="157" t="e">
        <f t="shared" si="12"/>
        <v>#DIV/0!</v>
      </c>
      <c r="J59" s="27" t="str">
        <f t="shared" si="11"/>
        <v/>
      </c>
      <c r="T59" s="25">
        <v>24075676</v>
      </c>
      <c r="U59" s="80">
        <f>T59*U56</f>
        <v>1062162.1764705882</v>
      </c>
    </row>
    <row r="60" spans="3:24">
      <c r="C60" s="25" t="str">
        <f t="shared" si="2"/>
        <v/>
      </c>
      <c r="D60" s="150" t="str">
        <f t="shared" si="29"/>
        <v/>
      </c>
      <c r="E60" s="27" t="e">
        <f t="shared" si="28"/>
        <v>#VALUE!</v>
      </c>
      <c r="F60" s="157" t="e">
        <f t="shared" si="10"/>
        <v>#VALUE!</v>
      </c>
      <c r="G60" s="150" t="e">
        <f t="shared" si="4"/>
        <v>#DIV/0!</v>
      </c>
      <c r="H60" s="153" t="e">
        <f t="shared" si="24"/>
        <v>#DIV/0!</v>
      </c>
      <c r="I60" s="157" t="e">
        <f t="shared" si="12"/>
        <v>#DIV/0!</v>
      </c>
      <c r="J60" s="27" t="str">
        <f t="shared" si="11"/>
        <v/>
      </c>
    </row>
    <row r="61" spans="3:24">
      <c r="C61" s="25" t="str">
        <f t="shared" si="2"/>
        <v/>
      </c>
      <c r="D61" s="150" t="str">
        <f t="shared" si="29"/>
        <v/>
      </c>
      <c r="E61" s="27" t="e">
        <f t="shared" si="28"/>
        <v>#VALUE!</v>
      </c>
      <c r="F61" s="157" t="e">
        <f t="shared" si="10"/>
        <v>#VALUE!</v>
      </c>
      <c r="G61" s="150" t="e">
        <f t="shared" si="4"/>
        <v>#DIV/0!</v>
      </c>
      <c r="H61" s="153" t="e">
        <f t="shared" si="24"/>
        <v>#DIV/0!</v>
      </c>
      <c r="I61" s="157" t="e">
        <f t="shared" si="12"/>
        <v>#DIV/0!</v>
      </c>
      <c r="J61" s="27" t="str">
        <f t="shared" si="11"/>
        <v/>
      </c>
    </row>
    <row r="62" spans="3:24">
      <c r="C62" s="25" t="str">
        <f t="shared" si="2"/>
        <v/>
      </c>
      <c r="D62" s="150" t="str">
        <f t="shared" si="29"/>
        <v/>
      </c>
      <c r="E62" s="27" t="e">
        <f t="shared" ref="E62:E67" si="30">D62/C62</f>
        <v>#VALUE!</v>
      </c>
      <c r="F62" s="157" t="e">
        <f t="shared" si="10"/>
        <v>#VALUE!</v>
      </c>
      <c r="G62" s="150" t="e">
        <f t="shared" si="4"/>
        <v>#DIV/0!</v>
      </c>
      <c r="H62" s="153" t="e">
        <f t="shared" si="24"/>
        <v>#DIV/0!</v>
      </c>
      <c r="I62" s="157" t="e">
        <f t="shared" si="12"/>
        <v>#DIV/0!</v>
      </c>
      <c r="J62" s="27" t="str">
        <f t="shared" si="11"/>
        <v/>
      </c>
      <c r="T62" s="25">
        <v>4100</v>
      </c>
      <c r="U62" s="80">
        <f>T62*20%</f>
        <v>820</v>
      </c>
      <c r="V62" s="211">
        <v>8.5000000000000006E-3</v>
      </c>
      <c r="W62" s="7">
        <f>X62*12</f>
        <v>288</v>
      </c>
      <c r="X62" s="7">
        <v>24</v>
      </c>
    </row>
    <row r="63" spans="3:24">
      <c r="C63" s="25" t="str">
        <f t="shared" si="2"/>
        <v/>
      </c>
      <c r="D63" s="150" t="str">
        <f t="shared" si="29"/>
        <v/>
      </c>
      <c r="E63" s="27" t="e">
        <f t="shared" si="30"/>
        <v>#VALUE!</v>
      </c>
      <c r="F63" s="157" t="e">
        <f t="shared" si="10"/>
        <v>#VALUE!</v>
      </c>
      <c r="G63" s="150" t="e">
        <f t="shared" si="4"/>
        <v>#DIV/0!</v>
      </c>
      <c r="H63" s="153" t="e">
        <f t="shared" si="24"/>
        <v>#DIV/0!</v>
      </c>
      <c r="I63" s="157" t="e">
        <f t="shared" si="12"/>
        <v>#DIV/0!</v>
      </c>
      <c r="J63" s="27" t="str">
        <f t="shared" si="11"/>
        <v/>
      </c>
      <c r="T63" s="25">
        <f>FV(V62,W62,-U62)</f>
        <v>1007747.5093152359</v>
      </c>
    </row>
    <row r="64" spans="3:24">
      <c r="C64" s="25" t="str">
        <f t="shared" si="2"/>
        <v/>
      </c>
      <c r="D64" s="150" t="str">
        <f t="shared" si="29"/>
        <v/>
      </c>
      <c r="E64" s="27" t="e">
        <f t="shared" si="30"/>
        <v>#VALUE!</v>
      </c>
      <c r="F64" s="157" t="e">
        <f t="shared" si="10"/>
        <v>#VALUE!</v>
      </c>
      <c r="G64" s="150" t="e">
        <f t="shared" si="4"/>
        <v>#DIV/0!</v>
      </c>
      <c r="H64" s="153" t="e">
        <f t="shared" si="24"/>
        <v>#DIV/0!</v>
      </c>
      <c r="I64" s="157" t="e">
        <f t="shared" si="12"/>
        <v>#DIV/0!</v>
      </c>
      <c r="J64" s="27" t="str">
        <f t="shared" si="11"/>
        <v/>
      </c>
      <c r="V64" s="80">
        <f>T63*V62*85%</f>
        <v>7280.9757548025791</v>
      </c>
      <c r="W64" s="80">
        <f>V64*60%</f>
        <v>4368.5854528815471</v>
      </c>
    </row>
    <row r="65" spans="3:10">
      <c r="C65" s="25" t="str">
        <f t="shared" si="2"/>
        <v/>
      </c>
      <c r="D65" s="150" t="str">
        <f t="shared" si="29"/>
        <v/>
      </c>
      <c r="E65" s="27" t="e">
        <f t="shared" si="30"/>
        <v>#VALUE!</v>
      </c>
      <c r="F65" s="157" t="e">
        <f t="shared" si="10"/>
        <v>#VALUE!</v>
      </c>
      <c r="G65" s="150" t="e">
        <f t="shared" si="4"/>
        <v>#DIV/0!</v>
      </c>
      <c r="H65" s="153" t="e">
        <f t="shared" si="24"/>
        <v>#DIV/0!</v>
      </c>
      <c r="I65" s="157" t="e">
        <f t="shared" si="12"/>
        <v>#DIV/0!</v>
      </c>
      <c r="J65" s="27" t="str">
        <f t="shared" si="11"/>
        <v/>
      </c>
    </row>
    <row r="66" spans="3:10">
      <c r="C66" s="25" t="str">
        <f t="shared" si="2"/>
        <v/>
      </c>
      <c r="D66" s="150" t="str">
        <f t="shared" si="29"/>
        <v/>
      </c>
      <c r="E66" s="27" t="e">
        <f t="shared" si="30"/>
        <v>#VALUE!</v>
      </c>
      <c r="F66" s="157" t="e">
        <f t="shared" si="10"/>
        <v>#VALUE!</v>
      </c>
      <c r="G66" s="150" t="e">
        <f t="shared" si="4"/>
        <v>#DIV/0!</v>
      </c>
      <c r="H66" s="153" t="e">
        <f t="shared" ref="H66:H80" si="31">G66/C66</f>
        <v>#DIV/0!</v>
      </c>
      <c r="I66" s="157" t="e">
        <f t="shared" si="12"/>
        <v>#DIV/0!</v>
      </c>
      <c r="J66" s="27" t="str">
        <f t="shared" si="11"/>
        <v/>
      </c>
    </row>
    <row r="67" spans="3:10">
      <c r="C67" s="25" t="str">
        <f t="shared" ref="C67:C80" si="32">IF(COUNTBLANK(A67:A75)&gt;0,"",AVERAGE(A67:A75))</f>
        <v/>
      </c>
      <c r="D67" s="150" t="str">
        <f t="shared" si="29"/>
        <v/>
      </c>
      <c r="E67" s="27" t="e">
        <f t="shared" si="30"/>
        <v>#VALUE!</v>
      </c>
      <c r="F67" s="157" t="e">
        <f t="shared" si="10"/>
        <v>#VALUE!</v>
      </c>
      <c r="G67" s="150" t="e">
        <f t="shared" ref="G67:G80" si="33">VAR(A67:A75)</f>
        <v>#DIV/0!</v>
      </c>
      <c r="H67" s="153" t="e">
        <f t="shared" si="31"/>
        <v>#DIV/0!</v>
      </c>
      <c r="I67" s="157" t="e">
        <f t="shared" si="12"/>
        <v>#DIV/0!</v>
      </c>
      <c r="J67" s="27" t="str">
        <f t="shared" si="11"/>
        <v/>
      </c>
    </row>
    <row r="68" spans="3:10">
      <c r="C68" s="25" t="str">
        <f t="shared" si="32"/>
        <v/>
      </c>
      <c r="D68" s="150" t="str">
        <f t="shared" si="29"/>
        <v/>
      </c>
      <c r="E68" s="27" t="e">
        <f t="shared" ref="E68:E80" si="34">D68/C68</f>
        <v>#VALUE!</v>
      </c>
      <c r="F68" s="157" t="e">
        <f t="shared" ref="F68:F80" si="35">E68/E67</f>
        <v>#VALUE!</v>
      </c>
      <c r="G68" s="150" t="e">
        <f t="shared" si="33"/>
        <v>#DIV/0!</v>
      </c>
      <c r="H68" s="153" t="e">
        <f t="shared" si="31"/>
        <v>#DIV/0!</v>
      </c>
      <c r="I68" s="157" t="e">
        <f t="shared" si="12"/>
        <v>#DIV/0!</v>
      </c>
      <c r="J68" s="27" t="str">
        <f t="shared" ref="J68:J80" si="36">IF(COUNTBLANK(B68:B76)&gt;0,"",AVERAGE(B68:B76))</f>
        <v/>
      </c>
    </row>
    <row r="69" spans="3:10">
      <c r="C69" s="25" t="str">
        <f t="shared" si="32"/>
        <v/>
      </c>
      <c r="D69" s="150" t="str">
        <f t="shared" si="29"/>
        <v/>
      </c>
      <c r="E69" s="27" t="e">
        <f t="shared" si="34"/>
        <v>#VALUE!</v>
      </c>
      <c r="F69" s="157" t="e">
        <f t="shared" si="35"/>
        <v>#VALUE!</v>
      </c>
      <c r="G69" s="150" t="e">
        <f t="shared" si="33"/>
        <v>#DIV/0!</v>
      </c>
      <c r="H69" s="153" t="e">
        <f t="shared" si="31"/>
        <v>#DIV/0!</v>
      </c>
      <c r="I69" s="157" t="e">
        <f t="shared" ref="I69:I80" si="37">ROUND(H69/H68,2)</f>
        <v>#DIV/0!</v>
      </c>
      <c r="J69" s="27" t="str">
        <f t="shared" si="36"/>
        <v/>
      </c>
    </row>
    <row r="70" spans="3:10">
      <c r="C70" s="25" t="str">
        <f t="shared" si="32"/>
        <v/>
      </c>
      <c r="D70" s="150" t="str">
        <f t="shared" si="29"/>
        <v/>
      </c>
      <c r="E70" s="27" t="e">
        <f t="shared" si="34"/>
        <v>#VALUE!</v>
      </c>
      <c r="F70" s="157" t="e">
        <f t="shared" si="35"/>
        <v>#VALUE!</v>
      </c>
      <c r="G70" s="150" t="e">
        <f t="shared" si="33"/>
        <v>#DIV/0!</v>
      </c>
      <c r="H70" s="153" t="e">
        <f t="shared" si="31"/>
        <v>#DIV/0!</v>
      </c>
      <c r="I70" s="157" t="e">
        <f t="shared" si="37"/>
        <v>#DIV/0!</v>
      </c>
      <c r="J70" s="27" t="str">
        <f t="shared" si="36"/>
        <v/>
      </c>
    </row>
    <row r="71" spans="3:10">
      <c r="C71" s="25" t="str">
        <f t="shared" si="32"/>
        <v/>
      </c>
      <c r="D71" s="150" t="str">
        <f t="shared" si="29"/>
        <v/>
      </c>
      <c r="E71" s="27" t="e">
        <f t="shared" si="34"/>
        <v>#VALUE!</v>
      </c>
      <c r="F71" s="157" t="e">
        <f t="shared" si="35"/>
        <v>#VALUE!</v>
      </c>
      <c r="G71" s="150" t="e">
        <f t="shared" si="33"/>
        <v>#DIV/0!</v>
      </c>
      <c r="H71" s="153" t="e">
        <f t="shared" si="31"/>
        <v>#DIV/0!</v>
      </c>
      <c r="I71" s="157" t="e">
        <f t="shared" si="37"/>
        <v>#DIV/0!</v>
      </c>
      <c r="J71" s="27" t="str">
        <f t="shared" si="36"/>
        <v/>
      </c>
    </row>
    <row r="72" spans="3:10">
      <c r="C72" s="25" t="str">
        <f t="shared" si="32"/>
        <v/>
      </c>
      <c r="D72" s="150" t="str">
        <f t="shared" si="29"/>
        <v/>
      </c>
      <c r="E72" s="27" t="e">
        <f t="shared" si="34"/>
        <v>#VALUE!</v>
      </c>
      <c r="F72" s="157" t="e">
        <f t="shared" si="35"/>
        <v>#VALUE!</v>
      </c>
      <c r="G72" s="150" t="e">
        <f t="shared" si="33"/>
        <v>#DIV/0!</v>
      </c>
      <c r="H72" s="153" t="e">
        <f t="shared" si="31"/>
        <v>#DIV/0!</v>
      </c>
      <c r="I72" s="157" t="e">
        <f t="shared" si="37"/>
        <v>#DIV/0!</v>
      </c>
      <c r="J72" s="27" t="str">
        <f t="shared" si="36"/>
        <v/>
      </c>
    </row>
    <row r="73" spans="3:10">
      <c r="C73" s="25" t="str">
        <f t="shared" si="32"/>
        <v/>
      </c>
      <c r="D73" s="150" t="str">
        <f t="shared" si="29"/>
        <v/>
      </c>
      <c r="E73" s="27" t="e">
        <f t="shared" si="34"/>
        <v>#VALUE!</v>
      </c>
      <c r="F73" s="157" t="e">
        <f t="shared" si="35"/>
        <v>#VALUE!</v>
      </c>
      <c r="G73" s="150" t="e">
        <f t="shared" si="33"/>
        <v>#DIV/0!</v>
      </c>
      <c r="H73" s="153" t="e">
        <f t="shared" si="31"/>
        <v>#DIV/0!</v>
      </c>
      <c r="I73" s="157" t="e">
        <f t="shared" si="37"/>
        <v>#DIV/0!</v>
      </c>
      <c r="J73" s="27" t="str">
        <f t="shared" si="36"/>
        <v/>
      </c>
    </row>
    <row r="74" spans="3:10">
      <c r="C74" s="25" t="str">
        <f t="shared" si="32"/>
        <v/>
      </c>
      <c r="D74" s="150" t="str">
        <f t="shared" si="29"/>
        <v/>
      </c>
      <c r="E74" s="27" t="e">
        <f t="shared" si="34"/>
        <v>#VALUE!</v>
      </c>
      <c r="F74" s="157" t="e">
        <f t="shared" si="35"/>
        <v>#VALUE!</v>
      </c>
      <c r="G74" s="150" t="e">
        <f t="shared" si="33"/>
        <v>#DIV/0!</v>
      </c>
      <c r="H74" s="153" t="e">
        <f t="shared" si="31"/>
        <v>#DIV/0!</v>
      </c>
      <c r="I74" s="157" t="e">
        <f t="shared" si="37"/>
        <v>#DIV/0!</v>
      </c>
      <c r="J74" s="27" t="str">
        <f t="shared" si="36"/>
        <v/>
      </c>
    </row>
    <row r="75" spans="3:10">
      <c r="C75" s="25" t="str">
        <f t="shared" si="32"/>
        <v/>
      </c>
      <c r="D75" s="150" t="str">
        <f t="shared" si="29"/>
        <v/>
      </c>
      <c r="E75" s="27" t="e">
        <f t="shared" si="34"/>
        <v>#VALUE!</v>
      </c>
      <c r="F75" s="157" t="e">
        <f t="shared" si="35"/>
        <v>#VALUE!</v>
      </c>
      <c r="G75" s="150" t="e">
        <f t="shared" si="33"/>
        <v>#DIV/0!</v>
      </c>
      <c r="H75" s="153" t="e">
        <f t="shared" si="31"/>
        <v>#DIV/0!</v>
      </c>
      <c r="I75" s="157" t="e">
        <f t="shared" si="37"/>
        <v>#DIV/0!</v>
      </c>
      <c r="J75" s="27" t="str">
        <f t="shared" si="36"/>
        <v/>
      </c>
    </row>
    <row r="76" spans="3:10">
      <c r="C76" s="25" t="str">
        <f t="shared" si="32"/>
        <v/>
      </c>
      <c r="D76" s="150" t="str">
        <f t="shared" si="29"/>
        <v/>
      </c>
      <c r="E76" s="27" t="e">
        <f t="shared" si="34"/>
        <v>#VALUE!</v>
      </c>
      <c r="F76" s="157" t="e">
        <f t="shared" si="35"/>
        <v>#VALUE!</v>
      </c>
      <c r="G76" s="150" t="e">
        <f t="shared" si="33"/>
        <v>#DIV/0!</v>
      </c>
      <c r="H76" s="153" t="e">
        <f t="shared" si="31"/>
        <v>#DIV/0!</v>
      </c>
      <c r="I76" s="157" t="e">
        <f t="shared" si="37"/>
        <v>#DIV/0!</v>
      </c>
      <c r="J76" s="27" t="str">
        <f t="shared" si="36"/>
        <v/>
      </c>
    </row>
    <row r="77" spans="3:10">
      <c r="C77" s="25" t="str">
        <f t="shared" si="32"/>
        <v/>
      </c>
      <c r="D77" s="150" t="str">
        <f t="shared" si="29"/>
        <v/>
      </c>
      <c r="E77" s="27" t="e">
        <f t="shared" si="34"/>
        <v>#VALUE!</v>
      </c>
      <c r="F77" s="157" t="e">
        <f t="shared" si="35"/>
        <v>#VALUE!</v>
      </c>
      <c r="G77" s="150" t="e">
        <f t="shared" si="33"/>
        <v>#DIV/0!</v>
      </c>
      <c r="H77" s="153" t="e">
        <f t="shared" si="31"/>
        <v>#DIV/0!</v>
      </c>
      <c r="I77" s="157" t="e">
        <f t="shared" si="37"/>
        <v>#DIV/0!</v>
      </c>
      <c r="J77" s="27" t="str">
        <f t="shared" si="36"/>
        <v/>
      </c>
    </row>
    <row r="78" spans="3:10">
      <c r="C78" s="25" t="str">
        <f t="shared" si="32"/>
        <v/>
      </c>
      <c r="D78" s="150" t="str">
        <f t="shared" si="29"/>
        <v/>
      </c>
      <c r="E78" s="27" t="e">
        <f t="shared" si="34"/>
        <v>#VALUE!</v>
      </c>
      <c r="F78" s="157" t="e">
        <f t="shared" si="35"/>
        <v>#VALUE!</v>
      </c>
      <c r="G78" s="150" t="e">
        <f t="shared" si="33"/>
        <v>#DIV/0!</v>
      </c>
      <c r="H78" s="153" t="e">
        <f t="shared" si="31"/>
        <v>#DIV/0!</v>
      </c>
      <c r="I78" s="157" t="e">
        <f t="shared" si="37"/>
        <v>#DIV/0!</v>
      </c>
      <c r="J78" s="27" t="str">
        <f t="shared" si="36"/>
        <v/>
      </c>
    </row>
    <row r="79" spans="3:10">
      <c r="C79" s="25" t="str">
        <f t="shared" si="32"/>
        <v/>
      </c>
      <c r="D79" s="150" t="str">
        <f t="shared" si="29"/>
        <v/>
      </c>
      <c r="E79" s="27" t="e">
        <f t="shared" si="34"/>
        <v>#VALUE!</v>
      </c>
      <c r="F79" s="157" t="e">
        <f t="shared" si="35"/>
        <v>#VALUE!</v>
      </c>
      <c r="G79" s="150" t="e">
        <f t="shared" si="33"/>
        <v>#DIV/0!</v>
      </c>
      <c r="H79" s="153" t="e">
        <f t="shared" si="31"/>
        <v>#DIV/0!</v>
      </c>
      <c r="I79" s="157" t="e">
        <f t="shared" si="37"/>
        <v>#DIV/0!</v>
      </c>
      <c r="J79" s="27" t="str">
        <f t="shared" si="36"/>
        <v/>
      </c>
    </row>
    <row r="80" spans="3:10">
      <c r="C80" s="25" t="str">
        <f t="shared" si="32"/>
        <v/>
      </c>
      <c r="D80" s="150" t="str">
        <f t="shared" si="29"/>
        <v/>
      </c>
      <c r="E80" s="27" t="e">
        <f t="shared" si="34"/>
        <v>#VALUE!</v>
      </c>
      <c r="F80" s="157" t="e">
        <f t="shared" si="35"/>
        <v>#VALUE!</v>
      </c>
      <c r="G80" s="150" t="e">
        <f t="shared" si="33"/>
        <v>#DIV/0!</v>
      </c>
      <c r="H80" s="153" t="e">
        <f t="shared" si="31"/>
        <v>#DIV/0!</v>
      </c>
      <c r="I80" s="157" t="e">
        <f t="shared" si="37"/>
        <v>#DIV/0!</v>
      </c>
      <c r="J80" s="27" t="str">
        <f t="shared" si="36"/>
        <v/>
      </c>
    </row>
  </sheetData>
  <conditionalFormatting sqref="I4:I80">
    <cfRule type="cellIs" dxfId="116" priority="1" operator="lessThanOrEqual">
      <formula>0.5</formula>
    </cfRule>
    <cfRule type="cellIs" dxfId="115" priority="2" operator="greaterThanOrEqual">
      <formula>2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11"/>
  <dimension ref="A1:R90"/>
  <sheetViews>
    <sheetView tabSelected="1" workbookViewId="0">
      <selection activeCell="D17" sqref="D17"/>
    </sheetView>
  </sheetViews>
  <sheetFormatPr defaultRowHeight="10.5"/>
  <cols>
    <col min="1" max="1" width="9.140625" style="191"/>
    <col min="2" max="2" width="11.140625" style="191" customWidth="1"/>
    <col min="3" max="8" width="9.140625" style="191"/>
    <col min="9" max="9" width="11.28515625" style="191" customWidth="1"/>
    <col min="10" max="10" width="9.140625" style="191"/>
    <col min="11" max="11" width="12.7109375" style="191" customWidth="1"/>
    <col min="12" max="16384" width="9.140625" style="191"/>
  </cols>
  <sheetData>
    <row r="1" spans="1:16">
      <c r="A1" s="168" t="s">
        <v>192</v>
      </c>
      <c r="B1" s="169" t="s">
        <v>203</v>
      </c>
      <c r="C1" s="168" t="s">
        <v>193</v>
      </c>
      <c r="D1" s="168" t="s">
        <v>194</v>
      </c>
      <c r="E1" s="168" t="s">
        <v>195</v>
      </c>
      <c r="F1" s="168" t="s">
        <v>196</v>
      </c>
      <c r="G1" s="168" t="s">
        <v>204</v>
      </c>
      <c r="H1" s="168" t="s">
        <v>205</v>
      </c>
      <c r="I1" s="169" t="s">
        <v>206</v>
      </c>
      <c r="J1" s="168" t="s">
        <v>210</v>
      </c>
      <c r="K1" s="168" t="s">
        <v>197</v>
      </c>
      <c r="L1" s="168" t="s">
        <v>198</v>
      </c>
      <c r="M1" s="168" t="s">
        <v>199</v>
      </c>
      <c r="N1" s="168" t="s">
        <v>200</v>
      </c>
      <c r="O1" s="168" t="s">
        <v>15</v>
      </c>
    </row>
    <row r="2" spans="1:16">
      <c r="A2" s="189"/>
      <c r="B2" s="189"/>
      <c r="C2" s="189" t="s">
        <v>225</v>
      </c>
      <c r="D2" s="189"/>
      <c r="E2" s="189" t="s">
        <v>191</v>
      </c>
      <c r="F2" s="189"/>
      <c r="G2" s="189"/>
      <c r="H2" s="189"/>
      <c r="I2" s="189"/>
      <c r="J2" s="174"/>
      <c r="K2" s="178" t="s">
        <v>233</v>
      </c>
      <c r="L2" s="174" t="s">
        <v>234</v>
      </c>
      <c r="M2" s="174">
        <v>0</v>
      </c>
      <c r="N2" s="194">
        <v>-78.31</v>
      </c>
      <c r="O2" s="190">
        <f>Tabela9[[#This Row],[Swap]]+Tabela9[[#This Row],[Profit]]</f>
        <v>-78.31</v>
      </c>
      <c r="P2" s="191">
        <v>-27.81</v>
      </c>
    </row>
    <row r="3" spans="1:16">
      <c r="A3" s="179"/>
      <c r="B3" s="185"/>
      <c r="C3" s="178" t="s">
        <v>225</v>
      </c>
      <c r="D3" s="178"/>
      <c r="E3" s="178" t="s">
        <v>235</v>
      </c>
      <c r="F3" s="178"/>
      <c r="G3" s="178"/>
      <c r="H3" s="178"/>
      <c r="I3" s="185"/>
      <c r="J3" s="178"/>
      <c r="K3" s="178" t="s">
        <v>233</v>
      </c>
      <c r="L3" s="178" t="s">
        <v>234</v>
      </c>
      <c r="M3" s="178">
        <v>0</v>
      </c>
      <c r="N3" s="186">
        <v>-66.22</v>
      </c>
      <c r="O3" s="190">
        <f>Tabela9[[#This Row],[Swap]]+Tabela9[[#This Row],[Profit]]</f>
        <v>-66.22</v>
      </c>
    </row>
    <row r="4" spans="1:16">
      <c r="A4" s="176"/>
      <c r="B4" s="176"/>
      <c r="C4" s="176" t="s">
        <v>225</v>
      </c>
      <c r="D4" s="176"/>
      <c r="E4" s="178" t="s">
        <v>191</v>
      </c>
      <c r="F4" s="176"/>
      <c r="G4" s="176"/>
      <c r="H4" s="176"/>
      <c r="I4" s="176"/>
      <c r="J4" s="175"/>
      <c r="K4" s="178" t="s">
        <v>233</v>
      </c>
      <c r="L4" s="178" t="s">
        <v>234</v>
      </c>
      <c r="M4" s="178">
        <v>-0.91</v>
      </c>
      <c r="N4" s="194">
        <v>-74.349999999999994</v>
      </c>
      <c r="O4" s="190">
        <f>Tabela9[[#This Row],[Swap]]+Tabela9[[#This Row],[Profit]]</f>
        <v>-75.259999999999991</v>
      </c>
    </row>
    <row r="5" spans="1:16">
      <c r="A5" s="189"/>
      <c r="B5" s="197"/>
      <c r="C5" s="174" t="s">
        <v>225</v>
      </c>
      <c r="D5" s="174"/>
      <c r="E5" s="176" t="s">
        <v>239</v>
      </c>
      <c r="F5" s="198"/>
      <c r="G5" s="198"/>
      <c r="H5" s="174"/>
      <c r="I5" s="197"/>
      <c r="J5" s="198"/>
      <c r="K5" s="178" t="s">
        <v>233</v>
      </c>
      <c r="L5" s="174" t="s">
        <v>237</v>
      </c>
      <c r="M5" s="174">
        <v>-6.39</v>
      </c>
      <c r="N5" s="199">
        <v>131.47999999999999</v>
      </c>
      <c r="O5" s="190">
        <f>Tabela9[[#This Row],[Swap]]+Tabela9[[#This Row],[Profit]]</f>
        <v>125.08999999999999</v>
      </c>
    </row>
    <row r="6" spans="1:16">
      <c r="A6" s="189"/>
      <c r="B6" s="189"/>
      <c r="C6" s="189" t="s">
        <v>238</v>
      </c>
      <c r="D6" s="189"/>
      <c r="E6" s="174" t="s">
        <v>240</v>
      </c>
      <c r="F6" s="189"/>
      <c r="G6" s="189"/>
      <c r="H6" s="189"/>
      <c r="I6" s="189"/>
      <c r="J6" s="174"/>
      <c r="K6" s="178" t="s">
        <v>236</v>
      </c>
      <c r="L6" s="174" t="s">
        <v>237</v>
      </c>
      <c r="M6" s="174">
        <v>-13.91</v>
      </c>
      <c r="N6" s="194">
        <v>763.67</v>
      </c>
      <c r="O6" s="190">
        <f>Tabela9[[#This Row],[Swap]]+Tabela9[[#This Row],[Profit]]</f>
        <v>749.76</v>
      </c>
    </row>
    <row r="7" spans="1:16">
      <c r="A7" s="179"/>
      <c r="B7" s="185"/>
      <c r="C7" s="178" t="s">
        <v>225</v>
      </c>
      <c r="D7" s="178"/>
      <c r="E7" s="178" t="s">
        <v>235</v>
      </c>
      <c r="F7" s="178"/>
      <c r="G7" s="178"/>
      <c r="H7" s="178"/>
      <c r="I7" s="185"/>
      <c r="J7" s="178"/>
      <c r="K7" s="178" t="s">
        <v>233</v>
      </c>
      <c r="L7" s="178" t="s">
        <v>234</v>
      </c>
      <c r="M7" s="178">
        <v>-2.1800000000000002</v>
      </c>
      <c r="N7" s="186">
        <v>-67.13</v>
      </c>
      <c r="O7" s="190">
        <f>Tabela9[[#This Row],[Swap]]+Tabela9[[#This Row],[Profit]]</f>
        <v>-69.31</v>
      </c>
    </row>
    <row r="8" spans="1:16">
      <c r="A8" s="176"/>
      <c r="B8" s="176"/>
      <c r="C8" s="176" t="s">
        <v>225</v>
      </c>
      <c r="D8" s="176"/>
      <c r="E8" s="176" t="s">
        <v>239</v>
      </c>
      <c r="F8" s="176"/>
      <c r="G8" s="176"/>
      <c r="H8" s="176"/>
      <c r="I8" s="176"/>
      <c r="J8" s="175"/>
      <c r="K8" s="178" t="s">
        <v>236</v>
      </c>
      <c r="L8" s="178" t="s">
        <v>234</v>
      </c>
      <c r="M8" s="178">
        <v>0</v>
      </c>
      <c r="N8" s="186">
        <v>-264.48</v>
      </c>
      <c r="O8" s="190">
        <f>Tabela9[[#This Row],[Swap]]+Tabela9[[#This Row],[Profit]]</f>
        <v>-264.48</v>
      </c>
    </row>
    <row r="9" spans="1:16">
      <c r="A9" s="189"/>
      <c r="B9" s="197"/>
      <c r="C9" s="174" t="s">
        <v>225</v>
      </c>
      <c r="D9" s="174"/>
      <c r="E9" s="174" t="s">
        <v>241</v>
      </c>
      <c r="F9" s="198"/>
      <c r="G9" s="198"/>
      <c r="H9" s="174"/>
      <c r="I9" s="197"/>
      <c r="J9" s="198"/>
      <c r="K9" s="178" t="s">
        <v>233</v>
      </c>
      <c r="L9" s="174" t="s">
        <v>234</v>
      </c>
      <c r="M9" s="174">
        <v>-0.86</v>
      </c>
      <c r="N9" s="194">
        <v>-67.2</v>
      </c>
      <c r="O9" s="190">
        <f>Tabela9[[#This Row],[Swap]]+Tabela9[[#This Row],[Profit]]</f>
        <v>-68.06</v>
      </c>
    </row>
    <row r="10" spans="1:16">
      <c r="A10" s="189"/>
      <c r="B10" s="189"/>
      <c r="C10" s="189" t="s">
        <v>238</v>
      </c>
      <c r="D10" s="189"/>
      <c r="E10" s="189" t="s">
        <v>191</v>
      </c>
      <c r="F10" s="189"/>
      <c r="G10" s="189"/>
      <c r="H10" s="189"/>
      <c r="I10" s="189"/>
      <c r="J10" s="174"/>
      <c r="K10" s="178" t="s">
        <v>236</v>
      </c>
      <c r="L10" s="174" t="s">
        <v>234</v>
      </c>
      <c r="M10" s="174">
        <v>-2.33</v>
      </c>
      <c r="N10" s="199">
        <v>-289.99</v>
      </c>
      <c r="O10" s="190">
        <f>Tabela9[[#This Row],[Swap]]+Tabela9[[#This Row],[Profit]]</f>
        <v>-292.32</v>
      </c>
    </row>
    <row r="11" spans="1:16">
      <c r="A11" s="179"/>
      <c r="B11" s="185"/>
      <c r="C11" s="178" t="s">
        <v>225</v>
      </c>
      <c r="D11" s="178"/>
      <c r="E11" s="178" t="s">
        <v>242</v>
      </c>
      <c r="F11" s="178"/>
      <c r="G11" s="178"/>
      <c r="H11" s="178"/>
      <c r="I11" s="185"/>
      <c r="J11" s="178"/>
      <c r="K11" s="178" t="s">
        <v>233</v>
      </c>
      <c r="L11" s="178" t="s">
        <v>234</v>
      </c>
      <c r="M11" s="174">
        <v>-0.8</v>
      </c>
      <c r="N11" s="194">
        <v>-117.08</v>
      </c>
      <c r="O11" s="190">
        <f>Tabela9[[#This Row],[Swap]]+Tabela9[[#This Row],[Profit]]</f>
        <v>-117.88</v>
      </c>
    </row>
    <row r="12" spans="1:16">
      <c r="A12" s="176"/>
      <c r="B12" s="176"/>
      <c r="C12" s="176" t="s">
        <v>238</v>
      </c>
      <c r="D12" s="176"/>
      <c r="E12" s="176" t="s">
        <v>240</v>
      </c>
      <c r="F12" s="176"/>
      <c r="G12" s="176"/>
      <c r="H12" s="176"/>
      <c r="I12" s="176"/>
      <c r="J12" s="175"/>
      <c r="K12" s="178" t="s">
        <v>233</v>
      </c>
      <c r="L12" s="178" t="s">
        <v>234</v>
      </c>
      <c r="M12" s="178">
        <v>-2.78</v>
      </c>
      <c r="N12" s="186">
        <v>-2.94</v>
      </c>
      <c r="O12" s="190">
        <f>Tabela9[[#This Row],[Swap]]+Tabela9[[#This Row],[Profit]]</f>
        <v>-5.72</v>
      </c>
    </row>
    <row r="13" spans="1:16">
      <c r="A13" s="189"/>
      <c r="B13" s="197"/>
      <c r="C13" s="174" t="s">
        <v>225</v>
      </c>
      <c r="D13" s="174"/>
      <c r="E13" s="174" t="s">
        <v>239</v>
      </c>
      <c r="F13" s="174"/>
      <c r="G13" s="174"/>
      <c r="H13" s="174"/>
      <c r="I13" s="197"/>
      <c r="J13" s="174"/>
      <c r="K13" s="178" t="s">
        <v>243</v>
      </c>
      <c r="L13" s="174" t="s">
        <v>234</v>
      </c>
      <c r="M13" s="174">
        <v>-33.64</v>
      </c>
      <c r="N13" s="199">
        <v>-414</v>
      </c>
      <c r="O13" s="190">
        <f>Tabela9[[#This Row],[Swap]]+Tabela9[[#This Row],[Profit]]</f>
        <v>-447.64</v>
      </c>
    </row>
    <row r="14" spans="1:16">
      <c r="A14" s="189"/>
      <c r="B14" s="189"/>
      <c r="C14" s="189" t="s">
        <v>238</v>
      </c>
      <c r="D14" s="189"/>
      <c r="E14" s="189" t="s">
        <v>240</v>
      </c>
      <c r="F14" s="189"/>
      <c r="G14" s="189"/>
      <c r="H14" s="189"/>
      <c r="I14" s="189"/>
      <c r="J14" s="174"/>
      <c r="K14" s="178" t="s">
        <v>233</v>
      </c>
      <c r="L14" s="174" t="s">
        <v>234</v>
      </c>
      <c r="M14" s="174"/>
      <c r="N14" s="194">
        <v>-60.52</v>
      </c>
      <c r="O14" s="190">
        <f>Tabela9[[#This Row],[Swap]]+Tabela9[[#This Row],[Profit]]</f>
        <v>-60.52</v>
      </c>
    </row>
    <row r="15" spans="1:16">
      <c r="A15" s="179"/>
      <c r="B15" s="185"/>
      <c r="C15" s="178" t="s">
        <v>238</v>
      </c>
      <c r="D15" s="178"/>
      <c r="E15" s="178" t="s">
        <v>240</v>
      </c>
      <c r="F15" s="202"/>
      <c r="G15" s="202"/>
      <c r="H15" s="178"/>
      <c r="I15" s="185"/>
      <c r="J15" s="202"/>
      <c r="K15" s="178" t="s">
        <v>243</v>
      </c>
      <c r="L15" s="178" t="s">
        <v>234</v>
      </c>
      <c r="M15" s="178">
        <v>-26.26</v>
      </c>
      <c r="N15" s="186">
        <v>-202.27</v>
      </c>
      <c r="O15" s="190">
        <f>Tabela9[[#This Row],[Swap]]+Tabela9[[#This Row],[Profit]]</f>
        <v>-228.53</v>
      </c>
    </row>
    <row r="16" spans="1:16">
      <c r="A16" s="176"/>
      <c r="B16" s="176"/>
      <c r="C16" s="176" t="s">
        <v>225</v>
      </c>
      <c r="D16" s="176"/>
      <c r="E16" s="176" t="s">
        <v>235</v>
      </c>
      <c r="F16" s="176"/>
      <c r="G16" s="176"/>
      <c r="H16" s="176"/>
      <c r="I16" s="176"/>
      <c r="J16" s="175"/>
      <c r="K16" s="178" t="s">
        <v>236</v>
      </c>
      <c r="L16" s="178" t="s">
        <v>234</v>
      </c>
      <c r="M16" s="178">
        <v>-2.44</v>
      </c>
      <c r="N16" s="194">
        <v>-74.25</v>
      </c>
      <c r="O16" s="190">
        <f>Tabela9[[#This Row],[Swap]]+Tabela9[[#This Row],[Profit]]</f>
        <v>-76.69</v>
      </c>
    </row>
    <row r="17" spans="1:15">
      <c r="A17" s="204"/>
      <c r="B17" s="205"/>
      <c r="C17" s="206"/>
      <c r="D17" s="206"/>
      <c r="E17" s="206"/>
      <c r="F17" s="207"/>
      <c r="G17" s="207"/>
      <c r="H17" s="206"/>
      <c r="I17" s="205"/>
      <c r="J17" s="207"/>
      <c r="K17" s="178"/>
      <c r="L17" s="206"/>
      <c r="M17" s="206"/>
      <c r="N17" s="209"/>
      <c r="O17" s="210">
        <f>Tabela9[[#This Row],[Swap]]+Tabela9[[#This Row],[Profit]]</f>
        <v>0</v>
      </c>
    </row>
    <row r="18" spans="1:15">
      <c r="A18" s="204"/>
      <c r="B18" s="204"/>
      <c r="C18" s="204"/>
      <c r="D18" s="204"/>
      <c r="E18" s="204"/>
      <c r="F18" s="204"/>
      <c r="G18" s="204"/>
      <c r="H18" s="204"/>
      <c r="I18" s="204"/>
      <c r="J18" s="206"/>
      <c r="K18" s="178"/>
      <c r="L18" s="206"/>
      <c r="M18" s="206"/>
      <c r="N18" s="212"/>
      <c r="O18" s="210">
        <f>Tabela9[[#This Row],[Swap]]+Tabela9[[#This Row],[Profit]]</f>
        <v>0</v>
      </c>
    </row>
    <row r="19" spans="1:15">
      <c r="A19" s="213"/>
      <c r="B19" s="214"/>
      <c r="C19" s="208"/>
      <c r="D19" s="208"/>
      <c r="E19" s="208"/>
      <c r="F19" s="218"/>
      <c r="G19" s="218"/>
      <c r="H19" s="208"/>
      <c r="I19" s="214"/>
      <c r="J19" s="218"/>
      <c r="K19" s="178"/>
      <c r="L19" s="208"/>
      <c r="M19" s="208"/>
      <c r="N19" s="215"/>
      <c r="O19" s="210">
        <f>Tabela9[[#This Row],[Swap]]+Tabela9[[#This Row],[Profit]]</f>
        <v>0</v>
      </c>
    </row>
    <row r="20" spans="1:15">
      <c r="A20" s="216"/>
      <c r="B20" s="216"/>
      <c r="C20" s="216"/>
      <c r="D20" s="216"/>
      <c r="E20" s="216"/>
      <c r="F20" s="216"/>
      <c r="G20" s="216"/>
      <c r="H20" s="216"/>
      <c r="I20" s="216"/>
      <c r="J20" s="217"/>
      <c r="K20" s="178"/>
      <c r="L20" s="208"/>
      <c r="M20" s="208"/>
      <c r="N20" s="212"/>
      <c r="O20" s="210">
        <f>Tabela9[[#This Row],[Swap]]+Tabela9[[#This Row],[Profit]]</f>
        <v>0</v>
      </c>
    </row>
    <row r="21" spans="1:15">
      <c r="A21" s="204"/>
      <c r="B21" s="205"/>
      <c r="C21" s="206"/>
      <c r="D21" s="206"/>
      <c r="E21" s="206"/>
      <c r="F21" s="207"/>
      <c r="G21" s="207"/>
      <c r="H21" s="206"/>
      <c r="I21" s="205"/>
      <c r="J21" s="207"/>
      <c r="K21" s="208"/>
      <c r="L21" s="206"/>
      <c r="M21" s="206"/>
      <c r="N21" s="209"/>
      <c r="O21" s="210">
        <f>Tabela9[[#This Row],[Swap]]+Tabela9[[#This Row],[Profit]]</f>
        <v>0</v>
      </c>
    </row>
    <row r="22" spans="1:15">
      <c r="A22" s="159"/>
      <c r="B22" s="159"/>
      <c r="C22" s="159"/>
      <c r="D22" s="159"/>
      <c r="E22" s="159"/>
      <c r="F22" s="159"/>
      <c r="G22" s="159"/>
      <c r="H22" s="159"/>
      <c r="I22" s="159"/>
      <c r="J22" s="161"/>
      <c r="K22" s="163"/>
      <c r="L22" s="161"/>
      <c r="M22" s="161"/>
      <c r="N22" s="193"/>
    </row>
    <row r="23" spans="1:15">
      <c r="A23" s="177"/>
      <c r="B23" s="162"/>
      <c r="C23" s="163"/>
      <c r="D23" s="163"/>
      <c r="E23" s="163"/>
      <c r="F23" s="163"/>
      <c r="G23" s="163"/>
      <c r="H23" s="163"/>
      <c r="I23" s="162"/>
      <c r="J23" s="163"/>
      <c r="K23" s="163"/>
      <c r="L23" s="163"/>
      <c r="M23" s="163"/>
      <c r="N23" s="172"/>
    </row>
    <row r="24" spans="1:15">
      <c r="A24" s="167"/>
      <c r="B24" s="167"/>
      <c r="C24" s="167"/>
      <c r="D24" s="167"/>
      <c r="E24" s="167"/>
      <c r="F24" s="167"/>
      <c r="G24" s="167"/>
      <c r="H24" s="167"/>
      <c r="I24" s="167"/>
      <c r="J24" s="165"/>
      <c r="K24" s="161"/>
      <c r="L24" s="163"/>
      <c r="M24" s="163"/>
      <c r="N24" s="193"/>
    </row>
    <row r="25" spans="1:15">
      <c r="A25" s="159"/>
      <c r="B25" s="160"/>
      <c r="C25" s="161"/>
      <c r="D25" s="161"/>
      <c r="E25" s="161"/>
      <c r="F25" s="166"/>
      <c r="G25" s="166"/>
      <c r="H25" s="161"/>
      <c r="I25" s="160"/>
      <c r="J25" s="166"/>
      <c r="K25" s="161"/>
      <c r="L25" s="161"/>
      <c r="M25" s="161"/>
      <c r="N25" s="173"/>
    </row>
    <row r="26" spans="1:15">
      <c r="A26" s="159"/>
      <c r="B26" s="159"/>
      <c r="C26" s="159"/>
      <c r="D26" s="159"/>
      <c r="E26" s="159"/>
      <c r="F26" s="159"/>
      <c r="G26" s="159"/>
      <c r="H26" s="159"/>
      <c r="I26" s="159"/>
      <c r="J26" s="161"/>
      <c r="K26" s="163"/>
      <c r="L26" s="161"/>
      <c r="M26" s="161"/>
      <c r="N26" s="193"/>
    </row>
    <row r="27" spans="1:15">
      <c r="A27" s="177"/>
      <c r="B27" s="162"/>
      <c r="C27" s="163"/>
      <c r="D27" s="163"/>
      <c r="E27" s="163"/>
      <c r="F27" s="163"/>
      <c r="G27" s="163"/>
      <c r="H27" s="163"/>
      <c r="I27" s="162"/>
      <c r="J27" s="163"/>
      <c r="K27" s="163"/>
      <c r="L27" s="163"/>
      <c r="M27" s="163"/>
      <c r="N27" s="172"/>
    </row>
    <row r="28" spans="1:15">
      <c r="A28" s="167"/>
      <c r="B28" s="167"/>
      <c r="C28" s="167"/>
      <c r="D28" s="167"/>
      <c r="E28" s="167"/>
      <c r="F28" s="167"/>
      <c r="G28" s="167"/>
      <c r="H28" s="167"/>
      <c r="I28" s="167"/>
      <c r="J28" s="165"/>
      <c r="K28" s="161"/>
      <c r="L28" s="163"/>
      <c r="M28" s="163"/>
      <c r="N28" s="193"/>
    </row>
    <row r="29" spans="1:15">
      <c r="A29" s="159"/>
      <c r="B29" s="160"/>
      <c r="C29" s="161"/>
      <c r="D29" s="161"/>
      <c r="E29" s="161"/>
      <c r="F29" s="166"/>
      <c r="G29" s="166"/>
      <c r="H29" s="161"/>
      <c r="I29" s="160"/>
      <c r="J29" s="166"/>
      <c r="K29" s="161"/>
      <c r="L29" s="161"/>
      <c r="M29" s="161"/>
      <c r="N29" s="173"/>
    </row>
    <row r="30" spans="1:15">
      <c r="A30" s="159"/>
      <c r="B30" s="159"/>
      <c r="C30" s="159"/>
      <c r="D30" s="159"/>
      <c r="E30" s="159"/>
      <c r="F30" s="159"/>
      <c r="G30" s="159"/>
      <c r="H30" s="159"/>
      <c r="I30" s="159"/>
      <c r="J30" s="161"/>
      <c r="K30" s="163"/>
      <c r="L30" s="161"/>
      <c r="M30" s="161"/>
      <c r="N30" s="193"/>
    </row>
    <row r="31" spans="1:15">
      <c r="A31" s="177"/>
      <c r="B31" s="162"/>
      <c r="C31" s="163"/>
      <c r="D31" s="163"/>
      <c r="E31" s="163"/>
      <c r="F31" s="164"/>
      <c r="G31" s="164"/>
      <c r="H31" s="163"/>
      <c r="I31" s="162"/>
      <c r="J31" s="164"/>
      <c r="K31" s="163"/>
      <c r="L31" s="163"/>
      <c r="M31" s="163"/>
      <c r="N31" s="172"/>
    </row>
    <row r="32" spans="1:15">
      <c r="A32" s="167"/>
      <c r="B32" s="167"/>
      <c r="C32" s="167"/>
      <c r="D32" s="167"/>
      <c r="E32" s="167"/>
      <c r="F32" s="167"/>
      <c r="G32" s="167"/>
      <c r="H32" s="167"/>
      <c r="I32" s="167"/>
      <c r="J32" s="165"/>
      <c r="K32" s="161"/>
      <c r="L32" s="163"/>
      <c r="M32" s="163"/>
      <c r="N32" s="193"/>
    </row>
    <row r="33" spans="1:14">
      <c r="A33" s="159"/>
      <c r="B33" s="160"/>
      <c r="C33" s="161"/>
      <c r="D33" s="161"/>
      <c r="E33" s="161"/>
      <c r="F33" s="166"/>
      <c r="G33" s="166"/>
      <c r="H33" s="161"/>
      <c r="I33" s="160"/>
      <c r="J33" s="166"/>
      <c r="K33" s="161"/>
      <c r="L33" s="161"/>
      <c r="M33" s="161"/>
      <c r="N33" s="173"/>
    </row>
    <row r="34" spans="1:14">
      <c r="A34" s="159"/>
      <c r="B34" s="159"/>
      <c r="C34" s="159"/>
      <c r="D34" s="159"/>
      <c r="E34" s="159"/>
      <c r="F34" s="159"/>
      <c r="G34" s="159"/>
      <c r="H34" s="159"/>
      <c r="I34" s="159"/>
      <c r="J34" s="161"/>
      <c r="K34" s="163"/>
      <c r="L34" s="161"/>
      <c r="M34" s="161"/>
      <c r="N34" s="193"/>
    </row>
    <row r="35" spans="1:14">
      <c r="A35" s="177"/>
      <c r="B35" s="162"/>
      <c r="C35" s="163"/>
      <c r="D35" s="163"/>
      <c r="E35" s="163"/>
      <c r="F35" s="164"/>
      <c r="G35" s="164"/>
      <c r="H35" s="163"/>
      <c r="I35" s="162"/>
      <c r="J35" s="164"/>
      <c r="K35" s="163"/>
      <c r="L35" s="163"/>
      <c r="M35" s="163"/>
      <c r="N35" s="172"/>
    </row>
    <row r="36" spans="1:14">
      <c r="A36" s="167"/>
      <c r="B36" s="167"/>
      <c r="C36" s="167"/>
      <c r="D36" s="167"/>
      <c r="E36" s="167"/>
      <c r="F36" s="167"/>
      <c r="G36" s="167"/>
      <c r="H36" s="167"/>
      <c r="I36" s="167"/>
      <c r="J36" s="165"/>
      <c r="K36" s="161"/>
      <c r="L36" s="163"/>
      <c r="M36" s="163"/>
      <c r="N36" s="193"/>
    </row>
    <row r="37" spans="1:14">
      <c r="A37" s="159"/>
      <c r="B37" s="160"/>
      <c r="C37" s="161"/>
      <c r="D37" s="161"/>
      <c r="E37" s="161"/>
      <c r="F37" s="166"/>
      <c r="G37" s="166"/>
      <c r="H37" s="161"/>
      <c r="I37" s="160"/>
      <c r="J37" s="166"/>
      <c r="K37" s="161"/>
      <c r="L37" s="161"/>
      <c r="M37" s="161"/>
      <c r="N37" s="173"/>
    </row>
    <row r="38" spans="1:14">
      <c r="A38" s="159"/>
      <c r="B38" s="159"/>
      <c r="C38" s="159"/>
      <c r="D38" s="159"/>
      <c r="E38" s="159"/>
      <c r="F38" s="159"/>
      <c r="G38" s="159"/>
      <c r="H38" s="159"/>
      <c r="I38" s="159"/>
      <c r="J38" s="161"/>
      <c r="K38" s="163"/>
      <c r="L38" s="161"/>
      <c r="M38" s="161"/>
      <c r="N38" s="193"/>
    </row>
    <row r="39" spans="1:14">
      <c r="A39" s="177"/>
      <c r="B39" s="162"/>
      <c r="C39" s="163"/>
      <c r="D39" s="163"/>
      <c r="E39" s="163"/>
      <c r="F39" s="164"/>
      <c r="G39" s="164"/>
      <c r="H39" s="163"/>
      <c r="I39" s="162"/>
      <c r="J39" s="164"/>
      <c r="K39" s="163"/>
      <c r="L39" s="163"/>
      <c r="M39" s="163"/>
      <c r="N39" s="172"/>
    </row>
    <row r="40" spans="1:14">
      <c r="A40" s="167"/>
      <c r="B40" s="167"/>
      <c r="C40" s="167"/>
      <c r="D40" s="167"/>
      <c r="E40" s="167"/>
      <c r="F40" s="167"/>
      <c r="G40" s="167"/>
      <c r="H40" s="167"/>
      <c r="I40" s="167"/>
      <c r="J40" s="165"/>
      <c r="K40" s="161"/>
      <c r="L40" s="163"/>
      <c r="M40" s="163"/>
      <c r="N40" s="193"/>
    </row>
    <row r="41" spans="1:14">
      <c r="A41" s="159"/>
      <c r="B41" s="160"/>
      <c r="C41" s="161"/>
      <c r="D41" s="161"/>
      <c r="E41" s="161"/>
      <c r="F41" s="166"/>
      <c r="G41" s="166"/>
      <c r="H41" s="161"/>
      <c r="I41" s="160"/>
      <c r="J41" s="166"/>
      <c r="K41" s="195"/>
      <c r="L41" s="161"/>
      <c r="M41" s="161"/>
      <c r="N41" s="173"/>
    </row>
    <row r="42" spans="1:14">
      <c r="A42" s="159"/>
      <c r="B42" s="159"/>
      <c r="C42" s="159"/>
      <c r="D42" s="159"/>
      <c r="E42" s="159"/>
      <c r="F42" s="159"/>
      <c r="G42" s="159"/>
      <c r="H42" s="159"/>
      <c r="I42" s="159"/>
      <c r="J42" s="161"/>
      <c r="K42" s="192"/>
      <c r="L42" s="195"/>
      <c r="M42" s="195"/>
      <c r="N42" s="193"/>
    </row>
    <row r="43" spans="1:14">
      <c r="A43" s="177"/>
      <c r="B43" s="162"/>
      <c r="C43" s="163"/>
      <c r="D43" s="163"/>
      <c r="E43" s="163"/>
      <c r="F43" s="164"/>
      <c r="G43" s="164"/>
      <c r="H43" s="163"/>
      <c r="I43" s="162"/>
      <c r="J43" s="164"/>
      <c r="L43" s="192"/>
      <c r="M43" s="192"/>
      <c r="N43" s="172"/>
    </row>
    <row r="44" spans="1:14">
      <c r="A44" s="167"/>
      <c r="B44" s="167"/>
      <c r="C44" s="167"/>
      <c r="D44" s="167"/>
      <c r="E44" s="167"/>
      <c r="F44" s="167"/>
      <c r="G44" s="167"/>
      <c r="H44" s="167"/>
      <c r="I44" s="167"/>
      <c r="J44" s="165"/>
      <c r="N44" s="193"/>
    </row>
    <row r="45" spans="1:14">
      <c r="A45" s="159"/>
      <c r="B45" s="160"/>
      <c r="C45" s="161"/>
      <c r="D45" s="161"/>
      <c r="E45" s="161"/>
      <c r="F45" s="161"/>
      <c r="G45" s="161"/>
      <c r="H45" s="161"/>
      <c r="I45" s="160"/>
      <c r="J45" s="161"/>
      <c r="N45" s="173"/>
    </row>
    <row r="46" spans="1:14">
      <c r="A46" s="159"/>
      <c r="B46" s="159"/>
      <c r="C46" s="159"/>
      <c r="D46" s="159"/>
      <c r="E46" s="159"/>
      <c r="F46" s="159"/>
      <c r="G46" s="159"/>
      <c r="H46" s="159"/>
      <c r="I46" s="159"/>
      <c r="J46" s="161"/>
      <c r="N46" s="193"/>
    </row>
    <row r="47" spans="1:14">
      <c r="A47" s="229"/>
      <c r="B47" s="229"/>
      <c r="C47" s="229"/>
      <c r="D47" s="229"/>
      <c r="E47" s="229"/>
      <c r="F47" s="229"/>
      <c r="G47" s="229"/>
      <c r="H47" s="229"/>
      <c r="I47" s="229"/>
      <c r="J47" s="229"/>
      <c r="N47" s="196"/>
    </row>
    <row r="85" spans="17:18">
      <c r="Q85" s="184">
        <v>-13.96</v>
      </c>
      <c r="R85" s="203">
        <v>-594.52</v>
      </c>
    </row>
    <row r="86" spans="17:18">
      <c r="Q86" s="163"/>
      <c r="R86" s="172">
        <v>-299.45</v>
      </c>
    </row>
    <row r="87" spans="17:18">
      <c r="Q87" s="163"/>
      <c r="R87" s="193">
        <v>-401.33</v>
      </c>
    </row>
    <row r="88" spans="17:18">
      <c r="Q88" s="161"/>
      <c r="R88" s="173">
        <v>-194.7</v>
      </c>
    </row>
    <row r="89" spans="17:18">
      <c r="Q89" s="161"/>
      <c r="R89" s="193">
        <v>-461.63</v>
      </c>
    </row>
    <row r="90" spans="17:18">
      <c r="Q90" s="163">
        <v>-64.61</v>
      </c>
      <c r="R90" s="172">
        <v>1060.2</v>
      </c>
    </row>
  </sheetData>
  <mergeCells count="1">
    <mergeCell ref="A47:J47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12"/>
  <dimension ref="A1:V94"/>
  <sheetViews>
    <sheetView workbookViewId="0">
      <selection activeCell="G18" sqref="G18"/>
    </sheetView>
  </sheetViews>
  <sheetFormatPr defaultRowHeight="12"/>
  <cols>
    <col min="1" max="1" width="10.5703125" style="180" bestFit="1" customWidth="1"/>
    <col min="2" max="2" width="8.42578125" style="180" customWidth="1"/>
    <col min="3" max="3" width="8.85546875" style="180" customWidth="1"/>
    <col min="4" max="5" width="9.7109375" style="180" customWidth="1"/>
    <col min="6" max="6" width="11.5703125" style="180" customWidth="1"/>
    <col min="7" max="8" width="13.42578125" style="180" customWidth="1"/>
    <col min="9" max="9" width="3" style="180" bestFit="1" customWidth="1"/>
    <col min="10" max="10" width="11.28515625" style="181" bestFit="1" customWidth="1"/>
    <col min="11" max="11" width="6.7109375" style="182" bestFit="1" customWidth="1"/>
    <col min="12" max="12" width="11" style="183" bestFit="1" customWidth="1"/>
    <col min="13" max="13" width="2.85546875" style="180" customWidth="1"/>
    <col min="14" max="14" width="9.140625" style="183" bestFit="1" customWidth="1"/>
    <col min="15" max="15" width="8" style="180" bestFit="1" customWidth="1"/>
    <col min="16" max="16" width="9.140625" style="180"/>
    <col min="17" max="17" width="6.42578125" style="180" bestFit="1" customWidth="1"/>
    <col min="18" max="19" width="16.5703125" style="180" bestFit="1" customWidth="1"/>
    <col min="20" max="20" width="12.28515625" style="180" bestFit="1" customWidth="1"/>
    <col min="21" max="22" width="12.140625" style="180" bestFit="1" customWidth="1"/>
    <col min="23" max="16384" width="9.140625" style="180"/>
  </cols>
  <sheetData>
    <row r="1" spans="1:22">
      <c r="A1" s="221" t="s">
        <v>197</v>
      </c>
      <c r="B1" s="222" t="s">
        <v>233</v>
      </c>
    </row>
    <row r="2" spans="1:22">
      <c r="Q2" s="188" t="s">
        <v>220</v>
      </c>
      <c r="R2" s="188" t="s">
        <v>221</v>
      </c>
      <c r="S2" s="188" t="s">
        <v>222</v>
      </c>
      <c r="T2" s="188" t="s">
        <v>223</v>
      </c>
    </row>
    <row r="3" spans="1:22" ht="12.75">
      <c r="A3" s="222"/>
      <c r="B3" s="221" t="s">
        <v>202</v>
      </c>
      <c r="C3" s="222"/>
      <c r="D3" s="222"/>
      <c r="E3" s="222"/>
      <c r="F3" s="222"/>
      <c r="G3" s="222"/>
      <c r="H3"/>
      <c r="J3" s="181">
        <v>29397.9</v>
      </c>
      <c r="N3" s="181">
        <v>100</v>
      </c>
      <c r="O3" s="182"/>
      <c r="P3" s="183"/>
      <c r="Q3" s="187">
        <v>41760</v>
      </c>
      <c r="R3" s="181">
        <v>30023.86</v>
      </c>
      <c r="S3" s="181">
        <v>29986.69</v>
      </c>
      <c r="T3" s="182">
        <f>(S3-R3)/R3</f>
        <v>-1.2380153651130098E-3</v>
      </c>
      <c r="U3" s="183">
        <v>100</v>
      </c>
      <c r="V3" s="219">
        <f>U3*(1+T3)</f>
        <v>99.876198463488691</v>
      </c>
    </row>
    <row r="4" spans="1:22" ht="12.75">
      <c r="A4" s="221" t="s">
        <v>211</v>
      </c>
      <c r="B4" s="222" t="s">
        <v>207</v>
      </c>
      <c r="C4" s="222" t="s">
        <v>216</v>
      </c>
      <c r="D4" s="222" t="s">
        <v>208</v>
      </c>
      <c r="E4" s="222" t="s">
        <v>217</v>
      </c>
      <c r="F4" s="222" t="s">
        <v>218</v>
      </c>
      <c r="G4" s="222" t="s">
        <v>219</v>
      </c>
      <c r="H4"/>
      <c r="I4" s="180" t="s">
        <v>209</v>
      </c>
      <c r="J4" s="181">
        <v>0</v>
      </c>
      <c r="K4" s="182">
        <f>J4/$J$3</f>
        <v>0</v>
      </c>
      <c r="L4" s="183">
        <f>J4*40%</f>
        <v>0</v>
      </c>
      <c r="N4" s="181">
        <f>$N$3*K4</f>
        <v>0</v>
      </c>
      <c r="O4" s="183">
        <f>N4*40%</f>
        <v>0</v>
      </c>
      <c r="Q4" s="187">
        <v>41791</v>
      </c>
      <c r="R4" s="183">
        <f>S3</f>
        <v>29986.69</v>
      </c>
      <c r="S4" s="183">
        <v>26717.360000000001</v>
      </c>
      <c r="T4" s="182">
        <f>(S4-R4)/R4</f>
        <v>-0.10902603788547513</v>
      </c>
      <c r="U4" s="183">
        <f>V3+100</f>
        <v>199.87619846348869</v>
      </c>
      <c r="V4" s="219">
        <f>U4*(1+T4)</f>
        <v>178.08448847740362</v>
      </c>
    </row>
    <row r="5" spans="1:22" ht="12.75">
      <c r="A5" s="223" t="s">
        <v>239</v>
      </c>
      <c r="B5" s="224">
        <v>1</v>
      </c>
      <c r="C5" s="225">
        <v>-6.39</v>
      </c>
      <c r="D5" s="225">
        <v>131.47999999999999</v>
      </c>
      <c r="E5" s="225">
        <v>125.08999999999999</v>
      </c>
      <c r="F5" s="225">
        <v>125.08999999999999</v>
      </c>
      <c r="G5" s="225" t="e">
        <v>#DIV/0!</v>
      </c>
      <c r="H5"/>
      <c r="I5" s="180" t="s">
        <v>214</v>
      </c>
      <c r="J5" s="181">
        <v>716.39</v>
      </c>
      <c r="K5" s="182">
        <f>J5/$J$3</f>
        <v>2.4368747427537338E-2</v>
      </c>
      <c r="L5" s="183">
        <f>J5*40%</f>
        <v>286.55599999999998</v>
      </c>
      <c r="N5" s="181">
        <f>$N$3*K5</f>
        <v>2.4368747427537341</v>
      </c>
      <c r="O5" s="183">
        <f>N5*40%</f>
        <v>0.97474989710149362</v>
      </c>
      <c r="Q5" s="187">
        <v>41821</v>
      </c>
      <c r="R5" s="183">
        <f>S4</f>
        <v>26717.360000000001</v>
      </c>
      <c r="S5" s="183">
        <v>29397.9</v>
      </c>
      <c r="T5" s="182">
        <f>(S5-R5)/R5</f>
        <v>0.10032952357568266</v>
      </c>
      <c r="U5" s="183">
        <f>V4+100</f>
        <v>278.08448847740362</v>
      </c>
      <c r="V5" s="219">
        <f>U5*(1+T5)</f>
        <v>305.98457272012894</v>
      </c>
    </row>
    <row r="6" spans="1:22" ht="12.75">
      <c r="A6" s="223" t="s">
        <v>242</v>
      </c>
      <c r="B6" s="224">
        <v>1</v>
      </c>
      <c r="C6" s="225">
        <v>-0.8</v>
      </c>
      <c r="D6" s="225">
        <v>-117.08</v>
      </c>
      <c r="E6" s="225">
        <v>-117.88</v>
      </c>
      <c r="F6" s="225">
        <v>-117.88</v>
      </c>
      <c r="G6" s="225" t="e">
        <v>#DIV/0!</v>
      </c>
      <c r="H6"/>
      <c r="I6" s="180" t="s">
        <v>215</v>
      </c>
      <c r="J6" s="181">
        <v>0</v>
      </c>
      <c r="K6" s="182">
        <f>J6/$J$3</f>
        <v>0</v>
      </c>
      <c r="L6" s="183">
        <f>J6*40%</f>
        <v>0</v>
      </c>
      <c r="N6" s="181">
        <f>$N$3*K6</f>
        <v>0</v>
      </c>
      <c r="O6" s="183">
        <f>N6*40%</f>
        <v>0</v>
      </c>
      <c r="Q6" s="187">
        <v>41852</v>
      </c>
      <c r="R6" s="183">
        <f t="shared" ref="R6:R14" si="0">S5+100</f>
        <v>29497.9</v>
      </c>
      <c r="S6" s="183">
        <f>J9</f>
        <v>30114.29</v>
      </c>
      <c r="T6" s="182">
        <f>(S6-R6)/R6</f>
        <v>2.0896063787591637E-2</v>
      </c>
      <c r="U6" s="183">
        <f t="shared" ref="U6:U62" si="1">V5+100</f>
        <v>405.98457272012894</v>
      </c>
      <c r="V6" s="219">
        <f t="shared" ref="V6:V25" si="2">U6*(1+T6)</f>
        <v>414.4680522484669</v>
      </c>
    </row>
    <row r="7" spans="1:22" ht="12.75">
      <c r="A7" s="223" t="s">
        <v>241</v>
      </c>
      <c r="B7" s="224">
        <v>1</v>
      </c>
      <c r="C7" s="225">
        <v>-0.86</v>
      </c>
      <c r="D7" s="225">
        <v>-67.2</v>
      </c>
      <c r="E7" s="225">
        <v>-68.06</v>
      </c>
      <c r="F7" s="225">
        <v>-68.06</v>
      </c>
      <c r="G7" s="225" t="e">
        <v>#DIV/0!</v>
      </c>
      <c r="H7"/>
      <c r="N7" s="181">
        <f>$N$3*K8</f>
        <v>2.4368747427537341</v>
      </c>
      <c r="O7" s="181">
        <f>O4+O5+O6</f>
        <v>0.97474989710149362</v>
      </c>
      <c r="P7" s="183"/>
      <c r="Q7" s="187">
        <v>41883</v>
      </c>
      <c r="R7" s="183">
        <f t="shared" si="0"/>
        <v>30214.29</v>
      </c>
      <c r="S7" s="183">
        <f t="shared" ref="S7:S68" si="3">(1+$T$3)*R7</f>
        <v>30176.884244734021</v>
      </c>
      <c r="T7" s="220">
        <f t="shared" ref="T7:T25" si="4">T6</f>
        <v>2.0896063787591637E-2</v>
      </c>
      <c r="U7" s="183">
        <f t="shared" si="1"/>
        <v>514.46805224846685</v>
      </c>
      <c r="V7" s="219">
        <f t="shared" si="2"/>
        <v>525.21840948492888</v>
      </c>
    </row>
    <row r="8" spans="1:22" ht="12.75">
      <c r="A8" s="223" t="s">
        <v>235</v>
      </c>
      <c r="B8" s="224">
        <v>2</v>
      </c>
      <c r="C8" s="225">
        <v>-2.1800000000000002</v>
      </c>
      <c r="D8" s="225">
        <v>-133.35</v>
      </c>
      <c r="E8" s="225">
        <v>-135.53</v>
      </c>
      <c r="F8" s="225">
        <v>-67.765000000000001</v>
      </c>
      <c r="G8" s="225">
        <v>2.184959953866429</v>
      </c>
      <c r="H8"/>
      <c r="J8" s="181">
        <f>J4+J5+J6+J7</f>
        <v>716.39</v>
      </c>
      <c r="K8" s="182">
        <f>J8/$J$3</f>
        <v>2.4368747427537338E-2</v>
      </c>
      <c r="N8" s="181">
        <f>N3+N7</f>
        <v>102.43687474275373</v>
      </c>
      <c r="Q8" s="187">
        <v>41913</v>
      </c>
      <c r="R8" s="183">
        <f t="shared" si="0"/>
        <v>30276.884244734021</v>
      </c>
      <c r="S8" s="183">
        <f t="shared" si="3"/>
        <v>30239.400996831293</v>
      </c>
      <c r="T8" s="220">
        <f t="shared" si="4"/>
        <v>2.0896063787591637E-2</v>
      </c>
      <c r="U8" s="183">
        <f t="shared" si="1"/>
        <v>625.21840948492888</v>
      </c>
      <c r="V8" s="219">
        <f t="shared" si="2"/>
        <v>638.28301325070254</v>
      </c>
    </row>
    <row r="9" spans="1:22" ht="12.75">
      <c r="A9" s="223" t="s">
        <v>240</v>
      </c>
      <c r="B9" s="224">
        <v>1</v>
      </c>
      <c r="C9" s="225">
        <v>-2.78</v>
      </c>
      <c r="D9" s="225">
        <v>-2.94</v>
      </c>
      <c r="E9" s="225">
        <v>-5.72</v>
      </c>
      <c r="F9" s="225">
        <v>-5.72</v>
      </c>
      <c r="G9" s="225" t="e">
        <v>#DIV/0!</v>
      </c>
      <c r="H9"/>
      <c r="J9" s="181">
        <f>J3+J8</f>
        <v>30114.29</v>
      </c>
      <c r="Q9" s="187">
        <v>41944</v>
      </c>
      <c r="R9" s="183">
        <f t="shared" si="0"/>
        <v>30339.400996831293</v>
      </c>
      <c r="S9" s="183">
        <f t="shared" si="3"/>
        <v>30301.84035222889</v>
      </c>
      <c r="T9" s="220">
        <f t="shared" si="4"/>
        <v>2.0896063787591637E-2</v>
      </c>
      <c r="U9" s="183">
        <f t="shared" si="1"/>
        <v>738.28301325070254</v>
      </c>
      <c r="V9" s="219">
        <f t="shared" si="2"/>
        <v>753.71022218888459</v>
      </c>
    </row>
    <row r="10" spans="1:22" ht="12.75">
      <c r="A10" s="223" t="s">
        <v>191</v>
      </c>
      <c r="B10" s="224">
        <v>2</v>
      </c>
      <c r="C10" s="225">
        <v>-0.91</v>
      </c>
      <c r="D10" s="225">
        <v>-152.66</v>
      </c>
      <c r="E10" s="225">
        <v>-153.57</v>
      </c>
      <c r="F10" s="225">
        <v>-76.784999999999997</v>
      </c>
      <c r="G10" s="225">
        <v>2.1566756826187339</v>
      </c>
      <c r="H10"/>
      <c r="Q10" s="187">
        <v>41974</v>
      </c>
      <c r="R10" s="183">
        <f t="shared" si="0"/>
        <v>30401.84035222889</v>
      </c>
      <c r="S10" s="183">
        <f t="shared" si="3"/>
        <v>30364.202406745117</v>
      </c>
      <c r="T10" s="220">
        <f t="shared" si="4"/>
        <v>2.0896063787591637E-2</v>
      </c>
      <c r="U10" s="183">
        <f t="shared" si="1"/>
        <v>853.71022218888459</v>
      </c>
      <c r="V10" s="219">
        <f t="shared" si="2"/>
        <v>871.54940544786257</v>
      </c>
    </row>
    <row r="11" spans="1:22" ht="12.75">
      <c r="A11" s="223" t="s">
        <v>201</v>
      </c>
      <c r="B11" s="224">
        <v>8</v>
      </c>
      <c r="C11" s="225">
        <v>-13.919999999999998</v>
      </c>
      <c r="D11" s="225">
        <v>-341.75</v>
      </c>
      <c r="E11" s="225">
        <v>-355.66999999999996</v>
      </c>
      <c r="F11" s="225">
        <v>-44.458749999999995</v>
      </c>
      <c r="G11" s="225">
        <v>75.005646537444107</v>
      </c>
      <c r="H11"/>
      <c r="Q11" s="187">
        <v>42005</v>
      </c>
      <c r="R11" s="183">
        <f t="shared" si="0"/>
        <v>30464.202406745117</v>
      </c>
      <c r="S11" s="183">
        <f t="shared" si="3"/>
        <v>30426.487256079654</v>
      </c>
      <c r="T11" s="220">
        <f t="shared" si="4"/>
        <v>2.0896063787591637E-2</v>
      </c>
      <c r="U11" s="183">
        <f t="shared" si="1"/>
        <v>971.54940544786257</v>
      </c>
      <c r="V11" s="219">
        <f t="shared" si="2"/>
        <v>991.85096379689787</v>
      </c>
    </row>
    <row r="12" spans="1:22" ht="12.75">
      <c r="A12"/>
      <c r="B12"/>
      <c r="C12"/>
      <c r="D12"/>
      <c r="E12"/>
      <c r="F12"/>
      <c r="G12"/>
      <c r="J12" s="181">
        <v>29397.9</v>
      </c>
      <c r="Q12" s="187">
        <v>42036</v>
      </c>
      <c r="R12" s="183">
        <f t="shared" si="0"/>
        <v>30526.487256079654</v>
      </c>
      <c r="S12" s="183">
        <f t="shared" si="3"/>
        <v>30488.694995813701</v>
      </c>
      <c r="T12" s="220">
        <f t="shared" si="4"/>
        <v>2.0896063787591637E-2</v>
      </c>
      <c r="U12" s="183">
        <f t="shared" si="1"/>
        <v>1091.8509637968978</v>
      </c>
      <c r="V12" s="219">
        <f t="shared" si="2"/>
        <v>1114.6663511829413</v>
      </c>
    </row>
    <row r="13" spans="1:22">
      <c r="A13"/>
      <c r="B13"/>
      <c r="C13"/>
      <c r="D13"/>
      <c r="E13"/>
      <c r="F13"/>
      <c r="G13"/>
      <c r="Q13" s="187">
        <v>42064</v>
      </c>
      <c r="R13" s="183">
        <f t="shared" si="0"/>
        <v>30588.694995813701</v>
      </c>
      <c r="S13" s="183">
        <f t="shared" si="3"/>
        <v>30550.825721410129</v>
      </c>
      <c r="T13" s="220">
        <f t="shared" si="4"/>
        <v>2.0896063787591637E-2</v>
      </c>
      <c r="U13" s="183">
        <f t="shared" si="1"/>
        <v>1214.6663511829413</v>
      </c>
      <c r="V13" s="219">
        <f t="shared" si="2"/>
        <v>1240.0480967379012</v>
      </c>
    </row>
    <row r="14" spans="1:22">
      <c r="A14"/>
      <c r="B14"/>
      <c r="C14"/>
      <c r="D14"/>
      <c r="E14"/>
      <c r="F14"/>
      <c r="G14"/>
      <c r="Q14" s="187">
        <v>42095</v>
      </c>
      <c r="R14" s="183">
        <f t="shared" si="0"/>
        <v>30650.825721410129</v>
      </c>
      <c r="S14" s="183">
        <f t="shared" si="3"/>
        <v>30612.87952821362</v>
      </c>
      <c r="T14" s="220">
        <f t="shared" si="4"/>
        <v>2.0896063787591637E-2</v>
      </c>
      <c r="U14" s="183">
        <f t="shared" si="1"/>
        <v>1340.0480967379012</v>
      </c>
      <c r="V14" s="219">
        <f t="shared" si="2"/>
        <v>1368.0498272457774</v>
      </c>
    </row>
    <row r="15" spans="1:22">
      <c r="A15"/>
      <c r="B15"/>
      <c r="C15"/>
      <c r="D15"/>
      <c r="E15"/>
      <c r="F15"/>
      <c r="G15"/>
      <c r="Q15" s="187">
        <v>42125</v>
      </c>
      <c r="R15" s="183">
        <f t="shared" ref="R15:R68" si="5">S14</f>
        <v>30612.87952821362</v>
      </c>
      <c r="S15" s="183">
        <f t="shared" si="3"/>
        <v>30574.980312987336</v>
      </c>
      <c r="T15" s="220">
        <f t="shared" si="4"/>
        <v>2.0896063787591637E-2</v>
      </c>
      <c r="U15" s="183">
        <f t="shared" si="1"/>
        <v>1468.0498272457774</v>
      </c>
      <c r="V15" s="219">
        <f t="shared" si="2"/>
        <v>1498.726290079268</v>
      </c>
    </row>
    <row r="16" spans="1:22">
      <c r="A16"/>
      <c r="B16"/>
      <c r="C16"/>
      <c r="D16"/>
      <c r="E16"/>
      <c r="F16"/>
      <c r="G16"/>
      <c r="Q16" s="187">
        <v>42156</v>
      </c>
      <c r="R16" s="183">
        <f t="shared" si="5"/>
        <v>30574.980312987336</v>
      </c>
      <c r="S16" s="183">
        <f t="shared" si="3"/>
        <v>30537.128017571831</v>
      </c>
      <c r="T16" s="220">
        <f t="shared" si="4"/>
        <v>2.0896063787591637E-2</v>
      </c>
      <c r="U16" s="183">
        <f t="shared" si="1"/>
        <v>1598.726290079268</v>
      </c>
      <c r="V16" s="219">
        <f t="shared" si="2"/>
        <v>1632.1333766156642</v>
      </c>
    </row>
    <row r="17" spans="1:22">
      <c r="A17"/>
      <c r="B17"/>
      <c r="C17"/>
      <c r="D17"/>
      <c r="E17"/>
      <c r="F17"/>
      <c r="G17"/>
      <c r="Q17" s="187">
        <v>42186</v>
      </c>
      <c r="R17" s="183">
        <f t="shared" si="5"/>
        <v>30537.128017571831</v>
      </c>
      <c r="S17" s="183">
        <f t="shared" si="3"/>
        <v>30499.322583879653</v>
      </c>
      <c r="T17" s="220">
        <f t="shared" si="4"/>
        <v>2.0896063787591637E-2</v>
      </c>
      <c r="U17" s="183">
        <f t="shared" si="1"/>
        <v>1732.1333766156642</v>
      </c>
      <c r="V17" s="219">
        <f t="shared" si="2"/>
        <v>1768.3281461420418</v>
      </c>
    </row>
    <row r="18" spans="1:22">
      <c r="Q18" s="187">
        <v>42217</v>
      </c>
      <c r="R18" s="183">
        <f t="shared" si="5"/>
        <v>30499.322583879653</v>
      </c>
      <c r="S18" s="183">
        <f t="shared" si="3"/>
        <v>30461.563953895271</v>
      </c>
      <c r="T18" s="220">
        <f t="shared" si="4"/>
        <v>2.0896063787591637E-2</v>
      </c>
      <c r="U18" s="183">
        <f t="shared" si="1"/>
        <v>1868.3281461420418</v>
      </c>
      <c r="V18" s="219">
        <f t="shared" si="2"/>
        <v>1907.3688502599787</v>
      </c>
    </row>
    <row r="19" spans="1:22">
      <c r="Q19" s="187">
        <v>42248</v>
      </c>
      <c r="R19" s="183">
        <f t="shared" si="5"/>
        <v>30461.563953895271</v>
      </c>
      <c r="S19" s="183">
        <f t="shared" si="3"/>
        <v>30423.852069674977</v>
      </c>
      <c r="T19" s="220">
        <f t="shared" si="4"/>
        <v>2.0896063787591637E-2</v>
      </c>
      <c r="U19" s="183">
        <f t="shared" si="1"/>
        <v>2007.3688502599787</v>
      </c>
      <c r="V19" s="219">
        <f t="shared" si="2"/>
        <v>2049.3149578002358</v>
      </c>
    </row>
    <row r="20" spans="1:22">
      <c r="Q20" s="187">
        <v>42278</v>
      </c>
      <c r="R20" s="183">
        <f t="shared" si="5"/>
        <v>30423.852069674977</v>
      </c>
      <c r="S20" s="183">
        <f t="shared" si="3"/>
        <v>30386.186873346793</v>
      </c>
      <c r="T20" s="220">
        <f t="shared" si="4"/>
        <v>2.0896063787591637E-2</v>
      </c>
      <c r="U20" s="183">
        <f t="shared" si="1"/>
        <v>2149.3149578002358</v>
      </c>
      <c r="V20" s="219">
        <f t="shared" si="2"/>
        <v>2194.2271802580544</v>
      </c>
    </row>
    <row r="21" spans="1:22">
      <c r="Q21" s="187">
        <v>42309</v>
      </c>
      <c r="R21" s="183">
        <f t="shared" si="5"/>
        <v>30386.186873346793</v>
      </c>
      <c r="S21" s="183">
        <f t="shared" si="3"/>
        <v>30348.568307110392</v>
      </c>
      <c r="T21" s="220">
        <f t="shared" si="4"/>
        <v>2.0896063787591637E-2</v>
      </c>
      <c r="U21" s="183">
        <f t="shared" si="1"/>
        <v>2294.2271802580544</v>
      </c>
      <c r="V21" s="219">
        <f t="shared" si="2"/>
        <v>2342.1674977599532</v>
      </c>
    </row>
    <row r="22" spans="1:22">
      <c r="Q22" s="187">
        <v>42339</v>
      </c>
      <c r="R22" s="183">
        <f t="shared" si="5"/>
        <v>30348.568307110392</v>
      </c>
      <c r="S22" s="183">
        <f t="shared" si="3"/>
        <v>30310.996313237007</v>
      </c>
      <c r="T22" s="220">
        <f t="shared" si="4"/>
        <v>2.0896063787591637E-2</v>
      </c>
      <c r="U22" s="183">
        <f t="shared" si="1"/>
        <v>2442.1674977599532</v>
      </c>
      <c r="V22" s="219">
        <f t="shared" si="2"/>
        <v>2493.1991855731285</v>
      </c>
    </row>
    <row r="23" spans="1:22">
      <c r="Q23" s="187">
        <v>42370</v>
      </c>
      <c r="R23" s="183">
        <f t="shared" si="5"/>
        <v>30310.996313237007</v>
      </c>
      <c r="S23" s="183">
        <f t="shared" si="3"/>
        <v>30273.470834069336</v>
      </c>
      <c r="T23" s="220">
        <f t="shared" si="4"/>
        <v>2.0896063787591637E-2</v>
      </c>
      <c r="U23" s="183">
        <f t="shared" si="1"/>
        <v>2593.1991855731285</v>
      </c>
      <c r="V23" s="219">
        <f t="shared" si="2"/>
        <v>2647.3868411687954</v>
      </c>
    </row>
    <row r="24" spans="1:22">
      <c r="Q24" s="187">
        <v>42401</v>
      </c>
      <c r="R24" s="183">
        <f t="shared" si="5"/>
        <v>30273.470834069336</v>
      </c>
      <c r="S24" s="183">
        <f t="shared" si="3"/>
        <v>30235.991812021457</v>
      </c>
      <c r="T24" s="220">
        <f t="shared" si="4"/>
        <v>2.0896063787591637E-2</v>
      </c>
      <c r="U24" s="183">
        <f t="shared" si="1"/>
        <v>2747.3868411687954</v>
      </c>
      <c r="V24" s="219">
        <f t="shared" si="2"/>
        <v>2804.7964118510486</v>
      </c>
    </row>
    <row r="25" spans="1:22">
      <c r="Q25" s="187">
        <v>42430</v>
      </c>
      <c r="R25" s="183">
        <f t="shared" si="5"/>
        <v>30235.991812021457</v>
      </c>
      <c r="S25" s="183">
        <f t="shared" si="3"/>
        <v>30198.559189578744</v>
      </c>
      <c r="T25" s="220">
        <f t="shared" si="4"/>
        <v>2.0896063787591637E-2</v>
      </c>
      <c r="U25" s="183">
        <f t="shared" si="1"/>
        <v>2904.7964118510486</v>
      </c>
      <c r="V25" s="219">
        <f t="shared" si="2"/>
        <v>2965.4952229630553</v>
      </c>
    </row>
    <row r="26" spans="1:22">
      <c r="Q26" s="187">
        <v>42461</v>
      </c>
      <c r="R26" s="183">
        <f t="shared" si="5"/>
        <v>30198.559189578744</v>
      </c>
      <c r="S26" s="183">
        <f t="shared" si="3"/>
        <v>30161.172909297769</v>
      </c>
      <c r="T26" s="220">
        <f t="shared" ref="T26:T45" si="6">T25</f>
        <v>2.0896063787591637E-2</v>
      </c>
      <c r="U26" s="183">
        <f t="shared" si="1"/>
        <v>3065.4952229630553</v>
      </c>
      <c r="V26" s="219">
        <f t="shared" ref="V26:V45" si="7">U26*(1+T26)</f>
        <v>3129.5520066826489</v>
      </c>
    </row>
    <row r="27" spans="1:22">
      <c r="Q27" s="187">
        <v>42491</v>
      </c>
      <c r="R27" s="183">
        <f t="shared" si="5"/>
        <v>30161.172909297769</v>
      </c>
      <c r="S27" s="183">
        <f t="shared" si="3"/>
        <v>30123.832913806229</v>
      </c>
      <c r="T27" s="220">
        <f t="shared" si="6"/>
        <v>2.0896063787591637E-2</v>
      </c>
      <c r="U27" s="183">
        <f t="shared" si="1"/>
        <v>3229.5520066826489</v>
      </c>
      <c r="V27" s="219">
        <f t="shared" si="7"/>
        <v>3297.0369314196341</v>
      </c>
    </row>
    <row r="28" spans="1:22">
      <c r="Q28" s="187">
        <v>42522</v>
      </c>
      <c r="R28" s="183">
        <f t="shared" si="5"/>
        <v>30123.832913806229</v>
      </c>
      <c r="S28" s="183">
        <f t="shared" si="3"/>
        <v>30086.539145802839</v>
      </c>
      <c r="T28" s="220">
        <f t="shared" si="6"/>
        <v>2.0896063787591637E-2</v>
      </c>
      <c r="U28" s="183">
        <f t="shared" si="1"/>
        <v>3397.0369314196341</v>
      </c>
      <c r="V28" s="219">
        <f t="shared" si="7"/>
        <v>3468.0216318273833</v>
      </c>
    </row>
    <row r="29" spans="1:22">
      <c r="Q29" s="187">
        <v>42552</v>
      </c>
      <c r="R29" s="183">
        <f t="shared" si="5"/>
        <v>30086.539145802839</v>
      </c>
      <c r="S29" s="183">
        <f t="shared" si="3"/>
        <v>30049.291548057259</v>
      </c>
      <c r="T29" s="220">
        <f t="shared" si="6"/>
        <v>2.0896063787591637E-2</v>
      </c>
      <c r="U29" s="183">
        <f t="shared" si="1"/>
        <v>3568.0216318273833</v>
      </c>
      <c r="V29" s="219">
        <f t="shared" si="7"/>
        <v>3642.5792394415553</v>
      </c>
    </row>
    <row r="30" spans="1:22">
      <c r="Q30" s="187">
        <v>42583</v>
      </c>
      <c r="R30" s="183">
        <f t="shared" si="5"/>
        <v>30049.291548057259</v>
      </c>
      <c r="S30" s="183">
        <f t="shared" si="3"/>
        <v>30012.090063410003</v>
      </c>
      <c r="T30" s="220">
        <f t="shared" si="6"/>
        <v>2.0896063787591637E-2</v>
      </c>
      <c r="U30" s="183">
        <f t="shared" si="1"/>
        <v>3742.5792394415553</v>
      </c>
      <c r="V30" s="219">
        <f t="shared" si="7"/>
        <v>3820.7844139590425</v>
      </c>
    </row>
    <row r="31" spans="1:22">
      <c r="Q31" s="187">
        <v>42614</v>
      </c>
      <c r="R31" s="183">
        <f t="shared" si="5"/>
        <v>30012.090063410003</v>
      </c>
      <c r="S31" s="183">
        <f t="shared" si="3"/>
        <v>29974.934634772344</v>
      </c>
      <c r="T31" s="220">
        <f t="shared" si="6"/>
        <v>2.0896063787591637E-2</v>
      </c>
      <c r="U31" s="183">
        <f t="shared" si="1"/>
        <v>3920.7844139590425</v>
      </c>
      <c r="V31" s="219">
        <f t="shared" si="7"/>
        <v>4002.713375170526</v>
      </c>
    </row>
    <row r="32" spans="1:22">
      <c r="Q32" s="187">
        <v>42644</v>
      </c>
      <c r="R32" s="183">
        <f t="shared" si="5"/>
        <v>29974.934634772344</v>
      </c>
      <c r="S32" s="183">
        <f t="shared" si="3"/>
        <v>29937.825205126235</v>
      </c>
      <c r="T32" s="220">
        <f t="shared" si="6"/>
        <v>2.0896063787591637E-2</v>
      </c>
      <c r="U32" s="183">
        <f t="shared" si="1"/>
        <v>4102.713375170526</v>
      </c>
      <c r="V32" s="219">
        <f t="shared" si="7"/>
        <v>4188.4439355602944</v>
      </c>
    </row>
    <row r="33" spans="17:22">
      <c r="Q33" s="187">
        <v>42675</v>
      </c>
      <c r="R33" s="183">
        <f t="shared" si="5"/>
        <v>29937.825205126235</v>
      </c>
      <c r="S33" s="183">
        <f t="shared" si="3"/>
        <v>29900.761717524219</v>
      </c>
      <c r="T33" s="220">
        <f t="shared" si="6"/>
        <v>2.0896063787591637E-2</v>
      </c>
      <c r="U33" s="183">
        <f t="shared" si="1"/>
        <v>4288.4439355602944</v>
      </c>
      <c r="V33" s="219">
        <f t="shared" si="7"/>
        <v>4378.0555335872732</v>
      </c>
    </row>
    <row r="34" spans="17:22">
      <c r="Q34" s="187">
        <v>42705</v>
      </c>
      <c r="R34" s="183">
        <f t="shared" si="5"/>
        <v>29900.761717524219</v>
      </c>
      <c r="S34" s="183">
        <f t="shared" si="3"/>
        <v>29863.744115089339</v>
      </c>
      <c r="T34" s="220">
        <f t="shared" si="6"/>
        <v>2.0896063787591637E-2</v>
      </c>
      <c r="U34" s="183">
        <f t="shared" si="1"/>
        <v>4478.0555335872732</v>
      </c>
      <c r="V34" s="219">
        <f t="shared" si="7"/>
        <v>4571.6292676614903</v>
      </c>
    </row>
    <row r="35" spans="17:22">
      <c r="Q35" s="187">
        <v>42736</v>
      </c>
      <c r="R35" s="183">
        <f t="shared" si="5"/>
        <v>29863.744115089339</v>
      </c>
      <c r="S35" s="183">
        <f t="shared" si="3"/>
        <v>29826.772341015054</v>
      </c>
      <c r="T35" s="220">
        <f t="shared" si="6"/>
        <v>2.0896063787591637E-2</v>
      </c>
      <c r="U35" s="183">
        <f t="shared" si="1"/>
        <v>4671.6292676614903</v>
      </c>
      <c r="V35" s="219">
        <f t="shared" si="7"/>
        <v>4769.2479308305246</v>
      </c>
    </row>
    <row r="36" spans="17:22">
      <c r="Q36" s="187">
        <v>42767</v>
      </c>
      <c r="R36" s="183">
        <f t="shared" si="5"/>
        <v>29826.772341015054</v>
      </c>
      <c r="S36" s="183">
        <f t="shared" si="3"/>
        <v>29789.846338565148</v>
      </c>
      <c r="T36" s="220">
        <f t="shared" si="6"/>
        <v>2.0896063787591637E-2</v>
      </c>
      <c r="U36" s="183">
        <f t="shared" si="1"/>
        <v>4869.2479308305246</v>
      </c>
      <c r="V36" s="219">
        <f t="shared" si="7"/>
        <v>4970.9960461907576</v>
      </c>
    </row>
    <row r="37" spans="17:22">
      <c r="Q37" s="187">
        <v>42795</v>
      </c>
      <c r="R37" s="183">
        <f t="shared" si="5"/>
        <v>29789.846338565148</v>
      </c>
      <c r="S37" s="183">
        <f t="shared" si="3"/>
        <v>29752.96605107365</v>
      </c>
      <c r="T37" s="220">
        <f t="shared" si="6"/>
        <v>2.0896063787591637E-2</v>
      </c>
      <c r="U37" s="183">
        <f t="shared" si="1"/>
        <v>5070.9960461907576</v>
      </c>
      <c r="V37" s="219">
        <f t="shared" si="7"/>
        <v>5176.9599030385853</v>
      </c>
    </row>
    <row r="38" spans="17:22">
      <c r="Q38" s="187">
        <v>42826</v>
      </c>
      <c r="R38" s="183">
        <f t="shared" si="5"/>
        <v>29752.96605107365</v>
      </c>
      <c r="S38" s="183">
        <f t="shared" si="3"/>
        <v>29716.131421944734</v>
      </c>
      <c r="T38" s="220">
        <f t="shared" si="6"/>
        <v>2.0896063787591637E-2</v>
      </c>
      <c r="U38" s="183">
        <f t="shared" si="1"/>
        <v>5276.9599030385853</v>
      </c>
      <c r="V38" s="219">
        <f t="shared" si="7"/>
        <v>5387.2275937770428</v>
      </c>
    </row>
    <row r="39" spans="17:22">
      <c r="Q39" s="187">
        <v>42856</v>
      </c>
      <c r="R39" s="183">
        <f t="shared" si="5"/>
        <v>29716.131421944734</v>
      </c>
      <c r="S39" s="183">
        <f t="shared" si="3"/>
        <v>29679.342394652649</v>
      </c>
      <c r="T39" s="220">
        <f t="shared" si="6"/>
        <v>2.0896063787591637E-2</v>
      </c>
      <c r="U39" s="183">
        <f t="shared" si="1"/>
        <v>5487.2275937770428</v>
      </c>
      <c r="V39" s="219">
        <f t="shared" si="7"/>
        <v>5601.8890515936409</v>
      </c>
    </row>
    <row r="40" spans="17:22">
      <c r="Q40" s="187">
        <v>42887</v>
      </c>
      <c r="R40" s="183">
        <f t="shared" si="5"/>
        <v>29679.342394652649</v>
      </c>
      <c r="S40" s="183">
        <f t="shared" si="3"/>
        <v>29642.598912741618</v>
      </c>
      <c r="T40" s="220">
        <f t="shared" si="6"/>
        <v>2.0896063787591637E-2</v>
      </c>
      <c r="U40" s="183">
        <f t="shared" si="1"/>
        <v>5701.8890515936409</v>
      </c>
      <c r="V40" s="219">
        <f t="shared" si="7"/>
        <v>5821.0360889255126</v>
      </c>
    </row>
    <row r="41" spans="17:22">
      <c r="Q41" s="187">
        <v>42917</v>
      </c>
      <c r="R41" s="183">
        <f t="shared" si="5"/>
        <v>29642.598912741618</v>
      </c>
      <c r="S41" s="183">
        <f t="shared" si="3"/>
        <v>29605.900919825759</v>
      </c>
      <c r="T41" s="220">
        <f t="shared" si="6"/>
        <v>2.0896063787591637E-2</v>
      </c>
      <c r="U41" s="183">
        <f t="shared" si="1"/>
        <v>5921.0360889255126</v>
      </c>
      <c r="V41" s="219">
        <f t="shared" si="7"/>
        <v>6044.7624367283324</v>
      </c>
    </row>
    <row r="42" spans="17:22">
      <c r="Q42" s="187">
        <v>42948</v>
      </c>
      <c r="R42" s="183">
        <f t="shared" si="5"/>
        <v>29605.900919825759</v>
      </c>
      <c r="S42" s="183">
        <f t="shared" si="3"/>
        <v>29569.248359589001</v>
      </c>
      <c r="T42" s="220">
        <f t="shared" si="6"/>
        <v>2.0896063787591637E-2</v>
      </c>
      <c r="U42" s="183">
        <f t="shared" si="1"/>
        <v>6144.7624367283324</v>
      </c>
      <c r="V42" s="219">
        <f t="shared" si="7"/>
        <v>6273.1637845658051</v>
      </c>
    </row>
    <row r="43" spans="17:22">
      <c r="Q43" s="187">
        <v>42979</v>
      </c>
      <c r="R43" s="183">
        <f t="shared" si="5"/>
        <v>29569.248359589001</v>
      </c>
      <c r="S43" s="183">
        <f t="shared" si="3"/>
        <v>29532.641175784986</v>
      </c>
      <c r="T43" s="220">
        <f t="shared" si="6"/>
        <v>2.0896063787591637E-2</v>
      </c>
      <c r="U43" s="183">
        <f t="shared" si="1"/>
        <v>6373.1637845658051</v>
      </c>
      <c r="V43" s="219">
        <f t="shared" si="7"/>
        <v>6506.3378215368612</v>
      </c>
    </row>
    <row r="44" spans="17:22">
      <c r="Q44" s="187">
        <v>43009</v>
      </c>
      <c r="R44" s="183">
        <f t="shared" si="5"/>
        <v>29532.641175784986</v>
      </c>
      <c r="S44" s="183">
        <f t="shared" si="3"/>
        <v>29496.079312236994</v>
      </c>
      <c r="T44" s="220">
        <f t="shared" si="6"/>
        <v>2.0896063787591637E-2</v>
      </c>
      <c r="U44" s="183">
        <f t="shared" si="1"/>
        <v>6606.3378215368612</v>
      </c>
      <c r="V44" s="219">
        <f t="shared" si="7"/>
        <v>6744.3842780580744</v>
      </c>
    </row>
    <row r="45" spans="17:22">
      <c r="Q45" s="187">
        <v>43040</v>
      </c>
      <c r="R45" s="183">
        <f t="shared" si="5"/>
        <v>29496.079312236994</v>
      </c>
      <c r="S45" s="183">
        <f t="shared" si="3"/>
        <v>29459.562712837851</v>
      </c>
      <c r="T45" s="220">
        <f t="shared" si="6"/>
        <v>2.0896063787591637E-2</v>
      </c>
      <c r="U45" s="183">
        <f t="shared" si="1"/>
        <v>6844.3842780580744</v>
      </c>
      <c r="V45" s="219">
        <f t="shared" si="7"/>
        <v>6987.4049685191658</v>
      </c>
    </row>
    <row r="46" spans="17:22">
      <c r="Q46" s="187">
        <v>43070</v>
      </c>
      <c r="R46" s="183">
        <f t="shared" si="5"/>
        <v>29459.562712837851</v>
      </c>
      <c r="S46" s="183">
        <f t="shared" si="3"/>
        <v>29423.091321549848</v>
      </c>
      <c r="T46" s="220">
        <f t="shared" ref="T46:T59" si="8">T45</f>
        <v>2.0896063787591637E-2</v>
      </c>
      <c r="U46" s="183">
        <f t="shared" si="1"/>
        <v>7087.4049685191658</v>
      </c>
      <c r="V46" s="219">
        <f t="shared" ref="V46:V59" si="9">U46*(1+T46)</f>
        <v>7235.5038348298367</v>
      </c>
    </row>
    <row r="47" spans="17:22">
      <c r="Q47" s="187">
        <v>43101</v>
      </c>
      <c r="R47" s="183">
        <f t="shared" si="5"/>
        <v>29423.091321549848</v>
      </c>
      <c r="S47" s="183">
        <f t="shared" si="3"/>
        <v>29386.665082404645</v>
      </c>
      <c r="T47" s="220">
        <f t="shared" si="8"/>
        <v>2.0896063787591637E-2</v>
      </c>
      <c r="U47" s="183">
        <f t="shared" si="1"/>
        <v>7335.5038348298367</v>
      </c>
      <c r="V47" s="219">
        <f t="shared" si="9"/>
        <v>7488.7869908765642</v>
      </c>
    </row>
    <row r="48" spans="17:22">
      <c r="Q48" s="187">
        <v>43132</v>
      </c>
      <c r="R48" s="183">
        <f t="shared" si="5"/>
        <v>29386.665082404645</v>
      </c>
      <c r="S48" s="183">
        <f t="shared" si="3"/>
        <v>29350.283939503199</v>
      </c>
      <c r="T48" s="220">
        <f t="shared" si="8"/>
        <v>2.0896063787591637E-2</v>
      </c>
      <c r="U48" s="183">
        <f t="shared" si="1"/>
        <v>7588.7869908765642</v>
      </c>
      <c r="V48" s="219">
        <f t="shared" si="9"/>
        <v>7747.3627679083665</v>
      </c>
    </row>
    <row r="49" spans="17:22">
      <c r="Q49" s="187">
        <v>43160</v>
      </c>
      <c r="R49" s="183">
        <f t="shared" si="5"/>
        <v>29350.283939503199</v>
      </c>
      <c r="S49" s="183">
        <f t="shared" si="3"/>
        <v>29313.947837015665</v>
      </c>
      <c r="T49" s="220">
        <f t="shared" si="8"/>
        <v>2.0896063787591637E-2</v>
      </c>
      <c r="U49" s="183">
        <f t="shared" si="1"/>
        <v>7847.3627679083665</v>
      </c>
      <c r="V49" s="219">
        <f t="shared" si="9"/>
        <v>8011.3417608709515</v>
      </c>
    </row>
    <row r="50" spans="17:22">
      <c r="Q50" s="187">
        <v>43191</v>
      </c>
      <c r="R50" s="183">
        <f t="shared" si="5"/>
        <v>29313.947837015665</v>
      </c>
      <c r="S50" s="183">
        <f t="shared" si="3"/>
        <v>29277.656719181319</v>
      </c>
      <c r="T50" s="220">
        <f t="shared" si="8"/>
        <v>2.0896063787591637E-2</v>
      </c>
      <c r="U50" s="183">
        <f t="shared" si="1"/>
        <v>8111.3417608709515</v>
      </c>
      <c r="V50" s="219">
        <f t="shared" si="9"/>
        <v>8280.8368757090666</v>
      </c>
    </row>
    <row r="51" spans="17:22">
      <c r="Q51" s="187">
        <v>43221</v>
      </c>
      <c r="R51" s="183">
        <f t="shared" si="5"/>
        <v>29277.656719181319</v>
      </c>
      <c r="S51" s="183">
        <f t="shared" si="3"/>
        <v>29241.410530308469</v>
      </c>
      <c r="T51" s="220">
        <f t="shared" si="8"/>
        <v>2.0896063787591637E-2</v>
      </c>
      <c r="U51" s="183">
        <f t="shared" si="1"/>
        <v>8380.8368757090666</v>
      </c>
      <c r="V51" s="219">
        <f t="shared" si="9"/>
        <v>8555.9633776572846</v>
      </c>
    </row>
    <row r="52" spans="17:22">
      <c r="Q52" s="187">
        <v>43252</v>
      </c>
      <c r="R52" s="183">
        <f t="shared" si="5"/>
        <v>29241.410530308469</v>
      </c>
      <c r="S52" s="183">
        <f t="shared" si="3"/>
        <v>29205.209214774368</v>
      </c>
      <c r="T52" s="220">
        <f t="shared" si="8"/>
        <v>2.0896063787591637E-2</v>
      </c>
      <c r="U52" s="183">
        <f t="shared" si="1"/>
        <v>8655.9633776572846</v>
      </c>
      <c r="V52" s="219">
        <f t="shared" si="9"/>
        <v>8836.8389405398684</v>
      </c>
    </row>
    <row r="53" spans="17:22">
      <c r="Q53" s="187">
        <v>43282</v>
      </c>
      <c r="R53" s="183">
        <f t="shared" si="5"/>
        <v>29205.209214774368</v>
      </c>
      <c r="S53" s="183">
        <f t="shared" si="3"/>
        <v>29169.052717025137</v>
      </c>
      <c r="T53" s="220">
        <f t="shared" si="8"/>
        <v>2.0896063787591637E-2</v>
      </c>
      <c r="U53" s="183">
        <f t="shared" si="1"/>
        <v>8936.8389405398684</v>
      </c>
      <c r="V53" s="219">
        <f t="shared" si="9"/>
        <v>9123.583697100823</v>
      </c>
    </row>
    <row r="54" spans="17:22">
      <c r="Q54" s="187">
        <v>43313</v>
      </c>
      <c r="R54" s="183">
        <f t="shared" si="5"/>
        <v>29169.052717025137</v>
      </c>
      <c r="S54" s="183">
        <f t="shared" si="3"/>
        <v>29132.940981575666</v>
      </c>
      <c r="T54" s="220">
        <f t="shared" si="8"/>
        <v>2.0896063787591637E-2</v>
      </c>
      <c r="U54" s="183">
        <f t="shared" si="1"/>
        <v>9223.583697100823</v>
      </c>
      <c r="V54" s="219">
        <f t="shared" si="9"/>
        <v>9416.3202903856327</v>
      </c>
    </row>
    <row r="55" spans="17:22">
      <c r="Q55" s="187">
        <v>43344</v>
      </c>
      <c r="R55" s="183">
        <f t="shared" si="5"/>
        <v>29132.940981575666</v>
      </c>
      <c r="S55" s="183">
        <f t="shared" si="3"/>
        <v>29096.873953009544</v>
      </c>
      <c r="T55" s="220">
        <f t="shared" si="8"/>
        <v>2.0896063787591637E-2</v>
      </c>
      <c r="U55" s="183">
        <f t="shared" si="1"/>
        <v>9516.3202903856327</v>
      </c>
      <c r="V55" s="219">
        <f t="shared" si="9"/>
        <v>9715.1739261966832</v>
      </c>
    </row>
    <row r="56" spans="17:22">
      <c r="Q56" s="187">
        <v>43374</v>
      </c>
      <c r="R56" s="183">
        <f t="shared" si="5"/>
        <v>29096.873953009544</v>
      </c>
      <c r="S56" s="183">
        <f t="shared" si="3"/>
        <v>29060.851575978963</v>
      </c>
      <c r="T56" s="220">
        <f t="shared" si="8"/>
        <v>2.0896063787591637E-2</v>
      </c>
      <c r="U56" s="183">
        <f t="shared" si="1"/>
        <v>9815.1739261966832</v>
      </c>
      <c r="V56" s="219">
        <f t="shared" si="9"/>
        <v>10020.272426644795</v>
      </c>
    </row>
    <row r="57" spans="17:22">
      <c r="Q57" s="187">
        <v>43405</v>
      </c>
      <c r="R57" s="183">
        <f t="shared" si="5"/>
        <v>29060.851575978963</v>
      </c>
      <c r="S57" s="183">
        <f t="shared" si="3"/>
        <v>29024.873795204632</v>
      </c>
      <c r="T57" s="220">
        <f t="shared" si="8"/>
        <v>2.0896063787591637E-2</v>
      </c>
      <c r="U57" s="183">
        <f t="shared" si="1"/>
        <v>10120.272426644795</v>
      </c>
      <c r="V57" s="219">
        <f t="shared" si="9"/>
        <v>10331.74628481977</v>
      </c>
    </row>
    <row r="58" spans="17:22">
      <c r="Q58" s="187">
        <v>43435</v>
      </c>
      <c r="R58" s="183">
        <f t="shared" si="5"/>
        <v>29024.873795204632</v>
      </c>
      <c r="S58" s="183">
        <f t="shared" si="3"/>
        <v>28988.940555475703</v>
      </c>
      <c r="T58" s="220">
        <f t="shared" si="8"/>
        <v>2.0896063787591637E-2</v>
      </c>
      <c r="U58" s="183">
        <f t="shared" si="1"/>
        <v>10431.74628481977</v>
      </c>
      <c r="V58" s="219">
        <f t="shared" si="9"/>
        <v>10649.728720603336</v>
      </c>
    </row>
    <row r="59" spans="17:22">
      <c r="Q59" s="187">
        <v>43466</v>
      </c>
      <c r="R59" s="183">
        <f t="shared" si="5"/>
        <v>28988.940555475703</v>
      </c>
      <c r="S59" s="183">
        <f t="shared" si="3"/>
        <v>28953.051801649675</v>
      </c>
      <c r="T59" s="220">
        <f t="shared" si="8"/>
        <v>2.0896063787591637E-2</v>
      </c>
      <c r="U59" s="183">
        <f t="shared" si="1"/>
        <v>10749.728720603336</v>
      </c>
      <c r="V59" s="219">
        <f t="shared" si="9"/>
        <v>10974.35573764837</v>
      </c>
    </row>
    <row r="60" spans="17:22">
      <c r="Q60" s="187">
        <v>43497</v>
      </c>
      <c r="R60" s="183">
        <f t="shared" si="5"/>
        <v>28953.051801649675</v>
      </c>
      <c r="S60" s="183">
        <f t="shared" si="3"/>
        <v>28917.207478652319</v>
      </c>
      <c r="T60" s="220">
        <f>T59</f>
        <v>2.0896063787591637E-2</v>
      </c>
      <c r="U60" s="183">
        <f t="shared" si="1"/>
        <v>11074.35573764837</v>
      </c>
      <c r="V60" s="219">
        <f>U60*(1+T60)</f>
        <v>11305.766181548752</v>
      </c>
    </row>
    <row r="61" spans="17:22">
      <c r="Q61" s="187">
        <v>43525</v>
      </c>
      <c r="R61" s="183">
        <f t="shared" si="5"/>
        <v>28917.207478652319</v>
      </c>
      <c r="S61" s="183">
        <f t="shared" si="3"/>
        <v>28881.407531477587</v>
      </c>
      <c r="T61" s="220">
        <f>T60</f>
        <v>2.0896063787591637E-2</v>
      </c>
      <c r="U61" s="183">
        <f t="shared" si="1"/>
        <v>11405.766181548752</v>
      </c>
      <c r="V61" s="219">
        <f>U61*(1+T61)</f>
        <v>11644.101799224751</v>
      </c>
    </row>
    <row r="62" spans="17:22">
      <c r="Q62" s="187">
        <v>43556</v>
      </c>
      <c r="R62" s="183">
        <f t="shared" si="5"/>
        <v>28881.407531477587</v>
      </c>
      <c r="S62" s="183">
        <f t="shared" si="3"/>
        <v>28845.651905187526</v>
      </c>
      <c r="T62" s="220">
        <f>T61</f>
        <v>2.0896063787591637E-2</v>
      </c>
      <c r="U62" s="183">
        <f t="shared" si="1"/>
        <v>11744.101799224751</v>
      </c>
      <c r="V62" s="219">
        <f>U62*(1+T62)</f>
        <v>11989.507299549321</v>
      </c>
    </row>
    <row r="63" spans="17:22">
      <c r="Q63" s="187">
        <v>43586</v>
      </c>
      <c r="R63" s="183">
        <f t="shared" si="5"/>
        <v>28845.651905187526</v>
      </c>
      <c r="S63" s="183">
        <f t="shared" si="3"/>
        <v>28809.940544912202</v>
      </c>
    </row>
    <row r="64" spans="17:22">
      <c r="Q64" s="187">
        <v>43617</v>
      </c>
      <c r="R64" s="183">
        <f t="shared" si="5"/>
        <v>28809.940544912202</v>
      </c>
      <c r="S64" s="183">
        <f t="shared" si="3"/>
        <v>28774.273395849606</v>
      </c>
    </row>
    <row r="65" spans="17:19">
      <c r="Q65" s="187">
        <v>43647</v>
      </c>
      <c r="R65" s="183">
        <f t="shared" si="5"/>
        <v>28774.273395849606</v>
      </c>
      <c r="S65" s="183">
        <f t="shared" si="3"/>
        <v>28738.650403265583</v>
      </c>
    </row>
    <row r="66" spans="17:19">
      <c r="Q66" s="187">
        <v>43678</v>
      </c>
      <c r="R66" s="183">
        <f t="shared" si="5"/>
        <v>28738.650403265583</v>
      </c>
      <c r="S66" s="183">
        <f t="shared" si="3"/>
        <v>28703.071512493727</v>
      </c>
    </row>
    <row r="67" spans="17:19">
      <c r="Q67" s="187">
        <v>43709</v>
      </c>
      <c r="R67" s="183">
        <f t="shared" si="5"/>
        <v>28703.071512493727</v>
      </c>
      <c r="S67" s="183">
        <f t="shared" si="3"/>
        <v>28667.536668935321</v>
      </c>
    </row>
    <row r="68" spans="17:19">
      <c r="Q68" s="187">
        <v>43739</v>
      </c>
      <c r="R68" s="183">
        <f t="shared" si="5"/>
        <v>28667.536668935321</v>
      </c>
      <c r="S68" s="183">
        <f t="shared" si="3"/>
        <v>28632.04581805924</v>
      </c>
    </row>
    <row r="69" spans="17:19">
      <c r="Q69" s="187">
        <v>43770</v>
      </c>
      <c r="R69" s="183">
        <f t="shared" ref="R69:R94" si="10">S68</f>
        <v>28632.04581805924</v>
      </c>
      <c r="S69" s="183">
        <f t="shared" ref="S69:S94" si="11">(1+$T$3)*R69</f>
        <v>28596.598905401861</v>
      </c>
    </row>
    <row r="70" spans="17:19">
      <c r="Q70" s="187">
        <v>43800</v>
      </c>
      <c r="R70" s="183">
        <f t="shared" si="10"/>
        <v>28596.598905401861</v>
      </c>
      <c r="S70" s="183">
        <f t="shared" si="11"/>
        <v>28561.195876566999</v>
      </c>
    </row>
    <row r="71" spans="17:19">
      <c r="Q71" s="187">
        <v>43831</v>
      </c>
      <c r="R71" s="183">
        <f t="shared" si="10"/>
        <v>28561.195876566999</v>
      </c>
      <c r="S71" s="183">
        <f t="shared" si="11"/>
        <v>28525.836677225805</v>
      </c>
    </row>
    <row r="72" spans="17:19">
      <c r="Q72" s="187">
        <v>43862</v>
      </c>
      <c r="R72" s="183">
        <f t="shared" si="10"/>
        <v>28525.836677225805</v>
      </c>
      <c r="S72" s="183">
        <f t="shared" si="11"/>
        <v>28490.521253116694</v>
      </c>
    </row>
    <row r="73" spans="17:19">
      <c r="Q73" s="187">
        <v>43891</v>
      </c>
      <c r="R73" s="183">
        <f t="shared" si="10"/>
        <v>28490.521253116694</v>
      </c>
      <c r="S73" s="183">
        <f t="shared" si="11"/>
        <v>28455.249550045257</v>
      </c>
    </row>
    <row r="74" spans="17:19">
      <c r="Q74" s="187">
        <v>43922</v>
      </c>
      <c r="R74" s="183">
        <f t="shared" si="10"/>
        <v>28455.249550045257</v>
      </c>
      <c r="S74" s="183">
        <f t="shared" si="11"/>
        <v>28420.021513884174</v>
      </c>
    </row>
    <row r="75" spans="17:19">
      <c r="Q75" s="187">
        <v>43952</v>
      </c>
      <c r="R75" s="183">
        <f t="shared" si="10"/>
        <v>28420.021513884174</v>
      </c>
      <c r="S75" s="183">
        <f t="shared" si="11"/>
        <v>28384.837090573143</v>
      </c>
    </row>
    <row r="76" spans="17:19">
      <c r="Q76" s="187">
        <v>43983</v>
      </c>
      <c r="R76" s="183">
        <f t="shared" si="10"/>
        <v>28384.837090573143</v>
      </c>
      <c r="S76" s="183">
        <f t="shared" si="11"/>
        <v>28349.696226118784</v>
      </c>
    </row>
    <row r="77" spans="17:19">
      <c r="Q77" s="187">
        <v>44013</v>
      </c>
      <c r="R77" s="183">
        <f t="shared" si="10"/>
        <v>28349.696226118784</v>
      </c>
      <c r="S77" s="183">
        <f t="shared" si="11"/>
        <v>28314.598866594562</v>
      </c>
    </row>
    <row r="78" spans="17:19">
      <c r="Q78" s="187">
        <v>44044</v>
      </c>
      <c r="R78" s="183">
        <f t="shared" si="10"/>
        <v>28314.598866594562</v>
      </c>
      <c r="S78" s="183">
        <f t="shared" si="11"/>
        <v>28279.544958140705</v>
      </c>
    </row>
    <row r="79" spans="17:19">
      <c r="Q79" s="187">
        <v>44075</v>
      </c>
      <c r="R79" s="183">
        <f t="shared" si="10"/>
        <v>28279.544958140705</v>
      </c>
      <c r="S79" s="183">
        <f t="shared" si="11"/>
        <v>28244.53444696412</v>
      </c>
    </row>
    <row r="80" spans="17:19">
      <c r="Q80" s="187">
        <v>44105</v>
      </c>
      <c r="R80" s="183">
        <f t="shared" si="10"/>
        <v>28244.53444696412</v>
      </c>
      <c r="S80" s="183">
        <f t="shared" si="11"/>
        <v>28209.567279338313</v>
      </c>
    </row>
    <row r="81" spans="17:19">
      <c r="Q81" s="187">
        <v>44136</v>
      </c>
      <c r="R81" s="183">
        <f t="shared" si="10"/>
        <v>28209.567279338313</v>
      </c>
      <c r="S81" s="183">
        <f t="shared" si="11"/>
        <v>28174.643401603302</v>
      </c>
    </row>
    <row r="82" spans="17:19">
      <c r="Q82" s="187">
        <v>44166</v>
      </c>
      <c r="R82" s="183">
        <f t="shared" si="10"/>
        <v>28174.643401603302</v>
      </c>
      <c r="S82" s="183">
        <f t="shared" si="11"/>
        <v>28139.762760165537</v>
      </c>
    </row>
    <row r="83" spans="17:19">
      <c r="Q83" s="187">
        <v>44197</v>
      </c>
      <c r="R83" s="183">
        <f t="shared" si="10"/>
        <v>28139.762760165537</v>
      </c>
      <c r="S83" s="183">
        <f t="shared" si="11"/>
        <v>28104.925301497817</v>
      </c>
    </row>
    <row r="84" spans="17:19">
      <c r="Q84" s="187">
        <v>44228</v>
      </c>
      <c r="R84" s="183">
        <f t="shared" si="10"/>
        <v>28104.925301497817</v>
      </c>
      <c r="S84" s="183">
        <f t="shared" si="11"/>
        <v>28070.13097213921</v>
      </c>
    </row>
    <row r="85" spans="17:19">
      <c r="Q85" s="187">
        <v>44256</v>
      </c>
      <c r="R85" s="183">
        <f t="shared" si="10"/>
        <v>28070.13097213921</v>
      </c>
      <c r="S85" s="183">
        <f t="shared" si="11"/>
        <v>28035.379718694967</v>
      </c>
    </row>
    <row r="86" spans="17:19">
      <c r="Q86" s="187">
        <v>44287</v>
      </c>
      <c r="R86" s="183">
        <f t="shared" si="10"/>
        <v>28035.379718694967</v>
      </c>
      <c r="S86" s="183">
        <f t="shared" si="11"/>
        <v>28000.671487836444</v>
      </c>
    </row>
    <row r="87" spans="17:19">
      <c r="Q87" s="187">
        <v>44317</v>
      </c>
      <c r="R87" s="183">
        <f t="shared" si="10"/>
        <v>28000.671487836444</v>
      </c>
      <c r="S87" s="183">
        <f t="shared" si="11"/>
        <v>27966.006226301019</v>
      </c>
    </row>
    <row r="88" spans="17:19">
      <c r="Q88" s="187">
        <v>44348</v>
      </c>
      <c r="R88" s="183">
        <f t="shared" si="10"/>
        <v>27966.006226301019</v>
      </c>
      <c r="S88" s="183">
        <f t="shared" si="11"/>
        <v>27931.383880892012</v>
      </c>
    </row>
    <row r="89" spans="17:19">
      <c r="Q89" s="187">
        <v>44378</v>
      </c>
      <c r="R89" s="183">
        <f t="shared" si="10"/>
        <v>27931.383880892012</v>
      </c>
      <c r="S89" s="183">
        <f t="shared" si="11"/>
        <v>27896.804398478598</v>
      </c>
    </row>
    <row r="90" spans="17:19">
      <c r="Q90" s="187">
        <v>44409</v>
      </c>
      <c r="R90" s="183">
        <f t="shared" si="10"/>
        <v>27896.804398478598</v>
      </c>
      <c r="S90" s="183">
        <f t="shared" si="11"/>
        <v>27862.267725995727</v>
      </c>
    </row>
    <row r="91" spans="17:19">
      <c r="Q91" s="187">
        <v>44440</v>
      </c>
      <c r="R91" s="183">
        <f t="shared" si="10"/>
        <v>27862.267725995727</v>
      </c>
      <c r="S91" s="183">
        <f t="shared" si="11"/>
        <v>27827.77381044405</v>
      </c>
    </row>
    <row r="92" spans="17:19">
      <c r="Q92" s="187">
        <v>44470</v>
      </c>
      <c r="R92" s="183">
        <f t="shared" si="10"/>
        <v>27827.77381044405</v>
      </c>
      <c r="S92" s="183">
        <f t="shared" si="11"/>
        <v>27793.32259888983</v>
      </c>
    </row>
    <row r="93" spans="17:19">
      <c r="Q93" s="187">
        <v>44501</v>
      </c>
      <c r="R93" s="183">
        <f t="shared" si="10"/>
        <v>27793.32259888983</v>
      </c>
      <c r="S93" s="183">
        <f t="shared" si="11"/>
        <v>27758.91403846486</v>
      </c>
    </row>
    <row r="94" spans="17:19">
      <c r="Q94" s="187">
        <v>44531</v>
      </c>
      <c r="R94" s="183">
        <f t="shared" si="10"/>
        <v>27758.91403846486</v>
      </c>
      <c r="S94" s="183">
        <f t="shared" si="11"/>
        <v>27724.548076366387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A60" sqref="A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5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5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5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5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5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5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6"/>
      <c r="I15" s="127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6"/>
      <c r="I17" s="127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5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5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6"/>
      <c r="I20" s="127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6"/>
      <c r="I21" s="127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5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6"/>
      <c r="I23" s="127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5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6"/>
      <c r="I25" s="127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5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6"/>
      <c r="I27" s="127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5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6"/>
      <c r="I29" s="127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5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6"/>
      <c r="I31" s="127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5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6"/>
      <c r="I33" s="127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5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6"/>
      <c r="I35" s="127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5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6"/>
      <c r="I37" s="127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5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6"/>
      <c r="I39" s="127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5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6"/>
      <c r="I41" s="127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5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6"/>
      <c r="I43" s="127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5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6"/>
      <c r="I45" s="127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5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6"/>
      <c r="I47" s="127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5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6"/>
      <c r="I49" s="127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5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6"/>
      <c r="I51" s="127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6"/>
      <c r="I52" s="127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5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6"/>
      <c r="I54" s="127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6"/>
      <c r="I55" s="127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5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5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2" t="s">
        <v>25</v>
      </c>
      <c r="E58" s="115">
        <v>41211</v>
      </c>
      <c r="F58" s="114">
        <v>2500</v>
      </c>
      <c r="G58" s="116">
        <v>0.02</v>
      </c>
      <c r="H58" s="126"/>
      <c r="I58" s="127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2" t="s">
        <v>25</v>
      </c>
      <c r="E59" s="115">
        <v>41212</v>
      </c>
      <c r="F59" s="114">
        <v>300</v>
      </c>
      <c r="G59" s="116">
        <v>0.12</v>
      </c>
      <c r="H59" s="126"/>
      <c r="I59" s="127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5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5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28">
        <f>SUBTOTAL(104,[ID])</f>
        <v>60</v>
      </c>
      <c r="B62" s="128"/>
      <c r="C62" s="128"/>
      <c r="D62" s="128"/>
      <c r="E62" s="128"/>
      <c r="F62" s="128"/>
      <c r="G62" s="128"/>
      <c r="H62" s="78"/>
      <c r="I62" s="15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5"/>
      <c r="Y62" s="128"/>
      <c r="Z62" s="15"/>
      <c r="AA62" s="15"/>
      <c r="AB62" s="128"/>
      <c r="AC62" s="15">
        <f>SUBTOTAL(109,[IRRF])</f>
        <v>0.72000000000000008</v>
      </c>
      <c r="AD62" s="15"/>
      <c r="AE62" s="128"/>
      <c r="AF62" s="128"/>
      <c r="AG62" s="15"/>
      <c r="AH62" s="15">
        <f>SUBTOTAL(109,[LUCRO P/ OP])</f>
        <v>1017.4900000000001</v>
      </c>
      <c r="AI62" s="15"/>
      <c r="AJ62" s="129"/>
      <c r="AK62" s="130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4" sqref="E4"/>
    </sheetView>
  </sheetViews>
  <sheetFormatPr defaultColWidth="11.5703125" defaultRowHeight="11.25"/>
  <cols>
    <col min="1" max="1" width="7.42578125" style="7" bestFit="1" customWidth="1"/>
    <col min="2" max="2" width="11.5703125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3</v>
      </c>
      <c r="N1" s="27">
        <f>0.7%*M1</f>
        <v>2.0999999999999998E-2</v>
      </c>
    </row>
    <row r="2" spans="1:15">
      <c r="A2" s="7" t="s">
        <v>140</v>
      </c>
      <c r="B2" s="25">
        <f>700</f>
        <v>700</v>
      </c>
      <c r="C2" s="25">
        <v>21.16</v>
      </c>
      <c r="D2" s="25">
        <v>1.25</v>
      </c>
      <c r="E2" s="39">
        <v>21.6</v>
      </c>
      <c r="F2" s="28">
        <f>ROUNDDOWN([APLICAÇÃO]/[PREÇO OPÇÃO], 0)</f>
        <v>560</v>
      </c>
      <c r="G2" s="28">
        <f>[QTDE TMP] - MOD([QTDE TMP], 100)</f>
        <v>500</v>
      </c>
      <c r="H2" s="25">
        <f>[EXERCÍCIO] + ([PREÇO OPÇÃO] * 2)</f>
        <v>23.66</v>
      </c>
      <c r="I2" s="27">
        <f>[TARGET 100%] / [PREÇO AÇÃO] - 1</f>
        <v>9.5370370370370328E-2</v>
      </c>
      <c r="J2" s="25">
        <f>[PREÇO OPÇÃO] * [QTDE]</f>
        <v>625</v>
      </c>
      <c r="K2" s="25">
        <f>IF([PREÇO AÇÃO] &gt; [EXERCÍCIO], [PREÇO OPÇÃO] -([PREÇO AÇÃO] - [EXERCÍCIO]), [PREÇO OPÇÃO])</f>
        <v>0.80999999999999872</v>
      </c>
    </row>
    <row r="3" spans="1:15">
      <c r="A3" s="7" t="s">
        <v>179</v>
      </c>
      <c r="B3" s="25">
        <f>700</f>
        <v>700</v>
      </c>
      <c r="C3" s="25">
        <v>22.16</v>
      </c>
      <c r="D3" s="25">
        <v>0.75</v>
      </c>
      <c r="E3" s="39">
        <v>21.6</v>
      </c>
      <c r="F3" s="28">
        <f>ROUNDDOWN([APLICAÇÃO]/[PREÇO OPÇÃO], 0)</f>
        <v>933</v>
      </c>
      <c r="G3" s="28">
        <f>[QTDE TMP] - MOD([QTDE TMP], 100)</f>
        <v>900</v>
      </c>
      <c r="H3" s="25">
        <f>[EXERCÍCIO] + ([PREÇO OPÇÃO] * 2)</f>
        <v>23.66</v>
      </c>
      <c r="I3" s="27">
        <f>[TARGET 100%] / [PREÇO AÇÃO] - 1</f>
        <v>9.5370370370370328E-2</v>
      </c>
      <c r="J3" s="25">
        <f>[PREÇO OPÇÃO] * [QTDE]</f>
        <v>675</v>
      </c>
      <c r="K3" s="25">
        <f>IF([PREÇO AÇÃO] &gt; [EXERCÍCIO], [PREÇO OPÇÃO] -([PREÇO AÇÃO] - [EXERCÍCIO]), [PREÇO OPÇÃO])</f>
        <v>0.75</v>
      </c>
    </row>
    <row r="4" spans="1:15">
      <c r="A4" s="7" t="s">
        <v>179</v>
      </c>
      <c r="B4" s="144">
        <f>700</f>
        <v>700</v>
      </c>
      <c r="C4" s="25">
        <v>27.24</v>
      </c>
      <c r="D4" s="25">
        <v>0.28000000000000003</v>
      </c>
      <c r="E4" s="39">
        <v>27.95</v>
      </c>
      <c r="F4" s="145">
        <f>ROUNDDOWN([APLICAÇÃO]/[PREÇO OPÇÃO], 0)</f>
        <v>2500</v>
      </c>
      <c r="G4" s="145">
        <f>[QTDE TMP] - MOD([QTDE TMP], 100)</f>
        <v>2500</v>
      </c>
      <c r="H4" s="144">
        <f>[EXERCÍCIO] + ([PREÇO OPÇÃO] * 2)</f>
        <v>27.799999999999997</v>
      </c>
      <c r="I4" s="146">
        <f>[TARGET 100%] / [PREÇO AÇÃO] - 1</f>
        <v>-5.3667262969588903E-3</v>
      </c>
      <c r="J4" s="147">
        <f>[PREÇO OPÇÃO] * [QTDE]</f>
        <v>700.00000000000011</v>
      </c>
      <c r="K4" s="147">
        <f>IF([PREÇO AÇÃO] &gt; [EXERCÍCIO], [PREÇO OPÇÃO] -([PREÇO AÇÃO] - [EXERCÍCIO]), [PREÇO OPÇÃO])</f>
        <v>-0.43000000000000083</v>
      </c>
      <c r="M4" s="7">
        <v>33.15</v>
      </c>
      <c r="N4" s="150">
        <f>M4*N7/M7</f>
        <v>4.9732104586369479</v>
      </c>
      <c r="O4" s="151">
        <f>N4/5*M1</f>
        <v>2.9839262751821689</v>
      </c>
    </row>
    <row r="5" spans="1:15">
      <c r="A5" s="143" t="s">
        <v>179</v>
      </c>
      <c r="B5" s="144">
        <f>700</f>
        <v>700</v>
      </c>
      <c r="C5" s="144">
        <v>28.24</v>
      </c>
      <c r="D5" s="144">
        <v>0.26</v>
      </c>
      <c r="E5" s="39">
        <v>27.81</v>
      </c>
      <c r="F5" s="145">
        <f>ROUNDDOWN([APLICAÇÃO]/[PREÇO OPÇÃO], 0)</f>
        <v>2692</v>
      </c>
      <c r="G5" s="145">
        <f>[QTDE TMP] - MOD([QTDE TMP], 100)</f>
        <v>2600</v>
      </c>
      <c r="H5" s="144">
        <f>[EXERCÍCIO] + ([PREÇO OPÇÃO] * 2)</f>
        <v>28.759999999999998</v>
      </c>
      <c r="I5" s="146">
        <f>[TARGET 100%] / [PREÇO AÇÃO] - 1</f>
        <v>3.4160373966199087E-2</v>
      </c>
      <c r="J5" s="147">
        <f>[PREÇO OPÇÃO] * [QTDE]</f>
        <v>676</v>
      </c>
      <c r="K5" s="147">
        <f>IF([PREÇO AÇÃO] &gt; [EXERCÍCIO], [PREÇO OPÇÃO] -([PREÇO AÇÃO] - [EXERCÍCIO]), [PREÇO OPÇÃO])</f>
        <v>0.26</v>
      </c>
      <c r="M5" s="7">
        <v>23.84</v>
      </c>
      <c r="N5" s="150">
        <f>M5*N7/M7</f>
        <v>3.5765109301328764</v>
      </c>
      <c r="O5" s="151">
        <f>N5/5*M1</f>
        <v>2.1459065580797256</v>
      </c>
    </row>
    <row r="7" spans="1:15">
      <c r="D7" s="25">
        <f>D5-K5</f>
        <v>0</v>
      </c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7"/>
  <dimension ref="A1:R9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E22" sqref="E22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hidden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8">
      <c r="A1" s="24" t="s">
        <v>55</v>
      </c>
      <c r="B1" s="24" t="s">
        <v>112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224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8">
      <c r="A2" s="7" t="s">
        <v>83</v>
      </c>
      <c r="B2" s="25">
        <f>1800</f>
        <v>1800</v>
      </c>
      <c r="C2" s="25">
        <v>17.29</v>
      </c>
      <c r="D2" s="25">
        <v>16.16</v>
      </c>
      <c r="E2" s="25">
        <v>1.44</v>
      </c>
      <c r="F2" s="25">
        <v>17.16</v>
      </c>
      <c r="G2" s="25">
        <v>0.8</v>
      </c>
      <c r="H2" s="25">
        <f>[VOLUME]/([PREÇO VENDA]+[PREÇO COMPRA])</f>
        <v>803.57142857142844</v>
      </c>
      <c r="I2" s="25">
        <f>[PREÇO VENDA]-[PREÇO COMPRA]</f>
        <v>0.6399999999999999</v>
      </c>
      <c r="J2" s="25">
        <f>(0.01 - [PREÇO COMPRA]) + ([PREÇO VENDA] - ([EXERC. COMPRA]-[EXERC. VENDA]+0.01))</f>
        <v>-0.3600000000000001</v>
      </c>
      <c r="K2" s="28">
        <f>ROUNDDOWN([VOLUME]/ABS([PERDA P/ OPÇÃO]), 0)</f>
        <v>5000</v>
      </c>
      <c r="L2" s="28">
        <f>[QTD] - MOD([QTD], 100)</f>
        <v>800</v>
      </c>
      <c r="M2" s="25">
        <f>([QTDE]*[LUCRO P/ OPÇÃO])-48</f>
        <v>463.99999999999994</v>
      </c>
      <c r="N2" s="25">
        <f>[QTDE]*[PERDA P/ OPÇÃO]-48</f>
        <v>-336.00000000000006</v>
      </c>
      <c r="O2" s="27">
        <f>[EXERC. VENDA]/[PREÇO AÇÃO]-1</f>
        <v>-6.535569693464427E-2</v>
      </c>
      <c r="P2" s="38">
        <f>[LUCRO*]/ABS([PERDA*])</f>
        <v>1.3809523809523805</v>
      </c>
    </row>
    <row r="3" spans="1:18">
      <c r="A3" s="7" t="s">
        <v>83</v>
      </c>
      <c r="B3" s="25">
        <f>1800</f>
        <v>1800</v>
      </c>
      <c r="C3" s="25">
        <v>17.64</v>
      </c>
      <c r="D3" s="25">
        <v>16.16</v>
      </c>
      <c r="E3" s="25">
        <v>1.65</v>
      </c>
      <c r="F3" s="25">
        <v>18.16</v>
      </c>
      <c r="G3" s="25">
        <v>0.5</v>
      </c>
      <c r="H3" s="25">
        <f>[VOLUME]/([PREÇO VENDA]+[PREÇO COMPRA])</f>
        <v>837.20930232558146</v>
      </c>
      <c r="I3" s="25">
        <f>[PREÇO VENDA]-[PREÇO COMPRA]</f>
        <v>1.1499999999999999</v>
      </c>
      <c r="J3" s="25">
        <f>(0.01 - [PREÇO COMPRA]) + ([PREÇO VENDA] - ([EXERC. COMPRA]-[EXERC. VENDA]+0.01))</f>
        <v>-0.84999999999999987</v>
      </c>
      <c r="K3" s="28">
        <f>ROUNDDOWN([VOLUME]/ABS([PERDA P/ OPÇÃO]), 0)</f>
        <v>2117</v>
      </c>
      <c r="L3" s="28">
        <f>[QTD] - MOD([QTD], 100)</f>
        <v>800</v>
      </c>
      <c r="M3" s="25">
        <f>([QTDE]*[LUCRO P/ OPÇÃO])-48</f>
        <v>871.99999999999989</v>
      </c>
      <c r="N3" s="25">
        <f>[QTDE]*[PERDA P/ OPÇÃO]-48</f>
        <v>-727.99999999999989</v>
      </c>
      <c r="O3" s="27">
        <f>[EXERC. VENDA]/[PREÇO AÇÃO]-1</f>
        <v>-8.3900226757369634E-2</v>
      </c>
      <c r="P3" s="38">
        <f>[LUCRO*]/ABS([PERDA*])</f>
        <v>1.1978021978021978</v>
      </c>
    </row>
    <row r="4" spans="1:18">
      <c r="A4" s="102" t="s">
        <v>69</v>
      </c>
      <c r="B4" s="25">
        <f>1800</f>
        <v>1800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[VOLUME]/([PREÇO VENDA]+[PREÇO COMPRA])</f>
        <v>857.14285714285711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ROUNDDOWN([VOLUME]/ABS([PERDA P/ OPÇÃO]), 0)</f>
        <v>18000</v>
      </c>
      <c r="L4" s="103">
        <f>[QTD] - MOD([QTD], 100)</f>
        <v>800</v>
      </c>
      <c r="M4" s="81">
        <f>([QTDE]*[LUCRO P/ OPÇÃO])-48</f>
        <v>672</v>
      </c>
      <c r="N4" s="81">
        <f>[QTDE]*[PERDA P/ OPÇÃO]-48</f>
        <v>-127.99999999999999</v>
      </c>
      <c r="O4" s="82">
        <f>[EXERC. VENDA]/[PREÇO AÇÃO]-1</f>
        <v>-0.12280701754385959</v>
      </c>
      <c r="P4" s="83">
        <f>[LUCRO*]/ABS([PERDA*])</f>
        <v>5.2500000000000009</v>
      </c>
      <c r="R4" s="7">
        <v>36.979999999999997</v>
      </c>
    </row>
    <row r="5" spans="1:18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R5" s="7">
        <f>R4/10*1.5</f>
        <v>5.5469999999999988</v>
      </c>
    </row>
    <row r="6" spans="1:18">
      <c r="R6" s="7">
        <f>R5/10*1.5</f>
        <v>0.83204999999999973</v>
      </c>
    </row>
    <row r="7" spans="1:18">
      <c r="R7" s="27">
        <f>R6/100</f>
        <v>8.320499999999998E-3</v>
      </c>
    </row>
    <row r="9" spans="1:18">
      <c r="R9" s="7">
        <f>17.14*(1-R7)</f>
        <v>16.997386630000001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B3" sqref="B3"/>
    </sheetView>
  </sheetViews>
  <sheetFormatPr defaultRowHeight="11.25"/>
  <cols>
    <col min="1" max="1" width="9.5703125" style="1" bestFit="1" customWidth="1"/>
    <col min="2" max="2" width="6.85546875" style="1" bestFit="1" customWidth="1"/>
    <col min="3" max="3" width="6.7109375" style="1" bestFit="1" customWidth="1"/>
    <col min="4" max="4" width="8.7109375" style="1" bestFit="1" customWidth="1"/>
    <col min="5" max="5" width="7.42578125" style="1" bestFit="1" customWidth="1"/>
    <col min="6" max="6" width="11.42578125" style="1" bestFit="1" customWidth="1"/>
    <col min="7" max="7" width="12.28515625" style="1" bestFit="1" customWidth="1"/>
    <col min="8" max="16384" width="9.140625" style="1"/>
  </cols>
  <sheetData>
    <row r="1" spans="1:7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</row>
    <row r="2" spans="1:7">
      <c r="A2" s="1">
        <v>1600</v>
      </c>
      <c r="B2" s="1">
        <v>54110</v>
      </c>
      <c r="C2" s="1">
        <v>54300</v>
      </c>
      <c r="D2" s="1">
        <f>ABS(B2-C2)</f>
        <v>190</v>
      </c>
      <c r="E2" s="1">
        <f>A2*10%</f>
        <v>160</v>
      </c>
      <c r="F2" s="1">
        <f>E2/(0.2*D2)-MOD(E2/(0.2*D2),1)</f>
        <v>4</v>
      </c>
      <c r="G2" s="1">
        <f>IF([Start]&lt;[Stop],[Start]-([Pontos]*3.5),[Start]+([Pontos]*3.5))</f>
        <v>53445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2" sqref="B2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0" width="11.140625" style="7" bestFit="1" customWidth="1"/>
    <col min="11" max="11" width="11.140625" style="24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160</v>
      </c>
      <c r="C2" s="51">
        <v>17.29</v>
      </c>
      <c r="D2" s="51">
        <v>15.16</v>
      </c>
      <c r="E2" s="51">
        <v>17.16</v>
      </c>
      <c r="F2" s="51">
        <v>2.2599999999999998</v>
      </c>
      <c r="G2" s="62">
        <v>500</v>
      </c>
      <c r="H2" s="52">
        <f>([RISCO])/[QTDE]</f>
        <v>0.32</v>
      </c>
      <c r="I2" s="52">
        <f>[PR Venda] * [QTDE]+[QTDE]*[PR Compra]</f>
        <v>1420</v>
      </c>
      <c r="J2" s="63">
        <f>[PR Venda]-[PR Compra]</f>
        <v>1.6799999999999997</v>
      </c>
      <c r="K2" s="200">
        <f>(-[PERDA P/ OPÇÃO] + ([EX. COMPRA] - [EX. VENDA] + 0.01) - 0.01 -[PR Venda])*-1</f>
        <v>0.58000000000000007</v>
      </c>
      <c r="L2" s="52">
        <f>([QTDE]*[LUCRO UNI])-64</f>
        <v>775.99999999999989</v>
      </c>
      <c r="M2" s="52">
        <f>-[PERDA P/ OPÇÃO]*[QTDE]-64</f>
        <v>-224</v>
      </c>
      <c r="N2" s="53">
        <f>[EX. VENDA]/[PREÇO AÇÃO]-1</f>
        <v>-0.12319259687680739</v>
      </c>
      <c r="O2" s="54">
        <f>[LUCRO]/ABS([PERDA])</f>
        <v>3.464285714285714</v>
      </c>
    </row>
    <row r="3" spans="1:15">
      <c r="A3" s="143" t="s">
        <v>83</v>
      </c>
      <c r="B3" s="144">
        <v>185</v>
      </c>
      <c r="C3" s="51">
        <v>27.25</v>
      </c>
      <c r="D3" s="144">
        <v>27.18</v>
      </c>
      <c r="E3" s="144">
        <v>28.18</v>
      </c>
      <c r="F3" s="144">
        <v>1.21</v>
      </c>
      <c r="G3" s="148">
        <v>600</v>
      </c>
      <c r="H3" s="147">
        <f>([RISCO])/[QTDE]</f>
        <v>0.30833333333333335</v>
      </c>
      <c r="I3" s="147">
        <f>[PR Venda] * [QTDE]+[QTDE]*[PR Compra]</f>
        <v>1037</v>
      </c>
      <c r="J3" s="63">
        <f>[PR Venda]-[PR Compra]</f>
        <v>0.69166666666666665</v>
      </c>
      <c r="K3" s="201">
        <f>(-[PERDA P/ OPÇÃO] + ([EX. COMPRA] - [EX. VENDA] + 0.01) - 0.01 -[PR Venda])*-1</f>
        <v>0.51833333333333331</v>
      </c>
      <c r="L3" s="147">
        <f>([QTDE]*[LUCRO UNI])-64</f>
        <v>351</v>
      </c>
      <c r="M3" s="147">
        <f>-[PERDA P/ OPÇÃO]*[QTDE]-64</f>
        <v>-249</v>
      </c>
      <c r="N3" s="146">
        <f>[EX. VENDA]/[PREÇO AÇÃO]-1</f>
        <v>-2.5688073394495303E-3</v>
      </c>
      <c r="O3" s="149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NOTAS</vt:lpstr>
      <vt:lpstr>NOTAS 80%</vt:lpstr>
      <vt:lpstr>IR</vt:lpstr>
      <vt:lpstr>VOLAT-TENDENCIA</vt:lpstr>
      <vt:lpstr>TRAVA BAIXA</vt:lpstr>
      <vt:lpstr>MINI</vt:lpstr>
      <vt:lpstr>TRAVA BAIXA NEW</vt:lpstr>
      <vt:lpstr>BORBOLETA</vt:lpstr>
      <vt:lpstr>Plan1</vt:lpstr>
      <vt:lpstr>SETUP</vt:lpstr>
      <vt:lpstr>Plan2</vt:lpstr>
      <vt:lpstr>Plan4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2014-08-26T17:28:12Z</dcterms:modified>
</cp:coreProperties>
</file>