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60" windowWidth="16380" windowHeight="8130" tabRatio="211" activeTab="1"/>
  </bookViews>
  <sheets>
    <sheet name="Plan3" sheetId="6" r:id="rId1"/>
    <sheet name="Planilha1" sheetId="1" r:id="rId2"/>
    <sheet name="SETUP" sheetId="2" r:id="rId3"/>
    <sheet name="Planilha3" sheetId="3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V12" i="1"/>
  <c r="H11"/>
  <c r="I11"/>
  <c r="K11"/>
  <c r="P11"/>
  <c r="Q11"/>
  <c r="R11"/>
  <c r="T11"/>
  <c r="X11"/>
  <c r="Y11"/>
  <c r="AA11"/>
  <c r="H10"/>
  <c r="I10"/>
  <c r="K10"/>
  <c r="P10"/>
  <c r="Q10"/>
  <c r="R10"/>
  <c r="X10"/>
  <c r="Y10"/>
  <c r="H9"/>
  <c r="I9"/>
  <c r="K9"/>
  <c r="P9"/>
  <c r="Q9"/>
  <c r="R9"/>
  <c r="T9"/>
  <c r="X9"/>
  <c r="Y9"/>
  <c r="AA9"/>
  <c r="A12"/>
  <c r="AA2" l="1"/>
  <c r="AA3"/>
  <c r="AA4"/>
  <c r="AA7"/>
  <c r="H2"/>
  <c r="H3"/>
  <c r="H4"/>
  <c r="I4" s="1"/>
  <c r="H5"/>
  <c r="I5" s="1"/>
  <c r="H6"/>
  <c r="I6" s="1"/>
  <c r="H7"/>
  <c r="I7" s="1"/>
  <c r="H8"/>
  <c r="I8" s="1"/>
  <c r="T2"/>
  <c r="T3"/>
  <c r="T4"/>
  <c r="T6"/>
  <c r="T7"/>
  <c r="T8"/>
  <c r="K5"/>
  <c r="X5" s="1"/>
  <c r="P5"/>
  <c r="Q5" s="1"/>
  <c r="Y5"/>
  <c r="K8"/>
  <c r="X8" s="1"/>
  <c r="P8"/>
  <c r="Q8" s="1"/>
  <c r="Y8"/>
  <c r="K7"/>
  <c r="P7"/>
  <c r="R7" s="1"/>
  <c r="X7"/>
  <c r="Y7"/>
  <c r="K4"/>
  <c r="P4"/>
  <c r="Q4" s="1"/>
  <c r="X4"/>
  <c r="Y4"/>
  <c r="K6"/>
  <c r="X6" s="1"/>
  <c r="P6"/>
  <c r="Q6" s="1"/>
  <c r="Y6"/>
  <c r="R5" l="1"/>
  <c r="R8"/>
  <c r="R4"/>
  <c r="R6"/>
  <c r="Q7"/>
  <c r="I3"/>
  <c r="K3"/>
  <c r="P3"/>
  <c r="X3"/>
  <c r="Y3"/>
  <c r="K2"/>
  <c r="P2"/>
  <c r="R2" s="1"/>
  <c r="X2"/>
  <c r="Y2"/>
  <c r="J11" l="1"/>
  <c r="L11"/>
  <c r="M11"/>
  <c r="N11"/>
  <c r="O11"/>
  <c r="J9"/>
  <c r="J10"/>
  <c r="L10"/>
  <c r="M10"/>
  <c r="N10"/>
  <c r="O10"/>
  <c r="L9"/>
  <c r="M9"/>
  <c r="N9"/>
  <c r="O9"/>
  <c r="O4"/>
  <c r="O8"/>
  <c r="N5"/>
  <c r="M2"/>
  <c r="M6"/>
  <c r="O2"/>
  <c r="N3"/>
  <c r="M4"/>
  <c r="O3"/>
  <c r="N4"/>
  <c r="M5"/>
  <c r="O5"/>
  <c r="N2"/>
  <c r="N6"/>
  <c r="M3"/>
  <c r="M7"/>
  <c r="O6"/>
  <c r="N7"/>
  <c r="M8"/>
  <c r="O7"/>
  <c r="N8"/>
  <c r="Q3"/>
  <c r="R3"/>
  <c r="J5"/>
  <c r="L5"/>
  <c r="J8"/>
  <c r="L8"/>
  <c r="I2"/>
  <c r="Q2"/>
  <c r="S11" l="1"/>
  <c r="S10"/>
  <c r="T10" s="1"/>
  <c r="S9"/>
  <c r="S5"/>
  <c r="S8"/>
  <c r="J7"/>
  <c r="J4"/>
  <c r="J6"/>
  <c r="J3"/>
  <c r="J2"/>
  <c r="T5" l="1"/>
  <c r="U5" s="1"/>
  <c r="L7"/>
  <c r="L4"/>
  <c r="L6"/>
  <c r="L3"/>
  <c r="S3" s="1"/>
  <c r="L2"/>
  <c r="U11" l="1"/>
  <c r="U10"/>
  <c r="U9"/>
  <c r="U3"/>
  <c r="U8"/>
  <c r="S6"/>
  <c r="U6" s="1"/>
  <c r="S4"/>
  <c r="U4" s="1"/>
  <c r="S2"/>
  <c r="U2" s="1"/>
  <c r="S7"/>
  <c r="U7" s="1"/>
  <c r="X12"/>
  <c r="V11" l="1"/>
  <c r="W11" s="1"/>
  <c r="V10"/>
  <c r="W10" s="1"/>
  <c r="AA10" s="1"/>
  <c r="V9"/>
  <c r="W9" s="1"/>
  <c r="V7"/>
  <c r="V6"/>
  <c r="V5"/>
  <c r="V2"/>
  <c r="V8"/>
  <c r="W8" s="1"/>
  <c r="AA8" s="1"/>
  <c r="V4"/>
  <c r="V3"/>
  <c r="W3" s="1"/>
  <c r="Z11" l="1"/>
  <c r="Z10"/>
  <c r="Z9"/>
  <c r="Z4"/>
  <c r="Z5"/>
  <c r="Z2"/>
  <c r="Z7"/>
  <c r="AB7" s="1"/>
  <c r="AG7" s="1"/>
  <c r="Z8"/>
  <c r="Z6"/>
  <c r="Z3"/>
  <c r="AB3" s="1"/>
  <c r="AG3" s="1"/>
  <c r="W5"/>
  <c r="AA5" s="1"/>
  <c r="W2"/>
  <c r="AB4"/>
  <c r="AG4" s="1"/>
  <c r="W7"/>
  <c r="W4"/>
  <c r="W6"/>
  <c r="AA6" s="1"/>
  <c r="AB11" l="1"/>
  <c r="AG11"/>
  <c r="AB10"/>
  <c r="AG10"/>
  <c r="AB9"/>
  <c r="AG9"/>
  <c r="AB5"/>
  <c r="AG5" s="1"/>
  <c r="AB8"/>
  <c r="AG8" s="1"/>
  <c r="AB2"/>
  <c r="AB6"/>
  <c r="AG6" s="1"/>
  <c r="AC11" l="1"/>
  <c r="AE11" s="1"/>
  <c r="AD11"/>
  <c r="AF11" s="1"/>
  <c r="AC10"/>
  <c r="AE10" s="1"/>
  <c r="AD10"/>
  <c r="AF10" s="1"/>
  <c r="AB12"/>
  <c r="AC9"/>
  <c r="AE9" s="1"/>
  <c r="AD9"/>
  <c r="AF9" s="1"/>
  <c r="AC6"/>
  <c r="AE6" s="1"/>
  <c r="AD5"/>
  <c r="AF5" s="1"/>
  <c r="AC4"/>
  <c r="AE4" s="1"/>
  <c r="AD4"/>
  <c r="AF4" s="1"/>
  <c r="AD8"/>
  <c r="AF8" s="1"/>
  <c r="AC5"/>
  <c r="AE5" s="1"/>
  <c r="AD2"/>
  <c r="AF2" s="1"/>
  <c r="AD3"/>
  <c r="AF3" s="1"/>
  <c r="AC3"/>
  <c r="AE3" s="1"/>
  <c r="AC8"/>
  <c r="AE8" s="1"/>
  <c r="AD6"/>
  <c r="AF6" s="1"/>
  <c r="AD7"/>
  <c r="AF7" s="1"/>
  <c r="AC2"/>
  <c r="AE2" s="1"/>
  <c r="AC7"/>
  <c r="AE7" s="1"/>
  <c r="AG2"/>
  <c r="AC12" l="1"/>
  <c r="AD12" s="1"/>
  <c r="AE12" s="1"/>
  <c r="AF12" s="1"/>
  <c r="AG12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  <comment ref="AC12" authorId="0">
      <text>
        <r>
          <rPr>
            <b/>
            <sz val="8"/>
            <color indexed="81"/>
            <rFont val="Tahoma"/>
            <family val="2"/>
          </rPr>
          <t>IR</t>
        </r>
      </text>
    </comment>
    <comment ref="AD12" authorId="0">
      <text>
        <r>
          <rPr>
            <b/>
            <sz val="8"/>
            <color indexed="81"/>
            <rFont val="Tahoma"/>
            <family val="2"/>
          </rPr>
          <t>SAQUE P/ IR</t>
        </r>
      </text>
    </comment>
    <comment ref="AF12" authorId="0">
      <text>
        <r>
          <rPr>
            <b/>
            <sz val="8"/>
            <color indexed="81"/>
            <rFont val="Tahoma"/>
            <family val="2"/>
          </rPr>
          <t>PROTEÇÃO</t>
        </r>
      </text>
    </comment>
    <comment ref="AG12" authorId="0">
      <text>
        <r>
          <rPr>
            <b/>
            <sz val="8"/>
            <color indexed="81"/>
            <rFont val="Tahoma"/>
            <family val="2"/>
          </rPr>
          <t>REINVESTIMENTO</t>
        </r>
      </text>
    </comment>
  </commentList>
</comments>
</file>

<file path=xl/sharedStrings.xml><?xml version="1.0" encoding="utf-8"?>
<sst xmlns="http://schemas.openxmlformats.org/spreadsheetml/2006/main" count="98" uniqueCount="66">
  <si>
    <t>ATIVO</t>
  </si>
  <si>
    <t>QTDE</t>
  </si>
  <si>
    <t>PREÇO</t>
  </si>
  <si>
    <t>[D/N]</t>
  </si>
  <si>
    <t>ISS</t>
  </si>
  <si>
    <t>LÍQUIDO</t>
  </si>
  <si>
    <t>MNDL4</t>
  </si>
  <si>
    <t>N</t>
  </si>
  <si>
    <t>INET3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</si>
  <si>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</si>
  <si>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</si>
  <si>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</si>
  <si>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</si>
  <si>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</si>
  <si>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</si>
  <si>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</si>
  <si>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</si>
  <si>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GOLL4</t>
  </si>
  <si>
    <t>MRFG3</t>
  </si>
  <si>
    <t>JBSS3</t>
  </si>
  <si>
    <t>GFSA3</t>
  </si>
  <si>
    <t>KLBN4</t>
  </si>
  <si>
    <t>RSID3</t>
  </si>
  <si>
    <t>AGEN11</t>
  </si>
  <si>
    <t>INEP4</t>
  </si>
  <si>
    <t>(vazio)</t>
  </si>
  <si>
    <t>Total Geral</t>
  </si>
  <si>
    <t>Total</t>
  </si>
  <si>
    <t>Soma de VALOR P/ OPERAÇÃO</t>
  </si>
  <si>
    <t>DATA</t>
  </si>
  <si>
    <t>ID</t>
  </si>
  <si>
    <t>VALOR P/ OP</t>
  </si>
  <si>
    <t>IRRF</t>
  </si>
  <si>
    <t>MED CP</t>
  </si>
  <si>
    <t>MED VD</t>
  </si>
  <si>
    <t>PAR</t>
  </si>
  <si>
    <t>SALDO</t>
  </si>
  <si>
    <t>TOTAL APLIC</t>
  </si>
  <si>
    <t>OPER/TIPO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</si>
  <si>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</si>
  <si>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</si>
  <si>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</si>
  <si>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</si>
  <si>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</si>
  <si>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</si>
  <si>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</si>
  <si>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</si>
  <si>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</si>
  <si>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</si>
  <si>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</si>
  <si>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</si>
  <si>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</si>
  <si>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</si>
  <si>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</si>
  <si>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</si>
  <si>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</si>
  <si>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</si>
  <si>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IRRF NORMAL</t>
  </si>
  <si>
    <t>IRRF DAYTRADE</t>
  </si>
  <si>
    <t>LUCRO MÊS NORMAL</t>
  </si>
  <si>
    <t>LUCRO MÊS DAYTRADE</t>
  </si>
  <si>
    <t>RENTABILIDADE</t>
  </si>
  <si>
    <t>LUCRO</t>
  </si>
  <si>
    <t>IRRF DAYTRADE BASE</t>
  </si>
  <si>
    <t>PETRC25</t>
  </si>
  <si>
    <t>VALEC43</t>
  </si>
</sst>
</file>

<file path=xl/styles.xml><?xml version="1.0" encoding="utf-8"?>
<styleSheet xmlns="http://schemas.openxmlformats.org/spreadsheetml/2006/main">
  <numFmts count="7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  <numFmt numFmtId="170" formatCode="dd/mm/yyyy"/>
  </numFmts>
  <fonts count="8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4" fontId="3" fillId="0" borderId="0" xfId="0" applyNumberFormat="1" applyFont="1"/>
    <xf numFmtId="10" fontId="3" fillId="0" borderId="0" xfId="2" applyNumberFormat="1" applyFont="1" applyAlignment="1"/>
    <xf numFmtId="164" fontId="3" fillId="0" borderId="0" xfId="1" applyFont="1" applyAlignment="1"/>
    <xf numFmtId="164" fontId="3" fillId="0" borderId="0" xfId="1" applyNumberFormat="1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7" fillId="0" borderId="0" xfId="0" applyNumberFormat="1" applyFont="1" applyAlignment="1"/>
    <xf numFmtId="170" fontId="3" fillId="0" borderId="0" xfId="0" applyNumberFormat="1" applyFont="1" applyAlignment="1"/>
    <xf numFmtId="164" fontId="3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dd/mm/yyyy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uno" refreshedDate="40969.946527199078" createdVersion="1" refreshedVersion="4" recordCount="28" upgradeOnRefresh="1">
  <cacheSource type="worksheet">
    <worksheetSource ref="A1:Q65517" sheet="Planilha1"/>
  </cacheSource>
  <cacheFields count="18">
    <cacheField name="Nº NOTA" numFmtId="0">
      <sharedItems containsString="0" containsBlank="1" containsNumber="1" containsInteger="1" minValue="2763455" maxValue="3002965"/>
    </cacheField>
    <cacheField name="ATIVO" numFmtId="0">
      <sharedItems containsBlank="1" count="11">
        <s v="GOLL4"/>
        <s v="MRFG3"/>
        <s v="JBSS3"/>
        <s v="GFSA3"/>
        <s v="KLBN4"/>
        <s v="RSID3"/>
        <s v="MNDL4"/>
        <s v="AGEN11"/>
        <s v="INEP4"/>
        <s v="INET3"/>
        <m/>
      </sharedItems>
    </cacheField>
    <cacheField name="[C/V]" numFmtId="0">
      <sharedItems containsBlank="1"/>
    </cacheField>
    <cacheField name="DATA" numFmtId="0">
      <sharedItems containsNonDate="0" containsDate="1" containsString="0" containsBlank="1" minDate="2011-12-05T00:00:00" maxDate="2012-03-06T00:00:00"/>
    </cacheField>
    <cacheField name="QTDE" numFmtId="0">
      <sharedItems containsString="0" containsBlank="1" containsNumber="1" containsInteger="1" minValue="100" maxValue="3700"/>
    </cacheField>
    <cacheField name="PREÇO" numFmtId="0">
      <sharedItems containsString="0" containsBlank="1" containsNumber="1" minValue="0.17" maxValue="16"/>
    </cacheField>
    <cacheField name="[D/N]" numFmtId="0">
      <sharedItems containsBlank="1"/>
    </cacheField>
    <cacheField name="VALOR" numFmtId="0">
      <sharedItems containsString="0" containsBlank="1" containsNumber="1" minValue="152" maxValue="2829"/>
    </cacheField>
    <cacheField name="VL LÍQUIDO" numFmtId="0">
      <sharedItems containsString="0" containsBlank="1" containsNumber="1" minValue="-3818" maxValue="3823.9999999999995"/>
    </cacheField>
    <cacheField name="TX LIQUID" numFmtId="0">
      <sharedItems containsString="0" containsBlank="1" containsNumber="1" minValue="0.04" maxValue="1.33"/>
    </cacheField>
    <cacheField name="EMOL" numFmtId="0">
      <sharedItems containsString="0" containsBlank="1" containsNumber="1" minValue="0.01" maxValue="0.34"/>
    </cacheField>
    <cacheField name="CORR. BASE" numFmtId="0">
      <sharedItems containsString="0" containsBlank="1" containsNumber="1" minValue="14.9" maxValue="44.7"/>
    </cacheField>
    <cacheField name="ISS" numFmtId="0">
      <sharedItems containsString="0" containsBlank="1" containsNumber="1" minValue="0.28999999999999998" maxValue="0.89"/>
    </cacheField>
    <cacheField name="OUTRAS TMP" numFmtId="0">
      <sharedItems containsString="0" containsBlank="1" containsNumber="1" minValue="0.57999999999999996" maxValue="0.57999999999999996"/>
    </cacheField>
    <cacheField name="OUTRAS" numFmtId="0">
      <sharedItems containsString="0" containsBlank="1" containsNumber="1" minValue="0.57999999999999996" maxValue="1.7399999999999998"/>
    </cacheField>
    <cacheField name="LÍQUIDO" numFmtId="0">
      <sharedItems containsString="0" containsBlank="1" containsNumber="1" minValue="-3850.8500000000004" maxValue="3791.139999999999"/>
    </cacheField>
    <cacheField name="VALOR P/ OPERAÇÃO" numFmtId="0">
      <sharedItems containsString="0" containsBlank="1" containsNumber="1" minValue="-2845.73" maxValue="2695.31"/>
    </cacheField>
    <cacheField name="SALDO" numFmtId="0">
      <sharedItems containsString="0" containsBlank="1" containsNumber="1" minValue="-4873.55" maxValue="481.52999999999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n v="2763455"/>
    <x v="0"/>
    <s v="C"/>
    <d v="2011-12-05T00:00:00"/>
    <n v="100"/>
    <n v="13.62"/>
    <s v="N"/>
    <n v="1362"/>
    <n v="-1362"/>
    <n v="0.37"/>
    <n v="0.09"/>
    <n v="14.9"/>
    <n v="0.28999999999999998"/>
    <n v="0.57999999999999996"/>
    <n v="0.57999999999999996"/>
    <n v="-1378.2299999999998"/>
    <n v="-1378.2299999999998"/>
    <n v="-1378.2299999999998"/>
  </r>
  <r>
    <n v="2779377"/>
    <x v="1"/>
    <s v="C"/>
    <d v="2011-12-09T00:00:00"/>
    <n v="100"/>
    <n v="8.4499999999999993"/>
    <s v="N"/>
    <n v="844.99999999999989"/>
    <n v="-844.99999999999989"/>
    <n v="0.23"/>
    <n v="0.05"/>
    <n v="14.9"/>
    <n v="0.28999999999999998"/>
    <n v="0.57999999999999996"/>
    <n v="0.57999999999999996"/>
    <n v="-861.04999999999984"/>
    <n v="-861.04999999999984"/>
    <n v="-2239.2799999999997"/>
  </r>
  <r>
    <n v="2783172"/>
    <x v="0"/>
    <s v="V"/>
    <d v="2011-12-12T00:00:00"/>
    <n v="100"/>
    <n v="16"/>
    <s v="N"/>
    <n v="1600"/>
    <n v="1600"/>
    <n v="0.44"/>
    <n v="0.11"/>
    <n v="14.9"/>
    <n v="0.28999999999999998"/>
    <n v="0.57999999999999996"/>
    <n v="0.57999999999999996"/>
    <n v="1583.68"/>
    <n v="1583.68"/>
    <n v="-655.59999999999968"/>
  </r>
  <r>
    <n v="2797072"/>
    <x v="2"/>
    <s v="C"/>
    <d v="2011-12-16T00:00:00"/>
    <n v="200"/>
    <n v="5.66"/>
    <s v="D"/>
    <n v="1132"/>
    <n v="-1132"/>
    <n v="0.2"/>
    <n v="7.0000000000000007E-2"/>
    <n v="14.9"/>
    <n v="0.28999999999999998"/>
    <n v="0.57999999999999996"/>
    <n v="0.57999999999999996"/>
    <n v="-1148.04"/>
    <n v="-1148.04"/>
    <n v="-1803.6399999999996"/>
  </r>
  <r>
    <n v="2797072"/>
    <x v="2"/>
    <s v="V"/>
    <d v="2011-12-16T00:00:00"/>
    <n v="200"/>
    <n v="5.64"/>
    <s v="D"/>
    <n v="1128"/>
    <n v="-4"/>
    <n v="0.4"/>
    <n v="0.15"/>
    <n v="29.8"/>
    <n v="0.59"/>
    <n v="0.57999999999999996"/>
    <n v="1.1599999999999999"/>
    <n v="-36.1"/>
    <n v="1111.94"/>
    <n v="-691.69999999999959"/>
  </r>
  <r>
    <n v="2797072"/>
    <x v="2"/>
    <s v="C"/>
    <d v="2011-12-16T00:00:00"/>
    <n v="200"/>
    <n v="5.65"/>
    <s v="N"/>
    <n v="1130"/>
    <n v="-1134"/>
    <n v="0.71"/>
    <n v="0.23"/>
    <n v="44.7"/>
    <n v="0.89"/>
    <n v="0.57999999999999996"/>
    <n v="1.7399999999999998"/>
    <n v="-1182.2700000000002"/>
    <n v="-1146.1700000000003"/>
    <n v="-1837.87"/>
  </r>
  <r>
    <n v="2815630"/>
    <x v="3"/>
    <s v="V"/>
    <d v="2011-12-23T00:00:00"/>
    <n v="200"/>
    <n v="4.2699999999999996"/>
    <s v="N"/>
    <n v="853.99999999999989"/>
    <n v="853.99999999999989"/>
    <n v="0.23"/>
    <n v="0.05"/>
    <n v="14.9"/>
    <n v="0.28999999999999998"/>
    <n v="0.57999999999999996"/>
    <n v="0.57999999999999996"/>
    <n v="837.94999999999993"/>
    <n v="837.94999999999993"/>
    <n v="-999.92"/>
  </r>
  <r>
    <n v="2825056"/>
    <x v="4"/>
    <s v="C"/>
    <d v="2011-12-28T00:00:00"/>
    <n v="300"/>
    <n v="7.86"/>
    <s v="N"/>
    <n v="2358"/>
    <n v="-2358"/>
    <n v="0.64"/>
    <n v="0.16"/>
    <n v="14.9"/>
    <n v="0.28999999999999998"/>
    <n v="0.57999999999999996"/>
    <n v="0.57999999999999996"/>
    <n v="-2374.5699999999997"/>
    <n v="-2374.5699999999997"/>
    <n v="-3374.49"/>
  </r>
  <r>
    <n v="2826799"/>
    <x v="2"/>
    <s v="V"/>
    <d v="2011-12-29T00:00:00"/>
    <n v="100"/>
    <n v="6.9"/>
    <s v="N"/>
    <n v="690"/>
    <n v="690"/>
    <n v="0.18"/>
    <n v="0.04"/>
    <n v="14.9"/>
    <n v="0.28999999999999998"/>
    <n v="0.57999999999999996"/>
    <n v="0.57999999999999996"/>
    <n v="674.0100000000001"/>
    <n v="674.0100000000001"/>
    <n v="-2700.4799999999996"/>
  </r>
  <r>
    <n v="2836312"/>
    <x v="2"/>
    <s v="V"/>
    <d v="2012-01-05T00:00:00"/>
    <n v="100"/>
    <n v="5.83"/>
    <s v="N"/>
    <n v="583"/>
    <n v="583"/>
    <n v="0.16"/>
    <n v="0.04"/>
    <n v="14.9"/>
    <n v="0.28999999999999998"/>
    <n v="0.57999999999999996"/>
    <n v="0.57999999999999996"/>
    <n v="567.03000000000009"/>
    <n v="567.03000000000009"/>
    <n v="-2133.4499999999994"/>
  </r>
  <r>
    <n v="2840144"/>
    <x v="2"/>
    <s v="C"/>
    <d v="2012-01-06T00:00:00"/>
    <n v="200"/>
    <n v="5.8"/>
    <s v="N"/>
    <n v="1160"/>
    <n v="-1160"/>
    <n v="0.31"/>
    <n v="0.08"/>
    <n v="14.9"/>
    <n v="0.28999999999999998"/>
    <n v="0.57999999999999996"/>
    <n v="0.57999999999999996"/>
    <n v="-1176.1599999999999"/>
    <n v="-1176.1599999999999"/>
    <n v="-3309.6099999999992"/>
  </r>
  <r>
    <n v="2864808"/>
    <x v="5"/>
    <s v="V"/>
    <d v="2012-01-17T00:00:00"/>
    <n v="300"/>
    <n v="9.0399999999999991"/>
    <s v="N"/>
    <n v="2711.9999999999995"/>
    <n v="2711.9999999999995"/>
    <n v="0.74"/>
    <n v="0.18"/>
    <n v="14.9"/>
    <n v="0.28999999999999998"/>
    <n v="0.57999999999999996"/>
    <n v="0.57999999999999996"/>
    <n v="2695.31"/>
    <n v="2695.31"/>
    <n v="-614.29999999999927"/>
  </r>
  <r>
    <n v="2864808"/>
    <x v="2"/>
    <s v="V"/>
    <d v="2012-01-17T00:00:00"/>
    <n v="200"/>
    <n v="5.56"/>
    <s v="N"/>
    <n v="1112"/>
    <n v="3823.9999999999995"/>
    <n v="1.05"/>
    <n v="0.26"/>
    <n v="29.8"/>
    <n v="0.59"/>
    <n v="0.57999999999999996"/>
    <n v="1.1599999999999999"/>
    <n v="3791.139999999999"/>
    <n v="1095.829999999999"/>
    <n v="481.52999999999975"/>
  </r>
  <r>
    <n v="2886886"/>
    <x v="6"/>
    <s v="C"/>
    <d v="2012-01-24T00:00:00"/>
    <n v="2000"/>
    <n v="0.5"/>
    <s v="N"/>
    <n v="1000"/>
    <n v="-1000"/>
    <n v="0.27"/>
    <n v="7.0000000000000007E-2"/>
    <n v="14.9"/>
    <n v="0.28999999999999998"/>
    <n v="0.57999999999999996"/>
    <n v="0.57999999999999996"/>
    <n v="-1016.11"/>
    <n v="-1016.11"/>
    <n v="-534.58000000000027"/>
  </r>
  <r>
    <n v="2899138"/>
    <x v="1"/>
    <s v="V"/>
    <d v="2012-01-30T00:00:00"/>
    <n v="100"/>
    <n v="7.89"/>
    <s v="N"/>
    <n v="789"/>
    <n v="789"/>
    <n v="0.21"/>
    <n v="0.05"/>
    <n v="14.9"/>
    <n v="0.28999999999999998"/>
    <n v="0.57999999999999996"/>
    <n v="0.57999999999999996"/>
    <n v="772.97"/>
    <n v="772.97"/>
    <n v="238.38999999999976"/>
  </r>
  <r>
    <n v="2904206"/>
    <x v="5"/>
    <s v="C"/>
    <d v="2012-01-31T00:00:00"/>
    <n v="300"/>
    <n v="9.43"/>
    <s v="N"/>
    <n v="2829"/>
    <n v="-2829"/>
    <n v="0.77"/>
    <n v="0.19"/>
    <n v="14.9"/>
    <n v="0.28999999999999998"/>
    <n v="0.57999999999999996"/>
    <n v="0.57999999999999996"/>
    <n v="-2845.73"/>
    <n v="-2845.73"/>
    <n v="-2607.34"/>
  </r>
  <r>
    <n v="2904206"/>
    <x v="7"/>
    <s v="C"/>
    <d v="2012-01-31T00:00:00"/>
    <n v="2300"/>
    <n v="0.43"/>
    <s v="N"/>
    <n v="989"/>
    <n v="-3818"/>
    <n v="1.04"/>
    <n v="0.26"/>
    <n v="29.8"/>
    <n v="0.59"/>
    <n v="0.57999999999999996"/>
    <n v="1.1599999999999999"/>
    <n v="-3850.8500000000004"/>
    <n v="-1005.1200000000003"/>
    <n v="-3612.4600000000005"/>
  </r>
  <r>
    <n v="2916301"/>
    <x v="3"/>
    <s v="C"/>
    <d v="2012-02-03T00:00:00"/>
    <n v="200"/>
    <n v="4.76"/>
    <s v="N"/>
    <n v="952"/>
    <n v="-952"/>
    <n v="0.26"/>
    <n v="0.06"/>
    <n v="14.9"/>
    <n v="0.28999999999999998"/>
    <n v="0.57999999999999996"/>
    <n v="0.57999999999999996"/>
    <n v="-968.08999999999992"/>
    <n v="-968.08999999999992"/>
    <n v="-4580.55"/>
  </r>
  <r>
    <n v="2935127"/>
    <x v="4"/>
    <s v="V"/>
    <d v="2012-02-09T00:00:00"/>
    <n v="300"/>
    <n v="7.7"/>
    <s v="N"/>
    <n v="2310"/>
    <n v="2310"/>
    <n v="0.63"/>
    <n v="0.16"/>
    <n v="14.9"/>
    <n v="0.28999999999999998"/>
    <n v="0.57999999999999996"/>
    <n v="0.57999999999999996"/>
    <n v="2293.44"/>
    <n v="2293.44"/>
    <n v="-2287.11"/>
  </r>
  <r>
    <n v="2935127"/>
    <x v="7"/>
    <s v="C"/>
    <d v="2012-02-09T00:00:00"/>
    <n v="3700"/>
    <n v="0.37"/>
    <s v="N"/>
    <n v="1369"/>
    <n v="941"/>
    <n v="1.01"/>
    <n v="0.25"/>
    <n v="29.8"/>
    <n v="0.59"/>
    <n v="0.57999999999999996"/>
    <n v="1.1599999999999999"/>
    <n v="908.19"/>
    <n v="-1385.25"/>
    <n v="-3672.36"/>
  </r>
  <r>
    <n v="2935127"/>
    <x v="8"/>
    <s v="C"/>
    <d v="2012-02-09T00:00:00"/>
    <n v="500"/>
    <n v="2.37"/>
    <s v="N"/>
    <n v="1185"/>
    <n v="-244"/>
    <n v="1.33"/>
    <n v="0.34"/>
    <n v="44.7"/>
    <n v="0.89"/>
    <n v="0.57999999999999996"/>
    <n v="1.7399999999999998"/>
    <n v="-293"/>
    <n v="-1201.19"/>
    <n v="-4873.55"/>
  </r>
  <r>
    <n v="2948844"/>
    <x v="6"/>
    <s v="V"/>
    <d v="2012-02-14T00:00:00"/>
    <n v="1600"/>
    <n v="0.4"/>
    <s v="N"/>
    <n v="640"/>
    <n v="640"/>
    <n v="0.17"/>
    <n v="0.04"/>
    <n v="14.9"/>
    <n v="0.28999999999999998"/>
    <n v="0.57999999999999996"/>
    <n v="0.57999999999999996"/>
    <n v="624.0200000000001"/>
    <n v="624.0200000000001"/>
    <n v="-4249.53"/>
  </r>
  <r>
    <n v="2948844"/>
    <x v="9"/>
    <s v="C"/>
    <d v="2012-02-14T00:00:00"/>
    <n v="3000"/>
    <n v="0.2"/>
    <s v="N"/>
    <n v="600"/>
    <n v="40"/>
    <n v="0.34"/>
    <n v="0.08"/>
    <n v="29.8"/>
    <n v="0.59"/>
    <n v="0.57999999999999996"/>
    <n v="1.1599999999999999"/>
    <n v="8.0299999999999976"/>
    <n v="-615.99000000000012"/>
    <n v="-4865.5199999999995"/>
  </r>
  <r>
    <n v="2985169"/>
    <x v="6"/>
    <s v="V"/>
    <d v="2012-02-28T00:00:00"/>
    <n v="400"/>
    <n v="0.38"/>
    <s v="N"/>
    <n v="152"/>
    <n v="152"/>
    <n v="0.04"/>
    <n v="0.01"/>
    <n v="14.9"/>
    <n v="0.28999999999999998"/>
    <n v="0.57999999999999996"/>
    <n v="0.57999999999999996"/>
    <n v="136.18"/>
    <n v="136.18"/>
    <n v="-4729.3399999999992"/>
  </r>
  <r>
    <n v="2998380"/>
    <x v="9"/>
    <s v="V"/>
    <d v="2012-03-02T00:00:00"/>
    <n v="3000"/>
    <n v="0.17"/>
    <s v="N"/>
    <n v="510.00000000000006"/>
    <n v="510.00000000000006"/>
    <n v="0.14000000000000001"/>
    <n v="0.03"/>
    <n v="14.9"/>
    <n v="0.28999999999999998"/>
    <n v="0.57999999999999996"/>
    <n v="0.57999999999999996"/>
    <n v="494.06000000000012"/>
    <n v="494.06000000000012"/>
    <n v="-4235.2799999999988"/>
  </r>
  <r>
    <n v="2998380"/>
    <x v="7"/>
    <s v="V"/>
    <d v="2012-03-02T00:00:00"/>
    <n v="3000"/>
    <n v="0.27"/>
    <s v="N"/>
    <n v="810"/>
    <n v="1320"/>
    <n v="0.36"/>
    <n v="0.09"/>
    <n v="29.8"/>
    <n v="0.59"/>
    <n v="0.57999999999999996"/>
    <n v="1.1599999999999999"/>
    <n v="1288.0000000000002"/>
    <n v="793.94"/>
    <n v="-3441.3399999999988"/>
  </r>
  <r>
    <n v="3002965"/>
    <x v="7"/>
    <s v="V"/>
    <d v="2012-03-05T00:00:00"/>
    <n v="3000"/>
    <n v="0.25"/>
    <s v="N"/>
    <n v="750"/>
    <n v="750"/>
    <n v="0.2"/>
    <n v="0.05"/>
    <n v="14.9"/>
    <n v="0.28999999999999998"/>
    <n v="0.57999999999999996"/>
    <n v="0.57999999999999996"/>
    <n v="733.98"/>
    <n v="733.98"/>
    <n v="-2707.3599999999988"/>
  </r>
  <r>
    <m/>
    <x v="1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0" dataOnRows="1" applyNumberFormats="0" applyBorderFormats="0" applyFontFormats="0" applyPatternFormats="0" applyAlignmentFormats="0" applyWidthHeightFormats="1" dataCaption="Dados" updatedVersion="4" showMemberPropertyTips="0" useAutoFormatting="1" itemPrintTitles="1" createdVersion="1" indent="0" compact="0" compactData="0" gridDropZones="1">
  <location ref="A3:B16" firstHeaderRow="2" firstDataRow="2" firstDataCol="1"/>
  <pivotFields count="18">
    <pivotField compact="0" outline="0" subtotalTop="0" showAll="0" includeNewItemsInFilter="1"/>
    <pivotField axis="axisRow" compact="0" outline="0" subtotalTop="0" showAll="0" includeNewItemsInFilter="1">
      <items count="12">
        <item x="7"/>
        <item x="3"/>
        <item x="0"/>
        <item x="8"/>
        <item x="9"/>
        <item x="2"/>
        <item x="4"/>
        <item x="6"/>
        <item x="1"/>
        <item x="5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a de VALOR P/ OPERAÇÃO" fld="16" baseField="1" baseItem="3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NC" displayName="NC" ref="A1:AG12" totalsRowCount="1" headerRowDxfId="41" dataDxfId="39" totalsRowDxfId="40">
  <autoFilter ref="A1:AG11"/>
  <sortState ref="A2:AG8">
    <sortCondition ref="A1:A8"/>
  </sortState>
  <tableColumns count="33">
    <tableColumn id="19" name="ID" totalsRowFunction="max" dataDxfId="68" totalsRowDxfId="32"/>
    <tableColumn id="2" name="ATIVO" dataDxfId="67" totalsRowDxfId="31"/>
    <tableColumn id="3" name="OPER/TIPO" dataDxfId="66" totalsRowDxfId="30"/>
    <tableColumn id="4" name="DATA" dataDxfId="65" totalsRowDxfId="29"/>
    <tableColumn id="5" name="QTDE" dataDxfId="64" totalsRowDxfId="28"/>
    <tableColumn id="6" name="PREÇO" dataDxfId="63" totalsRowDxfId="27"/>
    <tableColumn id="7" name="[D/N]" dataDxfId="62" totalsRowDxfId="26"/>
    <tableColumn id="34" name="DATA DE LIQUIDAÇÃO" dataDxfId="61" totalsRowDxfId="25">
      <calculatedColumnFormula>WORKDAY(NC[[#This Row],[DATA]],3,1)</calculatedColumnFormula>
    </tableColumn>
    <tableColumn id="31" name="DATA BASE" dataDxfId="60" totalsRowDxfId="24">
      <calculatedColumnFormula>EOMONTH(NC[[#This Row],[DATA DE LIQUIDAÇÃO]],0)</calculatedColumnFormula>
    </tableColumn>
    <tableColumn id="21" name="PAR" dataDxfId="59" totalsRowDxfId="23">
      <calculatedColumnFormula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calculatedColumnFormula>
    </tableColumn>
    <tableColumn id="8" name="VALOR DAS OPERAÇÕES" dataDxfId="58" totalsRowDxfId="22">
      <calculatedColumnFormula>[QTDE]*[PREÇO]</calculatedColumnFormula>
    </tableColumn>
    <tableColumn id="9" name="VALOR LÍQUIDO DAS OPERAÇÕES" dataDxfId="57" totalsRowDxfId="21">
      <calculatedColumnFormula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calculatedColumnFormula>
    </tableColumn>
    <tableColumn id="10" name="TAXA DE LIQUIDAÇÃO" dataDxfId="56" totalsRowDxfId="20">
      <calculatedColumnFormula>TRUNC(SUMPRODUCT(N([DATA]=NC[[#This Row],[DATA]]),N([ID]&lt;=NC[[#This Row],[ID]]),N(['[D/N']]="N"),[VALOR DAS OPERAÇÕES]*SETUP!$B$7)  +  SUMPRODUCT(N([DATA]=NC[[#This Row],[DATA]]),N([ID]&lt;=NC[[#This Row],[ID]]),N(['[D/N']]="D"),[VALOR DAS OPERAÇÕES]*SETUP!$E$7),    2)</calculatedColumnFormula>
    </tableColumn>
    <tableColumn id="11" name="EMOLUMENTOS" dataDxfId="55" totalsRowDxfId="19">
      <calculatedColumnFormula>TRUNC(SUMPRODUCT(N([DATA]=NC[[#This Row],[DATA]]),N([ID]&lt;=NC[[#This Row],[ID]]),N(['[D/N']]="N"),[VALOR DAS OPERAÇÕES]*SETUP!$A$7)  +  SUMPRODUCT(N([DATA]=NC[[#This Row],[DATA]]),N([ID]&lt;=NC[[#This Row],[ID]]),N(['[D/N']]="D"),[VALOR DAS OPERAÇÕES]*SETUP!$D$7),    2)</calculatedColumnFormula>
    </tableColumn>
    <tableColumn id="28" name="TAXA DE REGISTRO" dataDxfId="54" totalsRowDxfId="18">
      <calculatedColumnFormula>TRUNC(SUMPRODUCT(N([DATA]=NC[[#This Row],[DATA]]),N([ID]&lt;=NC[[#This Row],[ID]]),N(['[D/N']]="N"),[VALOR DAS OPERAÇÕES]*SETUP!$C$7)  +  SUMPRODUCT(N([DATA]=NC[[#This Row],[DATA]]),N([ID]&lt;=NC[[#This Row],[ID]]),N(['[D/N']]="D"),[VALOR DAS OPERAÇÕES]*SETUP!$F$7),2)</calculatedColumnFormula>
    </tableColumn>
    <tableColumn id="12" name="CORRETAGEM" dataDxfId="53" totalsRowDxfId="17">
      <calculatedColumnFormula>SETUP!$E$3*SUMPRODUCT(N([DATA]=NC[[#This Row],[DATA]]),N([ID]&lt;=NC[[#This Row],[ID]]))</calculatedColumnFormula>
    </tableColumn>
    <tableColumn id="13" name="ISS" dataDxfId="52" totalsRowDxfId="16">
      <calculatedColumnFormula>TRUNC([CORRETAGEM]*SETUP!$F$3,2)</calculatedColumnFormula>
    </tableColumn>
    <tableColumn id="15" name="OUTRAS BOVESPA" dataDxfId="51" totalsRowDxfId="15">
      <calculatedColumnFormula>ROUND([CORRETAGEM]*SETUP!$G$3,2)</calculatedColumnFormula>
    </tableColumn>
    <tableColumn id="16" name="LÍQUIDO BASE" dataDxfId="50" totalsRowDxfId="14">
      <calculatedColumnFormula>[VALOR LÍQUIDO DAS OPERAÇÕES]-[TAXA DE LIQUIDAÇÃO]-[EMOLUMENTOS]-[TAXA DE REGISTRO]-[CORRETAGEM]-[ISS]-IF(['[D/N']]="D",    0,    [OUTRAS BOVESPA])</calculatedColumnFormula>
    </tableColumn>
    <tableColumn id="33" name="IRRF DAYTRADE BASE" dataDxfId="49" totalsRowDxfId="13">
      <calculatedColumnFormula>IF(AND(['[D/N']]="D",    [OPER/TIPO]="CV"),    [LÍQUIDO BASE]*0.01,    0)</calculatedColumnFormula>
    </tableColumn>
    <tableColumn id="35" name="LÍQUIDO" dataDxfId="48" totalsRowDxfId="12">
      <calculatedColumnFormula>[LÍQUIDO BASE]-SUMPRODUCT(N([DATA]=NC[[#This Row],[DATA]]),    [IRRF DAYTRADE BASE])</calculatedColumnFormula>
    </tableColumn>
    <tableColumn id="17" name="VALOR P/ OP" totalsRowFunction="custom" dataDxfId="38" totalsRowDxfId="11">
      <calculatedColumnFormula>[LÍQUIDO]-SUMPRODUCT(N([DATA]=NC[[#This Row],[DATA]]),N([ID]=(NC[[#This Row],[ID]]-1)),[LÍQUIDO])</calculatedColumnFormula>
      <totalsRowFormula>329.35</totalsRowFormula>
    </tableColumn>
    <tableColumn id="18" name="MEDIO P/ OP" dataDxfId="47" totalsRowDxfId="10">
      <calculatedColumnFormula>ABS(V2)/E2</calculatedColumnFormula>
    </tableColumn>
    <tableColumn id="20" name="IRRF" totalsRowFunction="sum" dataDxfId="46" totalsRowDxfId="9">
      <calculatedColumnFormula>TRUNC(IF(OR([OPER/TIPO]="CV",[OPER/TIPO]="VV"),     K2*SETUP!$H$3,     0),2)</calculatedColumnFormula>
    </tableColumn>
    <tableColumn id="24" name="SALDO" dataDxfId="45" totalsRowDxfId="8">
      <calculatedColumnFormula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calculatedColumnFormula>
    </tableColumn>
    <tableColumn id="22" name="MED CP" dataDxfId="44" totalsRowDxfId="7">
      <calculatedColumnFormula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calculatedColumnFormula>
    </tableColumn>
    <tableColumn id="23" name="MED VD" dataDxfId="43" totalsRowDxfId="6">
      <calculatedColumnFormula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calculatedColumnFormula>
    </tableColumn>
    <tableColumn id="25" name="LUCRO" totalsRowFunction="sum" dataDxfId="42" totalsRowDxfId="5">
      <calculatedColumnFormula>IF(AND([MED CP]&gt;0,[MED VD]&gt;0),([MED VD]-[MED CP])*[QTDE],0)</calculatedColumnFormula>
    </tableColumn>
    <tableColumn id="37" name="LUCRO MÊS NORMAL" totalsRowFunction="custom" dataDxfId="37" totalsRowDxfId="4">
      <calculatedColumnFormula>SUMPRODUCT(N([DATA BASE]=NC[[#This Row],[DATA BASE]]),    N(['[D/N']]="N"),    [LUCRO])</calculatedColumnFormula>
      <totalsRowFormula>SUMPRODUCT(N([ID]=NC[[#Totals],[ID]]),[IRRF NORMAL] + [IRRF DAYTRADE])</totalsRowFormula>
    </tableColumn>
    <tableColumn id="39" name="LUCRO MÊS DAYTRADE" totalsRowFunction="custom" dataDxfId="36" totalsRowDxfId="3">
      <calculatedColumnFormula>SUMPRODUCT(N([DATA BASE]=NC[[#This Row],[DATA BASE]]),    N(['[D/N']]="D"),    [LUCRO]) + SUMPRODUCT(N([DATA BASE]=NC[[#This Row],[DATA BASE]]),    [IRRF DAYTRADE BASE])</calculatedColumnFormula>
      <totalsRowFormula>NC[[#Totals],[LUCRO MÊS NORMAL]]+8.9</totalsRowFormula>
    </tableColumn>
    <tableColumn id="32" name="IRRF NORMAL" totalsRowFunction="custom" dataDxfId="34" totalsRowDxfId="2" dataCellStyle="Moeda">
      <calculatedColumnFormula>IF([LUCRO MÊS NORMAL] &gt; 0,     ROUND([LUCRO MÊS NORMAL]*0.15,    2),    0)</calculatedColumnFormula>
      <totalsRowFormula>NC[[#Totals],[LUCRO]]-NC[[#Totals],[LUCRO MÊS DAYTRADE]]</totalsRowFormula>
    </tableColumn>
    <tableColumn id="38" name="IRRF DAYTRADE" totalsRowFunction="custom" dataDxfId="33" totalsRowDxfId="1" dataCellStyle="Moeda">
      <calculatedColumnFormula>IF([LUCRO MÊS DAYTRADE] &gt; 0,     ROUND([LUCRO MÊS DAYTRADE]*0.2,    2)  -  SUMPRODUCT(N([DATA BASE]=NC[[#This Row],[DATA BASE]]),    [IRRF DAYTRADE BASE]),    0)</calculatedColumnFormula>
      <totalsRowFormula>NC[[#Totals],[IRRF NORMAL]]/2</totalsRowFormula>
    </tableColumn>
    <tableColumn id="30" name="RENTABILIDADE" totalsRowFunction="custom" dataDxfId="35" totalsRowDxfId="0" dataCellStyle="Moeda">
      <calculatedColumnFormula>IF([MED CP] = 0,    0,    [LUCRO] / ABS([QTDE] * [MED CP]))</calculatedColumnFormula>
      <totalsRowFormula>NC[[#Totals],[IRRF DAYTRADE]]+NC[[#Totals],[VALOR P/ OP]]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6"/>
  <sheetViews>
    <sheetView workbookViewId="0">
      <selection activeCell="A14" sqref="A14"/>
    </sheetView>
  </sheetViews>
  <sheetFormatPr defaultRowHeight="12.75"/>
  <cols>
    <col min="1" max="1" width="29.42578125" customWidth="1"/>
    <col min="2" max="2" width="8.5703125" bestFit="1" customWidth="1"/>
    <col min="3" max="3" width="10.7109375" customWidth="1"/>
    <col min="4" max="6" width="10.7109375" bestFit="1" customWidth="1"/>
    <col min="7" max="7" width="10" customWidth="1"/>
    <col min="8" max="8" width="10" bestFit="1" customWidth="1"/>
  </cols>
  <sheetData>
    <row r="3" spans="1:2">
      <c r="A3" s="8" t="s">
        <v>28</v>
      </c>
      <c r="B3" s="11"/>
    </row>
    <row r="4" spans="1:2">
      <c r="A4" s="8" t="s">
        <v>0</v>
      </c>
      <c r="B4" s="11" t="s">
        <v>27</v>
      </c>
    </row>
    <row r="5" spans="1:2">
      <c r="A5" s="7" t="s">
        <v>23</v>
      </c>
      <c r="B5" s="12">
        <v>-862.45000000000027</v>
      </c>
    </row>
    <row r="6" spans="1:2">
      <c r="A6" s="9" t="s">
        <v>20</v>
      </c>
      <c r="B6" s="13">
        <v>-130.13999999999999</v>
      </c>
    </row>
    <row r="7" spans="1:2">
      <c r="A7" s="9" t="s">
        <v>17</v>
      </c>
      <c r="B7" s="13">
        <v>205.45000000000027</v>
      </c>
    </row>
    <row r="8" spans="1:2">
      <c r="A8" s="9" t="s">
        <v>24</v>
      </c>
      <c r="B8" s="13">
        <v>-1201.19</v>
      </c>
    </row>
    <row r="9" spans="1:2">
      <c r="A9" s="9" t="s">
        <v>8</v>
      </c>
      <c r="B9" s="13">
        <v>-121.93</v>
      </c>
    </row>
    <row r="10" spans="1:2">
      <c r="A10" s="9" t="s">
        <v>19</v>
      </c>
      <c r="B10" s="13">
        <v>-21.560000000000855</v>
      </c>
    </row>
    <row r="11" spans="1:2">
      <c r="A11" s="9" t="s">
        <v>21</v>
      </c>
      <c r="B11" s="13">
        <v>-81.129999999999654</v>
      </c>
    </row>
    <row r="12" spans="1:2">
      <c r="A12" s="9" t="s">
        <v>6</v>
      </c>
      <c r="B12" s="13">
        <v>-255.90999999999991</v>
      </c>
    </row>
    <row r="13" spans="1:2">
      <c r="A13" s="9" t="s">
        <v>18</v>
      </c>
      <c r="B13" s="13">
        <v>-88.079999999999814</v>
      </c>
    </row>
    <row r="14" spans="1:2">
      <c r="A14" s="9" t="s">
        <v>22</v>
      </c>
      <c r="B14" s="13">
        <v>-150.42000000000007</v>
      </c>
    </row>
    <row r="15" spans="1:2">
      <c r="A15" s="9" t="s">
        <v>25</v>
      </c>
      <c r="B15" s="13"/>
    </row>
    <row r="16" spans="1:2">
      <c r="A16" s="10" t="s">
        <v>26</v>
      </c>
      <c r="B16" s="14">
        <v>-2707.36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>
      <pane xSplit="7" ySplit="1" topLeftCell="U2" activePane="bottomRight" state="frozen"/>
      <selection pane="topRight" activeCell="I1" sqref="I1"/>
      <selection pane="bottomLeft" activeCell="A2" sqref="A2"/>
      <selection pane="bottomRight" activeCell="AF15" sqref="AF15"/>
    </sheetView>
  </sheetViews>
  <sheetFormatPr defaultColWidth="11.5703125" defaultRowHeight="11.25"/>
  <cols>
    <col min="1" max="1" width="4.7109375" style="15" bestFit="1" customWidth="1"/>
    <col min="2" max="2" width="7.42578125" style="15" bestFit="1" customWidth="1"/>
    <col min="3" max="3" width="10.28515625" style="15" bestFit="1" customWidth="1"/>
    <col min="4" max="4" width="8.140625" style="15" bestFit="1" customWidth="1"/>
    <col min="5" max="5" width="6.85546875" style="15" bestFit="1" customWidth="1"/>
    <col min="6" max="6" width="7.7109375" style="15" bestFit="1" customWidth="1"/>
    <col min="7" max="7" width="7" style="15" bestFit="1" customWidth="1"/>
    <col min="8" max="8" width="18" style="15" hidden="1" customWidth="1"/>
    <col min="9" max="9" width="10.5703125" style="15" hidden="1" customWidth="1"/>
    <col min="10" max="10" width="5.85546875" style="16" hidden="1" customWidth="1"/>
    <col min="11" max="11" width="19" style="15" hidden="1" customWidth="1"/>
    <col min="12" max="12" width="25.28515625" style="17" hidden="1" customWidth="1"/>
    <col min="13" max="13" width="17.85546875" style="15" hidden="1" customWidth="1"/>
    <col min="14" max="14" width="13.7109375" style="16" hidden="1" customWidth="1"/>
    <col min="15" max="15" width="15.5703125" style="16" hidden="1" customWidth="1"/>
    <col min="16" max="16" width="12.42578125" style="15" hidden="1" customWidth="1"/>
    <col min="17" max="17" width="6.85546875" style="15" hidden="1" customWidth="1"/>
    <col min="18" max="18" width="15" style="15" hidden="1" customWidth="1"/>
    <col min="19" max="19" width="12.5703125" style="15" hidden="1" customWidth="1"/>
    <col min="20" max="20" width="17.140625" style="15" hidden="1" customWidth="1"/>
    <col min="21" max="21" width="9" style="15" bestFit="1" customWidth="1"/>
    <col min="22" max="22" width="11.85546875" style="15" bestFit="1" customWidth="1"/>
    <col min="23" max="23" width="11.85546875" style="15" hidden="1" customWidth="1"/>
    <col min="24" max="24" width="8.28515625" style="15" hidden="1" customWidth="1"/>
    <col min="25" max="25" width="8.5703125" style="15" hidden="1" customWidth="1"/>
    <col min="26" max="26" width="9.85546875" style="15" hidden="1" customWidth="1"/>
    <col min="27" max="27" width="11.140625" style="15" hidden="1" customWidth="1"/>
    <col min="28" max="28" width="9.85546875" style="15" bestFit="1" customWidth="1"/>
    <col min="29" max="29" width="17.28515625" style="15" bestFit="1" customWidth="1"/>
    <col min="30" max="30" width="18.42578125" style="15" bestFit="1" customWidth="1"/>
    <col min="31" max="31" width="12.42578125" style="15" bestFit="1" customWidth="1"/>
    <col min="32" max="32" width="13.5703125" style="15" bestFit="1" customWidth="1"/>
    <col min="33" max="33" width="13.7109375" style="15" bestFit="1" customWidth="1"/>
    <col min="34" max="16384" width="11.5703125" style="15"/>
  </cols>
  <sheetData>
    <row r="1" spans="1:33" s="18" customFormat="1">
      <c r="A1" s="18" t="s">
        <v>30</v>
      </c>
      <c r="B1" s="18" t="s">
        <v>0</v>
      </c>
      <c r="C1" s="18" t="s">
        <v>38</v>
      </c>
      <c r="D1" s="18" t="s">
        <v>29</v>
      </c>
      <c r="E1" s="18" t="s">
        <v>1</v>
      </c>
      <c r="F1" s="18" t="s">
        <v>2</v>
      </c>
      <c r="G1" s="18" t="s">
        <v>3</v>
      </c>
      <c r="H1" s="18" t="s">
        <v>54</v>
      </c>
      <c r="I1" s="18" t="s">
        <v>55</v>
      </c>
      <c r="J1" s="18" t="s">
        <v>35</v>
      </c>
      <c r="K1" s="18" t="s">
        <v>48</v>
      </c>
      <c r="L1" s="18" t="s">
        <v>49</v>
      </c>
      <c r="M1" s="19" t="s">
        <v>50</v>
      </c>
      <c r="N1" s="18" t="s">
        <v>51</v>
      </c>
      <c r="O1" s="18" t="s">
        <v>52</v>
      </c>
      <c r="P1" s="20" t="s">
        <v>11</v>
      </c>
      <c r="Q1" s="18" t="s">
        <v>4</v>
      </c>
      <c r="R1" s="20" t="s">
        <v>53</v>
      </c>
      <c r="S1" s="18" t="s">
        <v>47</v>
      </c>
      <c r="T1" s="20" t="s">
        <v>63</v>
      </c>
      <c r="U1" s="20" t="s">
        <v>5</v>
      </c>
      <c r="V1" s="18" t="s">
        <v>31</v>
      </c>
      <c r="W1" s="18" t="s">
        <v>56</v>
      </c>
      <c r="X1" s="18" t="s">
        <v>32</v>
      </c>
      <c r="Y1" s="18" t="s">
        <v>36</v>
      </c>
      <c r="Z1" s="18" t="s">
        <v>33</v>
      </c>
      <c r="AA1" s="18" t="s">
        <v>34</v>
      </c>
      <c r="AB1" s="18" t="s">
        <v>62</v>
      </c>
      <c r="AC1" s="18" t="s">
        <v>59</v>
      </c>
      <c r="AD1" s="18" t="s">
        <v>60</v>
      </c>
      <c r="AE1" s="18" t="s">
        <v>57</v>
      </c>
      <c r="AF1" s="18" t="s">
        <v>58</v>
      </c>
      <c r="AG1" s="18" t="s">
        <v>61</v>
      </c>
    </row>
    <row r="2" spans="1:33">
      <c r="A2" s="21">
        <v>1</v>
      </c>
      <c r="B2" s="21" t="s">
        <v>43</v>
      </c>
      <c r="C2" s="21" t="s">
        <v>39</v>
      </c>
      <c r="D2" s="22">
        <v>40980</v>
      </c>
      <c r="E2" s="21">
        <v>600</v>
      </c>
      <c r="F2" s="23">
        <v>0.28000000000000003</v>
      </c>
      <c r="G2" s="21" t="s">
        <v>7</v>
      </c>
      <c r="H2" s="22">
        <f>WORKDAY(NC[[#This Row],[DATA]],3,1)</f>
        <v>40983</v>
      </c>
      <c r="I2" s="32">
        <f>EOMONTH(NC[[#This Row],[DATA DE LIQUIDAÇÃO]],0)</f>
        <v>40999</v>
      </c>
      <c r="J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K2" s="23">
        <f>[QTDE]*[PREÇO]</f>
        <v>168.00000000000003</v>
      </c>
      <c r="L2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-168.00000000000003</v>
      </c>
      <c r="M2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N2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O2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P2" s="23">
        <f>SETUP!$E$3*SUMPRODUCT(N([DATA]=NC[[#This Row],[DATA]]),N([ID]&lt;=NC[[#This Row],[ID]]))</f>
        <v>14.9</v>
      </c>
      <c r="Q2" s="23">
        <f>TRUNC([CORRETAGEM]*SETUP!$F$3,2)</f>
        <v>0.28999999999999998</v>
      </c>
      <c r="R2" s="23">
        <f>ROUND([CORRETAGEM]*SETUP!$G$3,2)</f>
        <v>0.57999999999999996</v>
      </c>
      <c r="S2" s="23">
        <f>[VALOR LÍQUIDO DAS OPERAÇÕES]-[TAXA DE LIQUIDAÇÃO]-[EMOLUMENTOS]-[TAXA DE REGISTRO]-[CORRETAGEM]-[ISS]-IF(['[D/N']]="D",    0,    [OUTRAS BOVESPA])</f>
        <v>-183.98000000000005</v>
      </c>
      <c r="T2" s="23">
        <f>IF(AND(['[D/N']]="D",    [OPER/TIPO]="CV"),    [LÍQUIDO BASE]*0.01,    0)</f>
        <v>0</v>
      </c>
      <c r="U2" s="23">
        <f>[LÍQUIDO BASE]-SUMPRODUCT(N([DATA]=NC[[#This Row],[DATA]]),    [IRRF DAYTRADE BASE])</f>
        <v>-183.98000000000005</v>
      </c>
      <c r="V2" s="23">
        <f>[LÍQUIDO]-SUMPRODUCT(N([DATA]=NC[[#This Row],[DATA]]),N([ID]=(NC[[#This Row],[ID]]-1)),[LÍQUIDO])</f>
        <v>-183.98000000000005</v>
      </c>
      <c r="W2" s="23">
        <f t="shared" ref="W2:W8" si="0">ABS(V2)/E2</f>
        <v>0.30663333333333342</v>
      </c>
      <c r="X2" s="23">
        <f>TRUNC(IF(OR([OPER/TIPO]="CV",[OPER/TIPO]="VV"),     K2*SETUP!$H$3,     0),2)</f>
        <v>0</v>
      </c>
      <c r="Y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600</v>
      </c>
      <c r="Z2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0.30663333333333342</v>
      </c>
      <c r="AA2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</v>
      </c>
      <c r="AB2" s="23">
        <f>IF(AND([MED CP]&gt;0,[MED VD]&gt;0),([MED VD]-[MED CP])*[QTDE],0)</f>
        <v>0</v>
      </c>
      <c r="AC2" s="23">
        <f>SUMPRODUCT(N([DATA BASE]=NC[[#This Row],[DATA BASE]]),    N(['[D/N']]="N"),    [LUCRO])</f>
        <v>262.40999999999985</v>
      </c>
      <c r="AD2" s="23">
        <f>SUMPRODUCT(N([DATA BASE]=NC[[#This Row],[DATA BASE]]),    N(['[D/N']]="D"),    [LUCRO]) + SUMPRODUCT(N([DATA BASE]=NC[[#This Row],[DATA BASE]]),    [IRRF DAYTRADE BASE])</f>
        <v>478.50999999999988</v>
      </c>
      <c r="AE2" s="29">
        <f>IF([LUCRO MÊS NORMAL] &gt; 0,     ROUND([LUCRO MÊS NORMAL]*0.15,    2),    0)</f>
        <v>39.36</v>
      </c>
      <c r="AF2" s="29">
        <f>IF([LUCRO MÊS DAYTRADE] &gt; 0,     ROUND([LUCRO MÊS DAYTRADE]*0.2,    2)  -  SUMPRODUCT(N([DATA BASE]=NC[[#This Row],[DATA BASE]]),    [IRRF DAYTRADE BASE]),    0)</f>
        <v>90.914900000000003</v>
      </c>
      <c r="AG2" s="28">
        <f>IF([MED CP] = 0,    0,    [LUCRO] / ABS([QTDE] * [MED CP]))</f>
        <v>0</v>
      </c>
    </row>
    <row r="3" spans="1:33">
      <c r="A3" s="21">
        <v>2</v>
      </c>
      <c r="B3" s="21" t="s">
        <v>44</v>
      </c>
      <c r="C3" s="21" t="s">
        <v>39</v>
      </c>
      <c r="D3" s="22">
        <v>40980</v>
      </c>
      <c r="E3" s="21">
        <v>400</v>
      </c>
      <c r="F3" s="23">
        <v>0.4</v>
      </c>
      <c r="G3" s="21" t="s">
        <v>7</v>
      </c>
      <c r="H3" s="22">
        <f>WORKDAY(NC[[#This Row],[DATA]],3,1)</f>
        <v>40983</v>
      </c>
      <c r="I3" s="32">
        <f>EOMONTH(NC[[#This Row],[DATA DE LIQUIDAÇÃO]],0)</f>
        <v>40999</v>
      </c>
      <c r="J3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K3" s="23">
        <f>[QTDE]*[PREÇO]</f>
        <v>160</v>
      </c>
      <c r="L3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-328</v>
      </c>
      <c r="M3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0.09</v>
      </c>
      <c r="N3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O3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P3" s="23">
        <f>SETUP!$E$3*SUMPRODUCT(N([DATA]=NC[[#This Row],[DATA]]),N([ID]&lt;=NC[[#This Row],[ID]]))</f>
        <v>29.8</v>
      </c>
      <c r="Q3" s="23">
        <f>TRUNC([CORRETAGEM]*SETUP!$F$3,2)</f>
        <v>0.59</v>
      </c>
      <c r="R3" s="23">
        <f>ROUND([CORRETAGEM]*SETUP!$G$3,2)</f>
        <v>1.1599999999999999</v>
      </c>
      <c r="S3" s="23">
        <f>[VALOR LÍQUIDO DAS OPERAÇÕES]-[TAXA DE LIQUIDAÇÃO]-[EMOLUMENTOS]-[TAXA DE REGISTRO]-[CORRETAGEM]-[ISS]-IF(['[D/N']]="D",    0,    [OUTRAS BOVESPA])</f>
        <v>-359.98</v>
      </c>
      <c r="T3" s="23">
        <f>IF(AND(['[D/N']]="D",    [OPER/TIPO]="CV"),    [LÍQUIDO BASE]*0.01,    0)</f>
        <v>0</v>
      </c>
      <c r="U3" s="23">
        <f>[LÍQUIDO BASE]-SUMPRODUCT(N([DATA]=NC[[#This Row],[DATA]]),    [IRRF DAYTRADE BASE])</f>
        <v>-359.98</v>
      </c>
      <c r="V3" s="23">
        <f>[LÍQUIDO]-SUMPRODUCT(N([DATA]=NC[[#This Row],[DATA]]),N([ID]=(NC[[#This Row],[ID]]-1)),[LÍQUIDO])</f>
        <v>-175.99999999999997</v>
      </c>
      <c r="W3" s="23">
        <f t="shared" si="0"/>
        <v>0.43999999999999995</v>
      </c>
      <c r="X3" s="23">
        <f>TRUNC(IF(OR([OPER/TIPO]="CV",[OPER/TIPO]="VV"),     K3*SETUP!$H$3,     0),2)</f>
        <v>0</v>
      </c>
      <c r="Y3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400</v>
      </c>
      <c r="Z3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0.43999999999999995</v>
      </c>
      <c r="AA3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</v>
      </c>
      <c r="AB3" s="23">
        <f>IF(AND([MED CP]&gt;0,[MED VD]&gt;0),([MED VD]-[MED CP])*[QTDE],0)</f>
        <v>0</v>
      </c>
      <c r="AC3" s="23">
        <f>SUMPRODUCT(N([DATA BASE]=NC[[#This Row],[DATA BASE]]),    N(['[D/N']]="N"),    [LUCRO])</f>
        <v>262.40999999999985</v>
      </c>
      <c r="AD3" s="23">
        <f>SUMPRODUCT(N([DATA BASE]=NC[[#This Row],[DATA BASE]]),    N(['[D/N']]="D"),    [LUCRO]) + SUMPRODUCT(N([DATA BASE]=NC[[#This Row],[DATA BASE]]),    [IRRF DAYTRADE BASE])</f>
        <v>478.50999999999988</v>
      </c>
      <c r="AE3" s="29">
        <f>IF([LUCRO MÊS NORMAL] &gt; 0,     ROUND([LUCRO MÊS NORMAL]*0.15,    2),    0)</f>
        <v>39.36</v>
      </c>
      <c r="AF3" s="29">
        <f>IF([LUCRO MÊS DAYTRADE] &gt; 0,     ROUND([LUCRO MÊS DAYTRADE]*0.2,    2)  -  SUMPRODUCT(N([DATA BASE]=NC[[#This Row],[DATA BASE]]),    [IRRF DAYTRADE BASE]),    0)</f>
        <v>90.914900000000003</v>
      </c>
      <c r="AG3" s="28">
        <f>IF([MED CP] = 0,    0,    [LUCRO] / ABS([QTDE] * [MED CP]))</f>
        <v>0</v>
      </c>
    </row>
    <row r="4" spans="1:33">
      <c r="A4" s="21">
        <v>3</v>
      </c>
      <c r="B4" s="21" t="s">
        <v>45</v>
      </c>
      <c r="C4" s="21" t="s">
        <v>39</v>
      </c>
      <c r="D4" s="22">
        <v>40981</v>
      </c>
      <c r="E4" s="21">
        <v>1200</v>
      </c>
      <c r="F4" s="23">
        <v>0.19</v>
      </c>
      <c r="G4" s="21" t="s">
        <v>16</v>
      </c>
      <c r="H4" s="22">
        <f>WORKDAY(NC[[#This Row],[DATA]],3,1)</f>
        <v>40984</v>
      </c>
      <c r="I4" s="32">
        <f>EOMONTH(NC[[#This Row],[DATA DE LIQUIDAÇÃO]],0)</f>
        <v>40999</v>
      </c>
      <c r="J4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0</v>
      </c>
      <c r="K4" s="23">
        <f>[QTDE]*[PREÇO]</f>
        <v>228</v>
      </c>
      <c r="L4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-228</v>
      </c>
      <c r="M4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N4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O4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P4" s="23">
        <f>SETUP!$E$3*SUMPRODUCT(N([DATA]=NC[[#This Row],[DATA]]),N([ID]&lt;=NC[[#This Row],[ID]]))</f>
        <v>14.9</v>
      </c>
      <c r="Q4" s="23">
        <f>TRUNC([CORRETAGEM]*SETUP!$F$3,2)</f>
        <v>0.28999999999999998</v>
      </c>
      <c r="R4" s="23">
        <f>ROUND([CORRETAGEM]*SETUP!$G$3,2)</f>
        <v>0.57999999999999996</v>
      </c>
      <c r="S4" s="23">
        <f>[VALOR LÍQUIDO DAS OPERAÇÕES]-[TAXA DE LIQUIDAÇÃO]-[EMOLUMENTOS]-[TAXA DE REGISTRO]-[CORRETAGEM]-[ISS]-IF(['[D/N']]="D",    0,    [OUTRAS BOVESPA])</f>
        <v>-243.28</v>
      </c>
      <c r="T4" s="23">
        <f>IF(AND(['[D/N']]="D",    [OPER/TIPO]="CV"),    [LÍQUIDO BASE]*0.01,    0)</f>
        <v>0</v>
      </c>
      <c r="U4" s="23">
        <f>[LÍQUIDO BASE]-SUMPRODUCT(N([DATA]=NC[[#This Row],[DATA]]),    [IRRF DAYTRADE BASE])</f>
        <v>-245.25309999999999</v>
      </c>
      <c r="V4" s="23">
        <f>[LÍQUIDO]-SUMPRODUCT(N([DATA]=NC[[#This Row],[DATA]]),N([ID]=(NC[[#This Row],[ID]]-1)),[LÍQUIDO])</f>
        <v>-245.25309999999999</v>
      </c>
      <c r="W4" s="23">
        <f t="shared" si="0"/>
        <v>0.20437758333333333</v>
      </c>
      <c r="X4" s="23">
        <f>TRUNC(IF(OR([OPER/TIPO]="CV",[OPER/TIPO]="VV"),     K4*SETUP!$H$3,     0),2)</f>
        <v>0</v>
      </c>
      <c r="Y4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0.20437758333333333</v>
      </c>
      <c r="AA4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</v>
      </c>
      <c r="AB4" s="23">
        <f>IF(AND([MED CP]&gt;0,[MED VD]&gt;0),([MED VD]-[MED CP])*[QTDE],0)</f>
        <v>0</v>
      </c>
      <c r="AC4" s="23">
        <f>SUMPRODUCT(N([DATA BASE]=NC[[#This Row],[DATA BASE]]),    N(['[D/N']]="N"),    [LUCRO])</f>
        <v>262.40999999999985</v>
      </c>
      <c r="AD4" s="23">
        <f>SUMPRODUCT(N([DATA BASE]=NC[[#This Row],[DATA BASE]]),    N(['[D/N']]="D"),    [LUCRO]) + SUMPRODUCT(N([DATA BASE]=NC[[#This Row],[DATA BASE]]),    [IRRF DAYTRADE BASE])</f>
        <v>478.50999999999988</v>
      </c>
      <c r="AE4" s="30">
        <f>IF([LUCRO MÊS NORMAL] &gt; 0,     ROUND([LUCRO MÊS NORMAL]*0.15,    2),    0)</f>
        <v>39.36</v>
      </c>
      <c r="AF4" s="30">
        <f>IF([LUCRO MÊS DAYTRADE] &gt; 0,     ROUND([LUCRO MÊS DAYTRADE]*0.2,    2)  -  SUMPRODUCT(N([DATA BASE]=NC[[#This Row],[DATA BASE]]),    [IRRF DAYTRADE BASE]),    0)</f>
        <v>90.914900000000003</v>
      </c>
      <c r="AG4" s="28">
        <f>IF([MED CP] = 0,    0,    [LUCRO] / ABS([QTDE] * [MED CP]))</f>
        <v>0</v>
      </c>
    </row>
    <row r="5" spans="1:33">
      <c r="A5" s="21">
        <v>4</v>
      </c>
      <c r="B5" s="21" t="s">
        <v>45</v>
      </c>
      <c r="C5" s="21" t="s">
        <v>40</v>
      </c>
      <c r="D5" s="22">
        <v>40981</v>
      </c>
      <c r="E5" s="21">
        <v>1200</v>
      </c>
      <c r="F5" s="23">
        <v>0.38</v>
      </c>
      <c r="G5" s="21" t="s">
        <v>16</v>
      </c>
      <c r="H5" s="22">
        <f>WORKDAY(NC[[#This Row],[DATA]],3,1)</f>
        <v>40984</v>
      </c>
      <c r="I5" s="32">
        <f>EOMONTH(NC[[#This Row],[DATA DE LIQUIDAÇÃO]],0)</f>
        <v>40999</v>
      </c>
      <c r="J5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0</v>
      </c>
      <c r="K5" s="23">
        <f>[QTDE]*[PREÇO]</f>
        <v>456</v>
      </c>
      <c r="L5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228</v>
      </c>
      <c r="M5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0.12</v>
      </c>
      <c r="N5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O5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P5" s="23">
        <f>SETUP!$E$3*SUMPRODUCT(N([DATA]=NC[[#This Row],[DATA]]),N([ID]&lt;=NC[[#This Row],[ID]]))</f>
        <v>29.8</v>
      </c>
      <c r="Q5" s="23">
        <f>TRUNC([CORRETAGEM]*SETUP!$F$3,2)</f>
        <v>0.59</v>
      </c>
      <c r="R5" s="23">
        <f>ROUND([CORRETAGEM]*SETUP!$G$3,2)</f>
        <v>1.1599999999999999</v>
      </c>
      <c r="S5" s="23">
        <f>[VALOR LÍQUIDO DAS OPERAÇÕES]-[TAXA DE LIQUIDAÇÃO]-[EMOLUMENTOS]-[TAXA DE REGISTRO]-[CORRETAGEM]-[ISS]-IF(['[D/N']]="D",    0,    [OUTRAS BOVESPA])</f>
        <v>197.30999999999997</v>
      </c>
      <c r="T5" s="23">
        <f>IF(AND(['[D/N']]="D",    [OPER/TIPO]="CV"),    [LÍQUIDO BASE]*0.01,    0)</f>
        <v>1.9730999999999999</v>
      </c>
      <c r="U5" s="23">
        <f>[LÍQUIDO BASE]-SUMPRODUCT(N([DATA]=NC[[#This Row],[DATA]]),    [IRRF DAYTRADE BASE])</f>
        <v>195.33689999999999</v>
      </c>
      <c r="V5" s="23">
        <f>[LÍQUIDO]-SUMPRODUCT(N([DATA]=NC[[#This Row],[DATA]]),N([ID]=(NC[[#This Row],[ID]]-1)),[LÍQUIDO])</f>
        <v>440.59</v>
      </c>
      <c r="W5" s="23">
        <f t="shared" si="0"/>
        <v>0.36715833333333331</v>
      </c>
      <c r="X5" s="23">
        <f>TRUNC(IF(OR([OPER/TIPO]="CV",[OPER/TIPO]="VV"),     K5*SETUP!$H$3,     0),2)</f>
        <v>0.02</v>
      </c>
      <c r="Y5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0.20437758333333333</v>
      </c>
      <c r="AA5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0.36715833333333331</v>
      </c>
      <c r="AB5" s="23">
        <f>IF(AND([MED CP]&gt;0,[MED VD]&gt;0),([MED VD]-[MED CP])*[QTDE],0)</f>
        <v>195.33689999999996</v>
      </c>
      <c r="AC5" s="23">
        <f>SUMPRODUCT(N([DATA BASE]=NC[[#This Row],[DATA BASE]]),    N(['[D/N']]="N"),    [LUCRO])</f>
        <v>262.40999999999985</v>
      </c>
      <c r="AD5" s="23">
        <f>SUMPRODUCT(N([DATA BASE]=NC[[#This Row],[DATA BASE]]),    N(['[D/N']]="D"),    [LUCRO]) + SUMPRODUCT(N([DATA BASE]=NC[[#This Row],[DATA BASE]]),    [IRRF DAYTRADE BASE])</f>
        <v>478.50999999999988</v>
      </c>
      <c r="AE5" s="30">
        <f>IF([LUCRO MÊS NORMAL] &gt; 0,     ROUND([LUCRO MÊS NORMAL]*0.15,    2),    0)</f>
        <v>39.36</v>
      </c>
      <c r="AF5" s="30">
        <f>IF([LUCRO MÊS DAYTRADE] &gt; 0,     ROUND([LUCRO MÊS DAYTRADE]*0.2,    2)  -  SUMPRODUCT(N([DATA BASE]=NC[[#This Row],[DATA BASE]]),    [IRRF DAYTRADE BASE]),    0)</f>
        <v>90.914900000000003</v>
      </c>
      <c r="AG5" s="28">
        <f>IF([MED CP] = 0,    0,    [LUCRO] / ABS([QTDE] * [MED CP]))</f>
        <v>0.79647066642582687</v>
      </c>
    </row>
    <row r="6" spans="1:33">
      <c r="A6" s="21">
        <v>5</v>
      </c>
      <c r="B6" s="21" t="s">
        <v>44</v>
      </c>
      <c r="C6" s="21" t="s">
        <v>40</v>
      </c>
      <c r="D6" s="22">
        <v>40981</v>
      </c>
      <c r="E6" s="21">
        <v>400</v>
      </c>
      <c r="F6" s="23">
        <v>0.8</v>
      </c>
      <c r="G6" s="21" t="s">
        <v>7</v>
      </c>
      <c r="H6" s="22">
        <f>WORKDAY(NC[[#This Row],[DATA]],3,1)</f>
        <v>40984</v>
      </c>
      <c r="I6" s="32">
        <f>EOMONTH(NC[[#This Row],[DATA DE LIQUIDAÇÃO]],0)</f>
        <v>40999</v>
      </c>
      <c r="J6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K6" s="23">
        <f>[QTDE]*[PREÇO]</f>
        <v>320</v>
      </c>
      <c r="L6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548</v>
      </c>
      <c r="M6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0.21</v>
      </c>
      <c r="N6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O6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P6" s="23">
        <f>SETUP!$E$3*SUMPRODUCT(N([DATA]=NC[[#This Row],[DATA]]),N([ID]&lt;=NC[[#This Row],[ID]]))</f>
        <v>44.7</v>
      </c>
      <c r="Q6" s="23">
        <f>TRUNC([CORRETAGEM]*SETUP!$F$3,2)</f>
        <v>0.89</v>
      </c>
      <c r="R6" s="23">
        <f>ROUND([CORRETAGEM]*SETUP!$G$3,2)</f>
        <v>1.74</v>
      </c>
      <c r="S6" s="23">
        <f>[VALOR LÍQUIDO DAS OPERAÇÕES]-[TAXA DE LIQUIDAÇÃO]-[EMOLUMENTOS]-[TAXA DE REGISTRO]-[CORRETAGEM]-[ISS]-IF(['[D/N']]="D",    0,    [OUTRAS BOVESPA])</f>
        <v>499.93999999999988</v>
      </c>
      <c r="T6" s="23">
        <f>IF(AND(['[D/N']]="D",    [OPER/TIPO]="CV"),    [LÍQUIDO BASE]*0.01,    0)</f>
        <v>0</v>
      </c>
      <c r="U6" s="23">
        <f>[LÍQUIDO BASE]-SUMPRODUCT(N([DATA]=NC[[#This Row],[DATA]]),    [IRRF DAYTRADE BASE])</f>
        <v>497.9668999999999</v>
      </c>
      <c r="V6" s="23">
        <f>[LÍQUIDO]-SUMPRODUCT(N([DATA]=NC[[#This Row],[DATA]]),N([ID]=(NC[[#This Row],[ID]]-1)),[LÍQUIDO])</f>
        <v>302.62999999999988</v>
      </c>
      <c r="W6" s="23">
        <f t="shared" si="0"/>
        <v>0.75657499999999966</v>
      </c>
      <c r="X6" s="23">
        <f>TRUNC(IF(OR([OPER/TIPO]="CV",[OPER/TIPO]="VV"),     K6*SETUP!$H$3,     0),2)</f>
        <v>0.01</v>
      </c>
      <c r="Y6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6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0.43999999999999995</v>
      </c>
      <c r="AA6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0.75657499999999966</v>
      </c>
      <c r="AB6" s="23">
        <f>IF(AND([MED CP]&gt;0,[MED VD]&gt;0),([MED VD]-[MED CP])*[QTDE],0)</f>
        <v>126.62999999999988</v>
      </c>
      <c r="AC6" s="23">
        <f>SUMPRODUCT(N([DATA BASE]=NC[[#This Row],[DATA BASE]]),    N(['[D/N']]="N"),    [LUCRO])</f>
        <v>262.40999999999985</v>
      </c>
      <c r="AD6" s="23">
        <f>SUMPRODUCT(N([DATA BASE]=NC[[#This Row],[DATA BASE]]),    N(['[D/N']]="D"),    [LUCRO]) + SUMPRODUCT(N([DATA BASE]=NC[[#This Row],[DATA BASE]]),    [IRRF DAYTRADE BASE])</f>
        <v>478.50999999999988</v>
      </c>
      <c r="AE6" s="30">
        <f>IF([LUCRO MÊS NORMAL] &gt; 0,     ROUND([LUCRO MÊS NORMAL]*0.15,    2),    0)</f>
        <v>39.36</v>
      </c>
      <c r="AF6" s="30">
        <f>IF([LUCRO MÊS DAYTRADE] &gt; 0,     ROUND([LUCRO MÊS DAYTRADE]*0.2,    2)  -  SUMPRODUCT(N([DATA BASE]=NC[[#This Row],[DATA BASE]]),    [IRRF DAYTRADE BASE]),    0)</f>
        <v>90.914900000000003</v>
      </c>
      <c r="AG6" s="28">
        <f>IF([MED CP] = 0,    0,    [LUCRO] / ABS([QTDE] * [MED CP]))</f>
        <v>0.7194886363636358</v>
      </c>
    </row>
    <row r="7" spans="1:33">
      <c r="A7" s="21">
        <v>6</v>
      </c>
      <c r="B7" s="21" t="s">
        <v>46</v>
      </c>
      <c r="C7" s="21" t="s">
        <v>39</v>
      </c>
      <c r="D7" s="22">
        <v>40981</v>
      </c>
      <c r="E7" s="21">
        <v>200</v>
      </c>
      <c r="F7" s="23">
        <v>0.8</v>
      </c>
      <c r="G7" s="21" t="s">
        <v>7</v>
      </c>
      <c r="H7" s="22">
        <f>WORKDAY(NC[[#This Row],[DATA]],3,1)</f>
        <v>40984</v>
      </c>
      <c r="I7" s="32">
        <f>EOMONTH(NC[[#This Row],[DATA DE LIQUIDAÇÃO]],0)</f>
        <v>40999</v>
      </c>
      <c r="J7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K7" s="23">
        <f>[QTDE]*[PREÇO]</f>
        <v>160</v>
      </c>
      <c r="L7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388</v>
      </c>
      <c r="M7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0.25</v>
      </c>
      <c r="N7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0.25</v>
      </c>
      <c r="O7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0.43</v>
      </c>
      <c r="P7" s="23">
        <f>SETUP!$E$3*SUMPRODUCT(N([DATA]=NC[[#This Row],[DATA]]),N([ID]&lt;=NC[[#This Row],[ID]]))</f>
        <v>59.6</v>
      </c>
      <c r="Q7" s="23">
        <f>TRUNC([CORRETAGEM]*SETUP!$F$3,2)</f>
        <v>1.19</v>
      </c>
      <c r="R7" s="23">
        <f>ROUND([CORRETAGEM]*SETUP!$G$3,2)</f>
        <v>2.3199999999999998</v>
      </c>
      <c r="S7" s="23">
        <f>[VALOR LÍQUIDO DAS OPERAÇÕES]-[TAXA DE LIQUIDAÇÃO]-[EMOLUMENTOS]-[TAXA DE REGISTRO]-[CORRETAGEM]-[ISS]-IF(['[D/N']]="D",    0,    [OUTRAS BOVESPA])</f>
        <v>323.95999999999998</v>
      </c>
      <c r="T7" s="23">
        <f>IF(AND(['[D/N']]="D",    [OPER/TIPO]="CV"),    [LÍQUIDO BASE]*0.01,    0)</f>
        <v>0</v>
      </c>
      <c r="U7" s="23">
        <f>[LÍQUIDO BASE]-SUMPRODUCT(N([DATA]=NC[[#This Row],[DATA]]),    [IRRF DAYTRADE BASE])</f>
        <v>321.98689999999999</v>
      </c>
      <c r="V7" s="23">
        <f>[LÍQUIDO]-SUMPRODUCT(N([DATA]=NC[[#This Row],[DATA]]),N([ID]=(NC[[#This Row],[ID]]-1)),[LÍQUIDO])</f>
        <v>-175.9799999999999</v>
      </c>
      <c r="W7" s="23">
        <f t="shared" si="0"/>
        <v>0.87989999999999957</v>
      </c>
      <c r="X7" s="23">
        <f>TRUNC(IF(OR([OPER/TIPO]="CV",[OPER/TIPO]="VV"),     K7*SETUP!$H$3,     0),2)</f>
        <v>0</v>
      </c>
      <c r="Y7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Z7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0.87989999999999957</v>
      </c>
      <c r="AA7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</v>
      </c>
      <c r="AB7" s="23">
        <f>IF(AND([MED CP]&gt;0,[MED VD]&gt;0),([MED VD]-[MED CP])*[QTDE],0)</f>
        <v>0</v>
      </c>
      <c r="AC7" s="23">
        <f>SUMPRODUCT(N([DATA BASE]=NC[[#This Row],[DATA BASE]]),    N(['[D/N']]="N"),    [LUCRO])</f>
        <v>262.40999999999985</v>
      </c>
      <c r="AD7" s="23">
        <f>SUMPRODUCT(N([DATA BASE]=NC[[#This Row],[DATA BASE]]),    N(['[D/N']]="D"),    [LUCRO]) + SUMPRODUCT(N([DATA BASE]=NC[[#This Row],[DATA BASE]]),    [IRRF DAYTRADE BASE])</f>
        <v>478.50999999999988</v>
      </c>
      <c r="AE7" s="30">
        <f>IF([LUCRO MÊS NORMAL] &gt; 0,     ROUND([LUCRO MÊS NORMAL]*0.15,    2),    0)</f>
        <v>39.36</v>
      </c>
      <c r="AF7" s="30">
        <f>IF([LUCRO MÊS DAYTRADE] &gt; 0,     ROUND([LUCRO MÊS DAYTRADE]*0.2,    2)  -  SUMPRODUCT(N([DATA BASE]=NC[[#This Row],[DATA BASE]]),    [IRRF DAYTRADE BASE]),    0)</f>
        <v>90.914900000000003</v>
      </c>
      <c r="AG7" s="28">
        <f>IF([MED CP] = 0,    0,    [LUCRO] / ABS([QTDE] * [MED CP]))</f>
        <v>0</v>
      </c>
    </row>
    <row r="8" spans="1:33">
      <c r="A8" s="21">
        <v>7</v>
      </c>
      <c r="B8" s="21" t="s">
        <v>43</v>
      </c>
      <c r="C8" s="21" t="s">
        <v>40</v>
      </c>
      <c r="D8" s="22">
        <v>40981</v>
      </c>
      <c r="E8" s="21">
        <v>600</v>
      </c>
      <c r="F8" s="23">
        <v>0.56000000000000005</v>
      </c>
      <c r="G8" s="21" t="s">
        <v>7</v>
      </c>
      <c r="H8" s="22">
        <f>WORKDAY(NC[[#This Row],[DATA]],3,1)</f>
        <v>40984</v>
      </c>
      <c r="I8" s="32">
        <f>EOMONTH(NC[[#This Row],[DATA DE LIQUIDAÇÃO]],0)</f>
        <v>40999</v>
      </c>
      <c r="J8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K8" s="23">
        <f>[QTDE]*[PREÇO]</f>
        <v>336.00000000000006</v>
      </c>
      <c r="L8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724</v>
      </c>
      <c r="M8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0.34</v>
      </c>
      <c r="N8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0.38</v>
      </c>
      <c r="O8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0.66</v>
      </c>
      <c r="P8" s="23">
        <f>SETUP!$E$3*SUMPRODUCT(N([DATA]=NC[[#This Row],[DATA]]),N([ID]&lt;=NC[[#This Row],[ID]]))</f>
        <v>74.5</v>
      </c>
      <c r="Q8" s="23">
        <f>TRUNC([CORRETAGEM]*SETUP!$F$3,2)</f>
        <v>1.49</v>
      </c>
      <c r="R8" s="23">
        <f>ROUND([CORRETAGEM]*SETUP!$G$3,2)</f>
        <v>2.91</v>
      </c>
      <c r="S8" s="23">
        <f>[VALOR LÍQUIDO DAS OPERAÇÕES]-[TAXA DE LIQUIDAÇÃO]-[EMOLUMENTOS]-[TAXA DE REGISTRO]-[CORRETAGEM]-[ISS]-IF(['[D/N']]="D",    0,    [OUTRAS BOVESPA])</f>
        <v>643.72</v>
      </c>
      <c r="T8" s="23">
        <f>IF(AND(['[D/N']]="D",    [OPER/TIPO]="CV"),    [LÍQUIDO BASE]*0.01,    0)</f>
        <v>0</v>
      </c>
      <c r="U8" s="23">
        <f>[LÍQUIDO BASE]-SUMPRODUCT(N([DATA]=NC[[#This Row],[DATA]]),    [IRRF DAYTRADE BASE])</f>
        <v>641.74689999999998</v>
      </c>
      <c r="V8" s="23">
        <f>[LÍQUIDO]-SUMPRODUCT(N([DATA]=NC[[#This Row],[DATA]]),N([ID]=(NC[[#This Row],[ID]]-1)),[LÍQUIDO])</f>
        <v>319.76</v>
      </c>
      <c r="W8" s="23">
        <f t="shared" si="0"/>
        <v>0.53293333333333337</v>
      </c>
      <c r="X8" s="23">
        <f>TRUNC(IF(OR([OPER/TIPO]="CV",[OPER/TIPO]="VV"),     K8*SETUP!$H$3,     0),2)</f>
        <v>0.01</v>
      </c>
      <c r="Y8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8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0.30663333333333342</v>
      </c>
      <c r="AA8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0.53293333333333337</v>
      </c>
      <c r="AB8" s="23">
        <f>IF(AND([MED CP]&gt;0,[MED VD]&gt;0),([MED VD]-[MED CP])*[QTDE],0)</f>
        <v>135.77999999999997</v>
      </c>
      <c r="AC8" s="23">
        <f>SUMPRODUCT(N([DATA BASE]=NC[[#This Row],[DATA BASE]]),    N(['[D/N']]="N"),    [LUCRO])</f>
        <v>262.40999999999985</v>
      </c>
      <c r="AD8" s="23">
        <f>SUMPRODUCT(N([DATA BASE]=NC[[#This Row],[DATA BASE]]),    N(['[D/N']]="D"),    [LUCRO]) + SUMPRODUCT(N([DATA BASE]=NC[[#This Row],[DATA BASE]]),    [IRRF DAYTRADE BASE])</f>
        <v>478.50999999999988</v>
      </c>
      <c r="AE8" s="30">
        <f>IF([LUCRO MÊS NORMAL] &gt; 0,     ROUND([LUCRO MÊS NORMAL]*0.15,    2),    0)</f>
        <v>39.36</v>
      </c>
      <c r="AF8" s="30">
        <f>IF([LUCRO MÊS DAYTRADE] &gt; 0,     ROUND([LUCRO MÊS DAYTRADE]*0.2,    2)  -  SUMPRODUCT(N([DATA BASE]=NC[[#This Row],[DATA BASE]]),    [IRRF DAYTRADE BASE]),    0)</f>
        <v>90.914900000000003</v>
      </c>
      <c r="AG8" s="28">
        <f>IF([MED CP] = 0,    0,    [LUCRO] / ABS([QTDE] * [MED CP]))</f>
        <v>0.73801500163061173</v>
      </c>
    </row>
    <row r="9" spans="1:33">
      <c r="A9" s="21">
        <v>8</v>
      </c>
      <c r="B9" s="21" t="s">
        <v>64</v>
      </c>
      <c r="C9" s="21" t="s">
        <v>39</v>
      </c>
      <c r="D9" s="22">
        <v>40982</v>
      </c>
      <c r="E9" s="21">
        <v>2400</v>
      </c>
      <c r="F9" s="23">
        <v>0.13</v>
      </c>
      <c r="G9" s="21" t="s">
        <v>16</v>
      </c>
      <c r="H9" s="22">
        <f>WORKDAY(NC[[#This Row],[DATA]],3,1)</f>
        <v>40987</v>
      </c>
      <c r="I9" s="37">
        <f>EOMONTH(NC[[#This Row],[DATA DE LIQUIDAÇÃO]],0)</f>
        <v>40999</v>
      </c>
      <c r="J9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0</v>
      </c>
      <c r="K9" s="23">
        <f>[QTDE]*[PREÇO]</f>
        <v>312</v>
      </c>
      <c r="L9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-312</v>
      </c>
      <c r="M9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0.05</v>
      </c>
      <c r="N9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O9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P9" s="23">
        <f>SETUP!$E$3*SUMPRODUCT(N([DATA]=NC[[#This Row],[DATA]]),N([ID]&lt;=NC[[#This Row],[ID]]))</f>
        <v>14.9</v>
      </c>
      <c r="Q9" s="23">
        <f>TRUNC([CORRETAGEM]*SETUP!$F$3,2)</f>
        <v>0.28999999999999998</v>
      </c>
      <c r="R9" s="23">
        <f>ROUND([CORRETAGEM]*SETUP!$G$3,2)</f>
        <v>0.57999999999999996</v>
      </c>
      <c r="S9" s="23">
        <f>[VALOR LÍQUIDO DAS OPERAÇÕES]-[TAXA DE LIQUIDAÇÃO]-[EMOLUMENTOS]-[TAXA DE REGISTRO]-[CORRETAGEM]-[ISS]-IF(['[D/N']]="D",    0,    [OUTRAS BOVESPA])</f>
        <v>-327.31</v>
      </c>
      <c r="T9" s="23">
        <f>IF(AND(['[D/N']]="D",    [OPER/TIPO]="CV"),    [LÍQUIDO BASE]*0.01,    0)</f>
        <v>0</v>
      </c>
      <c r="U9" s="23">
        <f>[LÍQUIDO BASE]-SUMPRODUCT(N([DATA]=NC[[#This Row],[DATA]]),    [IRRF DAYTRADE BASE])</f>
        <v>-330.12200000000001</v>
      </c>
      <c r="V9" s="23">
        <f>[LÍQUIDO]-SUMPRODUCT(N([DATA]=NC[[#This Row],[DATA]]),N([ID]=(NC[[#This Row],[ID]]-1)),[LÍQUIDO])</f>
        <v>-330.12200000000001</v>
      </c>
      <c r="W9" s="23">
        <f>ABS(V9)/E9</f>
        <v>0.13755083333333334</v>
      </c>
      <c r="X9" s="23">
        <f>TRUNC(IF(OR([OPER/TIPO]="CV",[OPER/TIPO]="VV"),     K9*SETUP!$H$3,     0),2)</f>
        <v>0</v>
      </c>
      <c r="Y9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9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0.13755083333333334</v>
      </c>
      <c r="AA9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</v>
      </c>
      <c r="AB9" s="23">
        <f>IF(AND([MED CP]&gt;0,[MED VD]&gt;0),([MED VD]-[MED CP])*[QTDE],0)</f>
        <v>0</v>
      </c>
      <c r="AC9" s="23">
        <f>SUMPRODUCT(N([DATA BASE]=NC[[#This Row],[DATA BASE]]),    N(['[D/N']]="N"),    [LUCRO])</f>
        <v>262.40999999999985</v>
      </c>
      <c r="AD9" s="23">
        <f>SUMPRODUCT(N([DATA BASE]=NC[[#This Row],[DATA BASE]]),    N(['[D/N']]="D"),    [LUCRO]) + SUMPRODUCT(N([DATA BASE]=NC[[#This Row],[DATA BASE]]),    [IRRF DAYTRADE BASE])</f>
        <v>478.50999999999988</v>
      </c>
      <c r="AE9" s="30">
        <f>IF([LUCRO MÊS NORMAL] &gt; 0,     ROUND([LUCRO MÊS NORMAL]*0.15,    2),    0)</f>
        <v>39.36</v>
      </c>
      <c r="AF9" s="29">
        <f>IF([LUCRO MÊS DAYTRADE] &gt; 0,     ROUND([LUCRO MÊS DAYTRADE]*0.2,    2)  -  SUMPRODUCT(N([DATA BASE]=NC[[#This Row],[DATA BASE]]),    [IRRF DAYTRADE BASE]),    0)</f>
        <v>90.914900000000003</v>
      </c>
      <c r="AG9" s="28">
        <f>IF([MED CP] = 0,    0,    [LUCRO] / ABS([QTDE] * [MED CP]))</f>
        <v>0</v>
      </c>
    </row>
    <row r="10" spans="1:33">
      <c r="A10" s="21">
        <v>9</v>
      </c>
      <c r="B10" s="21" t="s">
        <v>64</v>
      </c>
      <c r="C10" s="21" t="s">
        <v>40</v>
      </c>
      <c r="D10" s="22">
        <v>40982</v>
      </c>
      <c r="E10" s="21">
        <v>2400</v>
      </c>
      <c r="F10" s="23">
        <v>0.26</v>
      </c>
      <c r="G10" s="21" t="s">
        <v>16</v>
      </c>
      <c r="H10" s="22">
        <f>WORKDAY(NC[[#This Row],[DATA]],3,1)</f>
        <v>40987</v>
      </c>
      <c r="I10" s="37">
        <f>EOMONTH(NC[[#This Row],[DATA DE LIQUIDAÇÃO]],0)</f>
        <v>40999</v>
      </c>
      <c r="J10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0</v>
      </c>
      <c r="K10" s="23">
        <f>[QTDE]*[PREÇO]</f>
        <v>624</v>
      </c>
      <c r="L10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312</v>
      </c>
      <c r="M10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0.16</v>
      </c>
      <c r="N10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O10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P10" s="23">
        <f>SETUP!$E$3*SUMPRODUCT(N([DATA]=NC[[#This Row],[DATA]]),N([ID]&lt;=NC[[#This Row],[ID]]))</f>
        <v>29.8</v>
      </c>
      <c r="Q10" s="23">
        <f>TRUNC([CORRETAGEM]*SETUP!$F$3,2)</f>
        <v>0.59</v>
      </c>
      <c r="R10" s="23">
        <f>ROUND([CORRETAGEM]*SETUP!$G$3,2)</f>
        <v>1.1599999999999999</v>
      </c>
      <c r="S10" s="23">
        <f>[VALOR LÍQUIDO DAS OPERAÇÕES]-[TAXA DE LIQUIDAÇÃO]-[EMOLUMENTOS]-[TAXA DE REGISTRO]-[CORRETAGEM]-[ISS]-IF(['[D/N']]="D",    0,    [OUTRAS BOVESPA])</f>
        <v>281.2</v>
      </c>
      <c r="T10" s="23">
        <f>IF(AND(['[D/N']]="D",    [OPER/TIPO]="CV"),    [LÍQUIDO BASE]*0.01,    0)</f>
        <v>2.8119999999999998</v>
      </c>
      <c r="U10" s="23">
        <f>[LÍQUIDO BASE]-SUMPRODUCT(N([DATA]=NC[[#This Row],[DATA]]),    [IRRF DAYTRADE BASE])</f>
        <v>278.38799999999998</v>
      </c>
      <c r="V10" s="23">
        <f>[LÍQUIDO]-SUMPRODUCT(N([DATA]=NC[[#This Row],[DATA]]),N([ID]=(NC[[#This Row],[ID]]-1)),[LÍQUIDO])</f>
        <v>608.51</v>
      </c>
      <c r="W10" s="23">
        <f>ABS(V10)/E10</f>
        <v>0.2535458333333333</v>
      </c>
      <c r="X10" s="23">
        <f>TRUNC(IF(OR([OPER/TIPO]="CV",[OPER/TIPO]="VV"),     K10*SETUP!$H$3,     0),2)</f>
        <v>0.03</v>
      </c>
      <c r="Y10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0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0.13755083333333334</v>
      </c>
      <c r="AA10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0.2535458333333333</v>
      </c>
      <c r="AB10" s="23">
        <f>IF(AND([MED CP]&gt;0,[MED VD]&gt;0),([MED VD]-[MED CP])*[QTDE],0)</f>
        <v>278.38799999999992</v>
      </c>
      <c r="AC10" s="23">
        <f>SUMPRODUCT(N([DATA BASE]=NC[[#This Row],[DATA BASE]]),    N(['[D/N']]="N"),    [LUCRO])</f>
        <v>262.40999999999985</v>
      </c>
      <c r="AD10" s="23">
        <f>SUMPRODUCT(N([DATA BASE]=NC[[#This Row],[DATA BASE]]),    N(['[D/N']]="D"),    [LUCRO]) + SUMPRODUCT(N([DATA BASE]=NC[[#This Row],[DATA BASE]]),    [IRRF DAYTRADE BASE])</f>
        <v>478.50999999999988</v>
      </c>
      <c r="AE10" s="30">
        <f>IF([LUCRO MÊS NORMAL] &gt; 0,     ROUND([LUCRO MÊS NORMAL]*0.15,    2),    0)</f>
        <v>39.36</v>
      </c>
      <c r="AF10" s="29">
        <f>IF([LUCRO MÊS DAYTRADE] &gt; 0,     ROUND([LUCRO MÊS DAYTRADE]*0.2,    2)  -  SUMPRODUCT(N([DATA BASE]=NC[[#This Row],[DATA BASE]]),    [IRRF DAYTRADE BASE]),    0)</f>
        <v>90.914900000000003</v>
      </c>
      <c r="AG10" s="28">
        <f>IF([MED CP] = 0,    0,    [LUCRO] / ABS([QTDE] * [MED CP]))</f>
        <v>0.84328823889349969</v>
      </c>
    </row>
    <row r="11" spans="1:33">
      <c r="A11" s="21">
        <v>10</v>
      </c>
      <c r="B11" s="21" t="s">
        <v>65</v>
      </c>
      <c r="C11" s="21" t="s">
        <v>39</v>
      </c>
      <c r="D11" s="22">
        <v>40982</v>
      </c>
      <c r="E11" s="21">
        <v>800</v>
      </c>
      <c r="F11" s="23">
        <v>0.39</v>
      </c>
      <c r="G11" s="21" t="s">
        <v>7</v>
      </c>
      <c r="H11" s="22">
        <f>WORKDAY(NC[[#This Row],[DATA]],3,1)</f>
        <v>40987</v>
      </c>
      <c r="I11" s="37">
        <f>EOMONTH(NC[[#This Row],[DATA DE LIQUIDAÇÃO]],0)</f>
        <v>40999</v>
      </c>
      <c r="J11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K11" s="23">
        <f>[QTDE]*[PREÇO]</f>
        <v>312</v>
      </c>
      <c r="L11" s="23">
        <f>(SUMPRODUCT(N([DATA]=NC[[#This Row],[DATA]]),N([ID]&lt;=NC[[#This Row],[ID]]),N([OPER/TIPO]="CV"),[VALOR DAS OPERAÇÕES])  +  SUMPRODUCT(N([DATA]=NC[[#This Row],[DATA]]),N([ID]&lt;=NC[[#This Row],[ID]]),N([OPER/TIPO]="VV"),[VALOR DAS OPERAÇÕES]) )  -  (SUMPRODUCT(N([DATA]=NC[[#This Row],[DATA]]),N([ID]&lt;=NC[[#This Row],[ID]]),N([OPER/TIPO]="CC"),[VALOR DAS OPERAÇÕES])  +  SUMPRODUCT(N([DATA]=NC[[#This Row],[DATA]]),N([ID]&lt;=NC[[#This Row],[ID]]),N([OPER/TIPO]="VC"),[VALOR DAS OPERAÇÕES]))</f>
        <v>0</v>
      </c>
      <c r="M11" s="23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0.25</v>
      </c>
      <c r="N11" s="23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O11" s="23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0.35</v>
      </c>
      <c r="P11" s="23">
        <f>SETUP!$E$3*SUMPRODUCT(N([DATA]=NC[[#This Row],[DATA]]),N([ID]&lt;=NC[[#This Row],[ID]]))</f>
        <v>44.7</v>
      </c>
      <c r="Q11" s="23">
        <f>TRUNC([CORRETAGEM]*SETUP!$F$3,2)</f>
        <v>0.89</v>
      </c>
      <c r="R11" s="23">
        <f>ROUND([CORRETAGEM]*SETUP!$G$3,2)</f>
        <v>1.74</v>
      </c>
      <c r="S11" s="23">
        <f>[VALOR LÍQUIDO DAS OPERAÇÕES]-[TAXA DE LIQUIDAÇÃO]-[EMOLUMENTOS]-[TAXA DE REGISTRO]-[CORRETAGEM]-[ISS]-IF(['[D/N']]="D",    0,    [OUTRAS BOVESPA])</f>
        <v>-48.150000000000006</v>
      </c>
      <c r="T11" s="23">
        <f>IF(AND(['[D/N']]="D",    [OPER/TIPO]="CV"),    [LÍQUIDO BASE]*0.01,    0)</f>
        <v>0</v>
      </c>
      <c r="U11" s="23">
        <f>[LÍQUIDO BASE]-SUMPRODUCT(N([DATA]=NC[[#This Row],[DATA]]),    [IRRF DAYTRADE BASE])</f>
        <v>-50.962000000000003</v>
      </c>
      <c r="V11" s="23">
        <f>[LÍQUIDO]-SUMPRODUCT(N([DATA]=NC[[#This Row],[DATA]]),N([ID]=(NC[[#This Row],[ID]]-1)),[LÍQUIDO])</f>
        <v>-329.34999999999997</v>
      </c>
      <c r="W11" s="23">
        <f>ABS(V11)/E11</f>
        <v>0.41168749999999998</v>
      </c>
      <c r="X11" s="23">
        <f>TRUNC(IF(OR([OPER/TIPO]="CV",[OPER/TIPO]="VV"),     K11*SETUP!$H$3,     0),2)</f>
        <v>0</v>
      </c>
      <c r="Y11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800</v>
      </c>
      <c r="Z11" s="24">
        <f>IF(['[D/N']]="D",      IF(OR([OPER/TIPO]="CC",[OPER/TIPO]="CV"),     ABS(SUMPRODUCT(N([ATIVO]=NC[[#This Row],[ATIVO]]),N([OPER/TIPO]="CC"),N(['[D/N']]="D"),N([ID]&lt;=NC[[#This Row],[ID]]),N([PAR]=NC[[#This Row],[PAR]]),[VALOR P/ OP]))  /  SUMPRODUCT(N([ATIVO]=NC[[#This Row],[ATIVO]]),N([OPER/TIPO]="CC"),N(['[D/N']]="D"),N([ID]&lt;=NC[[#This Row],[ID]]),N([PAR]=NC[[#This Row],[PAR]]),[QTDE]),     IF([OPER/TIPO]="VC",[MEDIO P/ OP],0)),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 P/ OP],0)))</f>
        <v>0.41168749999999998</v>
      </c>
      <c r="AA11" s="24">
        <f>IF(['[D/N']]="D",     IF(OR([OPER/TIPO]="VV",[OPER/TIPO]="VC"),     ABS(SUMPRODUCT(N([ATIVO]=NC[[#This Row],[ATIVO]]),N([OPER/TIPO]="VV"),N(['[D/N']]="D"),N([ID]&lt;=NC[[#This Row],[ID]]),N([PAR]=NC[[#This Row],[PAR]]),[VALOR P/ OP]))  /  SUMPRODUCT(N([ATIVO]=NC[[#This Row],[ATIVO]]),N([OPER/TIPO]="VV"),N(['[D/N']]="D"),N([ID]&lt;=NC[[#This Row],[ID]]),N([PAR]=NC[[#This Row],[PAR]]),[QTDE]),     IF([OPER/TIPO]="CV",[MEDIO P/ OP],0)),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 P/ OP],0)))</f>
        <v>0</v>
      </c>
      <c r="AB11" s="23">
        <f>IF(AND([MED CP]&gt;0,[MED VD]&gt;0),([MED VD]-[MED CP])*[QTDE],0)</f>
        <v>0</v>
      </c>
      <c r="AC11" s="23">
        <f>SUMPRODUCT(N([DATA BASE]=NC[[#This Row],[DATA BASE]]),    N(['[D/N']]="N"),    [LUCRO])</f>
        <v>262.40999999999985</v>
      </c>
      <c r="AD11" s="23">
        <f>SUMPRODUCT(N([DATA BASE]=NC[[#This Row],[DATA BASE]]),    N(['[D/N']]="D"),    [LUCRO]) + SUMPRODUCT(N([DATA BASE]=NC[[#This Row],[DATA BASE]]),    [IRRF DAYTRADE BASE])</f>
        <v>478.50999999999988</v>
      </c>
      <c r="AE11" s="29">
        <f>IF([LUCRO MÊS NORMAL] &gt; 0,     ROUND([LUCRO MÊS NORMAL]*0.15,    2),    0)</f>
        <v>39.36</v>
      </c>
      <c r="AF11" s="29">
        <f>IF([LUCRO MÊS DAYTRADE] &gt; 0,     ROUND([LUCRO MÊS DAYTRADE]*0.2,    2)  -  SUMPRODUCT(N([DATA BASE]=NC[[#This Row],[DATA BASE]]),    [IRRF DAYTRADE BASE]),    0)</f>
        <v>90.914900000000003</v>
      </c>
      <c r="AG11" s="28">
        <f>IF([MED CP] = 0,    0,    [LUCRO] / ABS([QTDE] * [MED CP]))</f>
        <v>0</v>
      </c>
    </row>
    <row r="12" spans="1:33">
      <c r="A12" s="31">
        <f>SUBTOTAL(104,[ID])</f>
        <v>10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23"/>
      <c r="T12" s="31"/>
      <c r="U12" s="31"/>
      <c r="V12" s="23">
        <f>329.35</f>
        <v>329.35</v>
      </c>
      <c r="W12" s="31"/>
      <c r="X12" s="23">
        <f>SUBTOTAL(109,[IRRF])</f>
        <v>7.0000000000000007E-2</v>
      </c>
      <c r="Y12" s="23"/>
      <c r="Z12" s="31"/>
      <c r="AA12" s="31"/>
      <c r="AB12" s="23">
        <f>SUBTOTAL(109,[LUCRO])</f>
        <v>736.13489999999979</v>
      </c>
      <c r="AC12" s="36">
        <f>SUMPRODUCT(N([ID]=NC[[#Totals],[ID]]),[IRRF NORMAL] + [IRRF DAYTRADE])</f>
        <v>130.2749</v>
      </c>
      <c r="AD12" s="36">
        <f>NC[[#Totals],[LUCRO MÊS NORMAL]]+8.9</f>
        <v>139.17490000000001</v>
      </c>
      <c r="AE12" s="23">
        <f>NC[[#Totals],[LUCRO]]-NC[[#Totals],[LUCRO MÊS DAYTRADE]]</f>
        <v>596.95999999999981</v>
      </c>
      <c r="AF12" s="23">
        <f>NC[[#Totals],[IRRF NORMAL]]/2</f>
        <v>298.4799999999999</v>
      </c>
      <c r="AG12" s="38">
        <f>NC[[#Totals],[IRRF DAYTRADE]]+NC[[#Totals],[VALOR P/ OP]]</f>
        <v>627.82999999999993</v>
      </c>
    </row>
    <row r="13" spans="1:33">
      <c r="D13" s="27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B7" sqref="B7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>
      <c r="A1" s="35" t="s">
        <v>9</v>
      </c>
      <c r="B1" s="35"/>
      <c r="C1" s="35" t="s">
        <v>10</v>
      </c>
      <c r="D1" s="35"/>
      <c r="E1" s="34" t="s">
        <v>11</v>
      </c>
      <c r="F1" s="34" t="s">
        <v>4</v>
      </c>
      <c r="G1" s="34" t="s">
        <v>12</v>
      </c>
      <c r="H1" s="34" t="s">
        <v>13</v>
      </c>
      <c r="I1" s="34" t="s">
        <v>37</v>
      </c>
    </row>
    <row r="2" spans="1:9">
      <c r="A2" s="3" t="s">
        <v>14</v>
      </c>
      <c r="B2" s="3" t="s">
        <v>15</v>
      </c>
      <c r="C2" s="3" t="s">
        <v>14</v>
      </c>
      <c r="D2" s="3" t="s">
        <v>15</v>
      </c>
      <c r="E2" s="34"/>
      <c r="F2" s="34"/>
      <c r="G2" s="34"/>
      <c r="H2" s="34"/>
      <c r="I2" s="34"/>
    </row>
    <row r="3" spans="1:9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25">
        <v>6765.77</v>
      </c>
    </row>
    <row r="4" spans="1:9">
      <c r="A4" s="33" t="s">
        <v>41</v>
      </c>
      <c r="B4" s="33"/>
      <c r="C4" s="33"/>
      <c r="D4" s="33"/>
      <c r="E4" s="33"/>
      <c r="F4" s="33"/>
    </row>
    <row r="5" spans="1:9">
      <c r="A5" s="33" t="s">
        <v>9</v>
      </c>
      <c r="B5" s="33"/>
      <c r="C5" s="33"/>
      <c r="D5" s="33" t="s">
        <v>10</v>
      </c>
      <c r="E5" s="33"/>
      <c r="F5" s="33"/>
    </row>
    <row r="6" spans="1:9">
      <c r="A6" s="26" t="s">
        <v>14</v>
      </c>
      <c r="B6" s="26" t="s">
        <v>15</v>
      </c>
      <c r="C6" s="26" t="s">
        <v>42</v>
      </c>
      <c r="D6" s="26" t="s">
        <v>14</v>
      </c>
      <c r="E6" s="26" t="s">
        <v>15</v>
      </c>
      <c r="F6" s="26" t="s">
        <v>42</v>
      </c>
    </row>
    <row r="7" spans="1:9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Plan3</vt:lpstr>
      <vt:lpstr>Planilha1</vt:lpstr>
      <vt:lpstr>SETUP</vt:lpstr>
      <vt:lpstr>Planilha3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2012-03-14T16:46:45Z</dcterms:modified>
</cp:coreProperties>
</file>